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Your Authority" sheetId="1" r:id="rId1"/>
    <sheet name="Cover" sheetId="2" r:id="rId2"/>
    <sheet name="Schedules" sheetId="3" r:id="rId3"/>
    <sheet name="Man Com" sheetId="4" r:id="rId4"/>
    <sheet name="Mnt Com" sheetId="5" r:id="rId5"/>
    <sheet name="MRA Com" sheetId="6" r:id="rId6"/>
    <sheet name="Debt Com" sheetId="7" r:id="rId7"/>
    <sheet name="Rent Com" sheetId="8" r:id="rId8"/>
    <sheet name="Rebasing" sheetId="9" r:id="rId9"/>
    <sheet name="BCIS-ACA" sheetId="10" r:id="rId10"/>
    <sheet name="SchedData" sheetId="11" r:id="rId11"/>
    <sheet name="ComData" sheetId="12" r:id="rId12"/>
  </sheets>
  <externalReferences>
    <externalReference r:id="rId15"/>
    <externalReference r:id="rId16"/>
  </externalReferences>
  <definedNames>
    <definedName name="F001DP">'[1]2011BD'!$E$15:$E$195</definedName>
    <definedName name="F001MM">'[1]2011BD'!$I$15:$I$195</definedName>
    <definedName name="F002MM">'[1]2011BD'!$J$15:$J$195</definedName>
    <definedName name="F003MM">'[1]2011BD'!$K$15:$K$195</definedName>
    <definedName name="F004MM">'[1]2011BD'!$L$15:$L$195</definedName>
    <definedName name="F005MM">'[1]2011BD'!$M$15:$M$195</definedName>
    <definedName name="F006MM">'[1]2011BD'!$N$15:$N$195</definedName>
    <definedName name="F007MM">'[1]2011BD'!$O$15:$O$195</definedName>
    <definedName name="F008MM">'[1]2011BD'!$P$15:$P$195</definedName>
    <definedName name="F009MM">'[1]2011BD'!$Q$15:$Q$195</definedName>
    <definedName name="F010MM">'[1]2011BD'!$R$15:$R$195</definedName>
    <definedName name="F011MM">'[1]2011BD'!$S$15:$S$195</definedName>
    <definedName name="F012MM">'[1]2011BD'!$T$15:$T$195</definedName>
    <definedName name="F013MM">'[1]2011BD'!$U$15:$U$195</definedName>
    <definedName name="F014MM">'[1]2011BD'!$V$15:$V$195</definedName>
    <definedName name="F015MM">'[1]2011BD'!$W$15:$W$195</definedName>
    <definedName name="F016MM">'[1]2011BD'!$X$15:$X$195</definedName>
    <definedName name="F017MM">'[1]2011BD'!$Y$15:$Y$195</definedName>
    <definedName name="F018MM">'[1]2011BD'!$Z$15:$Z$195</definedName>
    <definedName name="F019MM">'[1]2011BD'!$AA$15:$AA$195</definedName>
    <definedName name="F020MM">'[1]2011BD'!$AB$15:$AB$195</definedName>
    <definedName name="F021MM">'[1]2011BD'!$AC$15:$AC$195</definedName>
    <definedName name="F022MM">'[1]2011BD'!$AD$15:$AD$195</definedName>
    <definedName name="F023MM">'[1]2011BD'!$AE$15:$AE$195</definedName>
    <definedName name="F024MM">'[1]2011BD'!$AF$15:$AF$195</definedName>
    <definedName name="F025MM">'[1]2011BD'!$AG$15:$AG$195</definedName>
    <definedName name="F026MM">'[1]2011BD'!$AH$15:$AH$195</definedName>
    <definedName name="F027MM">'[1]2011BD'!$AI$15:$AI$195</definedName>
    <definedName name="F028MM">'[1]2011BD'!$AJ$15:$AJ$195</definedName>
    <definedName name="F029MM">'[1]2011BD'!$AK$15:$AK$195</definedName>
    <definedName name="F030MM">'[1]2011BD'!$AL$15:$AL$195</definedName>
    <definedName name="F031MM">'[1]2011BD'!$AM$15:$AM$195</definedName>
    <definedName name="F032MM">'[1]2011BD'!$AN$15:$AN$195</definedName>
    <definedName name="GDP0102">'[1]inflation'!$C$15</definedName>
    <definedName name="GDP0203">'[1]inflation'!$C$16</definedName>
    <definedName name="GDP0304">'[1]inflation'!$C$17</definedName>
    <definedName name="GDP0405">'[1]inflation'!$C$18</definedName>
    <definedName name="GDP0506">'[1]inflation'!$C$19</definedName>
    <definedName name="GDP0607">'[1]inflation'!$C$20</definedName>
    <definedName name="GDP0708">'[1]inflation'!$C$21</definedName>
    <definedName name="GDP0809">'[1]inflation'!$C$22</definedName>
    <definedName name="GDP0910">'[1]inflation'!$C$23</definedName>
    <definedName name="GDP1011">'[1]inflation'!$C$24</definedName>
    <definedName name="GDP1112">'[1]inflation'!$C$25</definedName>
    <definedName name="LA">'[1]2011B1'!$C$14:$C$195</definedName>
    <definedName name="LAnames">'ComData'!$B$14:$B$195</definedName>
    <definedName name="N201011">'[2]GL Rent'!$O$10</definedName>
    <definedName name="name">'Your Authority'!$D$10</definedName>
    <definedName name="rebasing">'Rebasing'!$G$35</definedName>
    <definedName name="RPI0102">'[1]inflation'!$F$15</definedName>
    <definedName name="RPI0203">'[1]inflation'!$F$16</definedName>
    <definedName name="RPI0304">'[1]inflation'!$F$17</definedName>
    <definedName name="RPI0405">'[1]inflation'!$F$18</definedName>
    <definedName name="RPI0506">'[1]inflation'!$F$19</definedName>
    <definedName name="RPI0607">'[1]inflation'!$F$20</definedName>
    <definedName name="RPI0708">'[1]inflation'!$F$21</definedName>
    <definedName name="RPI0809">'[1]inflation'!$F$22</definedName>
    <definedName name="RPI0910">'[1]inflation'!$F$23</definedName>
    <definedName name="RPI1011">'[1]inflation'!$F$24</definedName>
    <definedName name="RPI1112">'[1]inflation'!$F$25</definedName>
  </definedNames>
  <calcPr fullCalcOnLoad="1"/>
</workbook>
</file>

<file path=xl/comments10.xml><?xml version="1.0" encoding="utf-8"?>
<comments xmlns="http://schemas.openxmlformats.org/spreadsheetml/2006/main">
  <authors>
    <author>mwillia7</author>
  </authors>
  <commentList>
    <comment ref="F44" authorId="0">
      <text>
        <r>
          <rPr>
            <b/>
            <sz val="8"/>
            <rFont val="Tahoma"/>
            <family val="0"/>
          </rPr>
          <t>mwillia7:</t>
        </r>
        <r>
          <rPr>
            <sz val="8"/>
            <rFont val="Tahoma"/>
            <family val="0"/>
          </rPr>
          <t xml:space="preserve">
figure for Greater London is 1.22, figure for London Postal Districts is 1.25
</t>
        </r>
      </text>
    </comment>
  </commentList>
</comments>
</file>

<file path=xl/sharedStrings.xml><?xml version="1.0" encoding="utf-8"?>
<sst xmlns="http://schemas.openxmlformats.org/spreadsheetml/2006/main" count="1237" uniqueCount="884">
  <si>
    <t>Welcome to the 2011-12 HRA Subsidy Determination.</t>
  </si>
  <si>
    <t>Please select your local authority from the menu below.</t>
  </si>
  <si>
    <t>Local Authority</t>
  </si>
  <si>
    <t>The 2011-12 Housing Revenue Account Subsidy Determination</t>
  </si>
  <si>
    <t>Dear Colleague</t>
  </si>
  <si>
    <t>The following documents are Schedules to the 2011-12 HRA S Determination:</t>
  </si>
  <si>
    <t>In the 'Schedules' worksheet, the 18 presets for HRA Subsidy are given.</t>
  </si>
  <si>
    <t>The following documents are Annexes to the Commentary:</t>
  </si>
  <si>
    <t>In the 'Rent Com' worksheet, you are taken through the calculation of Formula, Guideline and Limit rent.</t>
  </si>
  <si>
    <t>In the 'Man Com' worksheet, you are taken through the calculation of the Management Allowance.</t>
  </si>
  <si>
    <t>In the 'Mnt Com' worksheet, you are taken through the calculation of the Maintenance Allowance.</t>
  </si>
  <si>
    <t>In the 'MRA Com' worksheet, you are taken through the calculation of the Major Repairs Allowance.</t>
  </si>
  <si>
    <t>In the 'Debt Com' worksheet, you are taken through the calculation of the;</t>
  </si>
  <si>
    <t>Subsidy Capital Financing Requirement</t>
  </si>
  <si>
    <t>Debt Management Expenses</t>
  </si>
  <si>
    <t>Interest on Receipts</t>
  </si>
  <si>
    <t>In the 'Rebasing' worksheet, you are taken through the calculation of rebasing applied to allowances.</t>
  </si>
  <si>
    <t>In the 'BCIS-ACA' worksheet, the geographical adjustment factors are given.</t>
  </si>
  <si>
    <t>Schedules to the 2011-12 HRA Subsidy Determination</t>
  </si>
  <si>
    <t>Schedule No.</t>
  </si>
  <si>
    <t>Item in Determination</t>
  </si>
  <si>
    <t>Description</t>
  </si>
  <si>
    <t>D</t>
  </si>
  <si>
    <t>Number of Dwellings at 1 April 2010 excluding shared ownership</t>
  </si>
  <si>
    <t>B, X</t>
  </si>
  <si>
    <t>Number of Dwellings at 1 April 2010 including shared ownership</t>
  </si>
  <si>
    <t>E</t>
  </si>
  <si>
    <t>Number of Dwellings at 1 April 2010 excluding shared ownership and PFI dwellings</t>
  </si>
  <si>
    <t>A</t>
  </si>
  <si>
    <t>Management Allowance per dwelling</t>
  </si>
  <si>
    <t>C</t>
  </si>
  <si>
    <t>Maintenance Allowance per dwelling</t>
  </si>
  <si>
    <t>F</t>
  </si>
  <si>
    <t>Major Repairs Allowance per dwelling</t>
  </si>
  <si>
    <t>Y</t>
  </si>
  <si>
    <t>Guideline Rent per dwelling</t>
  </si>
  <si>
    <t>G</t>
  </si>
  <si>
    <t>I</t>
  </si>
  <si>
    <t>Mortgage Interest</t>
  </si>
  <si>
    <t>ALMO Allowance</t>
  </si>
  <si>
    <t>PFI Allowance</t>
  </si>
  <si>
    <t>Other Reckonable Expenditure: Head 1</t>
  </si>
  <si>
    <t>Other Reckonable Expenditure: Head 2</t>
  </si>
  <si>
    <t>Other Reckonable Expenditure: Head 3</t>
  </si>
  <si>
    <t>Other Reckonable Expenditure: Head 4</t>
  </si>
  <si>
    <t>Other Reckonable Expenditure: Head 5</t>
  </si>
  <si>
    <t>Other Reckonable Expenditure: Head 6</t>
  </si>
  <si>
    <t>Commentary on Management Allowances</t>
  </si>
  <si>
    <t>Stock</t>
  </si>
  <si>
    <t>Including shared ownership and PFI</t>
  </si>
  <si>
    <t>Step 1: Initial estimate</t>
  </si>
  <si>
    <t>If</t>
  </si>
  <si>
    <t>the LA has a number of dwellings exceeding</t>
  </si>
  <si>
    <t>it shall receive</t>
  </si>
  <si>
    <t>plus</t>
  </si>
  <si>
    <t>multiplied by (its number of dwellings minus 1400)</t>
  </si>
  <si>
    <t>Else</t>
  </si>
  <si>
    <t>multilplied by its number of dwellings</t>
  </si>
  <si>
    <t>Total Step 1 pot</t>
  </si>
  <si>
    <t>Step 2: Adjusting for propotion of flats and houses</t>
  </si>
  <si>
    <t>of its Step 1 costs, the LA shall receive</t>
  </si>
  <si>
    <t>plus A * (B / C)</t>
  </si>
  <si>
    <t>where A is</t>
  </si>
  <si>
    <t>of the LA's step 1 cost</t>
  </si>
  <si>
    <t>where B is the LA's estimated % of properties with common facilities</t>
  </si>
  <si>
    <t>calculated as (D + E) / Stock</t>
  </si>
  <si>
    <t>where D is</t>
  </si>
  <si>
    <t>of the LAs flats</t>
  </si>
  <si>
    <t>where E is</t>
  </si>
  <si>
    <t>of the LAs houses</t>
  </si>
  <si>
    <t>where C is England's estimated % of properties with common facilities</t>
  </si>
  <si>
    <t>calculated as a stock weighted average of each LA's B</t>
  </si>
  <si>
    <t>Total Step 2 pot</t>
  </si>
  <si>
    <t>Step 3 Adjusting for proportion of medium and high rise flats</t>
  </si>
  <si>
    <t>of its Step 2 costs, the LA shall receive</t>
  </si>
  <si>
    <t>plus F * G</t>
  </si>
  <si>
    <t xml:space="preserve">where F is </t>
  </si>
  <si>
    <t>of the LA's Step 2 costs</t>
  </si>
  <si>
    <t>where G is the factor for medium rise and high rise flats</t>
  </si>
  <si>
    <t xml:space="preserve">calculated as </t>
  </si>
  <si>
    <t>* H</t>
  </si>
  <si>
    <t>* I</t>
  </si>
  <si>
    <t>where H is the % of the LA's stock that is houses, bungalows and low rise flats</t>
  </si>
  <si>
    <t>where I is the % of the LA's stock that is medium or high rise flats</t>
  </si>
  <si>
    <t>Total Step 3 pot</t>
  </si>
  <si>
    <t>Step 4 Adjusting for crime factor and re-lets/terminations</t>
  </si>
  <si>
    <t>of its Step 3 costs, the LA shall receive</t>
  </si>
  <si>
    <t>plus J + K</t>
  </si>
  <si>
    <t>where J is the crime pot</t>
  </si>
  <si>
    <t>calculated as L * M</t>
  </si>
  <si>
    <t xml:space="preserve">where L is </t>
  </si>
  <si>
    <t>of the LAs step 3 pot</t>
  </si>
  <si>
    <t xml:space="preserve">where M is the LA's relative amount of violence against the person per </t>
  </si>
  <si>
    <t>per 1,000 population against the national average</t>
  </si>
  <si>
    <t>LA's amount of violence against the person</t>
  </si>
  <si>
    <t>National average</t>
  </si>
  <si>
    <t>where K is the the relets and terminations pot</t>
  </si>
  <si>
    <t>calculated as N * O</t>
  </si>
  <si>
    <t>where N is</t>
  </si>
  <si>
    <t>where O is (P + Q) / ( 2 * Stock), relative to the national average</t>
  </si>
  <si>
    <t>LAs average relets / terminations</t>
  </si>
  <si>
    <t xml:space="preserve">where P the amount of the LA's stock that was relet in 2009-10 </t>
  </si>
  <si>
    <t>where Q is the amount of the LA's stock that was terminated in 2009-10</t>
  </si>
  <si>
    <t>Total Step 4 pot</t>
  </si>
  <si>
    <t>Step 5 Adjusting for deprivation</t>
  </si>
  <si>
    <t>Step 5 costs are equal to Step 4 costs</t>
  </si>
  <si>
    <t>plus the LA's deprivation add on</t>
  </si>
  <si>
    <t>Calculated as R * S</t>
  </si>
  <si>
    <t>where R is the % of S DCLG will add on</t>
  </si>
  <si>
    <t>calculated as</t>
  </si>
  <si>
    <t xml:space="preserve">if LA is amongst the worst </t>
  </si>
  <si>
    <t>LAs</t>
  </si>
  <si>
    <t>in at least one of the 6 measures of deprivation</t>
  </si>
  <si>
    <t>else</t>
  </si>
  <si>
    <t>where S is T + (U * V)</t>
  </si>
  <si>
    <t xml:space="preserve">where T is </t>
  </si>
  <si>
    <t>multiplied by</t>
  </si>
  <si>
    <t>of its stock</t>
  </si>
  <si>
    <t>where U is</t>
  </si>
  <si>
    <t>where V is W / X</t>
  </si>
  <si>
    <t>where W is the extent of deprivation score within the LA according to</t>
  </si>
  <si>
    <t>The English Indices of Deprivation (2004)</t>
  </si>
  <si>
    <t>where X is the maximum extent of deprivation score for all English LAs</t>
  </si>
  <si>
    <t>Total Step 5 pot</t>
  </si>
  <si>
    <t>Step 6 Geographical adjustment</t>
  </si>
  <si>
    <t>The LA shall receive it's Step 5 costs multiplied by its Area Cost Adjustment of</t>
  </si>
  <si>
    <t>Total Step 6 pot</t>
  </si>
  <si>
    <t>Step 7 National Scaling</t>
  </si>
  <si>
    <t>The LA shall receive its Step 6 costs multiplied by the</t>
  </si>
  <si>
    <t>The National Scaling Factor</t>
  </si>
  <si>
    <t>calculated as Y / Z</t>
  </si>
  <si>
    <t>where Z is the sum of all Step 6 costs</t>
  </si>
  <si>
    <t>where Y is AA * Uplift</t>
  </si>
  <si>
    <t xml:space="preserve">where AA is the sumproduct of </t>
  </si>
  <si>
    <t>each LA's Management Allowance per dwelling from the 2010-2011 HRAS Determination</t>
  </si>
  <si>
    <t>and</t>
  </si>
  <si>
    <t>each LA's stock on April 1 2009</t>
  </si>
  <si>
    <t xml:space="preserve">where the uplift is </t>
  </si>
  <si>
    <t>plus the GDP Deflator 2011-2012</t>
  </si>
  <si>
    <t>plus rebasing percentage</t>
  </si>
  <si>
    <t>plus real uplift</t>
  </si>
  <si>
    <t>total uplift</t>
  </si>
  <si>
    <t>Total Step 7 pot</t>
  </si>
  <si>
    <t>Transitional (cash) Protection</t>
  </si>
  <si>
    <t xml:space="preserve">The LA shall receive the higher of </t>
  </si>
  <si>
    <t>Its 2010-2011 Pre set Allowance for Management</t>
  </si>
  <si>
    <t>Step 7 pot after Transitional (cash) Protection</t>
  </si>
  <si>
    <t>Step 8</t>
  </si>
  <si>
    <t xml:space="preserve">The LA shall receive </t>
  </si>
  <si>
    <t>for energy performance</t>
  </si>
  <si>
    <t>per dwelling</t>
  </si>
  <si>
    <t>Total Step 8 pot</t>
  </si>
  <si>
    <t>2011-2012 Allowance for Management</t>
  </si>
  <si>
    <t>2011-2012 per dwelling Allowance for Management</t>
  </si>
  <si>
    <t>Commentary on Maintainance Allowances</t>
  </si>
  <si>
    <t>Excluding shared ownership but including PFI</t>
  </si>
  <si>
    <t>Step 1 Response Repairs</t>
  </si>
  <si>
    <t>The LA shall receive A * B</t>
  </si>
  <si>
    <t>where A is calculated as:</t>
  </si>
  <si>
    <t>Each archetype's adjusted response repairs base weight is multiplied by an authority’s stock</t>
  </si>
  <si>
    <t>of that archetype and then summed across all archetypes</t>
  </si>
  <si>
    <t>Archetype (11B2)</t>
  </si>
  <si>
    <t>Response Repairs</t>
  </si>
  <si>
    <t>Additional Backlog Factor</t>
  </si>
  <si>
    <t>Adjusted Response Repairs</t>
  </si>
  <si>
    <t>ARR multiplied by Stock</t>
  </si>
  <si>
    <t>Pre 1945 small terrace houses - F001mm</t>
  </si>
  <si>
    <t>Pre 1945 semi-detached houses - F002mm</t>
  </si>
  <si>
    <t>All other pre-1945 houses - F003mm</t>
  </si>
  <si>
    <t>1945 - 64 small terrace houses - F004mm</t>
  </si>
  <si>
    <t>1945-64 large terr, s-det and det houses - F005mm</t>
  </si>
  <si>
    <t>1965-74 houses - F006mm</t>
  </si>
  <si>
    <t>Post 1974 houses - F007mm</t>
  </si>
  <si>
    <t>All houses - F008mm</t>
  </si>
  <si>
    <t>Pre 1945 low rise (1-2 storey) flats - F009mm</t>
  </si>
  <si>
    <t>Post 1944 low rise (1-2 storey) flats - F010mm</t>
  </si>
  <si>
    <t>Medium rise (3-5 storey) flats - F011mm</t>
  </si>
  <si>
    <t>High rise (6 or more storeys) flats - F012mm</t>
  </si>
  <si>
    <t>Bungalows - F013mm</t>
  </si>
  <si>
    <t>Pre 1945 multi-occupied dwellings - F014mm</t>
  </si>
  <si>
    <t>Post 1944 multi-occupied dwellings - F015mm</t>
  </si>
  <si>
    <t>Total (A)</t>
  </si>
  <si>
    <t>where B is the crime/flats factor</t>
  </si>
  <si>
    <t>calculated as (C / D) * (E / Stock) + 1</t>
  </si>
  <si>
    <t>where C is the weighted crime rate</t>
  </si>
  <si>
    <t>*G</t>
  </si>
  <si>
    <t>*H</t>
  </si>
  <si>
    <t>where G is the amount of criminal damage in LA per 1000 households</t>
  </si>
  <si>
    <t>where H is the amount of burglary in LA per 1000 households</t>
  </si>
  <si>
    <t>where D is the highest weighted crime rate in England</t>
  </si>
  <si>
    <t xml:space="preserve">where E is </t>
  </si>
  <si>
    <t>*I</t>
  </si>
  <si>
    <t>where I is the LAs amount of stock that is not Medium or High Rise</t>
  </si>
  <si>
    <t>*J</t>
  </si>
  <si>
    <t xml:space="preserve">where J is the LAs amount of stock that is Medium and High Rise </t>
  </si>
  <si>
    <t>Total Step 1 Pot</t>
  </si>
  <si>
    <t>Step 2 Planned Works</t>
  </si>
  <si>
    <t>Each archetype's planned works base weight is multiplied by an authority’s stock</t>
  </si>
  <si>
    <t>Planned Works Base Weight</t>
  </si>
  <si>
    <t>PWBW * Stock</t>
  </si>
  <si>
    <t>Total Step 2 Pot</t>
  </si>
  <si>
    <t>Step 3 Relets and Terminations</t>
  </si>
  <si>
    <t xml:space="preserve">The LA shall receive K * L </t>
  </si>
  <si>
    <t>where K is calculated as</t>
  </si>
  <si>
    <t>Each archetype's base weight for basic works for re-lets and terminations is multiplied</t>
  </si>
  <si>
    <t>by an authority’s stock of that archetype and then summed across all archetypes.</t>
  </si>
  <si>
    <t>Archetype (10B2)</t>
  </si>
  <si>
    <t>BW * Stock</t>
  </si>
  <si>
    <t>Total (K)</t>
  </si>
  <si>
    <t>where L is the (average of M and N)/stock</t>
  </si>
  <si>
    <t>where M is the number of dwellings that were relet in 2009-10</t>
  </si>
  <si>
    <t>where N is the number of dwellings that were terminated in 2009-10</t>
  </si>
  <si>
    <t>Total Step 3 Pot</t>
  </si>
  <si>
    <t>Step 4 Crime Related Works to Voids</t>
  </si>
  <si>
    <t>The LA shall receive</t>
  </si>
  <si>
    <t>*O</t>
  </si>
  <si>
    <t>where O is Stock * (C / D) * P</t>
  </si>
  <si>
    <t>where P is the % of the LAs rental income that was lost due to void dwellings</t>
  </si>
  <si>
    <t>Total Step 4 Pot</t>
  </si>
  <si>
    <t xml:space="preserve">Step 5 </t>
  </si>
  <si>
    <t>The Step 5 pot is the sum of the Steps 1 to 4 pots</t>
  </si>
  <si>
    <t>Step 6 Geographical Adjustment</t>
  </si>
  <si>
    <t>The LA shall receive it's Step 5 costs multiplied by its BCIS local adjustment factor</t>
  </si>
  <si>
    <t>Total Step 6 Pot</t>
  </si>
  <si>
    <t>Step 7 Scaling Factor</t>
  </si>
  <si>
    <t>The LA shall receive it's Step 6 costs multiplied by the</t>
  </si>
  <si>
    <t>calculated as Q / R</t>
  </si>
  <si>
    <t>where R is the sum of all Step 6 costs</t>
  </si>
  <si>
    <t>where Q is S * Uplift</t>
  </si>
  <si>
    <t xml:space="preserve">where S is the sumproduct of </t>
  </si>
  <si>
    <t>each LA's Maintenance Allowance per dwelling from the 2010-2011 HRAS Determination</t>
  </si>
  <si>
    <t>each LA's stock on April 1 2010</t>
  </si>
  <si>
    <t>Total Step 7 Pot</t>
  </si>
  <si>
    <t>Transitional (Cash) Protection</t>
  </si>
  <si>
    <t>The LA shall receive the greater of</t>
  </si>
  <si>
    <t>Its 2010-11 Pre set Allowance for Maintenance</t>
  </si>
  <si>
    <t>Total 2011/12 Allowance for Maintenance</t>
  </si>
  <si>
    <t>2011/12 per dwelling Allowance for Maintenance</t>
  </si>
  <si>
    <t>Commentary on the Major Repairs Allowance</t>
  </si>
  <si>
    <t>Excluding shared ownership and PFI</t>
  </si>
  <si>
    <t>MRA</t>
  </si>
  <si>
    <t>where A is the Unadjusted MRA, calculated as</t>
  </si>
  <si>
    <t>Each archetype's major repairs base weight is multiplied by an authority’s stock</t>
  </si>
  <si>
    <t>MRA Base Weight</t>
  </si>
  <si>
    <t>Pre 1945 small terrace houses - F017mm</t>
  </si>
  <si>
    <t>Pre 1945 semi-detached houses - F018mm</t>
  </si>
  <si>
    <t>All other pre-1945 houses - F019mm</t>
  </si>
  <si>
    <t>1945 - 64 small terrace houses - F020mm</t>
  </si>
  <si>
    <t>1945-64 large terr, s-det and det houses - F021mm</t>
  </si>
  <si>
    <t>1965-74 houses - F022mm</t>
  </si>
  <si>
    <t>Post 1974 houses - F023mm</t>
  </si>
  <si>
    <t>All houses - F024mm</t>
  </si>
  <si>
    <t>Pre 1945 low rise (1-2 storey) flats - F025mm</t>
  </si>
  <si>
    <t>Post 1944 low rise (1-2 storey) flats - F026mm</t>
  </si>
  <si>
    <t>Medium rise (3-5 storey) flats - F027mm</t>
  </si>
  <si>
    <t>High rise (6 or more storeys) flats - F028mm</t>
  </si>
  <si>
    <t>Bungalows - F029mm</t>
  </si>
  <si>
    <t>Pre 1945 multi-occupied dwellings - F030mm</t>
  </si>
  <si>
    <t>Post 1944 multi-occupied dwellings - F031mm</t>
  </si>
  <si>
    <t>Unadjusted MRA</t>
  </si>
  <si>
    <t>where B is the Regional Cost Factor</t>
  </si>
  <si>
    <t>calculated as C*D</t>
  </si>
  <si>
    <t>where C is the BCIS Cost Adjustment Factor</t>
  </si>
  <si>
    <t>where D is Geographical Adjustment Factor</t>
  </si>
  <si>
    <t>calculated as E / F</t>
  </si>
  <si>
    <t>where E is the sum of all Unadjusted MRA</t>
  </si>
  <si>
    <t xml:space="preserve">where F is the sum of each LAs Unadjusted MRA </t>
  </si>
  <si>
    <t>multiplied by it's BCIS factor</t>
  </si>
  <si>
    <t>2011/12 Allowance for Major Repairs</t>
  </si>
  <si>
    <t>2011/12 per dwelling Allowance for Major Repairs</t>
  </si>
  <si>
    <t>Commentary on SCFR/DME/Interest</t>
  </si>
  <si>
    <t>SCFR 2010-11 [A]</t>
  </si>
  <si>
    <t>SCE R 2010-11 [B]</t>
  </si>
  <si>
    <t>SCE R 2011-12 [C]</t>
  </si>
  <si>
    <t xml:space="preserve">Value of land, houses or other property newly accounted for </t>
  </si>
  <si>
    <t>in HRA in 2010-2011, eg by appropriation F002cc [D]</t>
  </si>
  <si>
    <t>ALMO SCE 2010-11 [E]</t>
  </si>
  <si>
    <t>ALMO SCE 2011-12 [F]</t>
  </si>
  <si>
    <t xml:space="preserve">Non-poolable reserved part of HRA capital receipts </t>
  </si>
  <si>
    <t>arising from disposals in 2009-2010 F001cc [G]</t>
  </si>
  <si>
    <t xml:space="preserve">Equivalent reserved part of certified value of property which </t>
  </si>
  <si>
    <t>ceased to be accounted for in HRA in 2009 -2010</t>
  </si>
  <si>
    <t>(other than by disposal) F003cc [H]</t>
  </si>
  <si>
    <t>Conversion of Round 1 &amp; 2 ALMO Allowance into a</t>
  </si>
  <si>
    <t>capital sum for 2011-12 only</t>
  </si>
  <si>
    <t>Subsidy Capital Financing Requirement 2011-12</t>
  </si>
  <si>
    <t>(Set to Zero where Stock is Zero)</t>
  </si>
  <si>
    <t>Debt Management Expenses 2011-12</t>
  </si>
  <si>
    <t>plus one millionth of their SCFR 2011-12 multiplied by</t>
  </si>
  <si>
    <t>(DME is set to Zero where SCFR 2011-12 is negative)</t>
  </si>
  <si>
    <t>2011/12 DME</t>
  </si>
  <si>
    <t>Subsidy capital financing requirement 2011-12</t>
  </si>
  <si>
    <t>multiplied by -1 if negtive, otherwise zero [I]</t>
  </si>
  <si>
    <t>Forecast LIBID Rate* for 2011-12 [J]</t>
  </si>
  <si>
    <t>*As per letter from Ann Williams dated 08/05/2009 interest on capital receipts will be calculated using the average LIBID rate for the financial year. Special determinations will be issued where appropriate to reflect the difference between the forecast a</t>
  </si>
  <si>
    <t>Interest on capital receipts [K = I * J]</t>
  </si>
  <si>
    <t xml:space="preserve">Estimated principal outstanding at 1 April 2010 on any loan </t>
  </si>
  <si>
    <t>made to enable the borrower to acquire a HRA dwelling F004cc [L]</t>
  </si>
  <si>
    <t>Average rate of interest on 1 August 2010 on the</t>
  </si>
  <si>
    <t>Loans covered in Line 4 F005cc [M]</t>
  </si>
  <si>
    <t>Mortgage interest receipts [N = L*M]</t>
  </si>
  <si>
    <t>Interest on receipts [K+N]</t>
  </si>
  <si>
    <t>Commentary on the Formula, Guideline and Limit Rent</t>
  </si>
  <si>
    <t>Step 1: Formula Rent</t>
  </si>
  <si>
    <t>The 2000-2001 Formula Rent is</t>
  </si>
  <si>
    <t>A*</t>
  </si>
  <si>
    <t>B*</t>
  </si>
  <si>
    <t>where A is C*D*E</t>
  </si>
  <si>
    <t>where B is D*H</t>
  </si>
  <si>
    <t>where C is the LAs bedroom weighting factor, calculated as</t>
  </si>
  <si>
    <t>Each archetype's bedroom weight is multiplied by an authority’s stock</t>
  </si>
  <si>
    <t>of that archetype, then summed across all archetypes</t>
  </si>
  <si>
    <t>and divided by the authority's stock</t>
  </si>
  <si>
    <t>Archetype</t>
  </si>
  <si>
    <t>Bedroom Weighting</t>
  </si>
  <si>
    <t>1 bed</t>
  </si>
  <si>
    <t xml:space="preserve">2 bed </t>
  </si>
  <si>
    <t>3 bed</t>
  </si>
  <si>
    <t>4 bed</t>
  </si>
  <si>
    <t>5 bed</t>
  </si>
  <si>
    <t>6+ bed</t>
  </si>
  <si>
    <t>Bedsits</t>
  </si>
  <si>
    <t>HMOs</t>
  </si>
  <si>
    <t>Bedroom Weighting Factor</t>
  </si>
  <si>
    <t>where D is the national average rent, Apr. 2000</t>
  </si>
  <si>
    <t>where E is the relative county manual earnings</t>
  </si>
  <si>
    <t>Calculated as F / G</t>
  </si>
  <si>
    <t>where F is the LA's county manual earnings</t>
  </si>
  <si>
    <t xml:space="preserve">where G is the England average county manual earnings </t>
  </si>
  <si>
    <t>where H is the LA's relative property value</t>
  </si>
  <si>
    <t>Calculated as I / J</t>
  </si>
  <si>
    <t>where I is the local average LA property value, Jan. 1999</t>
  </si>
  <si>
    <t>where J is the England average LA property value, Jan. 1999</t>
  </si>
  <si>
    <t>2000-2001 Formula Rent pd pw</t>
  </si>
  <si>
    <t xml:space="preserve">Step 2: Formula Rent </t>
  </si>
  <si>
    <t>The formula rent for 2001-2002 is calculated as the previous</t>
  </si>
  <si>
    <t>year's value uprated by</t>
  </si>
  <si>
    <t>RPI+</t>
  </si>
  <si>
    <t>The formula rent for each subsequent year is calculated as the previous</t>
  </si>
  <si>
    <t>RPI</t>
  </si>
  <si>
    <t>Formula Rent per Dwelling</t>
  </si>
  <si>
    <t>2001-2002</t>
  </si>
  <si>
    <t>2002-2003</t>
  </si>
  <si>
    <t>2003-2004</t>
  </si>
  <si>
    <t>2004-2005</t>
  </si>
  <si>
    <t>2005-2006</t>
  </si>
  <si>
    <t>2006-2007</t>
  </si>
  <si>
    <t>2007-2008</t>
  </si>
  <si>
    <t>2008-2009</t>
  </si>
  <si>
    <t>2009-2010</t>
  </si>
  <si>
    <t>2010-2011</t>
  </si>
  <si>
    <t>2011-2012</t>
  </si>
  <si>
    <t>Cap on Formula Rent</t>
  </si>
  <si>
    <t>For the purposes of the Caps and Limits constrained rent calculation, the caps on the Formula rent shall be</t>
  </si>
  <si>
    <t>Property Type</t>
  </si>
  <si>
    <t>Cap on Formula Rent 2011-12</t>
  </si>
  <si>
    <t>2 beds</t>
  </si>
  <si>
    <t>3 beds</t>
  </si>
  <si>
    <t>4 beds</t>
  </si>
  <si>
    <t>5 beds</t>
  </si>
  <si>
    <t>6+ beds</t>
  </si>
  <si>
    <t xml:space="preserve">Step 3: Guideline Rent </t>
  </si>
  <si>
    <t>The Guideline rent per dwelling per week for 2001-02 is given as a preset</t>
  </si>
  <si>
    <t xml:space="preserve">The guideline rent for each subsequent year is calculated as </t>
  </si>
  <si>
    <t xml:space="preserve">An alternative calculation for guideline rent in 2009/10 was introduced for those authorities that chose to  </t>
  </si>
  <si>
    <t>take up the amended determination.</t>
  </si>
  <si>
    <t>Term A1      +       Term B1</t>
  </si>
  <si>
    <t>K*(1+2.4%) + (FR - K*(1+RPI+0.5%)) / n</t>
  </si>
  <si>
    <t>where K is the previous year's imputed Guideline Rent</t>
  </si>
  <si>
    <t>where FR is the Formula Rent for that year</t>
  </si>
  <si>
    <t>where n is the convergence term used to affect the average Guideline Rent increase</t>
  </si>
  <si>
    <t>n</t>
  </si>
  <si>
    <t>Guideline Rent pd pw</t>
  </si>
  <si>
    <t>2011-12 Caps and Limits Adjustment</t>
  </si>
  <si>
    <t>2011-12 Guideline Rent pd pw after Caps and Limits</t>
  </si>
  <si>
    <t>Pre set Guideline Rent pd 2011-12 (per annum)</t>
  </si>
  <si>
    <t>Step 4: Guideline Rent</t>
  </si>
  <si>
    <t>The Guideline Rent for 2011-12 shall be calculated as</t>
  </si>
  <si>
    <t>Guideline Rent pd 2011-12 after Caps and Limits Adjustment * Stock * (1- Voids Allowance)</t>
  </si>
  <si>
    <t>The Voids Allowance is</t>
  </si>
  <si>
    <t>Guideline Rent 2011-12</t>
  </si>
  <si>
    <t xml:space="preserve">Step 5 Limit Rent </t>
  </si>
  <si>
    <t>The Limit rent per dwelling for 2001-02 is given as a preset</t>
  </si>
  <si>
    <t xml:space="preserve">The Limit rent for each subsequent year is calculated as </t>
  </si>
  <si>
    <t>L*(1+RPI+0.5%) + (FR - L*(1+RPI+0.5%)) / n</t>
  </si>
  <si>
    <t xml:space="preserve">An alternative calculation for Limit rent per dwelling in 2009/10 applies to those authorities who chose to  </t>
  </si>
  <si>
    <t>take up the amended offer.</t>
  </si>
  <si>
    <t>Under this scenario Limit rent for 2009/10 only is calculated as</t>
  </si>
  <si>
    <t>L*(1+2.4%) + (FR - L*(1+RPI+0.5%)) / n</t>
  </si>
  <si>
    <t>where L is the previous years imputed Limit rent</t>
  </si>
  <si>
    <t>where FR is the Formula Rent</t>
  </si>
  <si>
    <t>where n is the convergence term used to affect the average guideline rent increase</t>
  </si>
  <si>
    <t>Limit Rent pd pw</t>
  </si>
  <si>
    <t>Rebasing Calculation</t>
  </si>
  <si>
    <t>2010-11 Average Guideline rent</t>
  </si>
  <si>
    <t>B</t>
  </si>
  <si>
    <t>2011-12 Average Guideline rent</t>
  </si>
  <si>
    <t>C=B-A</t>
  </si>
  <si>
    <t>Cash increase in Guideline rent</t>
  </si>
  <si>
    <t>2010-11 Average Actual rent</t>
  </si>
  <si>
    <t>2011-12 Average Formula Rent</t>
  </si>
  <si>
    <t>F = (D * 1+RPI+0.5%) +</t>
  </si>
  <si>
    <t>Simulated 2010-11 Average Actual rent</t>
  </si>
  <si>
    <t>((E - (D * 1+RPI+0.5%)) /N)</t>
  </si>
  <si>
    <t>G=F-D</t>
  </si>
  <si>
    <t>Cash Increase in Actual Rent</t>
  </si>
  <si>
    <t>H = 98%*(C - G)</t>
  </si>
  <si>
    <t>Loss of resources (allowing for voids)</t>
  </si>
  <si>
    <t>Average 2010-11 M+M Allowances pd</t>
  </si>
  <si>
    <t>in 2010-11 Det (£675.57 + £1163.01)/52</t>
  </si>
  <si>
    <t>J = H / I</t>
  </si>
  <si>
    <t>Rebasing %</t>
  </si>
  <si>
    <t xml:space="preserve"> = loss of resources as % of 2010-11 M&amp;M allowances</t>
  </si>
  <si>
    <t>(rounded to 1 decimal place)</t>
  </si>
  <si>
    <t>BCIS Adjustment Factors</t>
  </si>
  <si>
    <t>ACA Adjustment Factors</t>
  </si>
  <si>
    <t>Surveys of Tender Prices</t>
  </si>
  <si>
    <t>PSS Older People</t>
  </si>
  <si>
    <t>Pricing Adjustment Factors</t>
  </si>
  <si>
    <t>County</t>
  </si>
  <si>
    <t>BCIS Region</t>
  </si>
  <si>
    <t>Average</t>
  </si>
  <si>
    <t>Region</t>
  </si>
  <si>
    <t>ACA 2011-12 Det</t>
  </si>
  <si>
    <t>Cleveland</t>
  </si>
  <si>
    <t>Northern</t>
  </si>
  <si>
    <t>City of London</t>
  </si>
  <si>
    <t>Cumbria</t>
  </si>
  <si>
    <t>Inner London</t>
  </si>
  <si>
    <t>Durham</t>
  </si>
  <si>
    <t>W, SW &amp; NW Outer London</t>
  </si>
  <si>
    <t>Northumberland</t>
  </si>
  <si>
    <t>Berks, Surrey &amp; W Sussex Fringe</t>
  </si>
  <si>
    <t>Tyne &amp; Wear</t>
  </si>
  <si>
    <t>Berks Non-Fringe</t>
  </si>
  <si>
    <t>Humberside</t>
  </si>
  <si>
    <t>Yorks &amp; Humb</t>
  </si>
  <si>
    <t>Herts &amp; Bucks Fringe</t>
  </si>
  <si>
    <t>N Yorkshire</t>
  </si>
  <si>
    <t>Rest of Outer London</t>
  </si>
  <si>
    <t>S Yorkshire</t>
  </si>
  <si>
    <t>Bucks Non-Fringe</t>
  </si>
  <si>
    <t>W Yorkshire</t>
  </si>
  <si>
    <t>Oxfordshire</t>
  </si>
  <si>
    <t>Derbyshire</t>
  </si>
  <si>
    <t>East Mids</t>
  </si>
  <si>
    <t>Kent &amp; Essex Fringe</t>
  </si>
  <si>
    <t>Leics</t>
  </si>
  <si>
    <t>Beds &amp; Herts Non-Fringe</t>
  </si>
  <si>
    <t>Lincolnshire</t>
  </si>
  <si>
    <t>Cambridgeshire</t>
  </si>
  <si>
    <t>Northants</t>
  </si>
  <si>
    <t>Hamps &amp; Isle of Wight</t>
  </si>
  <si>
    <t>Notts</t>
  </si>
  <si>
    <t>W Sussex Non-Fringe</t>
  </si>
  <si>
    <t>Cambs</t>
  </si>
  <si>
    <t>East Anglia</t>
  </si>
  <si>
    <t>Wiltshire</t>
  </si>
  <si>
    <t>Norfolk</t>
  </si>
  <si>
    <t>Warwickshire</t>
  </si>
  <si>
    <t>Suffolk</t>
  </si>
  <si>
    <t>Beds</t>
  </si>
  <si>
    <t>SE excl GL</t>
  </si>
  <si>
    <t>Avon</t>
  </si>
  <si>
    <t>Essex</t>
  </si>
  <si>
    <t>W Mids</t>
  </si>
  <si>
    <t>Herts</t>
  </si>
  <si>
    <t>Kent Non-Fringe</t>
  </si>
  <si>
    <t>Kent</t>
  </si>
  <si>
    <t>Gloucs</t>
  </si>
  <si>
    <t>Surrey</t>
  </si>
  <si>
    <t>Cheshire</t>
  </si>
  <si>
    <t>East Sussex</t>
  </si>
  <si>
    <t>Greater Manchester</t>
  </si>
  <si>
    <t>West Sussex</t>
  </si>
  <si>
    <t>Essex Non-Fringe</t>
  </si>
  <si>
    <t>Berkshire</t>
  </si>
  <si>
    <t>Bucks</t>
  </si>
  <si>
    <t>E Sussex</t>
  </si>
  <si>
    <t>Hampshire</t>
  </si>
  <si>
    <t>Rest of England</t>
  </si>
  <si>
    <t>Isle of Wight</t>
  </si>
  <si>
    <t xml:space="preserve">Isles of Scilly </t>
  </si>
  <si>
    <t>Leicestershire</t>
  </si>
  <si>
    <t>GL</t>
  </si>
  <si>
    <t>Outer London</t>
  </si>
  <si>
    <t>South West</t>
  </si>
  <si>
    <t>Cornwall</t>
  </si>
  <si>
    <t>Devon</t>
  </si>
  <si>
    <t>Dorset</t>
  </si>
  <si>
    <t>Somerset</t>
  </si>
  <si>
    <t>Hereford &amp; Worcester</t>
  </si>
  <si>
    <t>West Mids</t>
  </si>
  <si>
    <t>Shropshire</t>
  </si>
  <si>
    <t>Staffs</t>
  </si>
  <si>
    <t>Warks</t>
  </si>
  <si>
    <t>W Midlands</t>
  </si>
  <si>
    <t>North West</t>
  </si>
  <si>
    <t>Lancashire</t>
  </si>
  <si>
    <t>Merseyside</t>
  </si>
  <si>
    <t>Schedule Data</t>
  </si>
  <si>
    <t>Likely Logasnet Presets for HSGA2011 Claim Forms</t>
  </si>
  <si>
    <t>F001DC</t>
  </si>
  <si>
    <t>F002DC</t>
  </si>
  <si>
    <t>F003DC</t>
  </si>
  <si>
    <t>F001MM</t>
  </si>
  <si>
    <t>F003MM</t>
  </si>
  <si>
    <t>F001MA</t>
  </si>
  <si>
    <t>F002RI</t>
  </si>
  <si>
    <t>F003CM</t>
  </si>
  <si>
    <t>F002CC</t>
  </si>
  <si>
    <t>F002IR</t>
  </si>
  <si>
    <t>F000AL</t>
  </si>
  <si>
    <t>F000PF</t>
  </si>
  <si>
    <t>F001OE</t>
  </si>
  <si>
    <t>F002OE</t>
  </si>
  <si>
    <t>F003OE</t>
  </si>
  <si>
    <t>F004OE</t>
  </si>
  <si>
    <t>F005OE</t>
  </si>
  <si>
    <t>F006OE</t>
  </si>
  <si>
    <t>GDP Deflator</t>
  </si>
  <si>
    <t>Rebasing</t>
  </si>
  <si>
    <t>Commentary Data</t>
  </si>
  <si>
    <t>Sum of Step 6 Costs (Man)</t>
  </si>
  <si>
    <t>2001-02</t>
  </si>
  <si>
    <t>Sum of Step 6 Costs (Maint)</t>
  </si>
  <si>
    <t>Geographical Adjustment Factor</t>
  </si>
  <si>
    <t>Man Y</t>
  </si>
  <si>
    <t>2002-03</t>
  </si>
  <si>
    <t>Maint Q</t>
  </si>
  <si>
    <t>National Scaling Factor (Man)</t>
  </si>
  <si>
    <t>2003-04</t>
  </si>
  <si>
    <t>National Scaling Factor (Maint)</t>
  </si>
  <si>
    <t>Adjusted MRA</t>
  </si>
  <si>
    <t>2004-05</t>
  </si>
  <si>
    <t>2005-06</t>
  </si>
  <si>
    <t>2006-07</t>
  </si>
  <si>
    <t>MANAGEMENT ALLOWANCE</t>
  </si>
  <si>
    <t>2007-08</t>
  </si>
  <si>
    <t>MAINTENACE ALLOWANCE</t>
  </si>
  <si>
    <t>FORMULA RENT</t>
  </si>
  <si>
    <t>GUIDELINE RENT</t>
  </si>
  <si>
    <t>LIMIT RENT</t>
  </si>
  <si>
    <t>SCFR, DME, INTEREST</t>
  </si>
  <si>
    <t>cons</t>
  </si>
  <si>
    <t>Forecast LIBID Rate for 2010-11</t>
  </si>
  <si>
    <t>2008-09</t>
  </si>
  <si>
    <t>var</t>
  </si>
  <si>
    <t>National Ave</t>
  </si>
  <si>
    <t>2009-10</t>
  </si>
  <si>
    <t>National Max</t>
  </si>
  <si>
    <t>Top Slice to Fund Guarantee</t>
  </si>
  <si>
    <t>National Scaling Factor</t>
  </si>
  <si>
    <t>National MRA</t>
  </si>
  <si>
    <t>2010-11</t>
  </si>
  <si>
    <t>2011-12</t>
  </si>
  <si>
    <t>Step 1 Pot zeroed</t>
  </si>
  <si>
    <t>85.8% of Step 1 Pot</t>
  </si>
  <si>
    <t>C/F Pot</t>
  </si>
  <si>
    <t>14.2% of Step 1 Pot</t>
  </si>
  <si>
    <t>% With Common Facilities</t>
  </si>
  <si>
    <t>89% of Flats</t>
  </si>
  <si>
    <t>13% of Houses</t>
  </si>
  <si>
    <t>Step 2 Pot</t>
  </si>
  <si>
    <t>80% of Step 2 Pot</t>
  </si>
  <si>
    <t>MR/HR Flats Pot</t>
  </si>
  <si>
    <t>20% of Step 2 Pot</t>
  </si>
  <si>
    <t>Factor for MR and HR flats</t>
  </si>
  <si>
    <t>% Houses and LR Flats</t>
  </si>
  <si>
    <t>% MR and HR Flats</t>
  </si>
  <si>
    <t>Step 3 Cost</t>
  </si>
  <si>
    <t>67.6% of Step 3 Pot</t>
  </si>
  <si>
    <t>Term/Relet Pot</t>
  </si>
  <si>
    <t>Crime Pot</t>
  </si>
  <si>
    <t>22.8% of Step 3 Pot</t>
  </si>
  <si>
    <t>Crime Factor</t>
  </si>
  <si>
    <t>VAP</t>
  </si>
  <si>
    <t>Relets / Term Pot</t>
  </si>
  <si>
    <t>9.6% of Step 3 Pot</t>
  </si>
  <si>
    <t>Relets / Term Factor</t>
  </si>
  <si>
    <t>Ave. % Relets / Terminations</t>
  </si>
  <si>
    <t>Relets</t>
  </si>
  <si>
    <t>Terminations</t>
  </si>
  <si>
    <t>Step 4 Pot</t>
  </si>
  <si>
    <t>Deprivation Add On</t>
  </si>
  <si>
    <t>% Add On</t>
  </si>
  <si>
    <t>LA Extent / Max Extent</t>
  </si>
  <si>
    <t>Extent Score</t>
  </si>
  <si>
    <t>Step 5 Pot</t>
  </si>
  <si>
    <t>ACA</t>
  </si>
  <si>
    <t>Step 6 Pot</t>
  </si>
  <si>
    <t>Step 7 Pot</t>
  </si>
  <si>
    <t>Reduced Step 7 Pot</t>
  </si>
  <si>
    <t>2010-11 Man Allowance</t>
  </si>
  <si>
    <t>Man Allowance after TP</t>
  </si>
  <si>
    <t>Step 8 (Energy Performance) Pot</t>
  </si>
  <si>
    <t>2011-12 Man Allowance</t>
  </si>
  <si>
    <t>2011-12 Man Allowance pd</t>
  </si>
  <si>
    <t>F002MM</t>
  </si>
  <si>
    <t>F004MM</t>
  </si>
  <si>
    <t>F005MM</t>
  </si>
  <si>
    <t>F006MM</t>
  </si>
  <si>
    <t>F007MM</t>
  </si>
  <si>
    <t>F008MM</t>
  </si>
  <si>
    <t>F009MM</t>
  </si>
  <si>
    <t>F010MM</t>
  </si>
  <si>
    <t>FO11MM</t>
  </si>
  <si>
    <t>FO12MM</t>
  </si>
  <si>
    <t>FO13MM</t>
  </si>
  <si>
    <t>FO14MM</t>
  </si>
  <si>
    <t>F015MM</t>
  </si>
  <si>
    <t>Crime/Flats Factor</t>
  </si>
  <si>
    <t>Weighted Average</t>
  </si>
  <si>
    <t>Criminal Damage</t>
  </si>
  <si>
    <t>Burglary</t>
  </si>
  <si>
    <t>Not MR or HR flats</t>
  </si>
  <si>
    <t>MR+HR flats</t>
  </si>
  <si>
    <t>Step 1 Adjusted Response Repairs Pot</t>
  </si>
  <si>
    <t>Step 2 Planned Works Pot</t>
  </si>
  <si>
    <t>Basic Works Pot</t>
  </si>
  <si>
    <t>Step 3 Relets / Terminations Pot</t>
  </si>
  <si>
    <t>Voids %</t>
  </si>
  <si>
    <t>Step 4 Voids Pot</t>
  </si>
  <si>
    <t>BCIS</t>
  </si>
  <si>
    <t>2010-11 Maint Allowance</t>
  </si>
  <si>
    <t>Maint Allowance after TP</t>
  </si>
  <si>
    <t>2011-12 Maint Allowance pd</t>
  </si>
  <si>
    <t>Total</t>
  </si>
  <si>
    <t>f017mm</t>
  </si>
  <si>
    <t>f018mm</t>
  </si>
  <si>
    <t>f019mm</t>
  </si>
  <si>
    <t>f020mm</t>
  </si>
  <si>
    <t>f021mm</t>
  </si>
  <si>
    <t>f022mm</t>
  </si>
  <si>
    <t>f023mm</t>
  </si>
  <si>
    <t>f024mm</t>
  </si>
  <si>
    <t>f025mm</t>
  </si>
  <si>
    <t>f026mm</t>
  </si>
  <si>
    <t>f027mm</t>
  </si>
  <si>
    <t>f028mm</t>
  </si>
  <si>
    <t>f029mm</t>
  </si>
  <si>
    <t>f030mm</t>
  </si>
  <si>
    <t>f031mm</t>
  </si>
  <si>
    <t>Final Regional Cost Factor</t>
  </si>
  <si>
    <t>BCIS Factor</t>
  </si>
  <si>
    <t>Major Repairs Allowance 2011-12</t>
  </si>
  <si>
    <t>Major Repairs Allowance 2011-12 per dwelling</t>
  </si>
  <si>
    <t>Bedroom Factor</t>
  </si>
  <si>
    <t>LA's County Average Manual Earnings 97-99</t>
  </si>
  <si>
    <t>Local Average LA property value Jan 99</t>
  </si>
  <si>
    <t>Formula Rent 2000-01</t>
  </si>
  <si>
    <t>Formula Rent 2001-02</t>
  </si>
  <si>
    <t>Formula Rent 2002-03</t>
  </si>
  <si>
    <t>Formula Rent 2003-04</t>
  </si>
  <si>
    <t>Formula Rent 2004-05</t>
  </si>
  <si>
    <t>Formula Rent 2005-06</t>
  </si>
  <si>
    <t>Formula Rent 2006-07</t>
  </si>
  <si>
    <t>Formula Rent 2007-08</t>
  </si>
  <si>
    <t>Formula Rent 2008-09</t>
  </si>
  <si>
    <t>Formula Rent 2009-10</t>
  </si>
  <si>
    <t>Formula Rent 2010-11</t>
  </si>
  <si>
    <t>Formula Rent 2011-12</t>
  </si>
  <si>
    <t>Guideline Rent pd 2001-02 Zeroed</t>
  </si>
  <si>
    <t>Guideline Rent pd 2002-03</t>
  </si>
  <si>
    <t>Guideline Rent pd 2003-04</t>
  </si>
  <si>
    <t>Guideline Rent pd 2004-05</t>
  </si>
  <si>
    <t>Guideline Rent pd 2005-06</t>
  </si>
  <si>
    <t>Guideline Rent pd 2006-07</t>
  </si>
  <si>
    <t>Guideline Rent pd 2007-08</t>
  </si>
  <si>
    <t>Guideline Rent pd 2008-09</t>
  </si>
  <si>
    <t>Guideline Rent pd 2009-10</t>
  </si>
  <si>
    <t>Guideline Rent pd 2010-11</t>
  </si>
  <si>
    <t>Guideline Rent pd 2011-12</t>
  </si>
  <si>
    <t>Caps and Limits adjustment</t>
  </si>
  <si>
    <t>Guideline Rent 2011-12 after Caps and Limits Adjustment</t>
  </si>
  <si>
    <t>Guideline Rent 2011-12 pd per annum</t>
  </si>
  <si>
    <t>Limit Rent  pd 2001-02 Zeroed</t>
  </si>
  <si>
    <t>Limit Rent  pd 2002-03</t>
  </si>
  <si>
    <t>Limit Rent  pd 2003-04</t>
  </si>
  <si>
    <t>Limit Rent  pd 2004-05</t>
  </si>
  <si>
    <t>Limit Rent  pd 2005-06</t>
  </si>
  <si>
    <t>Limit Rent  pd 2006-07</t>
  </si>
  <si>
    <t>Limit Rent  pd 2007-08</t>
  </si>
  <si>
    <t>Limit Rent  pd 2008-09</t>
  </si>
  <si>
    <t>Limit Rent  pd 2009-10</t>
  </si>
  <si>
    <t>Limit Rent  pd 2010-11</t>
  </si>
  <si>
    <t>Limit Rent  pd 2011-12</t>
  </si>
  <si>
    <t>SCFR 2010-11</t>
  </si>
  <si>
    <t>SCE R 2010-11</t>
  </si>
  <si>
    <t>SCE R 2011-12</t>
  </si>
  <si>
    <t>Value of land, houses or other property newly accounted for in HRA in 2009-2010, eg by appropriation F002cc</t>
  </si>
  <si>
    <t>ALMO SCE 2010-11</t>
  </si>
  <si>
    <t>ALMO SCE 2011-12</t>
  </si>
  <si>
    <t>Non-poolable reserved part of HRA capital receipts arising from disposals in 2009-2010 F001cc</t>
  </si>
  <si>
    <t>Equivalent reserved part of certified value of property which ceased to be accounted for in HRA in 2008-2009 (other than by disposal) F003cc</t>
  </si>
  <si>
    <t>ALMO Round 1&amp;2 Capital Sum (2011-12 only)</t>
  </si>
  <si>
    <t>SCFR 2011-12</t>
  </si>
  <si>
    <t>Subsidy capital financing requirement 2011-12 the equivalent positive amount if negative, otherwise zero</t>
  </si>
  <si>
    <t>Interest on capital receipts</t>
  </si>
  <si>
    <t>Estimated principal outstanding at 1 April 2011 on any loan made to enable the borrower to acquire a HRA dwelling F004cc</t>
  </si>
  <si>
    <t>Average rate of interest on 1 August 2010 on the loans covered in Line 4 F005cc</t>
  </si>
  <si>
    <t>Mortgage interest receipts</t>
  </si>
  <si>
    <t>Interest on receipts</t>
  </si>
  <si>
    <r>
      <t xml:space="preserve">Under this scenario guideline rent for </t>
    </r>
    <r>
      <rPr>
        <u val="single"/>
        <sz val="12"/>
        <rFont val="Arial"/>
        <family val="2"/>
      </rPr>
      <t>2009/10</t>
    </r>
    <r>
      <rPr>
        <sz val="12"/>
        <rFont val="Arial"/>
        <family val="0"/>
      </rPr>
      <t xml:space="preserve"> (only) is calculated as</t>
    </r>
  </si>
  <si>
    <t>Adur</t>
  </si>
  <si>
    <t>Arun</t>
  </si>
  <si>
    <t>Ashfield</t>
  </si>
  <si>
    <t>Ashford</t>
  </si>
  <si>
    <t>Babergh</t>
  </si>
  <si>
    <t>Barking</t>
  </si>
  <si>
    <t>Barnet</t>
  </si>
  <si>
    <t>Barnsley</t>
  </si>
  <si>
    <t>Barrow</t>
  </si>
  <si>
    <t>Basildon</t>
  </si>
  <si>
    <t>Bassetlaw</t>
  </si>
  <si>
    <t>Birmingham</t>
  </si>
  <si>
    <t>Blaby</t>
  </si>
  <si>
    <t>Blackpool</t>
  </si>
  <si>
    <t>Bolsover</t>
  </si>
  <si>
    <t>Bolton</t>
  </si>
  <si>
    <t>Bournemouth</t>
  </si>
  <si>
    <t>Braintree</t>
  </si>
  <si>
    <t>Brent</t>
  </si>
  <si>
    <t>Brentwood</t>
  </si>
  <si>
    <t>Brighton &amp; Hove</t>
  </si>
  <si>
    <t>Bristol</t>
  </si>
  <si>
    <t>Broxtowe</t>
  </si>
  <si>
    <t>Bury</t>
  </si>
  <si>
    <t>Cambridge</t>
  </si>
  <si>
    <t>Camden</t>
  </si>
  <si>
    <t>Cannock Chase</t>
  </si>
  <si>
    <t>Canterbury</t>
  </si>
  <si>
    <t>Castle Point</t>
  </si>
  <si>
    <t>Central Beds UA</t>
  </si>
  <si>
    <t>Charnwood</t>
  </si>
  <si>
    <t>Cheltenham</t>
  </si>
  <si>
    <t>Cheshir West UA</t>
  </si>
  <si>
    <t>Chesterfield</t>
  </si>
  <si>
    <t>City of York</t>
  </si>
  <si>
    <t>Colchester</t>
  </si>
  <si>
    <t>Corby</t>
  </si>
  <si>
    <t>Cornwall UA</t>
  </si>
  <si>
    <t>Crawley</t>
  </si>
  <si>
    <t>Croydon</t>
  </si>
  <si>
    <t>Dacorum</t>
  </si>
  <si>
    <t>Darlington</t>
  </si>
  <si>
    <t>Dartford</t>
  </si>
  <si>
    <t>Derby</t>
  </si>
  <si>
    <t>Doncaster</t>
  </si>
  <si>
    <t>Dover</t>
  </si>
  <si>
    <t>Dudley</t>
  </si>
  <si>
    <t>Durham UA</t>
  </si>
  <si>
    <t>Ealing</t>
  </si>
  <si>
    <t>East Devon</t>
  </si>
  <si>
    <t>East Riding</t>
  </si>
  <si>
    <t>Eastbourne</t>
  </si>
  <si>
    <t>Enfield</t>
  </si>
  <si>
    <t>Epping Forest</t>
  </si>
  <si>
    <t>Exeter</t>
  </si>
  <si>
    <t>Fareham</t>
  </si>
  <si>
    <t>Gateshead</t>
  </si>
  <si>
    <t>Gedling</t>
  </si>
  <si>
    <t>Gloucester</t>
  </si>
  <si>
    <t>Gosport</t>
  </si>
  <si>
    <t>Gravesham</t>
  </si>
  <si>
    <t>Great Yarmouth</t>
  </si>
  <si>
    <t>Greenwich</t>
  </si>
  <si>
    <t>Guildford</t>
  </si>
  <si>
    <t>Hackney</t>
  </si>
  <si>
    <t>Hammersmith</t>
  </si>
  <si>
    <t>Haringey</t>
  </si>
  <si>
    <t>Harlow</t>
  </si>
  <si>
    <t>Harrogate</t>
  </si>
  <si>
    <t>Harrow</t>
  </si>
  <si>
    <t>Havering</t>
  </si>
  <si>
    <t>High Peak</t>
  </si>
  <si>
    <t>Hillingdon</t>
  </si>
  <si>
    <t>Hinckley</t>
  </si>
  <si>
    <t>Hounslow</t>
  </si>
  <si>
    <t>Ipswich</t>
  </si>
  <si>
    <t>Isles of Scilly</t>
  </si>
  <si>
    <t>Islington</t>
  </si>
  <si>
    <t>Kensington</t>
  </si>
  <si>
    <t>Kettering</t>
  </si>
  <si>
    <t>Kingston U Hull</t>
  </si>
  <si>
    <t>Kingston u Tham</t>
  </si>
  <si>
    <t>Kirklees</t>
  </si>
  <si>
    <t>Lambeth</t>
  </si>
  <si>
    <t>Lancaster</t>
  </si>
  <si>
    <t>Leeds</t>
  </si>
  <si>
    <t>Leicester</t>
  </si>
  <si>
    <t>Lewes</t>
  </si>
  <si>
    <t>Lewisham</t>
  </si>
  <si>
    <t>Lincoln</t>
  </si>
  <si>
    <t>Luton</t>
  </si>
  <si>
    <t>Manchester</t>
  </si>
  <si>
    <t>Mansfield</t>
  </si>
  <si>
    <t>Medway Towns</t>
  </si>
  <si>
    <t>Melton</t>
  </si>
  <si>
    <t>Merton</t>
  </si>
  <si>
    <t>Mid Devon</t>
  </si>
  <si>
    <t>Mid Suffolk</t>
  </si>
  <si>
    <t>Milton Keynes</t>
  </si>
  <si>
    <t>NE Derbyshire</t>
  </si>
  <si>
    <t>New Forest</t>
  </si>
  <si>
    <t>Newark</t>
  </si>
  <si>
    <t>Newcastle u Tyn</t>
  </si>
  <si>
    <t>Newham</t>
  </si>
  <si>
    <t>North Kesteven</t>
  </si>
  <si>
    <t>North Tyneside</t>
  </si>
  <si>
    <t>North Warwick</t>
  </si>
  <si>
    <t>Northampton</t>
  </si>
  <si>
    <t>Northumbrlnd UA</t>
  </si>
  <si>
    <t>Norwich</t>
  </si>
  <si>
    <t>Nottingham</t>
  </si>
  <si>
    <t>Nuneaton</t>
  </si>
  <si>
    <t>NW Leicester</t>
  </si>
  <si>
    <t>Oadby &amp; Wigston</t>
  </si>
  <si>
    <t>Oldham</t>
  </si>
  <si>
    <t>Oxford City</t>
  </si>
  <si>
    <t>Plymouth</t>
  </si>
  <si>
    <t>Poole</t>
  </si>
  <si>
    <t>Portsmouth</t>
  </si>
  <si>
    <t>Reading</t>
  </si>
  <si>
    <t>Redbridge</t>
  </si>
  <si>
    <t>Redditch</t>
  </si>
  <si>
    <t>Richmondshire</t>
  </si>
  <si>
    <t>Rochdale</t>
  </si>
  <si>
    <t>Rotherham</t>
  </si>
  <si>
    <t>Rugby</t>
  </si>
  <si>
    <t>Runnymede</t>
  </si>
  <si>
    <t>Rutland</t>
  </si>
  <si>
    <t>Salford</t>
  </si>
  <si>
    <t>Sandwell</t>
  </si>
  <si>
    <t>Sedgemoor</t>
  </si>
  <si>
    <t>Selby</t>
  </si>
  <si>
    <t>Sheffield</t>
  </si>
  <si>
    <t>Shepway</t>
  </si>
  <si>
    <t>Shropshire UA</t>
  </si>
  <si>
    <t>Slough</t>
  </si>
  <si>
    <t>Solihull</t>
  </si>
  <si>
    <t>South Cambridge</t>
  </si>
  <si>
    <t>South Derby</t>
  </si>
  <si>
    <t>South Holland</t>
  </si>
  <si>
    <t>South Kesteven</t>
  </si>
  <si>
    <t>South Lakeland</t>
  </si>
  <si>
    <t>South Norfolk</t>
  </si>
  <si>
    <t>South Tyneside</t>
  </si>
  <si>
    <t>Southampton</t>
  </si>
  <si>
    <t>Southend-on-Sea</t>
  </si>
  <si>
    <t>Southwark</t>
  </si>
  <si>
    <t>St Albans</t>
  </si>
  <si>
    <t>Stevenage</t>
  </si>
  <si>
    <t>Stockport</t>
  </si>
  <si>
    <t>Stockton</t>
  </si>
  <si>
    <t>Stoke-on-Trent</t>
  </si>
  <si>
    <t>Stroud</t>
  </si>
  <si>
    <t>Sutton</t>
  </si>
  <si>
    <t>Swindon</t>
  </si>
  <si>
    <t>Tamworth</t>
  </si>
  <si>
    <t>Tandridge</t>
  </si>
  <si>
    <t>Taunton Deane</t>
  </si>
  <si>
    <t>Tendring</t>
  </si>
  <si>
    <t>Thanet</t>
  </si>
  <si>
    <t>Thurrock</t>
  </si>
  <si>
    <t>Tower Hamlets</t>
  </si>
  <si>
    <t>Uttlesford</t>
  </si>
  <si>
    <t>Waltham Forest</t>
  </si>
  <si>
    <t>Wandsworth</t>
  </si>
  <si>
    <t>Warrington</t>
  </si>
  <si>
    <t>Warwick</t>
  </si>
  <si>
    <t>Waveney</t>
  </si>
  <si>
    <t>Waverley</t>
  </si>
  <si>
    <t>Wealden</t>
  </si>
  <si>
    <t>Welwyn Hatfield</t>
  </si>
  <si>
    <t>West Lancashire</t>
  </si>
  <si>
    <t>Westminster</t>
  </si>
  <si>
    <t>Wigan</t>
  </si>
  <si>
    <t>Wiltshire UA</t>
  </si>
  <si>
    <t>Winchester</t>
  </si>
  <si>
    <t>Woking</t>
  </si>
  <si>
    <t>Wokingham</t>
  </si>
  <si>
    <t>Wolverhampton</t>
  </si>
  <si>
    <t>Wycombe</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</si>
</sst>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0.00000000"/>
    <numFmt numFmtId="168" formatCode="0.0000000"/>
    <numFmt numFmtId="169" formatCode="0.000000"/>
    <numFmt numFmtId="170" formatCode="0.00000"/>
    <numFmt numFmtId="171" formatCode="0.0000"/>
    <numFmt numFmtId="172" formatCode="0.000"/>
    <numFmt numFmtId="173" formatCode="&quot;£&quot;#,##0.00"/>
    <numFmt numFmtId="174" formatCode="#,##0.00_ ;\-#,##0.00\ "/>
    <numFmt numFmtId="175" formatCode="#,##0.000"/>
    <numFmt numFmtId="176" formatCode="#,##0_ ;\-#,##0\ "/>
    <numFmt numFmtId="177" formatCode="#,##0.0_ ;\-#,##0.0\ "/>
    <numFmt numFmtId="178" formatCode="&quot;£&quot;#,##0.0"/>
    <numFmt numFmtId="179" formatCode="0.0%"/>
    <numFmt numFmtId="180" formatCode="_-* #,##0.0_-;\-* #,##0.0_-;_-* &quot;-&quot;??_-;_-@_-"/>
    <numFmt numFmtId="181" formatCode="_-* #,##0_-;\-* #,##0_-;_-* &quot;-&quot;??_-;_-@_-"/>
    <numFmt numFmtId="182" formatCode="#,##0.0000_ ;\-#,##0.0000\ "/>
    <numFmt numFmtId="183" formatCode="_-&quot;£&quot;* #,##0_-;\-&quot;£&quot;* #,##0_-;_-&quot;£&quot;* &quot;-&quot;??_-;_-@_-"/>
    <numFmt numFmtId="184" formatCode="#,##0.0000"/>
    <numFmt numFmtId="185" formatCode="0.00000000000000%"/>
    <numFmt numFmtId="186" formatCode="0.0000000000000%"/>
    <numFmt numFmtId="187" formatCode="0.000000000000%"/>
    <numFmt numFmtId="188" formatCode="0.00000000000%"/>
    <numFmt numFmtId="189" formatCode="0.0000000000%"/>
    <numFmt numFmtId="190" formatCode="0.000000000%"/>
    <numFmt numFmtId="191" formatCode="0.00000000%"/>
    <numFmt numFmtId="192" formatCode="0.0000000%"/>
    <numFmt numFmtId="193" formatCode="0.000000%"/>
    <numFmt numFmtId="194" formatCode="0.00000%"/>
    <numFmt numFmtId="195" formatCode="0.0000%"/>
    <numFmt numFmtId="196" formatCode="0.000%"/>
    <numFmt numFmtId="197" formatCode="#,##0.0"/>
    <numFmt numFmtId="198" formatCode="&quot;£&quot;#,##0.000"/>
    <numFmt numFmtId="199" formatCode="_-* #,##0.000_-;\-* #,##0.000_-;_-* &quot;-&quot;??_-;_-@_-"/>
    <numFmt numFmtId="200" formatCode="_-* #,##0.0000_-;\-* #,##0.0000_-;_-* &quot;-&quot;??_-;_-@_-"/>
    <numFmt numFmtId="201" formatCode="_-* #,##0.00000_-;\-* #,##0.00000_-;_-* &quot;-&quot;??_-;_-@_-"/>
    <numFmt numFmtId="202" formatCode="_-* #,##0.000_-;\-* #,##0.000_-;_-* &quot;-&quot;???_-;_-@_-"/>
    <numFmt numFmtId="203" formatCode="&quot;Yes&quot;;&quot;Yes&quot;;&quot;No&quot;"/>
    <numFmt numFmtId="204" formatCode="&quot;True&quot;;&quot;True&quot;;&quot;False&quot;"/>
    <numFmt numFmtId="205" formatCode="&quot;On&quot;;&quot;On&quot;;&quot;Off&quot;"/>
    <numFmt numFmtId="206" formatCode="[$€-2]\ #,##0.00_);[Red]\([$€-2]\ #,##0.00\)"/>
    <numFmt numFmtId="207" formatCode="&quot;£&quot;#,##0.0000"/>
    <numFmt numFmtId="208" formatCode="&quot;£&quot;#,##0.00000"/>
    <numFmt numFmtId="209" formatCode="&quot;£&quot;#,##0.000000"/>
    <numFmt numFmtId="210" formatCode="&quot;£&quot;#,##0.0000000000000"/>
    <numFmt numFmtId="211" formatCode="0.000000000000000%"/>
    <numFmt numFmtId="212" formatCode="_-* #,##0.0_-;\-* #,##0.0_-;_-* &quot;-&quot;?_-;_-@_-"/>
    <numFmt numFmtId="213" formatCode="mmm\-yyyy"/>
  </numFmts>
  <fonts count="23">
    <font>
      <sz val="10"/>
      <name val="Arial"/>
      <family val="0"/>
    </font>
    <font>
      <sz val="8"/>
      <name val="Arial"/>
      <family val="0"/>
    </font>
    <font>
      <u val="single"/>
      <sz val="10"/>
      <color indexed="36"/>
      <name val="Arial"/>
      <family val="0"/>
    </font>
    <font>
      <u val="single"/>
      <sz val="10"/>
      <color indexed="12"/>
      <name val="Arial"/>
      <family val="0"/>
    </font>
    <font>
      <b/>
      <sz val="12"/>
      <name val="Arial"/>
      <family val="2"/>
    </font>
    <font>
      <b/>
      <sz val="28"/>
      <name val="Arial"/>
      <family val="2"/>
    </font>
    <font>
      <b/>
      <sz val="14"/>
      <name val="Arial"/>
      <family val="2"/>
    </font>
    <font>
      <b/>
      <sz val="10"/>
      <name val="Arial"/>
      <family val="2"/>
    </font>
    <font>
      <sz val="12"/>
      <name val="Arial"/>
      <family val="2"/>
    </font>
    <font>
      <b/>
      <u val="single"/>
      <sz val="12"/>
      <name val="Arial"/>
      <family val="2"/>
    </font>
    <font>
      <sz val="14"/>
      <name val="Arial"/>
      <family val="2"/>
    </font>
    <font>
      <i/>
      <sz val="12"/>
      <name val="Arial"/>
      <family val="2"/>
    </font>
    <font>
      <sz val="11"/>
      <name val="Arial"/>
      <family val="0"/>
    </font>
    <font>
      <sz val="10"/>
      <color indexed="41"/>
      <name val="Arial"/>
      <family val="0"/>
    </font>
    <font>
      <b/>
      <sz val="11"/>
      <name val="Arial"/>
      <family val="2"/>
    </font>
    <font>
      <sz val="12"/>
      <color indexed="23"/>
      <name val="Arial"/>
      <family val="0"/>
    </font>
    <font>
      <u val="single"/>
      <sz val="12"/>
      <name val="Arial"/>
      <family val="2"/>
    </font>
    <font>
      <b/>
      <sz val="12"/>
      <color indexed="10"/>
      <name val="Arial"/>
      <family val="2"/>
    </font>
    <font>
      <sz val="12"/>
      <color indexed="10"/>
      <name val="Arial"/>
      <family val="2"/>
    </font>
    <font>
      <b/>
      <sz val="8"/>
      <name val="Arial"/>
      <family val="2"/>
    </font>
    <font>
      <b/>
      <sz val="7"/>
      <name val="Arial"/>
      <family val="2"/>
    </font>
    <font>
      <b/>
      <sz val="8"/>
      <name val="Tahoma"/>
      <family val="0"/>
    </font>
    <font>
      <sz val="8"/>
      <name val="Tahoma"/>
      <family val="0"/>
    </font>
  </fonts>
  <fills count="9">
    <fill>
      <patternFill/>
    </fill>
    <fill>
      <patternFill patternType="gray125"/>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51"/>
        <bgColor indexed="64"/>
      </patternFill>
    </fill>
    <fill>
      <patternFill patternType="solid">
        <fgColor indexed="42"/>
        <bgColor indexed="64"/>
      </patternFill>
    </fill>
    <fill>
      <patternFill patternType="solid">
        <fgColor indexed="15"/>
        <bgColor indexed="64"/>
      </patternFill>
    </fill>
    <fill>
      <patternFill patternType="solid">
        <fgColor indexed="40"/>
        <bgColor indexed="64"/>
      </patternFill>
    </fill>
  </fills>
  <borders count="4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medium"/>
      <top>
        <color indexed="63"/>
      </top>
      <bottom>
        <color indexed="63"/>
      </bottom>
    </border>
    <border>
      <left style="medium"/>
      <right style="thin"/>
      <top>
        <color indexed="63"/>
      </top>
      <bottom>
        <color indexed="63"/>
      </bottom>
    </border>
    <border>
      <left style="medium"/>
      <right style="medium"/>
      <top>
        <color indexed="63"/>
      </top>
      <bottom style="medium"/>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color indexed="63"/>
      </left>
      <right>
        <color indexed="63"/>
      </right>
      <top style="medium"/>
      <bottom style="medium"/>
    </border>
    <border>
      <left style="thin"/>
      <right style="medium"/>
      <top style="medium"/>
      <bottom style="medium"/>
    </border>
    <border>
      <left>
        <color indexed="63"/>
      </left>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style="medium"/>
      <right style="medium"/>
      <top style="medium"/>
      <bottom style="thin"/>
    </border>
    <border>
      <left style="medium"/>
      <right style="thin"/>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14">
    <xf numFmtId="0" fontId="0" fillId="0" borderId="0" xfId="0" applyAlignment="1">
      <alignment/>
    </xf>
    <xf numFmtId="0" fontId="0" fillId="2" borderId="0" xfId="0" applyFill="1" applyAlignment="1">
      <alignment/>
    </xf>
    <xf numFmtId="0" fontId="4" fillId="3" borderId="1" xfId="0" applyFont="1" applyFill="1" applyBorder="1" applyAlignment="1">
      <alignment/>
    </xf>
    <xf numFmtId="0" fontId="4" fillId="3" borderId="2" xfId="0" applyFont="1" applyFill="1" applyBorder="1" applyAlignment="1">
      <alignment/>
    </xf>
    <xf numFmtId="0" fontId="4" fillId="3" borderId="3" xfId="0" applyFont="1" applyFill="1" applyBorder="1" applyAlignment="1">
      <alignment/>
    </xf>
    <xf numFmtId="0" fontId="4" fillId="3" borderId="4" xfId="0" applyFont="1" applyFill="1" applyBorder="1" applyAlignment="1">
      <alignment/>
    </xf>
    <xf numFmtId="0" fontId="4" fillId="3" borderId="0" xfId="0" applyFont="1" applyFill="1" applyBorder="1" applyAlignment="1">
      <alignment/>
    </xf>
    <xf numFmtId="0" fontId="4" fillId="3" borderId="5" xfId="0" applyFont="1"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8" xfId="0" applyFont="1" applyFill="1" applyBorder="1" applyAlignment="1">
      <alignment/>
    </xf>
    <xf numFmtId="0" fontId="6" fillId="4" borderId="1" xfId="0" applyFont="1" applyFill="1" applyBorder="1" applyAlignment="1">
      <alignment horizontal="left" vertical="center"/>
    </xf>
    <xf numFmtId="0" fontId="0" fillId="4" borderId="2" xfId="0" applyFill="1" applyBorder="1" applyAlignment="1">
      <alignment/>
    </xf>
    <xf numFmtId="1" fontId="0" fillId="4" borderId="2" xfId="0" applyNumberFormat="1" applyFill="1" applyBorder="1" applyAlignment="1">
      <alignment/>
    </xf>
    <xf numFmtId="0" fontId="0" fillId="4" borderId="2" xfId="0" applyFill="1" applyBorder="1" applyAlignment="1">
      <alignment horizontal="center"/>
    </xf>
    <xf numFmtId="0" fontId="0" fillId="4" borderId="3" xfId="0" applyFill="1" applyBorder="1" applyAlignment="1">
      <alignment/>
    </xf>
    <xf numFmtId="0" fontId="6" fillId="4" borderId="4" xfId="0" applyFont="1" applyFill="1" applyBorder="1" applyAlignment="1">
      <alignment horizontal="left" vertical="center"/>
    </xf>
    <xf numFmtId="0" fontId="0" fillId="4" borderId="0" xfId="0" applyFill="1" applyBorder="1" applyAlignment="1">
      <alignment/>
    </xf>
    <xf numFmtId="1" fontId="0" fillId="4" borderId="0" xfId="0" applyNumberFormat="1" applyFill="1" applyBorder="1" applyAlignment="1">
      <alignment/>
    </xf>
    <xf numFmtId="0" fontId="0" fillId="4" borderId="0" xfId="0" applyFill="1" applyBorder="1" applyAlignment="1">
      <alignment horizontal="center"/>
    </xf>
    <xf numFmtId="0" fontId="0" fillId="4" borderId="5" xfId="0" applyFill="1" applyBorder="1" applyAlignment="1">
      <alignment/>
    </xf>
    <xf numFmtId="0" fontId="8" fillId="4" borderId="4" xfId="0" applyFont="1" applyFill="1" applyBorder="1" applyAlignment="1">
      <alignment horizontal="left" vertical="center"/>
    </xf>
    <xf numFmtId="0" fontId="8" fillId="4" borderId="0" xfId="0" applyFont="1" applyFill="1" applyBorder="1" applyAlignment="1">
      <alignment/>
    </xf>
    <xf numFmtId="1" fontId="8" fillId="4" borderId="0" xfId="0" applyNumberFormat="1" applyFont="1" applyFill="1" applyBorder="1" applyAlignment="1">
      <alignment/>
    </xf>
    <xf numFmtId="0" fontId="8" fillId="4" borderId="0" xfId="0" applyFont="1" applyFill="1" applyBorder="1" applyAlignment="1">
      <alignment horizontal="center"/>
    </xf>
    <xf numFmtId="0" fontId="8" fillId="4" borderId="5" xfId="0" applyFont="1" applyFill="1" applyBorder="1" applyAlignment="1">
      <alignment/>
    </xf>
    <xf numFmtId="0" fontId="0" fillId="2" borderId="0" xfId="0" applyFill="1" applyBorder="1" applyAlignment="1">
      <alignment/>
    </xf>
    <xf numFmtId="0" fontId="9" fillId="4" borderId="4" xfId="0" applyFont="1" applyFill="1" applyBorder="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xf>
    <xf numFmtId="1" fontId="8" fillId="4" borderId="7" xfId="0" applyNumberFormat="1" applyFont="1" applyFill="1" applyBorder="1" applyAlignment="1">
      <alignment/>
    </xf>
    <xf numFmtId="0" fontId="8" fillId="4" borderId="7" xfId="0" applyFont="1" applyFill="1" applyBorder="1" applyAlignment="1">
      <alignment horizontal="center"/>
    </xf>
    <xf numFmtId="0" fontId="8" fillId="4" borderId="8" xfId="0" applyFont="1" applyFill="1" applyBorder="1" applyAlignment="1">
      <alignment/>
    </xf>
    <xf numFmtId="0" fontId="6" fillId="3" borderId="1" xfId="0" applyFont="1" applyFill="1" applyBorder="1" applyAlignment="1">
      <alignment/>
    </xf>
    <xf numFmtId="0" fontId="6" fillId="3" borderId="2" xfId="0" applyFont="1" applyFill="1" applyBorder="1" applyAlignment="1">
      <alignment/>
    </xf>
    <xf numFmtId="0" fontId="6" fillId="3" borderId="3" xfId="0" applyFont="1" applyFill="1" applyBorder="1" applyAlignment="1">
      <alignment/>
    </xf>
    <xf numFmtId="0" fontId="6" fillId="3" borderId="4" xfId="0" applyFont="1" applyFill="1" applyBorder="1" applyAlignment="1">
      <alignment/>
    </xf>
    <xf numFmtId="0" fontId="6" fillId="3" borderId="0" xfId="0" applyFont="1" applyFill="1" applyBorder="1" applyAlignment="1">
      <alignment/>
    </xf>
    <xf numFmtId="0" fontId="6" fillId="3" borderId="5" xfId="0" applyFont="1" applyFill="1" applyBorder="1" applyAlignment="1">
      <alignment/>
    </xf>
    <xf numFmtId="0" fontId="6" fillId="3" borderId="6" xfId="0" applyFont="1" applyFill="1" applyBorder="1" applyAlignment="1">
      <alignment/>
    </xf>
    <xf numFmtId="0" fontId="6" fillId="3" borderId="7" xfId="0" applyFont="1" applyFill="1" applyBorder="1" applyAlignment="1">
      <alignment/>
    </xf>
    <xf numFmtId="0" fontId="6" fillId="3" borderId="8" xfId="0" applyFont="1" applyFill="1" applyBorder="1" applyAlignment="1">
      <alignment/>
    </xf>
    <xf numFmtId="0" fontId="4"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5" borderId="9" xfId="0" applyFont="1" applyFill="1" applyBorder="1" applyAlignment="1">
      <alignment horizontal="center" vertical="center"/>
    </xf>
    <xf numFmtId="0" fontId="0" fillId="3" borderId="11" xfId="0" applyFill="1" applyBorder="1" applyAlignment="1">
      <alignment horizontal="center"/>
    </xf>
    <xf numFmtId="0" fontId="0" fillId="4" borderId="4" xfId="0" applyFill="1" applyBorder="1" applyAlignment="1">
      <alignment horizontal="center"/>
    </xf>
    <xf numFmtId="1" fontId="0" fillId="4" borderId="12" xfId="0" applyNumberFormat="1" applyFill="1" applyBorder="1" applyAlignment="1">
      <alignment horizontal="left"/>
    </xf>
    <xf numFmtId="0" fontId="0" fillId="4" borderId="11" xfId="0" applyNumberFormat="1" applyFill="1" applyBorder="1" applyAlignment="1">
      <alignment horizontal="center"/>
    </xf>
    <xf numFmtId="0" fontId="0" fillId="3" borderId="13" xfId="0" applyFill="1" applyBorder="1" applyAlignment="1">
      <alignment horizontal="center"/>
    </xf>
    <xf numFmtId="1" fontId="0" fillId="4" borderId="14" xfId="0" applyNumberFormat="1" applyFill="1" applyBorder="1" applyAlignment="1">
      <alignment horizontal="left"/>
    </xf>
    <xf numFmtId="0" fontId="0" fillId="4" borderId="13" xfId="0" applyNumberFormat="1" applyFill="1" applyBorder="1" applyAlignment="1">
      <alignment horizontal="center"/>
    </xf>
    <xf numFmtId="164" fontId="0" fillId="4" borderId="13" xfId="0" applyNumberFormat="1" applyFill="1" applyBorder="1" applyAlignment="1">
      <alignment horizontal="center"/>
    </xf>
    <xf numFmtId="0" fontId="0" fillId="4" borderId="4" xfId="0" applyFill="1" applyBorder="1" applyAlignment="1">
      <alignment horizontal="center" vertical="center"/>
    </xf>
    <xf numFmtId="1" fontId="0" fillId="4" borderId="14" xfId="0" applyNumberFormat="1" applyFont="1" applyFill="1" applyBorder="1" applyAlignment="1">
      <alignment horizontal="left"/>
    </xf>
    <xf numFmtId="164" fontId="0" fillId="4" borderId="13" xfId="0" applyNumberFormat="1" applyFill="1" applyBorder="1" applyAlignment="1">
      <alignment horizontal="center" vertical="center"/>
    </xf>
    <xf numFmtId="0" fontId="0" fillId="3" borderId="15" xfId="0" applyFill="1" applyBorder="1" applyAlignment="1">
      <alignment horizontal="center"/>
    </xf>
    <xf numFmtId="0" fontId="0" fillId="4" borderId="6" xfId="0" applyFill="1" applyBorder="1" applyAlignment="1">
      <alignment horizontal="center"/>
    </xf>
    <xf numFmtId="1" fontId="0" fillId="4" borderId="16" xfId="0" applyNumberFormat="1" applyFill="1" applyBorder="1" applyAlignment="1">
      <alignment horizontal="left"/>
    </xf>
    <xf numFmtId="164" fontId="0" fillId="4" borderId="15" xfId="0" applyNumberFormat="1" applyFill="1" applyBorder="1" applyAlignment="1">
      <alignment horizontal="center"/>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6" fillId="4" borderId="1"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0" fillId="4" borderId="2" xfId="0" applyFill="1" applyBorder="1" applyAlignment="1">
      <alignment/>
    </xf>
    <xf numFmtId="0" fontId="0" fillId="4" borderId="3" xfId="0" applyFill="1" applyBorder="1" applyAlignment="1">
      <alignment/>
    </xf>
    <xf numFmtId="0" fontId="4" fillId="4" borderId="4" xfId="0" applyFont="1" applyFill="1" applyBorder="1" applyAlignment="1">
      <alignment horizontal="left" vertical="center"/>
    </xf>
    <xf numFmtId="0" fontId="4" fillId="4" borderId="0" xfId="0" applyFont="1" applyFill="1" applyBorder="1" applyAlignment="1">
      <alignment horizontal="center" vertical="center" wrapText="1"/>
    </xf>
    <xf numFmtId="0" fontId="0" fillId="4" borderId="0" xfId="0" applyFill="1" applyBorder="1" applyAlignment="1">
      <alignment/>
    </xf>
    <xf numFmtId="181" fontId="4" fillId="4" borderId="0" xfId="15" applyNumberFormat="1" applyFont="1" applyFill="1" applyBorder="1" applyAlignment="1">
      <alignment horizontal="center" vertical="center" wrapText="1"/>
    </xf>
    <xf numFmtId="0" fontId="4" fillId="4" borderId="5" xfId="0" applyFont="1" applyFill="1" applyBorder="1" applyAlignment="1">
      <alignment horizontal="center"/>
    </xf>
    <xf numFmtId="0" fontId="4" fillId="4" borderId="6" xfId="0" applyFont="1" applyFill="1" applyBorder="1" applyAlignment="1">
      <alignment/>
    </xf>
    <xf numFmtId="1" fontId="8" fillId="4" borderId="7" xfId="0" applyNumberFormat="1" applyFont="1" applyFill="1" applyBorder="1" applyAlignment="1">
      <alignment horizontal="center"/>
    </xf>
    <xf numFmtId="0" fontId="0" fillId="4" borderId="7" xfId="0" applyFill="1" applyBorder="1" applyAlignment="1">
      <alignment/>
    </xf>
    <xf numFmtId="0" fontId="0" fillId="4" borderId="8" xfId="0" applyFill="1" applyBorder="1" applyAlignment="1">
      <alignment/>
    </xf>
    <xf numFmtId="1" fontId="4" fillId="4" borderId="0" xfId="0" applyNumberFormat="1" applyFont="1" applyFill="1" applyBorder="1" applyAlignment="1">
      <alignment vertical="center" wrapText="1"/>
    </xf>
    <xf numFmtId="1" fontId="8" fillId="4" borderId="0" xfId="0" applyNumberFormat="1" applyFont="1" applyFill="1" applyBorder="1" applyAlignment="1">
      <alignment horizontal="center"/>
    </xf>
    <xf numFmtId="0" fontId="0" fillId="4" borderId="5" xfId="0" applyFill="1" applyBorder="1" applyAlignment="1">
      <alignment/>
    </xf>
    <xf numFmtId="0" fontId="4" fillId="4" borderId="4" xfId="0" applyFont="1" applyFill="1" applyBorder="1" applyAlignment="1">
      <alignment horizontal="left" vertical="center" wrapText="1"/>
    </xf>
    <xf numFmtId="0" fontId="4" fillId="4" borderId="4" xfId="0" applyFont="1" applyFill="1" applyBorder="1" applyAlignment="1">
      <alignment/>
    </xf>
    <xf numFmtId="1" fontId="8" fillId="4" borderId="0" xfId="0" applyNumberFormat="1" applyFont="1" applyFill="1" applyBorder="1" applyAlignment="1">
      <alignment/>
    </xf>
    <xf numFmtId="0" fontId="8" fillId="4" borderId="4" xfId="0" applyFont="1" applyFill="1" applyBorder="1" applyAlignment="1">
      <alignment/>
    </xf>
    <xf numFmtId="1" fontId="8" fillId="4" borderId="0" xfId="0" applyNumberFormat="1" applyFont="1" applyFill="1" applyBorder="1" applyAlignment="1">
      <alignment horizontal="left"/>
    </xf>
    <xf numFmtId="164" fontId="8" fillId="4" borderId="0" xfId="17" applyNumberFormat="1" applyFont="1" applyFill="1" applyBorder="1" applyAlignment="1">
      <alignment/>
    </xf>
    <xf numFmtId="0" fontId="8" fillId="4" borderId="0" xfId="0" applyFont="1" applyFill="1" applyBorder="1" applyAlignment="1">
      <alignment horizontal="center"/>
    </xf>
    <xf numFmtId="164" fontId="8" fillId="4" borderId="0" xfId="0" applyNumberFormat="1" applyFont="1" applyFill="1" applyBorder="1" applyAlignment="1">
      <alignment/>
    </xf>
    <xf numFmtId="0" fontId="4" fillId="6" borderId="17" xfId="0" applyFont="1" applyFill="1" applyBorder="1" applyAlignment="1">
      <alignment/>
    </xf>
    <xf numFmtId="1" fontId="8" fillId="6" borderId="18" xfId="0" applyNumberFormat="1" applyFont="1" applyFill="1" applyBorder="1" applyAlignment="1">
      <alignment horizontal="center"/>
    </xf>
    <xf numFmtId="1" fontId="8" fillId="6" borderId="18" xfId="0" applyNumberFormat="1" applyFont="1" applyFill="1" applyBorder="1" applyAlignment="1">
      <alignment/>
    </xf>
    <xf numFmtId="164" fontId="8" fillId="6" borderId="18" xfId="0" applyNumberFormat="1" applyFont="1" applyFill="1" applyBorder="1" applyAlignment="1">
      <alignment horizontal="center"/>
    </xf>
    <xf numFmtId="164" fontId="4" fillId="6" borderId="19" xfId="0" applyNumberFormat="1" applyFont="1" applyFill="1" applyBorder="1" applyAlignment="1">
      <alignment horizontal="center"/>
    </xf>
    <xf numFmtId="0" fontId="0" fillId="4" borderId="4" xfId="0" applyFill="1" applyBorder="1" applyAlignment="1">
      <alignment/>
    </xf>
    <xf numFmtId="0" fontId="6" fillId="4" borderId="4" xfId="0" applyFont="1" applyFill="1" applyBorder="1" applyAlignment="1">
      <alignment/>
    </xf>
    <xf numFmtId="179" fontId="8" fillId="4" borderId="0" xfId="21" applyNumberFormat="1" applyFont="1" applyFill="1" applyBorder="1" applyAlignment="1">
      <alignment/>
    </xf>
    <xf numFmtId="164" fontId="8" fillId="4" borderId="5" xfId="17" applyNumberFormat="1" applyFont="1" applyFill="1" applyBorder="1" applyAlignment="1">
      <alignment/>
    </xf>
    <xf numFmtId="173" fontId="0" fillId="2" borderId="0" xfId="0" applyNumberFormat="1" applyFill="1" applyAlignment="1">
      <alignment/>
    </xf>
    <xf numFmtId="164" fontId="4" fillId="4" borderId="5" xfId="0" applyNumberFormat="1" applyFont="1" applyFill="1" applyBorder="1" applyAlignment="1">
      <alignment horizontal="center"/>
    </xf>
    <xf numFmtId="0" fontId="11" fillId="4" borderId="4" xfId="0" applyFont="1" applyFill="1" applyBorder="1" applyAlignment="1">
      <alignment/>
    </xf>
    <xf numFmtId="10" fontId="8" fillId="4" borderId="5" xfId="21" applyNumberFormat="1" applyFont="1" applyFill="1" applyBorder="1" applyAlignment="1">
      <alignment/>
    </xf>
    <xf numFmtId="186" fontId="0" fillId="2" borderId="0" xfId="0" applyNumberFormat="1" applyFill="1" applyAlignment="1">
      <alignment/>
    </xf>
    <xf numFmtId="9" fontId="8" fillId="4" borderId="0" xfId="21" applyFont="1" applyFill="1" applyBorder="1" applyAlignment="1">
      <alignment/>
    </xf>
    <xf numFmtId="3" fontId="8" fillId="4" borderId="5" xfId="21" applyNumberFormat="1" applyFont="1" applyFill="1" applyBorder="1" applyAlignment="1">
      <alignment/>
    </xf>
    <xf numFmtId="179" fontId="8" fillId="4" borderId="5" xfId="0" applyNumberFormat="1" applyFont="1" applyFill="1" applyBorder="1" applyAlignment="1">
      <alignment horizontal="center"/>
    </xf>
    <xf numFmtId="1" fontId="8" fillId="4" borderId="5" xfId="0" applyNumberFormat="1" applyFont="1" applyFill="1" applyBorder="1" applyAlignment="1">
      <alignment horizontal="center"/>
    </xf>
    <xf numFmtId="9" fontId="8" fillId="4" borderId="5" xfId="21" applyFont="1" applyFill="1" applyBorder="1" applyAlignment="1">
      <alignment/>
    </xf>
    <xf numFmtId="166" fontId="8" fillId="4" borderId="0" xfId="0" applyNumberFormat="1" applyFont="1" applyFill="1" applyBorder="1" applyAlignment="1">
      <alignment/>
    </xf>
    <xf numFmtId="179" fontId="8" fillId="4" borderId="5" xfId="21" applyNumberFormat="1" applyFont="1" applyFill="1" applyBorder="1" applyAlignment="1">
      <alignment/>
    </xf>
    <xf numFmtId="179" fontId="0" fillId="4" borderId="5" xfId="21" applyNumberFormat="1" applyFill="1" applyBorder="1" applyAlignment="1">
      <alignment/>
    </xf>
    <xf numFmtId="1" fontId="8" fillId="4" borderId="5" xfId="0" applyNumberFormat="1" applyFont="1" applyFill="1" applyBorder="1" applyAlignment="1">
      <alignment horizontal="center"/>
    </xf>
    <xf numFmtId="0" fontId="0" fillId="4" borderId="5" xfId="0" applyFont="1" applyFill="1" applyBorder="1" applyAlignment="1">
      <alignment/>
    </xf>
    <xf numFmtId="164" fontId="8" fillId="4" borderId="5" xfId="0" applyNumberFormat="1" applyFont="1" applyFill="1" applyBorder="1" applyAlignment="1">
      <alignment horizontal="center"/>
    </xf>
    <xf numFmtId="9" fontId="8" fillId="4" borderId="5" xfId="0" applyNumberFormat="1" applyFont="1" applyFill="1" applyBorder="1" applyAlignment="1">
      <alignment horizontal="center"/>
    </xf>
    <xf numFmtId="4" fontId="8" fillId="4" borderId="5" xfId="0" applyNumberFormat="1" applyFont="1" applyFill="1" applyBorder="1" applyAlignment="1">
      <alignment horizontal="center"/>
    </xf>
    <xf numFmtId="211" fontId="0" fillId="2" borderId="0" xfId="0" applyNumberFormat="1" applyFill="1" applyAlignment="1">
      <alignment/>
    </xf>
    <xf numFmtId="3" fontId="8" fillId="4" borderId="5" xfId="0" applyNumberFormat="1" applyFont="1" applyFill="1" applyBorder="1" applyAlignment="1">
      <alignment horizontal="center"/>
    </xf>
    <xf numFmtId="199" fontId="0" fillId="2" borderId="0" xfId="0" applyNumberFormat="1" applyFill="1" applyAlignment="1">
      <alignment/>
    </xf>
    <xf numFmtId="164" fontId="0" fillId="2" borderId="0" xfId="0" applyNumberFormat="1" applyFill="1" applyAlignment="1">
      <alignment/>
    </xf>
    <xf numFmtId="9" fontId="8" fillId="4" borderId="0" xfId="0" applyNumberFormat="1" applyFont="1" applyFill="1" applyBorder="1" applyAlignment="1">
      <alignment/>
    </xf>
    <xf numFmtId="183" fontId="8" fillId="4" borderId="0" xfId="17" applyNumberFormat="1" applyFont="1" applyFill="1" applyBorder="1" applyAlignment="1">
      <alignment/>
    </xf>
    <xf numFmtId="43" fontId="0" fillId="2" borderId="0" xfId="0" applyNumberFormat="1" applyFill="1" applyAlignment="1">
      <alignment/>
    </xf>
    <xf numFmtId="44" fontId="8" fillId="4" borderId="0" xfId="17" applyFont="1" applyFill="1" applyBorder="1" applyAlignment="1">
      <alignment/>
    </xf>
    <xf numFmtId="171" fontId="8" fillId="4" borderId="5" xfId="0" applyNumberFormat="1" applyFont="1" applyFill="1" applyBorder="1" applyAlignment="1">
      <alignment horizontal="center"/>
    </xf>
    <xf numFmtId="172" fontId="8" fillId="4" borderId="0" xfId="0" applyNumberFormat="1" applyFont="1" applyFill="1" applyBorder="1" applyAlignment="1">
      <alignment/>
    </xf>
    <xf numFmtId="172" fontId="0" fillId="4" borderId="0" xfId="0" applyNumberFormat="1" applyFill="1" applyBorder="1" applyAlignment="1">
      <alignment/>
    </xf>
    <xf numFmtId="172" fontId="8" fillId="4" borderId="0" xfId="0" applyNumberFormat="1" applyFont="1" applyFill="1" applyBorder="1" applyAlignment="1">
      <alignment/>
    </xf>
    <xf numFmtId="171" fontId="8" fillId="4" borderId="0" xfId="0" applyNumberFormat="1" applyFont="1" applyFill="1" applyBorder="1" applyAlignment="1">
      <alignment/>
    </xf>
    <xf numFmtId="0" fontId="8" fillId="4" borderId="1" xfId="0" applyFont="1" applyFill="1" applyBorder="1" applyAlignment="1">
      <alignment/>
    </xf>
    <xf numFmtId="1" fontId="8" fillId="4" borderId="2" xfId="0" applyNumberFormat="1" applyFont="1" applyFill="1" applyBorder="1" applyAlignment="1">
      <alignment horizontal="center"/>
    </xf>
    <xf numFmtId="1" fontId="8" fillId="4" borderId="2" xfId="0" applyNumberFormat="1" applyFont="1" applyFill="1" applyBorder="1" applyAlignment="1">
      <alignment/>
    </xf>
    <xf numFmtId="1" fontId="8" fillId="4" borderId="3" xfId="0" applyNumberFormat="1" applyFont="1" applyFill="1" applyBorder="1" applyAlignment="1">
      <alignment horizontal="center"/>
    </xf>
    <xf numFmtId="0" fontId="0" fillId="4" borderId="1" xfId="0" applyFill="1" applyBorder="1" applyAlignment="1">
      <alignment/>
    </xf>
    <xf numFmtId="0" fontId="4" fillId="7" borderId="17" xfId="0" applyFont="1" applyFill="1" applyBorder="1" applyAlignment="1">
      <alignment/>
    </xf>
    <xf numFmtId="1" fontId="8" fillId="7" borderId="18" xfId="0" applyNumberFormat="1" applyFont="1" applyFill="1" applyBorder="1" applyAlignment="1">
      <alignment horizontal="center"/>
    </xf>
    <xf numFmtId="1" fontId="8" fillId="7" borderId="18" xfId="0" applyNumberFormat="1" applyFont="1" applyFill="1" applyBorder="1" applyAlignment="1">
      <alignment/>
    </xf>
    <xf numFmtId="164" fontId="4" fillId="7" borderId="19" xfId="0" applyNumberFormat="1" applyFont="1" applyFill="1" applyBorder="1" applyAlignment="1">
      <alignment horizontal="center"/>
    </xf>
    <xf numFmtId="173" fontId="4" fillId="7" borderId="19" xfId="0" applyNumberFormat="1" applyFont="1" applyFill="1" applyBorder="1" applyAlignment="1">
      <alignment horizontal="center"/>
    </xf>
    <xf numFmtId="0" fontId="8" fillId="4" borderId="6" xfId="0" applyFont="1" applyFill="1" applyBorder="1" applyAlignment="1">
      <alignment/>
    </xf>
    <xf numFmtId="1" fontId="8" fillId="4" borderId="7" xfId="0" applyNumberFormat="1" applyFont="1" applyFill="1" applyBorder="1" applyAlignment="1">
      <alignment/>
    </xf>
    <xf numFmtId="3" fontId="4" fillId="4" borderId="5" xfId="0" applyNumberFormat="1" applyFont="1" applyFill="1" applyBorder="1" applyAlignment="1">
      <alignment horizontal="center"/>
    </xf>
    <xf numFmtId="1" fontId="4" fillId="4" borderId="2" xfId="0" applyNumberFormat="1" applyFont="1" applyFill="1" applyBorder="1" applyAlignment="1">
      <alignment vertical="center" wrapText="1"/>
    </xf>
    <xf numFmtId="1" fontId="12" fillId="4" borderId="0" xfId="0" applyNumberFormat="1" applyFont="1" applyFill="1" applyBorder="1" applyAlignment="1">
      <alignment horizontal="center" wrapText="1"/>
    </xf>
    <xf numFmtId="0" fontId="4" fillId="4" borderId="5" xfId="0" applyFont="1" applyFill="1" applyBorder="1" applyAlignment="1">
      <alignment horizontal="center" wrapText="1"/>
    </xf>
    <xf numFmtId="0" fontId="8" fillId="4" borderId="5" xfId="0" applyFont="1" applyFill="1" applyBorder="1" applyAlignment="1">
      <alignment/>
    </xf>
    <xf numFmtId="0" fontId="13" fillId="2" borderId="0" xfId="0" applyFont="1" applyFill="1" applyAlignment="1" applyProtection="1">
      <alignment/>
      <protection/>
    </xf>
    <xf numFmtId="0" fontId="12" fillId="4" borderId="4" xfId="0" applyFont="1" applyFill="1" applyBorder="1" applyAlignment="1">
      <alignment/>
    </xf>
    <xf numFmtId="164" fontId="8" fillId="4" borderId="0" xfId="0" applyNumberFormat="1" applyFont="1" applyFill="1" applyBorder="1" applyAlignment="1">
      <alignment horizontal="center"/>
    </xf>
    <xf numFmtId="2" fontId="8" fillId="4" borderId="0" xfId="17" applyNumberFormat="1" applyFont="1" applyFill="1" applyBorder="1" applyAlignment="1">
      <alignment horizontal="center"/>
    </xf>
    <xf numFmtId="3" fontId="8" fillId="4" borderId="0" xfId="0" applyNumberFormat="1" applyFont="1" applyFill="1" applyBorder="1" applyAlignment="1">
      <alignment horizontal="center"/>
    </xf>
    <xf numFmtId="2" fontId="8" fillId="4" borderId="0" xfId="0" applyNumberFormat="1" applyFont="1" applyFill="1" applyBorder="1" applyAlignment="1">
      <alignment horizontal="center"/>
    </xf>
    <xf numFmtId="3" fontId="4" fillId="4" borderId="0" xfId="0" applyNumberFormat="1" applyFont="1" applyFill="1" applyBorder="1" applyAlignment="1">
      <alignment horizontal="center"/>
    </xf>
    <xf numFmtId="2" fontId="8" fillId="4" borderId="5" xfId="0" applyNumberFormat="1" applyFont="1" applyFill="1" applyBorder="1" applyAlignment="1">
      <alignment horizontal="center"/>
    </xf>
    <xf numFmtId="2" fontId="8" fillId="4" borderId="0" xfId="0" applyNumberFormat="1" applyFont="1" applyFill="1" applyBorder="1" applyAlignment="1">
      <alignment/>
    </xf>
    <xf numFmtId="0" fontId="8" fillId="4" borderId="5" xfId="0" applyFont="1" applyFill="1" applyBorder="1" applyAlignment="1">
      <alignment horizontal="center"/>
    </xf>
    <xf numFmtId="164" fontId="6" fillId="6" borderId="19" xfId="0" applyNumberFormat="1" applyFont="1" applyFill="1" applyBorder="1" applyAlignment="1">
      <alignment horizontal="center"/>
    </xf>
    <xf numFmtId="9" fontId="4" fillId="4" borderId="5" xfId="0" applyNumberFormat="1" applyFont="1" applyFill="1" applyBorder="1" applyAlignment="1">
      <alignment horizontal="center"/>
    </xf>
    <xf numFmtId="0" fontId="10" fillId="4" borderId="5" xfId="0" applyFont="1" applyFill="1" applyBorder="1" applyAlignment="1">
      <alignment/>
    </xf>
    <xf numFmtId="164" fontId="6" fillId="6" borderId="19" xfId="0" applyNumberFormat="1" applyFont="1" applyFill="1" applyBorder="1" applyAlignment="1">
      <alignment horizontal="center"/>
    </xf>
    <xf numFmtId="1" fontId="6" fillId="4" borderId="0" xfId="0" applyNumberFormat="1" applyFont="1" applyFill="1" applyBorder="1" applyAlignment="1">
      <alignment horizontal="center"/>
    </xf>
    <xf numFmtId="4" fontId="4" fillId="4" borderId="5" xfId="0" applyNumberFormat="1" applyFont="1" applyFill="1" applyBorder="1" applyAlignment="1">
      <alignment horizontal="center"/>
    </xf>
    <xf numFmtId="0" fontId="0" fillId="4" borderId="0" xfId="0" applyFill="1" applyAlignment="1">
      <alignment/>
    </xf>
    <xf numFmtId="1" fontId="12" fillId="4" borderId="0" xfId="0" applyNumberFormat="1" applyFont="1" applyFill="1" applyBorder="1" applyAlignment="1">
      <alignment wrapText="1"/>
    </xf>
    <xf numFmtId="0" fontId="14" fillId="4" borderId="5" xfId="0" applyFont="1" applyFill="1" applyBorder="1" applyAlignment="1">
      <alignment horizontal="center"/>
    </xf>
    <xf numFmtId="0" fontId="11" fillId="4" borderId="4" xfId="0" applyFont="1" applyFill="1" applyBorder="1" applyAlignment="1">
      <alignment horizontal="left"/>
    </xf>
    <xf numFmtId="10" fontId="8" fillId="4" borderId="5" xfId="0" applyNumberFormat="1" applyFont="1" applyFill="1" applyBorder="1" applyAlignment="1">
      <alignment horizontal="center"/>
    </xf>
    <xf numFmtId="0" fontId="8" fillId="4" borderId="4" xfId="0" applyFont="1" applyFill="1" applyBorder="1" applyAlignment="1">
      <alignment horizontal="left"/>
    </xf>
    <xf numFmtId="1" fontId="8" fillId="4" borderId="5" xfId="0" applyNumberFormat="1" applyFont="1" applyFill="1" applyBorder="1" applyAlignment="1">
      <alignment horizontal="left"/>
    </xf>
    <xf numFmtId="2" fontId="8" fillId="4" borderId="5" xfId="0" applyNumberFormat="1" applyFont="1" applyFill="1" applyBorder="1" applyAlignment="1">
      <alignment horizontal="center"/>
    </xf>
    <xf numFmtId="171" fontId="4" fillId="4" borderId="5" xfId="0" applyNumberFormat="1" applyFont="1" applyFill="1" applyBorder="1" applyAlignment="1">
      <alignment horizontal="center"/>
    </xf>
    <xf numFmtId="184" fontId="8" fillId="4" borderId="5" xfId="0" applyNumberFormat="1" applyFont="1" applyFill="1" applyBorder="1" applyAlignment="1">
      <alignment horizontal="center"/>
    </xf>
    <xf numFmtId="167" fontId="4" fillId="4" borderId="5" xfId="0" applyNumberFormat="1" applyFont="1" applyFill="1" applyBorder="1" applyAlignment="1">
      <alignment horizontal="center"/>
    </xf>
    <xf numFmtId="164" fontId="6" fillId="7" borderId="19" xfId="0" applyNumberFormat="1" applyFont="1" applyFill="1" applyBorder="1" applyAlignment="1">
      <alignment horizontal="center"/>
    </xf>
    <xf numFmtId="164" fontId="6" fillId="4" borderId="5" xfId="0" applyNumberFormat="1" applyFont="1" applyFill="1" applyBorder="1" applyAlignment="1">
      <alignment horizontal="center"/>
    </xf>
    <xf numFmtId="173" fontId="6" fillId="7" borderId="19" xfId="0" applyNumberFormat="1" applyFont="1" applyFill="1" applyBorder="1" applyAlignment="1">
      <alignment horizontal="center"/>
    </xf>
    <xf numFmtId="0" fontId="6" fillId="4" borderId="4" xfId="0" applyFont="1" applyFill="1" applyBorder="1" applyAlignment="1">
      <alignment horizontal="left" vertical="center" wrapText="1"/>
    </xf>
    <xf numFmtId="1" fontId="4" fillId="4" borderId="0" xfId="0" applyNumberFormat="1" applyFont="1" applyFill="1" applyBorder="1" applyAlignment="1">
      <alignment horizontal="center"/>
    </xf>
    <xf numFmtId="0" fontId="7" fillId="4" borderId="5" xfId="0" applyFont="1" applyFill="1" applyBorder="1" applyAlignment="1">
      <alignment/>
    </xf>
    <xf numFmtId="0" fontId="13" fillId="2" borderId="0" xfId="0" applyFont="1" applyFill="1" applyAlignment="1">
      <alignment/>
    </xf>
    <xf numFmtId="173" fontId="8" fillId="4" borderId="0" xfId="0" applyNumberFormat="1" applyFont="1" applyFill="1" applyBorder="1" applyAlignment="1">
      <alignment horizontal="center"/>
    </xf>
    <xf numFmtId="0" fontId="8" fillId="4" borderId="0" xfId="0" applyNumberFormat="1" applyFont="1" applyFill="1" applyBorder="1" applyAlignment="1">
      <alignment horizontal="center"/>
    </xf>
    <xf numFmtId="0" fontId="8" fillId="4" borderId="4" xfId="0" applyFont="1" applyFill="1" applyBorder="1" applyAlignment="1">
      <alignment/>
    </xf>
    <xf numFmtId="0" fontId="6" fillId="6" borderId="17" xfId="0" applyFont="1" applyFill="1" applyBorder="1" applyAlignment="1">
      <alignment/>
    </xf>
    <xf numFmtId="1" fontId="6" fillId="6" borderId="18" xfId="0" applyNumberFormat="1" applyFont="1" applyFill="1" applyBorder="1" applyAlignment="1">
      <alignment horizontal="center"/>
    </xf>
    <xf numFmtId="1" fontId="6" fillId="6" borderId="18" xfId="0" applyNumberFormat="1" applyFont="1" applyFill="1" applyBorder="1" applyAlignment="1">
      <alignment/>
    </xf>
    <xf numFmtId="171" fontId="8" fillId="4" borderId="0" xfId="0" applyNumberFormat="1" applyFont="1" applyFill="1" applyBorder="1" applyAlignment="1">
      <alignment horizontal="center"/>
    </xf>
    <xf numFmtId="2" fontId="4" fillId="4" borderId="5" xfId="0" applyNumberFormat="1" applyFont="1" applyFill="1" applyBorder="1" applyAlignment="1">
      <alignment horizontal="center"/>
    </xf>
    <xf numFmtId="1" fontId="4" fillId="4" borderId="5" xfId="0" applyNumberFormat="1" applyFont="1" applyFill="1" applyBorder="1" applyAlignment="1">
      <alignment horizontal="center"/>
    </xf>
    <xf numFmtId="179" fontId="4" fillId="4" borderId="5" xfId="0" applyNumberFormat="1" applyFont="1" applyFill="1" applyBorder="1" applyAlignment="1">
      <alignment horizontal="center"/>
    </xf>
    <xf numFmtId="0" fontId="6" fillId="7" borderId="17" xfId="0" applyFont="1" applyFill="1" applyBorder="1" applyAlignment="1">
      <alignment/>
    </xf>
    <xf numFmtId="164" fontId="6" fillId="7" borderId="18" xfId="0" applyNumberFormat="1" applyFont="1" applyFill="1" applyBorder="1" applyAlignment="1">
      <alignment horizontal="center"/>
    </xf>
    <xf numFmtId="173" fontId="6" fillId="7" borderId="18" xfId="0" applyNumberFormat="1" applyFont="1" applyFill="1" applyBorder="1" applyAlignment="1">
      <alignment horizontal="center"/>
    </xf>
    <xf numFmtId="0" fontId="4" fillId="4" borderId="4" xfId="0" applyFont="1" applyFill="1" applyBorder="1" applyAlignment="1">
      <alignment horizontal="center" vertical="center" wrapText="1"/>
    </xf>
    <xf numFmtId="0" fontId="6" fillId="4" borderId="0" xfId="0" applyFont="1" applyFill="1" applyBorder="1" applyAlignment="1">
      <alignment horizontal="left" vertical="center"/>
    </xf>
    <xf numFmtId="164" fontId="4" fillId="4" borderId="0" xfId="0" applyNumberFormat="1" applyFont="1" applyFill="1" applyBorder="1" applyAlignment="1">
      <alignment horizontal="center"/>
    </xf>
    <xf numFmtId="164" fontId="8" fillId="4" borderId="5" xfId="0" applyNumberFormat="1" applyFont="1" applyFill="1" applyBorder="1" applyAlignment="1">
      <alignment/>
    </xf>
    <xf numFmtId="164" fontId="0" fillId="4" borderId="5" xfId="0" applyNumberFormat="1" applyFill="1" applyBorder="1" applyAlignment="1">
      <alignment/>
    </xf>
    <xf numFmtId="0" fontId="6" fillId="7" borderId="20" xfId="0" applyFont="1" applyFill="1" applyBorder="1" applyAlignment="1">
      <alignment/>
    </xf>
    <xf numFmtId="0" fontId="0" fillId="7" borderId="21" xfId="0" applyFill="1" applyBorder="1" applyAlignment="1">
      <alignment/>
    </xf>
    <xf numFmtId="1" fontId="8" fillId="7" borderId="21" xfId="0" applyNumberFormat="1" applyFont="1" applyFill="1" applyBorder="1" applyAlignment="1">
      <alignment horizontal="center"/>
    </xf>
    <xf numFmtId="1" fontId="8" fillId="7" borderId="21" xfId="0" applyNumberFormat="1" applyFont="1" applyFill="1" applyBorder="1" applyAlignment="1">
      <alignment/>
    </xf>
    <xf numFmtId="164" fontId="6" fillId="7" borderId="21" xfId="0" applyNumberFormat="1" applyFont="1" applyFill="1" applyBorder="1" applyAlignment="1">
      <alignment horizontal="center"/>
    </xf>
    <xf numFmtId="164" fontId="0" fillId="7" borderId="22" xfId="0" applyNumberFormat="1" applyFill="1" applyBorder="1" applyAlignment="1">
      <alignment/>
    </xf>
    <xf numFmtId="0" fontId="10" fillId="7" borderId="4" xfId="0" applyFont="1" applyFill="1" applyBorder="1" applyAlignment="1">
      <alignment/>
    </xf>
    <xf numFmtId="1" fontId="8" fillId="7" borderId="0" xfId="0" applyNumberFormat="1" applyFont="1" applyFill="1" applyBorder="1" applyAlignment="1">
      <alignment horizontal="center"/>
    </xf>
    <xf numFmtId="1" fontId="8" fillId="7" borderId="0" xfId="0" applyNumberFormat="1" applyFont="1" applyFill="1" applyBorder="1" applyAlignment="1">
      <alignment/>
    </xf>
    <xf numFmtId="164" fontId="6" fillId="7" borderId="5" xfId="0" applyNumberFormat="1" applyFont="1" applyFill="1" applyBorder="1" applyAlignment="1">
      <alignment/>
    </xf>
    <xf numFmtId="0" fontId="10" fillId="7" borderId="6" xfId="0" applyFont="1" applyFill="1" applyBorder="1" applyAlignment="1">
      <alignment/>
    </xf>
    <xf numFmtId="1" fontId="8" fillId="7" borderId="7" xfId="0" applyNumberFormat="1" applyFont="1" applyFill="1" applyBorder="1" applyAlignment="1">
      <alignment horizontal="center"/>
    </xf>
    <xf numFmtId="1" fontId="8" fillId="7" borderId="7" xfId="0" applyNumberFormat="1" applyFont="1" applyFill="1" applyBorder="1" applyAlignment="1">
      <alignment/>
    </xf>
    <xf numFmtId="0" fontId="8" fillId="7" borderId="8" xfId="0" applyFont="1" applyFill="1" applyBorder="1" applyAlignment="1">
      <alignment/>
    </xf>
    <xf numFmtId="1" fontId="8" fillId="4" borderId="4" xfId="0" applyNumberFormat="1" applyFont="1" applyFill="1" applyBorder="1" applyAlignment="1">
      <alignment horizontal="center"/>
    </xf>
    <xf numFmtId="0" fontId="6" fillId="4" borderId="0" xfId="0" applyFont="1" applyFill="1" applyBorder="1" applyAlignment="1">
      <alignment/>
    </xf>
    <xf numFmtId="164" fontId="8" fillId="4" borderId="0" xfId="0" applyNumberFormat="1" applyFont="1" applyFill="1" applyBorder="1" applyAlignment="1">
      <alignment horizontal="center"/>
    </xf>
    <xf numFmtId="164" fontId="8" fillId="4" borderId="5" xfId="0" applyNumberFormat="1" applyFont="1" applyFill="1" applyBorder="1" applyAlignment="1">
      <alignment/>
    </xf>
    <xf numFmtId="1" fontId="4" fillId="7" borderId="18" xfId="0" applyNumberFormat="1" applyFont="1" applyFill="1" applyBorder="1" applyAlignment="1">
      <alignment horizontal="center"/>
    </xf>
    <xf numFmtId="1" fontId="4" fillId="7" borderId="18" xfId="0" applyNumberFormat="1" applyFont="1" applyFill="1" applyBorder="1" applyAlignment="1">
      <alignment/>
    </xf>
    <xf numFmtId="164" fontId="6" fillId="7" borderId="19" xfId="0" applyNumberFormat="1" applyFont="1" applyFill="1" applyBorder="1" applyAlignment="1">
      <alignment/>
    </xf>
    <xf numFmtId="10" fontId="8" fillId="4" borderId="0" xfId="0" applyNumberFormat="1" applyFont="1" applyFill="1" applyBorder="1" applyAlignment="1">
      <alignment horizontal="center"/>
    </xf>
    <xf numFmtId="196" fontId="8" fillId="4" borderId="5" xfId="0" applyNumberFormat="1" applyFont="1" applyFill="1" applyBorder="1" applyAlignment="1">
      <alignment/>
    </xf>
    <xf numFmtId="0" fontId="0" fillId="4" borderId="4" xfId="0" applyFont="1" applyFill="1" applyBorder="1" applyAlignment="1">
      <alignment wrapText="1"/>
    </xf>
    <xf numFmtId="0" fontId="0" fillId="4" borderId="0" xfId="0" applyFont="1" applyFill="1" applyAlignment="1">
      <alignment wrapText="1"/>
    </xf>
    <xf numFmtId="0" fontId="0" fillId="4" borderId="5" xfId="0" applyFont="1" applyFill="1" applyBorder="1" applyAlignment="1">
      <alignment wrapText="1"/>
    </xf>
    <xf numFmtId="0" fontId="8" fillId="4" borderId="5" xfId="0" applyFont="1" applyFill="1" applyBorder="1" applyAlignment="1">
      <alignment/>
    </xf>
    <xf numFmtId="10" fontId="8" fillId="4" borderId="5" xfId="0" applyNumberFormat="1" applyFont="1" applyFill="1" applyBorder="1" applyAlignment="1">
      <alignment/>
    </xf>
    <xf numFmtId="164" fontId="4" fillId="4" borderId="5" xfId="0" applyNumberFormat="1" applyFont="1" applyFill="1" applyBorder="1" applyAlignment="1">
      <alignment horizontal="center"/>
    </xf>
    <xf numFmtId="164" fontId="6" fillId="7" borderId="19" xfId="0" applyNumberFormat="1" applyFont="1" applyFill="1" applyBorder="1" applyAlignment="1">
      <alignment/>
    </xf>
    <xf numFmtId="0" fontId="10" fillId="3" borderId="2" xfId="0" applyFont="1" applyFill="1" applyBorder="1" applyAlignment="1">
      <alignment/>
    </xf>
    <xf numFmtId="0" fontId="10" fillId="3" borderId="4" xfId="0" applyFont="1" applyFill="1" applyBorder="1" applyAlignment="1">
      <alignment/>
    </xf>
    <xf numFmtId="0" fontId="10" fillId="3" borderId="0" xfId="0" applyFont="1" applyFill="1" applyBorder="1" applyAlignment="1">
      <alignment/>
    </xf>
    <xf numFmtId="181" fontId="4" fillId="4" borderId="2" xfId="15" applyNumberFormat="1" applyFont="1" applyFill="1" applyBorder="1" applyAlignment="1">
      <alignment/>
    </xf>
    <xf numFmtId="44" fontId="0" fillId="4" borderId="0" xfId="17" applyFill="1" applyBorder="1" applyAlignment="1">
      <alignment horizontal="center" vertical="center"/>
    </xf>
    <xf numFmtId="1" fontId="0" fillId="4" borderId="0" xfId="17" applyNumberFormat="1" applyFill="1" applyBorder="1" applyAlignment="1">
      <alignment vertical="center"/>
    </xf>
    <xf numFmtId="176" fontId="4" fillId="4" borderId="0" xfId="17" applyNumberFormat="1" applyFont="1" applyFill="1" applyBorder="1" applyAlignment="1">
      <alignment horizontal="center" vertical="center"/>
    </xf>
    <xf numFmtId="44" fontId="0" fillId="4" borderId="5" xfId="17" applyFill="1" applyBorder="1" applyAlignment="1">
      <alignment horizontal="center" vertical="center"/>
    </xf>
    <xf numFmtId="0" fontId="0" fillId="4" borderId="6" xfId="0" applyFill="1" applyBorder="1" applyAlignment="1">
      <alignment/>
    </xf>
    <xf numFmtId="1" fontId="0" fillId="4" borderId="7" xfId="0" applyNumberFormat="1" applyFill="1" applyBorder="1" applyAlignment="1">
      <alignment/>
    </xf>
    <xf numFmtId="0" fontId="4" fillId="4" borderId="3" xfId="0" applyFont="1" applyFill="1" applyBorder="1" applyAlignment="1">
      <alignment horizontal="center" vertical="center" wrapText="1"/>
    </xf>
    <xf numFmtId="0" fontId="4" fillId="4" borderId="4" xfId="0" applyFont="1" applyFill="1" applyBorder="1" applyAlignment="1">
      <alignment horizontal="left" vertical="center"/>
    </xf>
    <xf numFmtId="0" fontId="4" fillId="4" borderId="0" xfId="0" applyFont="1" applyFill="1" applyBorder="1" applyAlignment="1">
      <alignment horizontal="center" vertical="center" wrapText="1"/>
    </xf>
    <xf numFmtId="1" fontId="4" fillId="4" borderId="0" xfId="0" applyNumberFormat="1" applyFont="1" applyFill="1" applyBorder="1" applyAlignment="1">
      <alignment vertical="center" wrapText="1"/>
    </xf>
    <xf numFmtId="0" fontId="4"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1" fontId="8" fillId="4" borderId="0" xfId="0" applyNumberFormat="1" applyFont="1" applyFill="1" applyBorder="1" applyAlignment="1">
      <alignment horizontal="right" vertical="center" wrapText="1"/>
    </xf>
    <xf numFmtId="0" fontId="8" fillId="4" borderId="0" xfId="0" applyFont="1" applyFill="1" applyBorder="1" applyAlignment="1">
      <alignment horizontal="left" vertical="center" wrapText="1"/>
    </xf>
    <xf numFmtId="0" fontId="8" fillId="4" borderId="5" xfId="0" applyFont="1" applyFill="1" applyBorder="1" applyAlignment="1">
      <alignment horizontal="center" vertical="center" wrapText="1"/>
    </xf>
    <xf numFmtId="1" fontId="8" fillId="4" borderId="0" xfId="0" applyNumberFormat="1" applyFont="1" applyFill="1" applyBorder="1" applyAlignment="1">
      <alignment vertical="center" wrapText="1"/>
    </xf>
    <xf numFmtId="0" fontId="11" fillId="4" borderId="4"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center" vertical="center" wrapText="1"/>
    </xf>
    <xf numFmtId="1" fontId="8" fillId="4" borderId="21" xfId="0" applyNumberFormat="1" applyFont="1" applyFill="1" applyBorder="1" applyAlignment="1">
      <alignment vertical="center" wrapText="1"/>
    </xf>
    <xf numFmtId="0" fontId="8" fillId="4" borderId="22" xfId="0" applyFont="1" applyFill="1" applyBorder="1" applyAlignment="1">
      <alignment horizontal="center" vertical="center" wrapText="1"/>
    </xf>
    <xf numFmtId="0" fontId="8" fillId="4" borderId="4" xfId="0" applyFont="1" applyFill="1" applyBorder="1" applyAlignment="1">
      <alignment horizontal="left" vertical="center" wrapText="1"/>
    </xf>
    <xf numFmtId="1" fontId="4" fillId="4" borderId="0" xfId="0" applyNumberFormat="1" applyFont="1" applyFill="1" applyBorder="1" applyAlignment="1">
      <alignment/>
    </xf>
    <xf numFmtId="166" fontId="8" fillId="4" borderId="0" xfId="0" applyNumberFormat="1" applyFont="1" applyFill="1" applyBorder="1" applyAlignment="1">
      <alignment horizontal="center"/>
    </xf>
    <xf numFmtId="0" fontId="8" fillId="4" borderId="20" xfId="0" applyFont="1" applyFill="1" applyBorder="1" applyAlignment="1">
      <alignment/>
    </xf>
    <xf numFmtId="1" fontId="8" fillId="4" borderId="21" xfId="0" applyNumberFormat="1" applyFont="1" applyFill="1" applyBorder="1" applyAlignment="1">
      <alignment horizontal="center"/>
    </xf>
    <xf numFmtId="166" fontId="8" fillId="4" borderId="21" xfId="0" applyNumberFormat="1" applyFont="1" applyFill="1" applyBorder="1" applyAlignment="1">
      <alignment horizontal="center"/>
    </xf>
    <xf numFmtId="1" fontId="8" fillId="4" borderId="22" xfId="0" applyNumberFormat="1" applyFont="1" applyFill="1" applyBorder="1" applyAlignment="1">
      <alignment horizontal="center"/>
    </xf>
    <xf numFmtId="172" fontId="4" fillId="4" borderId="0" xfId="0" applyNumberFormat="1" applyFont="1" applyFill="1" applyBorder="1" applyAlignment="1">
      <alignment horizontal="center"/>
    </xf>
    <xf numFmtId="0" fontId="4" fillId="4" borderId="23" xfId="0" applyFont="1" applyFill="1" applyBorder="1" applyAlignment="1">
      <alignment/>
    </xf>
    <xf numFmtId="1" fontId="8" fillId="4" borderId="24" xfId="0" applyNumberFormat="1" applyFont="1" applyFill="1" applyBorder="1" applyAlignment="1">
      <alignment horizontal="center"/>
    </xf>
    <xf numFmtId="164" fontId="8" fillId="4" borderId="24" xfId="0" applyNumberFormat="1" applyFont="1" applyFill="1" applyBorder="1" applyAlignment="1">
      <alignment/>
    </xf>
    <xf numFmtId="1" fontId="8" fillId="4" borderId="25" xfId="0" applyNumberFormat="1" applyFont="1" applyFill="1" applyBorder="1" applyAlignment="1">
      <alignment horizontal="center"/>
    </xf>
    <xf numFmtId="1" fontId="8" fillId="4" borderId="21" xfId="0" applyNumberFormat="1" applyFont="1" applyFill="1" applyBorder="1" applyAlignment="1">
      <alignment/>
    </xf>
    <xf numFmtId="173" fontId="4" fillId="4" borderId="0" xfId="0" applyNumberFormat="1" applyFont="1" applyFill="1" applyBorder="1" applyAlignment="1">
      <alignment horizontal="center"/>
    </xf>
    <xf numFmtId="2" fontId="4" fillId="4" borderId="0" xfId="0" applyNumberFormat="1" applyFont="1" applyFill="1" applyBorder="1" applyAlignment="1">
      <alignment horizontal="center"/>
    </xf>
    <xf numFmtId="171" fontId="4" fillId="4" borderId="0" xfId="0" applyNumberFormat="1" applyFont="1" applyFill="1" applyBorder="1" applyAlignment="1">
      <alignment horizontal="center"/>
    </xf>
    <xf numFmtId="1" fontId="10" fillId="6" borderId="18" xfId="0" applyNumberFormat="1" applyFont="1" applyFill="1" applyBorder="1" applyAlignment="1">
      <alignment horizontal="center"/>
    </xf>
    <xf numFmtId="179" fontId="10" fillId="6" borderId="18" xfId="21" applyNumberFormat="1" applyFont="1" applyFill="1" applyBorder="1" applyAlignment="1">
      <alignment/>
    </xf>
    <xf numFmtId="7" fontId="6" fillId="6" borderId="18" xfId="17" applyNumberFormat="1" applyFont="1" applyFill="1" applyBorder="1" applyAlignment="1">
      <alignment horizontal="center" vertical="center"/>
    </xf>
    <xf numFmtId="1" fontId="10" fillId="6" borderId="19" xfId="0" applyNumberFormat="1" applyFont="1" applyFill="1" applyBorder="1" applyAlignment="1">
      <alignment horizontal="center"/>
    </xf>
    <xf numFmtId="1" fontId="8" fillId="4" borderId="0" xfId="0" applyNumberFormat="1" applyFont="1" applyFill="1" applyBorder="1" applyAlignment="1">
      <alignment horizontal="right"/>
    </xf>
    <xf numFmtId="179" fontId="8" fillId="4" borderId="0" xfId="21" applyNumberFormat="1" applyFont="1" applyFill="1" applyBorder="1" applyAlignment="1">
      <alignment horizontal="left"/>
    </xf>
    <xf numFmtId="0" fontId="8" fillId="4" borderId="0" xfId="0" applyFont="1" applyFill="1" applyBorder="1" applyAlignment="1">
      <alignment/>
    </xf>
    <xf numFmtId="0" fontId="4" fillId="4" borderId="0" xfId="0" applyFont="1" applyFill="1" applyBorder="1" applyAlignment="1">
      <alignment horizontal="left"/>
    </xf>
    <xf numFmtId="10" fontId="8" fillId="4" borderId="0" xfId="0" applyNumberFormat="1" applyFont="1" applyFill="1" applyBorder="1" applyAlignment="1">
      <alignment horizontal="center"/>
    </xf>
    <xf numFmtId="7" fontId="4" fillId="4" borderId="0" xfId="17" applyNumberFormat="1" applyFont="1" applyFill="1" applyBorder="1" applyAlignment="1">
      <alignment horizontal="center" vertical="center"/>
    </xf>
    <xf numFmtId="0" fontId="4" fillId="6" borderId="18" xfId="0" applyFont="1" applyFill="1" applyBorder="1" applyAlignment="1">
      <alignment horizontal="left"/>
    </xf>
    <xf numFmtId="1" fontId="4" fillId="6" borderId="18" xfId="0" applyNumberFormat="1" applyFont="1" applyFill="1" applyBorder="1" applyAlignment="1">
      <alignment horizontal="center"/>
    </xf>
    <xf numFmtId="10" fontId="4" fillId="6" borderId="18" xfId="0" applyNumberFormat="1" applyFont="1" applyFill="1" applyBorder="1" applyAlignment="1">
      <alignment horizontal="center"/>
    </xf>
    <xf numFmtId="1" fontId="4" fillId="6" borderId="18" xfId="0" applyNumberFormat="1" applyFont="1" applyFill="1" applyBorder="1" applyAlignment="1">
      <alignment horizontal="right"/>
    </xf>
    <xf numFmtId="7" fontId="4" fillId="6" borderId="18" xfId="17" applyNumberFormat="1" applyFont="1" applyFill="1" applyBorder="1" applyAlignment="1">
      <alignment horizontal="center" vertical="center"/>
    </xf>
    <xf numFmtId="1" fontId="4" fillId="6" borderId="19" xfId="0" applyNumberFormat="1" applyFont="1" applyFill="1" applyBorder="1" applyAlignment="1">
      <alignment horizontal="center"/>
    </xf>
    <xf numFmtId="0" fontId="4" fillId="4" borderId="0" xfId="0" applyFont="1" applyFill="1" applyBorder="1" applyAlignment="1">
      <alignment horizontal="right"/>
    </xf>
    <xf numFmtId="179" fontId="4" fillId="4" borderId="0" xfId="21" applyNumberFormat="1" applyFont="1" applyFill="1" applyBorder="1" applyAlignment="1">
      <alignment horizontal="center"/>
    </xf>
    <xf numFmtId="0" fontId="15" fillId="4" borderId="0" xfId="21" applyNumberFormat="1" applyFont="1" applyFill="1" applyBorder="1" applyAlignment="1">
      <alignment horizontal="left"/>
    </xf>
    <xf numFmtId="173" fontId="15" fillId="4" borderId="0" xfId="21" applyNumberFormat="1" applyFont="1" applyFill="1" applyBorder="1" applyAlignment="1">
      <alignment horizontal="left"/>
    </xf>
    <xf numFmtId="1" fontId="8" fillId="4" borderId="8" xfId="0" applyNumberFormat="1" applyFont="1" applyFill="1" applyBorder="1" applyAlignment="1">
      <alignment horizontal="center"/>
    </xf>
    <xf numFmtId="0" fontId="6" fillId="4" borderId="1" xfId="0" applyFont="1" applyFill="1" applyBorder="1" applyAlignment="1">
      <alignment/>
    </xf>
    <xf numFmtId="9" fontId="8" fillId="4" borderId="2" xfId="21" applyFont="1" applyFill="1" applyBorder="1" applyAlignment="1">
      <alignment/>
    </xf>
    <xf numFmtId="1" fontId="8" fillId="4" borderId="2" xfId="0" applyNumberFormat="1" applyFont="1" applyFill="1" applyBorder="1" applyAlignment="1">
      <alignment horizontal="left"/>
    </xf>
    <xf numFmtId="1" fontId="8" fillId="4" borderId="0" xfId="0" applyNumberFormat="1" applyFont="1" applyFill="1" applyBorder="1" applyAlignment="1">
      <alignment horizontal="center"/>
    </xf>
    <xf numFmtId="2" fontId="8" fillId="4" borderId="0" xfId="0" applyNumberFormat="1" applyFont="1" applyFill="1" applyBorder="1" applyAlignment="1">
      <alignment horizontal="center"/>
    </xf>
    <xf numFmtId="0" fontId="17" fillId="4" borderId="0" xfId="0" applyFont="1" applyFill="1" applyBorder="1" applyAlignment="1">
      <alignment horizontal="left"/>
    </xf>
    <xf numFmtId="1" fontId="18" fillId="4" borderId="0" xfId="0" applyNumberFormat="1" applyFont="1" applyFill="1" applyBorder="1" applyAlignment="1">
      <alignment horizontal="center"/>
    </xf>
    <xf numFmtId="1" fontId="18" fillId="4" borderId="0" xfId="0" applyNumberFormat="1" applyFont="1" applyFill="1" applyBorder="1" applyAlignment="1">
      <alignment/>
    </xf>
    <xf numFmtId="7" fontId="17" fillId="4" borderId="0" xfId="17" applyNumberFormat="1" applyFont="1" applyFill="1" applyBorder="1" applyAlignment="1">
      <alignment horizontal="center" vertical="center"/>
    </xf>
    <xf numFmtId="173" fontId="4" fillId="6" borderId="19" xfId="0" applyNumberFormat="1" applyFont="1" applyFill="1" applyBorder="1" applyAlignment="1">
      <alignment horizontal="center"/>
    </xf>
    <xf numFmtId="9" fontId="8" fillId="4" borderId="0" xfId="21" applyFont="1" applyFill="1" applyBorder="1" applyAlignment="1">
      <alignment horizontal="center"/>
    </xf>
    <xf numFmtId="1" fontId="10" fillId="7" borderId="18" xfId="0" applyNumberFormat="1" applyFont="1" applyFill="1" applyBorder="1" applyAlignment="1">
      <alignment horizontal="center"/>
    </xf>
    <xf numFmtId="0" fontId="10" fillId="7" borderId="18" xfId="0" applyFont="1" applyFill="1" applyBorder="1" applyAlignment="1">
      <alignment/>
    </xf>
    <xf numFmtId="5" fontId="6" fillId="7" borderId="18" xfId="17" applyNumberFormat="1" applyFont="1" applyFill="1" applyBorder="1" applyAlignment="1">
      <alignment horizontal="center" vertical="center"/>
    </xf>
    <xf numFmtId="5" fontId="4" fillId="4" borderId="0" xfId="17" applyNumberFormat="1" applyFont="1" applyFill="1" applyBorder="1" applyAlignment="1">
      <alignment horizontal="center" vertical="center"/>
    </xf>
    <xf numFmtId="0" fontId="4" fillId="7" borderId="18" xfId="0" applyFont="1" applyFill="1" applyBorder="1" applyAlignment="1">
      <alignment horizontal="left"/>
    </xf>
    <xf numFmtId="1" fontId="4" fillId="7" borderId="18" xfId="0" applyNumberFormat="1" applyFont="1" applyFill="1" applyBorder="1" applyAlignment="1">
      <alignment horizontal="right"/>
    </xf>
    <xf numFmtId="7" fontId="4" fillId="7" borderId="18" xfId="17" applyNumberFormat="1" applyFont="1" applyFill="1" applyBorder="1" applyAlignment="1">
      <alignment horizontal="center" vertical="center"/>
    </xf>
    <xf numFmtId="1" fontId="4" fillId="7" borderId="19" xfId="0" applyNumberFormat="1" applyFont="1" applyFill="1" applyBorder="1" applyAlignment="1">
      <alignment horizontal="center"/>
    </xf>
    <xf numFmtId="0" fontId="6" fillId="8" borderId="1" xfId="0" applyFont="1" applyFill="1" applyBorder="1" applyAlignment="1">
      <alignment/>
    </xf>
    <xf numFmtId="0" fontId="0" fillId="8" borderId="2" xfId="0" applyFill="1" applyBorder="1" applyAlignment="1">
      <alignment/>
    </xf>
    <xf numFmtId="1" fontId="0" fillId="8" borderId="2" xfId="0" applyNumberFormat="1" applyFill="1" applyBorder="1" applyAlignment="1">
      <alignment/>
    </xf>
    <xf numFmtId="0" fontId="0" fillId="8" borderId="3" xfId="0" applyFill="1" applyBorder="1" applyAlignment="1">
      <alignment/>
    </xf>
    <xf numFmtId="0" fontId="0" fillId="8" borderId="4" xfId="0" applyFill="1" applyBorder="1" applyAlignment="1">
      <alignment/>
    </xf>
    <xf numFmtId="0" fontId="0" fillId="8" borderId="0" xfId="0" applyFill="1" applyBorder="1" applyAlignment="1">
      <alignment/>
    </xf>
    <xf numFmtId="1" fontId="0" fillId="8" borderId="0" xfId="0" applyNumberFormat="1" applyFill="1" applyBorder="1" applyAlignment="1">
      <alignment/>
    </xf>
    <xf numFmtId="0" fontId="0" fillId="8" borderId="5" xfId="0" applyFill="1" applyBorder="1" applyAlignment="1">
      <alignment/>
    </xf>
    <xf numFmtId="0" fontId="4" fillId="8" borderId="4" xfId="0" applyFont="1" applyFill="1" applyBorder="1" applyAlignment="1">
      <alignment/>
    </xf>
    <xf numFmtId="0" fontId="4" fillId="8" borderId="6" xfId="0" applyFont="1" applyFill="1" applyBorder="1" applyAlignment="1">
      <alignment/>
    </xf>
    <xf numFmtId="0" fontId="0" fillId="8" borderId="7" xfId="0" applyFill="1" applyBorder="1" applyAlignment="1">
      <alignment/>
    </xf>
    <xf numFmtId="1" fontId="0" fillId="8" borderId="7" xfId="0" applyNumberFormat="1" applyFill="1" applyBorder="1" applyAlignment="1">
      <alignment/>
    </xf>
    <xf numFmtId="0" fontId="0" fillId="8" borderId="8" xfId="0" applyFill="1" applyBorder="1" applyAlignment="1">
      <alignment/>
    </xf>
    <xf numFmtId="0" fontId="4" fillId="4" borderId="4" xfId="0" applyFont="1" applyFill="1" applyBorder="1" applyAlignment="1">
      <alignment horizontal="right" vertical="center" wrapText="1"/>
    </xf>
    <xf numFmtId="0" fontId="8" fillId="4" borderId="0" xfId="0" applyFont="1" applyFill="1" applyBorder="1" applyAlignment="1">
      <alignment horizontal="left" vertical="center"/>
    </xf>
    <xf numFmtId="0" fontId="8" fillId="4" borderId="4" xfId="0" applyFont="1" applyFill="1" applyBorder="1" applyAlignment="1">
      <alignment horizontal="right"/>
    </xf>
    <xf numFmtId="0" fontId="7" fillId="4" borderId="0" xfId="0" applyFont="1" applyFill="1" applyBorder="1" applyAlignment="1">
      <alignment horizontal="center"/>
    </xf>
    <xf numFmtId="0" fontId="4" fillId="4" borderId="4" xfId="0" applyFont="1" applyFill="1" applyBorder="1" applyAlignment="1">
      <alignment horizontal="right"/>
    </xf>
    <xf numFmtId="0" fontId="0" fillId="4" borderId="4" xfId="0" applyFill="1" applyBorder="1" applyAlignment="1">
      <alignment horizontal="right"/>
    </xf>
    <xf numFmtId="0" fontId="6" fillId="4" borderId="4" xfId="0" applyFont="1" applyFill="1" applyBorder="1" applyAlignment="1">
      <alignment horizontal="right"/>
    </xf>
    <xf numFmtId="179" fontId="4" fillId="4" borderId="0" xfId="0" applyNumberFormat="1" applyFont="1" applyFill="1" applyBorder="1" applyAlignment="1">
      <alignment horizontal="center"/>
    </xf>
    <xf numFmtId="17" fontId="4" fillId="3" borderId="9" xfId="0" applyNumberFormat="1" applyFont="1" applyFill="1" applyBorder="1" applyAlignment="1">
      <alignment horizontal="center" vertical="center" wrapText="1"/>
    </xf>
    <xf numFmtId="2" fontId="0" fillId="4" borderId="11" xfId="0" applyNumberFormat="1" applyFill="1" applyBorder="1" applyAlignment="1">
      <alignment horizontal="center"/>
    </xf>
    <xf numFmtId="171" fontId="0" fillId="4" borderId="11" xfId="0" applyNumberFormat="1" applyFill="1" applyBorder="1" applyAlignment="1">
      <alignment horizontal="center"/>
    </xf>
    <xf numFmtId="2" fontId="0" fillId="4" borderId="13" xfId="0" applyNumberFormat="1" applyFill="1" applyBorder="1" applyAlignment="1">
      <alignment horizontal="center"/>
    </xf>
    <xf numFmtId="171" fontId="0" fillId="4" borderId="13" xfId="0" applyNumberFormat="1" applyFill="1" applyBorder="1" applyAlignment="1">
      <alignment horizontal="center"/>
    </xf>
    <xf numFmtId="0" fontId="0" fillId="4" borderId="13" xfId="0" applyFill="1" applyBorder="1" applyAlignment="1">
      <alignment horizontal="center"/>
    </xf>
    <xf numFmtId="2" fontId="0" fillId="4" borderId="15" xfId="0" applyNumberFormat="1" applyFill="1" applyBorder="1" applyAlignment="1">
      <alignment horizontal="center"/>
    </xf>
    <xf numFmtId="171" fontId="0" fillId="4" borderId="15" xfId="0" applyNumberFormat="1" applyFill="1" applyBorder="1" applyAlignment="1">
      <alignment horizontal="center"/>
    </xf>
    <xf numFmtId="0" fontId="7" fillId="3" borderId="1" xfId="0" applyFont="1" applyFill="1" applyBorder="1" applyAlignment="1">
      <alignment/>
    </xf>
    <xf numFmtId="0" fontId="7" fillId="3" borderId="2" xfId="0" applyFont="1" applyFill="1" applyBorder="1" applyAlignment="1">
      <alignment/>
    </xf>
    <xf numFmtId="0" fontId="7" fillId="3" borderId="3" xfId="0" applyFont="1" applyFill="1" applyBorder="1" applyAlignment="1">
      <alignment/>
    </xf>
    <xf numFmtId="0" fontId="7" fillId="3" borderId="4" xfId="0" applyFont="1" applyFill="1" applyBorder="1" applyAlignment="1">
      <alignment/>
    </xf>
    <xf numFmtId="0" fontId="7" fillId="3" borderId="0" xfId="0" applyFont="1" applyFill="1" applyBorder="1" applyAlignment="1">
      <alignment/>
    </xf>
    <xf numFmtId="0" fontId="7" fillId="3" borderId="5" xfId="0" applyFont="1" applyFill="1" applyBorder="1" applyAlignment="1">
      <alignment/>
    </xf>
    <xf numFmtId="0" fontId="7" fillId="3" borderId="6" xfId="0" applyFont="1" applyFill="1" applyBorder="1" applyAlignment="1">
      <alignment/>
    </xf>
    <xf numFmtId="0" fontId="7" fillId="3" borderId="7" xfId="0" applyFont="1" applyFill="1" applyBorder="1" applyAlignment="1">
      <alignment/>
    </xf>
    <xf numFmtId="0" fontId="7" fillId="3" borderId="8" xfId="0" applyFont="1" applyFill="1" applyBorder="1" applyAlignment="1">
      <alignment/>
    </xf>
    <xf numFmtId="174" fontId="0" fillId="4" borderId="26" xfId="0" applyNumberFormat="1" applyFill="1" applyBorder="1" applyAlignment="1">
      <alignment/>
    </xf>
    <xf numFmtId="0" fontId="7" fillId="3" borderId="9" xfId="0" applyFont="1" applyFill="1" applyBorder="1" applyAlignment="1">
      <alignment wrapText="1"/>
    </xf>
    <xf numFmtId="0" fontId="0" fillId="3" borderId="11" xfId="0" applyFill="1" applyBorder="1" applyAlignment="1">
      <alignment/>
    </xf>
    <xf numFmtId="173" fontId="0" fillId="4" borderId="0" xfId="0" applyNumberFormat="1" applyFill="1" applyAlignment="1">
      <alignment/>
    </xf>
    <xf numFmtId="164" fontId="0" fillId="4" borderId="0" xfId="0" applyNumberFormat="1" applyFill="1" applyAlignment="1">
      <alignment/>
    </xf>
    <xf numFmtId="0" fontId="0" fillId="3" borderId="13" xfId="0" applyFill="1" applyBorder="1" applyAlignment="1">
      <alignment/>
    </xf>
    <xf numFmtId="0" fontId="0" fillId="3" borderId="15" xfId="0" applyFill="1" applyBorder="1" applyAlignment="1">
      <alignment/>
    </xf>
    <xf numFmtId="0" fontId="19" fillId="8" borderId="12" xfId="0" applyFont="1" applyFill="1" applyBorder="1" applyAlignment="1">
      <alignment horizontal="center" vertical="center" wrapText="1"/>
    </xf>
    <xf numFmtId="0" fontId="0" fillId="8" borderId="10" xfId="0" applyFont="1" applyFill="1" applyBorder="1" applyAlignment="1">
      <alignment/>
    </xf>
    <xf numFmtId="0" fontId="0" fillId="8" borderId="27" xfId="0" applyFont="1" applyFill="1" applyBorder="1" applyAlignment="1">
      <alignment/>
    </xf>
    <xf numFmtId="0" fontId="7" fillId="8" borderId="27" xfId="0" applyFont="1" applyFill="1" applyBorder="1" applyAlignment="1">
      <alignment horizontal="right"/>
    </xf>
    <xf numFmtId="10" fontId="0" fillId="4" borderId="9" xfId="0" applyNumberFormat="1" applyFill="1" applyBorder="1" applyAlignment="1">
      <alignment/>
    </xf>
    <xf numFmtId="17" fontId="4" fillId="8" borderId="28" xfId="0" applyNumberFormat="1" applyFont="1" applyFill="1" applyBorder="1" applyAlignment="1">
      <alignment horizontal="center" vertical="center" wrapText="1"/>
    </xf>
    <xf numFmtId="0" fontId="1" fillId="8" borderId="1" xfId="0" applyFont="1" applyFill="1" applyBorder="1" applyAlignment="1">
      <alignment vertical="center"/>
    </xf>
    <xf numFmtId="0" fontId="1" fillId="8" borderId="2" xfId="0" applyFont="1" applyFill="1" applyBorder="1" applyAlignment="1">
      <alignment vertical="center"/>
    </xf>
    <xf numFmtId="0" fontId="19" fillId="8" borderId="3" xfId="0" applyFont="1" applyFill="1" applyBorder="1" applyAlignment="1">
      <alignment horizontal="right" vertical="center"/>
    </xf>
    <xf numFmtId="1" fontId="0" fillId="4" borderId="11" xfId="0" applyNumberFormat="1" applyFill="1" applyBorder="1" applyAlignment="1">
      <alignment/>
    </xf>
    <xf numFmtId="0" fontId="19" fillId="8" borderId="1" xfId="0" applyFont="1" applyFill="1" applyBorder="1" applyAlignment="1">
      <alignment horizontal="center"/>
    </xf>
    <xf numFmtId="179" fontId="0" fillId="4" borderId="3" xfId="21" applyNumberFormat="1" applyFill="1" applyBorder="1" applyAlignment="1">
      <alignment horizontal="center"/>
    </xf>
    <xf numFmtId="0" fontId="1" fillId="8" borderId="1" xfId="0" applyFont="1" applyFill="1" applyBorder="1" applyAlignment="1">
      <alignment/>
    </xf>
    <xf numFmtId="0" fontId="1" fillId="8" borderId="2" xfId="0" applyFont="1" applyFill="1" applyBorder="1" applyAlignment="1">
      <alignment/>
    </xf>
    <xf numFmtId="0" fontId="19" fillId="8" borderId="29" xfId="0" applyFont="1" applyFill="1" applyBorder="1" applyAlignment="1">
      <alignment horizontal="right"/>
    </xf>
    <xf numFmtId="1" fontId="0" fillId="4" borderId="30" xfId="0" applyNumberFormat="1" applyFill="1" applyBorder="1" applyAlignment="1">
      <alignment/>
    </xf>
    <xf numFmtId="0" fontId="19" fillId="8" borderId="2" xfId="0" applyFont="1" applyFill="1" applyBorder="1" applyAlignment="1">
      <alignment horizontal="right"/>
    </xf>
    <xf numFmtId="0" fontId="19" fillId="8" borderId="12" xfId="0" applyFont="1" applyFill="1" applyBorder="1" applyAlignment="1">
      <alignment horizontal="center"/>
    </xf>
    <xf numFmtId="10" fontId="0" fillId="4" borderId="30" xfId="21" applyNumberFormat="1" applyFont="1" applyFill="1" applyBorder="1" applyAlignment="1">
      <alignment horizontal="center"/>
    </xf>
    <xf numFmtId="0" fontId="1" fillId="8" borderId="4" xfId="0" applyFont="1" applyFill="1" applyBorder="1" applyAlignment="1">
      <alignment vertical="center"/>
    </xf>
    <xf numFmtId="0" fontId="1" fillId="8" borderId="0" xfId="0" applyFont="1" applyFill="1" applyBorder="1" applyAlignment="1">
      <alignment vertical="center"/>
    </xf>
    <xf numFmtId="0" fontId="19" fillId="8" borderId="5" xfId="0" applyFont="1" applyFill="1" applyBorder="1" applyAlignment="1">
      <alignment horizontal="right" vertical="center"/>
    </xf>
    <xf numFmtId="1" fontId="0" fillId="4" borderId="13" xfId="0" applyNumberFormat="1" applyFill="1" applyBorder="1" applyAlignment="1">
      <alignment/>
    </xf>
    <xf numFmtId="0" fontId="19" fillId="8" borderId="4" xfId="0" applyFont="1" applyFill="1" applyBorder="1" applyAlignment="1">
      <alignment horizontal="center"/>
    </xf>
    <xf numFmtId="179" fontId="0" fillId="4" borderId="5" xfId="21" applyNumberFormat="1" applyFill="1" applyBorder="1" applyAlignment="1">
      <alignment horizontal="center"/>
    </xf>
    <xf numFmtId="0" fontId="1" fillId="8" borderId="4" xfId="0" applyFont="1" applyFill="1" applyBorder="1" applyAlignment="1">
      <alignment/>
    </xf>
    <xf numFmtId="0" fontId="1" fillId="8" borderId="0" xfId="0" applyFont="1" applyFill="1" applyBorder="1" applyAlignment="1">
      <alignment/>
    </xf>
    <xf numFmtId="0" fontId="19" fillId="8" borderId="31" xfId="0" applyFont="1" applyFill="1" applyBorder="1" applyAlignment="1">
      <alignment horizontal="right"/>
    </xf>
    <xf numFmtId="1" fontId="0" fillId="4" borderId="32" xfId="0" applyNumberFormat="1" applyFill="1" applyBorder="1" applyAlignment="1">
      <alignment/>
    </xf>
    <xf numFmtId="0" fontId="19" fillId="8" borderId="0" xfId="0" applyFont="1" applyFill="1" applyBorder="1" applyAlignment="1">
      <alignment horizontal="right"/>
    </xf>
    <xf numFmtId="0" fontId="19" fillId="8" borderId="14" xfId="0" applyFont="1" applyFill="1" applyBorder="1" applyAlignment="1">
      <alignment horizontal="center"/>
    </xf>
    <xf numFmtId="10" fontId="0" fillId="4" borderId="32" xfId="21" applyNumberFormat="1" applyFont="1" applyFill="1" applyBorder="1" applyAlignment="1">
      <alignment horizontal="center"/>
    </xf>
    <xf numFmtId="0" fontId="1" fillId="8" borderId="6" xfId="0" applyFont="1" applyFill="1" applyBorder="1" applyAlignment="1">
      <alignment vertical="center"/>
    </xf>
    <xf numFmtId="0" fontId="1" fillId="8" borderId="7" xfId="0" applyFont="1" applyFill="1" applyBorder="1" applyAlignment="1">
      <alignment vertical="center"/>
    </xf>
    <xf numFmtId="0" fontId="19" fillId="8" borderId="8" xfId="0" applyFont="1" applyFill="1" applyBorder="1" applyAlignment="1">
      <alignment horizontal="right" vertical="center"/>
    </xf>
    <xf numFmtId="168" fontId="0" fillId="4" borderId="15" xfId="0" applyNumberFormat="1" applyFill="1" applyBorder="1" applyAlignment="1">
      <alignment/>
    </xf>
    <xf numFmtId="0" fontId="1" fillId="8" borderId="6" xfId="0" applyFont="1" applyFill="1" applyBorder="1" applyAlignment="1">
      <alignment/>
    </xf>
    <xf numFmtId="0" fontId="1" fillId="8" borderId="7" xfId="0" applyFont="1" applyFill="1" applyBorder="1" applyAlignment="1">
      <alignment/>
    </xf>
    <xf numFmtId="0" fontId="19" fillId="8" borderId="33" xfId="0" applyFont="1" applyFill="1" applyBorder="1" applyAlignment="1">
      <alignment horizontal="right"/>
    </xf>
    <xf numFmtId="169" fontId="0" fillId="4" borderId="34" xfId="0" applyNumberFormat="1" applyFill="1" applyBorder="1" applyAlignment="1">
      <alignment/>
    </xf>
    <xf numFmtId="0" fontId="19" fillId="8" borderId="7" xfId="0" applyFont="1" applyFill="1" applyBorder="1" applyAlignment="1">
      <alignment horizontal="right"/>
    </xf>
    <xf numFmtId="1" fontId="0" fillId="4" borderId="15" xfId="0" applyNumberFormat="1" applyFill="1" applyBorder="1" applyAlignment="1">
      <alignment/>
    </xf>
    <xf numFmtId="0" fontId="7" fillId="7" borderId="9" xfId="0" applyFont="1" applyFill="1" applyBorder="1" applyAlignment="1">
      <alignment horizontal="center" vertical="center" wrapText="1"/>
    </xf>
    <xf numFmtId="0" fontId="19" fillId="8" borderId="9" xfId="0" applyFont="1" applyFill="1" applyBorder="1" applyAlignment="1">
      <alignment horizontal="center" vertical="center"/>
    </xf>
    <xf numFmtId="164" fontId="0" fillId="4" borderId="35" xfId="0" applyNumberFormat="1" applyFill="1" applyBorder="1" applyAlignment="1">
      <alignment/>
    </xf>
    <xf numFmtId="0" fontId="19" fillId="8" borderId="9" xfId="0" applyFont="1" applyFill="1" applyBorder="1" applyAlignment="1">
      <alignment horizontal="center" wrapText="1"/>
    </xf>
    <xf numFmtId="0" fontId="19" fillId="8" borderId="9" xfId="0" applyFont="1" applyFill="1" applyBorder="1" applyAlignment="1">
      <alignment horizontal="center" vertical="center" wrapText="1"/>
    </xf>
    <xf numFmtId="164" fontId="0" fillId="4" borderId="9" xfId="0" applyNumberFormat="1" applyFill="1" applyBorder="1" applyAlignment="1">
      <alignment/>
    </xf>
    <xf numFmtId="196" fontId="0" fillId="4" borderId="9" xfId="0" applyNumberFormat="1" applyFill="1" applyBorder="1" applyAlignment="1">
      <alignment horizontal="center"/>
    </xf>
    <xf numFmtId="181" fontId="0" fillId="2" borderId="0" xfId="15" applyNumberFormat="1" applyFill="1" applyAlignment="1">
      <alignment/>
    </xf>
    <xf numFmtId="9" fontId="0" fillId="4" borderId="9" xfId="0" applyNumberFormat="1" applyFill="1" applyBorder="1" applyAlignment="1">
      <alignment horizontal="center"/>
    </xf>
    <xf numFmtId="0" fontId="19" fillId="8" borderId="6" xfId="0" applyFont="1" applyFill="1" applyBorder="1" applyAlignment="1">
      <alignment horizontal="center"/>
    </xf>
    <xf numFmtId="179" fontId="0" fillId="4" borderId="8" xfId="21" applyNumberFormat="1" applyFill="1" applyBorder="1" applyAlignment="1">
      <alignment horizontal="center"/>
    </xf>
    <xf numFmtId="2" fontId="0" fillId="4" borderId="9" xfId="0" applyNumberFormat="1" applyFill="1" applyBorder="1" applyAlignment="1">
      <alignment horizontal="center"/>
    </xf>
    <xf numFmtId="179" fontId="0" fillId="4" borderId="9" xfId="21" applyNumberFormat="1" applyFill="1" applyBorder="1" applyAlignment="1">
      <alignment horizontal="center"/>
    </xf>
    <xf numFmtId="4" fontId="0" fillId="4" borderId="9" xfId="0" applyNumberFormat="1" applyFill="1" applyBorder="1" applyAlignment="1">
      <alignment horizontal="center"/>
    </xf>
    <xf numFmtId="10" fontId="0" fillId="4" borderId="9" xfId="0" applyNumberFormat="1" applyFill="1" applyBorder="1" applyAlignment="1">
      <alignment horizontal="center"/>
    </xf>
    <xf numFmtId="171" fontId="0" fillId="4" borderId="9" xfId="0" applyNumberFormat="1" applyFill="1" applyBorder="1" applyAlignment="1">
      <alignment horizontal="center"/>
    </xf>
    <xf numFmtId="173" fontId="0" fillId="4" borderId="36" xfId="0" applyNumberFormat="1" applyFill="1" applyBorder="1" applyAlignment="1">
      <alignment horizontal="center"/>
    </xf>
    <xf numFmtId="0" fontId="19" fillId="8" borderId="16" xfId="0" applyFont="1" applyFill="1" applyBorder="1" applyAlignment="1">
      <alignment horizontal="center"/>
    </xf>
    <xf numFmtId="10" fontId="0" fillId="4" borderId="34" xfId="21" applyNumberFormat="1" applyFont="1" applyFill="1" applyBorder="1" applyAlignment="1">
      <alignment horizontal="center"/>
    </xf>
    <xf numFmtId="176" fontId="0" fillId="4" borderId="9" xfId="17" applyNumberFormat="1" applyFill="1" applyBorder="1" applyAlignment="1">
      <alignment horizontal="center" vertical="center"/>
    </xf>
    <xf numFmtId="174" fontId="0" fillId="4" borderId="9" xfId="17" applyNumberFormat="1" applyFill="1" applyBorder="1" applyAlignment="1">
      <alignment horizontal="center" vertical="center"/>
    </xf>
    <xf numFmtId="0" fontId="7" fillId="3" borderId="9" xfId="0" applyFont="1" applyFill="1" applyBorder="1" applyAlignment="1">
      <alignment wrapText="1"/>
    </xf>
    <xf numFmtId="164" fontId="7" fillId="3" borderId="9" xfId="0" applyNumberFormat="1" applyFont="1" applyFill="1" applyBorder="1" applyAlignment="1">
      <alignment wrapText="1"/>
    </xf>
    <xf numFmtId="9" fontId="7" fillId="3" borderId="9" xfId="0" applyNumberFormat="1" applyFont="1" applyFill="1" applyBorder="1" applyAlignment="1">
      <alignment wrapText="1"/>
    </xf>
    <xf numFmtId="1" fontId="7" fillId="3" borderId="9" xfId="0" applyNumberFormat="1" applyFont="1" applyFill="1" applyBorder="1" applyAlignment="1">
      <alignment wrapText="1"/>
    </xf>
    <xf numFmtId="2" fontId="7" fillId="3" borderId="9" xfId="0" applyNumberFormat="1" applyFont="1" applyFill="1" applyBorder="1" applyAlignment="1">
      <alignment wrapText="1"/>
    </xf>
    <xf numFmtId="10" fontId="7" fillId="3" borderId="9" xfId="0" applyNumberFormat="1" applyFont="1" applyFill="1" applyBorder="1" applyAlignment="1">
      <alignment wrapText="1"/>
    </xf>
    <xf numFmtId="3" fontId="7" fillId="3" borderId="9" xfId="0" applyNumberFormat="1" applyFont="1" applyFill="1" applyBorder="1" applyAlignment="1">
      <alignment wrapText="1"/>
    </xf>
    <xf numFmtId="0" fontId="7" fillId="3" borderId="10" xfId="0" applyFont="1" applyFill="1" applyBorder="1" applyAlignment="1">
      <alignment wrapText="1"/>
    </xf>
    <xf numFmtId="0" fontId="7" fillId="3" borderId="28" xfId="0" applyFont="1" applyFill="1" applyBorder="1" applyAlignment="1">
      <alignment wrapText="1"/>
    </xf>
    <xf numFmtId="0" fontId="0" fillId="4" borderId="12" xfId="0" applyFill="1" applyBorder="1" applyAlignment="1">
      <alignment/>
    </xf>
    <xf numFmtId="164" fontId="0" fillId="4" borderId="37" xfId="0" applyNumberFormat="1" applyFill="1" applyBorder="1" applyAlignment="1">
      <alignment/>
    </xf>
    <xf numFmtId="10" fontId="0" fillId="4" borderId="37" xfId="0" applyNumberFormat="1" applyFill="1" applyBorder="1" applyAlignment="1">
      <alignment/>
    </xf>
    <xf numFmtId="3" fontId="0" fillId="4" borderId="37" xfId="0" applyNumberFormat="1" applyFill="1" applyBorder="1" applyAlignment="1">
      <alignment/>
    </xf>
    <xf numFmtId="0" fontId="0" fillId="4" borderId="37" xfId="0" applyFill="1" applyBorder="1" applyAlignment="1">
      <alignment/>
    </xf>
    <xf numFmtId="9" fontId="0" fillId="4" borderId="37" xfId="21" applyFill="1" applyBorder="1" applyAlignment="1">
      <alignment/>
    </xf>
    <xf numFmtId="2" fontId="0" fillId="4" borderId="37" xfId="0" applyNumberFormat="1" applyFill="1" applyBorder="1" applyAlignment="1">
      <alignment/>
    </xf>
    <xf numFmtId="171" fontId="0" fillId="4" borderId="37" xfId="0" applyNumberFormat="1" applyFill="1" applyBorder="1" applyAlignment="1">
      <alignment/>
    </xf>
    <xf numFmtId="173" fontId="0" fillId="4" borderId="37" xfId="0" applyNumberFormat="1" applyFill="1" applyBorder="1" applyAlignment="1">
      <alignment/>
    </xf>
    <xf numFmtId="4" fontId="0" fillId="4" borderId="37" xfId="0" applyNumberFormat="1" applyFill="1" applyBorder="1" applyAlignment="1">
      <alignment/>
    </xf>
    <xf numFmtId="10" fontId="0" fillId="4" borderId="37" xfId="21" applyNumberFormat="1" applyFill="1" applyBorder="1" applyAlignment="1">
      <alignment/>
    </xf>
    <xf numFmtId="164" fontId="0" fillId="4" borderId="30" xfId="0" applyNumberFormat="1" applyFill="1" applyBorder="1" applyAlignment="1">
      <alignment/>
    </xf>
    <xf numFmtId="0" fontId="0" fillId="4" borderId="14" xfId="0" applyFill="1" applyBorder="1" applyAlignment="1">
      <alignment/>
    </xf>
    <xf numFmtId="164" fontId="0" fillId="4" borderId="38" xfId="0" applyNumberFormat="1" applyFill="1" applyBorder="1" applyAlignment="1">
      <alignment/>
    </xf>
    <xf numFmtId="10" fontId="0" fillId="4" borderId="38" xfId="0" applyNumberFormat="1" applyFill="1" applyBorder="1" applyAlignment="1">
      <alignment/>
    </xf>
    <xf numFmtId="3" fontId="0" fillId="4" borderId="38" xfId="0" applyNumberFormat="1" applyFill="1" applyBorder="1" applyAlignment="1">
      <alignment/>
    </xf>
    <xf numFmtId="0" fontId="0" fillId="4" borderId="38" xfId="0" applyFill="1" applyBorder="1" applyAlignment="1">
      <alignment/>
    </xf>
    <xf numFmtId="9" fontId="0" fillId="4" borderId="38" xfId="21" applyFill="1" applyBorder="1" applyAlignment="1">
      <alignment/>
    </xf>
    <xf numFmtId="2" fontId="0" fillId="4" borderId="38" xfId="0" applyNumberFormat="1" applyFill="1" applyBorder="1" applyAlignment="1">
      <alignment/>
    </xf>
    <xf numFmtId="171" fontId="0" fillId="4" borderId="38" xfId="0" applyNumberFormat="1" applyFill="1" applyBorder="1" applyAlignment="1">
      <alignment/>
    </xf>
    <xf numFmtId="173" fontId="0" fillId="4" borderId="38" xfId="0" applyNumberFormat="1" applyFill="1" applyBorder="1" applyAlignment="1">
      <alignment/>
    </xf>
    <xf numFmtId="4" fontId="0" fillId="4" borderId="38" xfId="0" applyNumberFormat="1" applyFill="1" applyBorder="1" applyAlignment="1">
      <alignment/>
    </xf>
    <xf numFmtId="10" fontId="0" fillId="4" borderId="38" xfId="21" applyNumberFormat="1" applyFill="1" applyBorder="1" applyAlignment="1">
      <alignment/>
    </xf>
    <xf numFmtId="164" fontId="0" fillId="4" borderId="32" xfId="0" applyNumberFormat="1" applyFill="1" applyBorder="1" applyAlignment="1">
      <alignment/>
    </xf>
    <xf numFmtId="0" fontId="0" fillId="4" borderId="16" xfId="0" applyFill="1" applyBorder="1" applyAlignment="1">
      <alignment/>
    </xf>
    <xf numFmtId="164" fontId="0" fillId="4" borderId="39" xfId="0" applyNumberFormat="1" applyFill="1" applyBorder="1" applyAlignment="1">
      <alignment/>
    </xf>
    <xf numFmtId="10" fontId="0" fillId="4" borderId="39" xfId="0" applyNumberFormat="1" applyFill="1" applyBorder="1" applyAlignment="1">
      <alignment/>
    </xf>
    <xf numFmtId="3" fontId="0" fillId="4" borderId="39" xfId="0" applyNumberFormat="1" applyFill="1" applyBorder="1" applyAlignment="1">
      <alignment/>
    </xf>
    <xf numFmtId="0" fontId="0" fillId="4" borderId="39" xfId="0" applyFill="1" applyBorder="1" applyAlignment="1">
      <alignment/>
    </xf>
    <xf numFmtId="9" fontId="0" fillId="4" borderId="39" xfId="21" applyFill="1" applyBorder="1" applyAlignment="1">
      <alignment/>
    </xf>
    <xf numFmtId="2" fontId="0" fillId="4" borderId="39" xfId="0" applyNumberFormat="1" applyFill="1" applyBorder="1" applyAlignment="1">
      <alignment/>
    </xf>
    <xf numFmtId="171" fontId="0" fillId="4" borderId="39" xfId="0" applyNumberFormat="1" applyFill="1" applyBorder="1" applyAlignment="1">
      <alignment/>
    </xf>
    <xf numFmtId="173" fontId="0" fillId="4" borderId="39" xfId="0" applyNumberFormat="1" applyFill="1" applyBorder="1" applyAlignment="1">
      <alignment/>
    </xf>
    <xf numFmtId="4" fontId="0" fillId="4" borderId="39" xfId="0" applyNumberFormat="1" applyFill="1" applyBorder="1" applyAlignment="1">
      <alignment/>
    </xf>
    <xf numFmtId="10" fontId="0" fillId="4" borderId="39" xfId="21" applyNumberFormat="1" applyFill="1" applyBorder="1" applyAlignment="1">
      <alignment/>
    </xf>
    <xf numFmtId="164" fontId="0" fillId="4" borderId="34" xfId="0" applyNumberFormat="1" applyFill="1" applyBorder="1" applyAlignment="1">
      <alignment/>
    </xf>
    <xf numFmtId="1" fontId="0" fillId="2" borderId="0" xfId="0" applyNumberFormat="1" applyFill="1" applyAlignment="1">
      <alignment/>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7" fillId="5" borderId="10" xfId="0" applyFont="1" applyFill="1" applyBorder="1" applyAlignment="1">
      <alignment horizontal="center"/>
    </xf>
    <xf numFmtId="0" fontId="0" fillId="5" borderId="40" xfId="0" applyFill="1" applyBorder="1" applyAlignment="1">
      <alignment/>
    </xf>
    <xf numFmtId="0" fontId="6" fillId="5" borderId="10" xfId="0" applyFont="1" applyFill="1" applyBorder="1" applyAlignment="1">
      <alignment horizontal="center"/>
    </xf>
    <xf numFmtId="0" fontId="6" fillId="5" borderId="40" xfId="0" applyFont="1" applyFill="1" applyBorder="1" applyAlignment="1">
      <alignment/>
    </xf>
    <xf numFmtId="0" fontId="10" fillId="5" borderId="40" xfId="0" applyFont="1" applyFill="1" applyBorder="1" applyAlignment="1">
      <alignment/>
    </xf>
    <xf numFmtId="1" fontId="4" fillId="4" borderId="0" xfId="0" applyNumberFormat="1" applyFont="1" applyFill="1" applyBorder="1" applyAlignment="1">
      <alignment horizontal="right" wrapText="1"/>
    </xf>
    <xf numFmtId="0" fontId="7" fillId="0" borderId="0" xfId="0" applyFont="1" applyBorder="1" applyAlignment="1">
      <alignment horizontal="right" wrapText="1"/>
    </xf>
    <xf numFmtId="164" fontId="8" fillId="4" borderId="0" xfId="0" applyNumberFormat="1" applyFont="1" applyFill="1" applyBorder="1" applyAlignment="1">
      <alignment horizontal="center"/>
    </xf>
    <xf numFmtId="0" fontId="0" fillId="0" borderId="5" xfId="0" applyBorder="1" applyAlignment="1">
      <alignment/>
    </xf>
    <xf numFmtId="0" fontId="0" fillId="4" borderId="4" xfId="0" applyFont="1" applyFill="1" applyBorder="1" applyAlignment="1">
      <alignment horizontal="left" wrapText="1"/>
    </xf>
    <xf numFmtId="0" fontId="0" fillId="0" borderId="0" xfId="0" applyFont="1" applyAlignment="1">
      <alignment horizontal="left" wrapText="1"/>
    </xf>
    <xf numFmtId="0" fontId="0" fillId="0" borderId="5" xfId="0" applyFont="1" applyBorder="1" applyAlignment="1">
      <alignment horizontal="left" wrapText="1"/>
    </xf>
    <xf numFmtId="0" fontId="0" fillId="0" borderId="4" xfId="0" applyFont="1" applyBorder="1" applyAlignment="1">
      <alignment horizontal="left" wrapText="1"/>
    </xf>
    <xf numFmtId="0" fontId="7" fillId="7" borderId="10" xfId="0" applyFont="1" applyFill="1" applyBorder="1" applyAlignment="1">
      <alignment horizontal="center" vertical="center" wrapText="1"/>
    </xf>
    <xf numFmtId="0" fontId="0" fillId="7" borderId="27" xfId="0" applyFill="1" applyBorder="1" applyAlignment="1">
      <alignment horizontal="center" vertical="center" wrapText="1"/>
    </xf>
    <xf numFmtId="0" fontId="0" fillId="7" borderId="40" xfId="0"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0" fillId="0" borderId="15" xfId="0" applyBorder="1" applyAlignment="1">
      <alignment/>
    </xf>
    <xf numFmtId="0" fontId="0" fillId="0" borderId="15" xfId="0" applyBorder="1" applyAlignment="1">
      <alignment wrapText="1"/>
    </xf>
    <xf numFmtId="0" fontId="19" fillId="8" borderId="11" xfId="0" applyFont="1" applyFill="1" applyBorder="1" applyAlignment="1">
      <alignment horizontal="center"/>
    </xf>
    <xf numFmtId="0" fontId="19" fillId="8" borderId="15" xfId="0" applyFont="1" applyFill="1" applyBorder="1" applyAlignment="1">
      <alignment horizontal="center"/>
    </xf>
    <xf numFmtId="0" fontId="20" fillId="8" borderId="11"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19" fillId="8" borderId="11" xfId="0" applyFont="1" applyFill="1" applyBorder="1" applyAlignment="1">
      <alignment horizontal="center" wrapText="1"/>
    </xf>
    <xf numFmtId="0" fontId="0" fillId="0" borderId="15" xfId="0" applyBorder="1" applyAlignment="1">
      <alignment horizontal="center" wrapText="1"/>
    </xf>
    <xf numFmtId="0" fontId="6" fillId="8" borderId="1" xfId="0" applyFont="1" applyFill="1" applyBorder="1" applyAlignment="1">
      <alignment horizontal="center" vertical="center"/>
    </xf>
    <xf numFmtId="0" fontId="0" fillId="0" borderId="2" xfId="0" applyBorder="1" applyAlignment="1">
      <alignment/>
    </xf>
    <xf numFmtId="0" fontId="0" fillId="0" borderId="3"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emp\101110%202011-12%20determin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HSF2\2010-11%20Determination%20workings\Determination\2010-11%20FINAL%20DETERMINATION\2010-11%20%20determination-%20V5-macros%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S"/>
      <sheetName val="Your Authority"/>
      <sheetName val="Cover"/>
      <sheetName val="Schedules"/>
      <sheetName val="Man Com"/>
      <sheetName val="Mnt Com"/>
      <sheetName val="MRA Com"/>
      <sheetName val="Debt Com"/>
      <sheetName val="Rent Com"/>
      <sheetName val="Rebasing"/>
      <sheetName val="BCIS-ACA"/>
      <sheetName val="SchedData"/>
      <sheetName val="ComData"/>
      <sheetName val="Form Rent"/>
      <sheetName val="GL Rent"/>
      <sheetName val="Lim Rent"/>
      <sheetName val="Rebasing Calc"/>
      <sheetName val="Man 1-2"/>
      <sheetName val="Man 3"/>
      <sheetName val="Man 4"/>
      <sheetName val="Man 5"/>
      <sheetName val="Man 6-8"/>
      <sheetName val="Man TP 8"/>
      <sheetName val="Mnt 1"/>
      <sheetName val="Mnt 2"/>
      <sheetName val="Mnt 3"/>
      <sheetName val="Mnt 4"/>
      <sheetName val="Mnt 5-7"/>
      <sheetName val="Mnt TP"/>
      <sheetName val="Nat MRA"/>
      <sheetName val="MRA"/>
      <sheetName val="SCE (R)"/>
      <sheetName val="ALMO"/>
      <sheetName val="SCFR"/>
      <sheetName val="Interest"/>
      <sheetName val="PFI"/>
      <sheetName val="Other RE"/>
      <sheetName val="inflation"/>
      <sheetName val="Reg adj"/>
      <sheetName val="crime"/>
      <sheetName val="2010BD"/>
      <sheetName val="2011B2"/>
      <sheetName val="2011B1"/>
      <sheetName val="FH39IN"/>
      <sheetName val="2011BD"/>
      <sheetName val="201002"/>
      <sheetName val="Specified amounts 2011"/>
      <sheetName val="notes"/>
    </sheetNames>
    <sheetDataSet>
      <sheetData sheetId="37">
        <row r="15">
          <cell r="C15">
            <v>0.0223</v>
          </cell>
          <cell r="F15">
            <v>0.033</v>
          </cell>
        </row>
        <row r="16">
          <cell r="C16">
            <v>0.0322</v>
          </cell>
          <cell r="F16">
            <v>0.017</v>
          </cell>
        </row>
        <row r="17">
          <cell r="C17">
            <v>0.0285</v>
          </cell>
          <cell r="F17">
            <v>0.017</v>
          </cell>
        </row>
        <row r="18">
          <cell r="C18">
            <v>0.0272</v>
          </cell>
          <cell r="F18">
            <v>0.028000000000000025</v>
          </cell>
        </row>
        <row r="19">
          <cell r="C19">
            <v>0.0205</v>
          </cell>
          <cell r="F19">
            <v>0.031</v>
          </cell>
        </row>
        <row r="20">
          <cell r="C20">
            <v>0.0269</v>
          </cell>
          <cell r="F20">
            <v>0.027</v>
          </cell>
        </row>
        <row r="21">
          <cell r="C21">
            <v>0.0306</v>
          </cell>
          <cell r="F21">
            <v>0.03600000000000003</v>
          </cell>
        </row>
        <row r="22">
          <cell r="C22">
            <v>0.03</v>
          </cell>
          <cell r="F22">
            <v>0.039</v>
          </cell>
        </row>
        <row r="23">
          <cell r="C23">
            <v>0.0275</v>
          </cell>
          <cell r="F23">
            <v>0.05</v>
          </cell>
        </row>
        <row r="24">
          <cell r="C24">
            <v>0.0225</v>
          </cell>
          <cell r="F24">
            <v>-0.014</v>
          </cell>
        </row>
        <row r="25">
          <cell r="C25">
            <v>0.019</v>
          </cell>
          <cell r="F25">
            <v>0.046</v>
          </cell>
        </row>
      </sheetData>
      <sheetData sheetId="42">
        <row r="14">
          <cell r="C14" t="str">
            <v>OrganisationShortName</v>
          </cell>
        </row>
        <row r="15">
          <cell r="C15" t="str">
            <v>Adur</v>
          </cell>
        </row>
        <row r="16">
          <cell r="C16" t="str">
            <v>Arun</v>
          </cell>
        </row>
        <row r="17">
          <cell r="C17" t="str">
            <v>Ashfield</v>
          </cell>
        </row>
        <row r="18">
          <cell r="C18" t="str">
            <v>Ashford</v>
          </cell>
        </row>
        <row r="19">
          <cell r="C19" t="str">
            <v>Babergh</v>
          </cell>
        </row>
        <row r="20">
          <cell r="C20" t="str">
            <v>Barking</v>
          </cell>
        </row>
        <row r="21">
          <cell r="C21" t="str">
            <v>Barnet</v>
          </cell>
        </row>
        <row r="22">
          <cell r="C22" t="str">
            <v>Barnsley</v>
          </cell>
        </row>
        <row r="23">
          <cell r="C23" t="str">
            <v>Barrow</v>
          </cell>
        </row>
        <row r="24">
          <cell r="C24" t="str">
            <v>Basildon</v>
          </cell>
        </row>
        <row r="25">
          <cell r="C25" t="str">
            <v>Bassetlaw</v>
          </cell>
        </row>
        <row r="26">
          <cell r="C26" t="str">
            <v>Birmingham</v>
          </cell>
        </row>
        <row r="27">
          <cell r="C27" t="str">
            <v>Blaby</v>
          </cell>
        </row>
        <row r="28">
          <cell r="C28" t="str">
            <v>Blackpool</v>
          </cell>
        </row>
        <row r="29">
          <cell r="C29" t="str">
            <v>Bolsover</v>
          </cell>
        </row>
        <row r="30">
          <cell r="C30" t="str">
            <v>Bolton</v>
          </cell>
        </row>
        <row r="31">
          <cell r="C31" t="str">
            <v>Bournemouth</v>
          </cell>
        </row>
        <row r="32">
          <cell r="C32" t="str">
            <v>Braintree</v>
          </cell>
        </row>
        <row r="33">
          <cell r="C33" t="str">
            <v>Brent</v>
          </cell>
        </row>
        <row r="34">
          <cell r="C34" t="str">
            <v>Brentwood</v>
          </cell>
        </row>
        <row r="35">
          <cell r="C35" t="str">
            <v>Brighton &amp; Hove</v>
          </cell>
        </row>
        <row r="36">
          <cell r="C36" t="str">
            <v>Bristol</v>
          </cell>
        </row>
        <row r="37">
          <cell r="C37" t="str">
            <v>Broxtowe</v>
          </cell>
        </row>
        <row r="38">
          <cell r="C38" t="str">
            <v>Bury</v>
          </cell>
        </row>
        <row r="39">
          <cell r="C39" t="str">
            <v>Cambridge</v>
          </cell>
        </row>
        <row r="40">
          <cell r="C40" t="str">
            <v>Camden</v>
          </cell>
        </row>
        <row r="41">
          <cell r="C41" t="str">
            <v>Cannock Chase</v>
          </cell>
        </row>
        <row r="42">
          <cell r="C42" t="str">
            <v>Canterbury</v>
          </cell>
        </row>
        <row r="43">
          <cell r="C43" t="str">
            <v>Castle Point</v>
          </cell>
        </row>
        <row r="44">
          <cell r="C44" t="str">
            <v>Central Beds UA</v>
          </cell>
        </row>
        <row r="45">
          <cell r="C45" t="str">
            <v>Charnwood</v>
          </cell>
        </row>
        <row r="46">
          <cell r="C46" t="str">
            <v>Cheltenham</v>
          </cell>
        </row>
        <row r="47">
          <cell r="C47" t="str">
            <v>Cheshir West UA</v>
          </cell>
        </row>
        <row r="48">
          <cell r="C48" t="str">
            <v>Chesterfield</v>
          </cell>
        </row>
        <row r="49">
          <cell r="C49" t="str">
            <v>City of London</v>
          </cell>
        </row>
        <row r="50">
          <cell r="C50" t="str">
            <v>City of York</v>
          </cell>
        </row>
        <row r="51">
          <cell r="C51" t="str">
            <v>Colchester</v>
          </cell>
        </row>
        <row r="52">
          <cell r="C52" t="str">
            <v>Corby</v>
          </cell>
        </row>
        <row r="53">
          <cell r="C53" t="str">
            <v>Cornwall UA</v>
          </cell>
        </row>
        <row r="54">
          <cell r="C54" t="str">
            <v>Crawley</v>
          </cell>
        </row>
        <row r="55">
          <cell r="C55" t="str">
            <v>Croydon</v>
          </cell>
        </row>
        <row r="56">
          <cell r="C56" t="str">
            <v>Dacorum</v>
          </cell>
        </row>
        <row r="57">
          <cell r="C57" t="str">
            <v>Darlington</v>
          </cell>
        </row>
        <row r="58">
          <cell r="C58" t="str">
            <v>Dartford</v>
          </cell>
        </row>
        <row r="59">
          <cell r="C59" t="str">
            <v>Derby</v>
          </cell>
        </row>
        <row r="60">
          <cell r="C60" t="str">
            <v>Doncaster</v>
          </cell>
        </row>
        <row r="61">
          <cell r="C61" t="str">
            <v>Dover</v>
          </cell>
        </row>
        <row r="62">
          <cell r="C62" t="str">
            <v>Dudley</v>
          </cell>
        </row>
        <row r="63">
          <cell r="C63" t="str">
            <v>Durham UA</v>
          </cell>
        </row>
        <row r="64">
          <cell r="C64" t="str">
            <v>Ealing</v>
          </cell>
        </row>
        <row r="65">
          <cell r="C65" t="str">
            <v>East Devon</v>
          </cell>
        </row>
        <row r="66">
          <cell r="C66" t="str">
            <v>East Riding</v>
          </cell>
        </row>
        <row r="67">
          <cell r="C67" t="str">
            <v>Eastbourne</v>
          </cell>
        </row>
        <row r="68">
          <cell r="C68" t="str">
            <v>Enfield</v>
          </cell>
        </row>
        <row r="69">
          <cell r="C69" t="str">
            <v>Epping Forest</v>
          </cell>
        </row>
        <row r="70">
          <cell r="C70" t="str">
            <v>Exeter</v>
          </cell>
        </row>
        <row r="71">
          <cell r="C71" t="str">
            <v>Fareham</v>
          </cell>
        </row>
        <row r="72">
          <cell r="C72" t="str">
            <v>Gateshead</v>
          </cell>
        </row>
        <row r="73">
          <cell r="C73" t="str">
            <v>Gedling</v>
          </cell>
        </row>
        <row r="74">
          <cell r="C74" t="str">
            <v>Gloucester</v>
          </cell>
        </row>
        <row r="75">
          <cell r="C75" t="str">
            <v>Gosport</v>
          </cell>
        </row>
        <row r="76">
          <cell r="C76" t="str">
            <v>Gravesham</v>
          </cell>
        </row>
        <row r="77">
          <cell r="C77" t="str">
            <v>Great Yarmouth</v>
          </cell>
        </row>
        <row r="78">
          <cell r="C78" t="str">
            <v>Greenwich</v>
          </cell>
        </row>
        <row r="79">
          <cell r="C79" t="str">
            <v>Guildford</v>
          </cell>
        </row>
        <row r="80">
          <cell r="C80" t="str">
            <v>Hackney</v>
          </cell>
        </row>
        <row r="81">
          <cell r="C81" t="str">
            <v>Hammersmith</v>
          </cell>
        </row>
        <row r="82">
          <cell r="C82" t="str">
            <v>Haringey</v>
          </cell>
        </row>
        <row r="83">
          <cell r="C83" t="str">
            <v>Harlow</v>
          </cell>
        </row>
        <row r="84">
          <cell r="C84" t="str">
            <v>Harrogate</v>
          </cell>
        </row>
        <row r="85">
          <cell r="C85" t="str">
            <v>Harrow</v>
          </cell>
        </row>
        <row r="86">
          <cell r="C86" t="str">
            <v>Havering</v>
          </cell>
        </row>
        <row r="87">
          <cell r="C87" t="str">
            <v>High Peak</v>
          </cell>
        </row>
        <row r="88">
          <cell r="C88" t="str">
            <v>Hillingdon</v>
          </cell>
        </row>
        <row r="89">
          <cell r="C89" t="str">
            <v>Hinckley</v>
          </cell>
        </row>
        <row r="90">
          <cell r="C90" t="str">
            <v>Hounslow</v>
          </cell>
        </row>
        <row r="91">
          <cell r="C91" t="str">
            <v>Ipswich</v>
          </cell>
        </row>
        <row r="92">
          <cell r="C92" t="str">
            <v>Isles of Scilly</v>
          </cell>
        </row>
        <row r="93">
          <cell r="C93" t="str">
            <v>Islington</v>
          </cell>
        </row>
        <row r="94">
          <cell r="C94" t="str">
            <v>Kensington</v>
          </cell>
        </row>
        <row r="95">
          <cell r="C95" t="str">
            <v>Kettering</v>
          </cell>
        </row>
        <row r="96">
          <cell r="C96" t="str">
            <v>Kingston U Hull</v>
          </cell>
        </row>
        <row r="97">
          <cell r="C97" t="str">
            <v>Kingston u Tham</v>
          </cell>
        </row>
        <row r="98">
          <cell r="C98" t="str">
            <v>Kirklees</v>
          </cell>
        </row>
        <row r="99">
          <cell r="C99" t="str">
            <v>Lambeth</v>
          </cell>
        </row>
        <row r="100">
          <cell r="C100" t="str">
            <v>Lancaster</v>
          </cell>
        </row>
        <row r="101">
          <cell r="C101" t="str">
            <v>Leeds</v>
          </cell>
        </row>
        <row r="102">
          <cell r="C102" t="str">
            <v>Leicester</v>
          </cell>
        </row>
        <row r="103">
          <cell r="C103" t="str">
            <v>Lewes</v>
          </cell>
        </row>
        <row r="104">
          <cell r="C104" t="str">
            <v>Lewisham</v>
          </cell>
        </row>
        <row r="105">
          <cell r="C105" t="str">
            <v>Lincoln</v>
          </cell>
        </row>
        <row r="106">
          <cell r="C106" t="str">
            <v>Luton</v>
          </cell>
        </row>
        <row r="107">
          <cell r="C107" t="str">
            <v>Manchester</v>
          </cell>
        </row>
        <row r="108">
          <cell r="C108" t="str">
            <v>Mansfield</v>
          </cell>
        </row>
        <row r="109">
          <cell r="C109" t="str">
            <v>Medway Towns</v>
          </cell>
        </row>
        <row r="110">
          <cell r="C110" t="str">
            <v>Melton</v>
          </cell>
        </row>
        <row r="111">
          <cell r="C111" t="str">
            <v>Merton</v>
          </cell>
        </row>
        <row r="112">
          <cell r="C112" t="str">
            <v>Mid Devon</v>
          </cell>
        </row>
        <row r="113">
          <cell r="C113" t="str">
            <v>Mid Suffolk</v>
          </cell>
        </row>
        <row r="114">
          <cell r="C114" t="str">
            <v>Milton Keynes</v>
          </cell>
        </row>
        <row r="115">
          <cell r="C115" t="str">
            <v>NE Derbyshire</v>
          </cell>
        </row>
        <row r="116">
          <cell r="C116" t="str">
            <v>New Forest</v>
          </cell>
        </row>
        <row r="117">
          <cell r="C117" t="str">
            <v>Newark</v>
          </cell>
        </row>
        <row r="118">
          <cell r="C118" t="str">
            <v>Newcastle u Tyn</v>
          </cell>
        </row>
        <row r="119">
          <cell r="C119" t="str">
            <v>Newham</v>
          </cell>
        </row>
        <row r="120">
          <cell r="C120" t="str">
            <v>North Kesteven</v>
          </cell>
        </row>
        <row r="121">
          <cell r="C121" t="str">
            <v>North Tyneside</v>
          </cell>
        </row>
        <row r="122">
          <cell r="C122" t="str">
            <v>North Warwick</v>
          </cell>
        </row>
        <row r="123">
          <cell r="C123" t="str">
            <v>Northampton</v>
          </cell>
        </row>
        <row r="124">
          <cell r="C124" t="str">
            <v>Northumbrlnd UA</v>
          </cell>
        </row>
        <row r="125">
          <cell r="C125" t="str">
            <v>Norwich</v>
          </cell>
        </row>
        <row r="126">
          <cell r="C126" t="str">
            <v>Nottingham</v>
          </cell>
        </row>
        <row r="127">
          <cell r="C127" t="str">
            <v>Nuneaton</v>
          </cell>
        </row>
        <row r="128">
          <cell r="C128" t="str">
            <v>NW Leicester</v>
          </cell>
        </row>
        <row r="129">
          <cell r="C129" t="str">
            <v>Oadby &amp; Wigston</v>
          </cell>
        </row>
        <row r="130">
          <cell r="C130" t="str">
            <v>Oldham</v>
          </cell>
        </row>
        <row r="131">
          <cell r="C131" t="str">
            <v>Oxford City</v>
          </cell>
        </row>
        <row r="132">
          <cell r="C132" t="str">
            <v>Plymouth</v>
          </cell>
        </row>
        <row r="133">
          <cell r="C133" t="str">
            <v>Poole</v>
          </cell>
        </row>
        <row r="134">
          <cell r="C134" t="str">
            <v>Portsmouth</v>
          </cell>
        </row>
        <row r="135">
          <cell r="C135" t="str">
            <v>Reading</v>
          </cell>
        </row>
        <row r="136">
          <cell r="C136" t="str">
            <v>Redbridge</v>
          </cell>
        </row>
        <row r="137">
          <cell r="C137" t="str">
            <v>Redditch</v>
          </cell>
        </row>
        <row r="138">
          <cell r="C138" t="str">
            <v>Richmondshire</v>
          </cell>
        </row>
        <row r="139">
          <cell r="C139" t="str">
            <v>Rochdale</v>
          </cell>
        </row>
        <row r="140">
          <cell r="C140" t="str">
            <v>Rotherham</v>
          </cell>
        </row>
        <row r="141">
          <cell r="C141" t="str">
            <v>Rugby</v>
          </cell>
        </row>
        <row r="142">
          <cell r="C142" t="str">
            <v>Runnymede</v>
          </cell>
        </row>
        <row r="143">
          <cell r="C143" t="str">
            <v>Rutland</v>
          </cell>
        </row>
        <row r="144">
          <cell r="C144" t="str">
            <v>Salford</v>
          </cell>
        </row>
        <row r="145">
          <cell r="C145" t="str">
            <v>Sandwell</v>
          </cell>
        </row>
        <row r="146">
          <cell r="C146" t="str">
            <v>Sedgemoor</v>
          </cell>
        </row>
        <row r="147">
          <cell r="C147" t="str">
            <v>Selby</v>
          </cell>
        </row>
        <row r="148">
          <cell r="C148" t="str">
            <v>Sheffield</v>
          </cell>
        </row>
        <row r="149">
          <cell r="C149" t="str">
            <v>Shepway</v>
          </cell>
        </row>
        <row r="150">
          <cell r="C150" t="str">
            <v>Shropshire UA</v>
          </cell>
        </row>
        <row r="151">
          <cell r="C151" t="str">
            <v>Slough</v>
          </cell>
        </row>
        <row r="152">
          <cell r="C152" t="str">
            <v>Solihull</v>
          </cell>
        </row>
        <row r="153">
          <cell r="C153" t="str">
            <v>South Cambridge</v>
          </cell>
        </row>
        <row r="154">
          <cell r="C154" t="str">
            <v>South Derby</v>
          </cell>
        </row>
        <row r="155">
          <cell r="C155" t="str">
            <v>South Holland</v>
          </cell>
        </row>
        <row r="156">
          <cell r="C156" t="str">
            <v>South Kesteven</v>
          </cell>
        </row>
        <row r="157">
          <cell r="C157" t="str">
            <v>South Lakeland</v>
          </cell>
        </row>
        <row r="158">
          <cell r="C158" t="str">
            <v>South Norfolk</v>
          </cell>
        </row>
        <row r="159">
          <cell r="C159" t="str">
            <v>South Tyneside</v>
          </cell>
        </row>
        <row r="160">
          <cell r="C160" t="str">
            <v>Southampton</v>
          </cell>
        </row>
        <row r="161">
          <cell r="C161" t="str">
            <v>Southend-on-Sea</v>
          </cell>
        </row>
        <row r="162">
          <cell r="C162" t="str">
            <v>Southwark</v>
          </cell>
        </row>
        <row r="163">
          <cell r="C163" t="str">
            <v>St Albans</v>
          </cell>
        </row>
        <row r="164">
          <cell r="C164" t="str">
            <v>Stevenage</v>
          </cell>
        </row>
        <row r="165">
          <cell r="C165" t="str">
            <v>Stockport</v>
          </cell>
        </row>
        <row r="166">
          <cell r="C166" t="str">
            <v>Stockton</v>
          </cell>
        </row>
        <row r="167">
          <cell r="C167" t="str">
            <v>Stoke-on-Trent</v>
          </cell>
        </row>
        <row r="168">
          <cell r="C168" t="str">
            <v>Stroud</v>
          </cell>
        </row>
        <row r="169">
          <cell r="C169" t="str">
            <v>Sutton</v>
          </cell>
        </row>
        <row r="170">
          <cell r="C170" t="str">
            <v>Swindon</v>
          </cell>
        </row>
        <row r="171">
          <cell r="C171" t="str">
            <v>Tamworth</v>
          </cell>
        </row>
        <row r="172">
          <cell r="C172" t="str">
            <v>Tandridge</v>
          </cell>
        </row>
        <row r="173">
          <cell r="C173" t="str">
            <v>Taunton Deane</v>
          </cell>
        </row>
        <row r="174">
          <cell r="C174" t="str">
            <v>Tendring</v>
          </cell>
        </row>
        <row r="175">
          <cell r="C175" t="str">
            <v>Thanet</v>
          </cell>
        </row>
        <row r="176">
          <cell r="C176" t="str">
            <v>Thurrock</v>
          </cell>
        </row>
        <row r="177">
          <cell r="C177" t="str">
            <v>Tower Hamlets</v>
          </cell>
        </row>
        <row r="178">
          <cell r="C178" t="str">
            <v>Uttlesford</v>
          </cell>
        </row>
        <row r="179">
          <cell r="C179" t="str">
            <v>Waltham Forest</v>
          </cell>
        </row>
        <row r="180">
          <cell r="C180" t="str">
            <v>Wandsworth</v>
          </cell>
        </row>
        <row r="181">
          <cell r="C181" t="str">
            <v>Warrington</v>
          </cell>
        </row>
        <row r="182">
          <cell r="C182" t="str">
            <v>Warwick</v>
          </cell>
        </row>
        <row r="183">
          <cell r="C183" t="str">
            <v>Waveney</v>
          </cell>
        </row>
        <row r="184">
          <cell r="C184" t="str">
            <v>Waverley</v>
          </cell>
        </row>
        <row r="185">
          <cell r="C185" t="str">
            <v>Wealden</v>
          </cell>
        </row>
        <row r="186">
          <cell r="C186" t="str">
            <v>Welwyn Hatfield</v>
          </cell>
        </row>
        <row r="187">
          <cell r="C187" t="str">
            <v>West Lancashire</v>
          </cell>
        </row>
        <row r="188">
          <cell r="C188" t="str">
            <v>Westminster</v>
          </cell>
        </row>
        <row r="189">
          <cell r="C189" t="str">
            <v>Wigan</v>
          </cell>
        </row>
        <row r="190">
          <cell r="C190" t="str">
            <v>Wiltshire UA</v>
          </cell>
        </row>
        <row r="191">
          <cell r="C191" t="str">
            <v>Winchester</v>
          </cell>
        </row>
        <row r="192">
          <cell r="C192" t="str">
            <v>Woking</v>
          </cell>
        </row>
        <row r="193">
          <cell r="C193" t="str">
            <v>Wokingham</v>
          </cell>
        </row>
        <row r="194">
          <cell r="C194" t="str">
            <v>Wolverhampton</v>
          </cell>
        </row>
        <row r="195">
          <cell r="C195" t="str">
            <v>Wycombe</v>
          </cell>
        </row>
      </sheetData>
      <sheetData sheetId="44">
        <row r="15">
          <cell r="E15">
            <v>2660</v>
          </cell>
          <cell r="I15">
            <v>74</v>
          </cell>
          <cell r="J15">
            <v>174</v>
          </cell>
          <cell r="K15">
            <v>59</v>
          </cell>
          <cell r="L15">
            <v>59</v>
          </cell>
          <cell r="M15">
            <v>303</v>
          </cell>
          <cell r="N15">
            <v>159</v>
          </cell>
          <cell r="O15">
            <v>163</v>
          </cell>
          <cell r="P15">
            <v>56</v>
          </cell>
          <cell r="Q15">
            <v>85</v>
          </cell>
          <cell r="R15">
            <v>584</v>
          </cell>
          <cell r="S15">
            <v>745</v>
          </cell>
          <cell r="T15">
            <v>28</v>
          </cell>
          <cell r="U15">
            <v>171</v>
          </cell>
          <cell r="V15">
            <v>0</v>
          </cell>
          <cell r="W15">
            <v>0</v>
          </cell>
          <cell r="X15">
            <v>2660</v>
          </cell>
          <cell r="Y15">
            <v>74</v>
          </cell>
          <cell r="Z15">
            <v>174</v>
          </cell>
          <cell r="AA15">
            <v>59</v>
          </cell>
          <cell r="AB15">
            <v>59</v>
          </cell>
          <cell r="AC15">
            <v>303</v>
          </cell>
          <cell r="AD15">
            <v>159</v>
          </cell>
          <cell r="AE15">
            <v>163</v>
          </cell>
          <cell r="AF15">
            <v>56</v>
          </cell>
          <cell r="AG15">
            <v>85</v>
          </cell>
          <cell r="AH15">
            <v>584</v>
          </cell>
          <cell r="AI15">
            <v>745</v>
          </cell>
          <cell r="AJ15">
            <v>28</v>
          </cell>
          <cell r="AK15">
            <v>171</v>
          </cell>
          <cell r="AL15">
            <v>0</v>
          </cell>
          <cell r="AM15">
            <v>0</v>
          </cell>
          <cell r="AN15">
            <v>2660</v>
          </cell>
        </row>
        <row r="16">
          <cell r="E16">
            <v>3454</v>
          </cell>
          <cell r="I16">
            <v>17</v>
          </cell>
          <cell r="J16">
            <v>148</v>
          </cell>
          <cell r="K16">
            <v>324</v>
          </cell>
          <cell r="L16">
            <v>21</v>
          </cell>
          <cell r="M16">
            <v>421</v>
          </cell>
          <cell r="N16">
            <v>167</v>
          </cell>
          <cell r="O16">
            <v>198</v>
          </cell>
          <cell r="P16">
            <v>0</v>
          </cell>
          <cell r="Q16">
            <v>16</v>
          </cell>
          <cell r="R16">
            <v>1118</v>
          </cell>
          <cell r="S16">
            <v>614</v>
          </cell>
          <cell r="T16">
            <v>0</v>
          </cell>
          <cell r="U16">
            <v>363</v>
          </cell>
          <cell r="V16">
            <v>6</v>
          </cell>
          <cell r="W16">
            <v>0</v>
          </cell>
          <cell r="X16">
            <v>3413</v>
          </cell>
          <cell r="Y16">
            <v>17</v>
          </cell>
          <cell r="Z16">
            <v>148</v>
          </cell>
          <cell r="AA16">
            <v>324</v>
          </cell>
          <cell r="AB16">
            <v>21</v>
          </cell>
          <cell r="AC16">
            <v>421</v>
          </cell>
          <cell r="AD16">
            <v>167</v>
          </cell>
          <cell r="AE16">
            <v>198</v>
          </cell>
          <cell r="AF16">
            <v>0</v>
          </cell>
          <cell r="AG16">
            <v>16</v>
          </cell>
          <cell r="AH16">
            <v>1118</v>
          </cell>
          <cell r="AI16">
            <v>614</v>
          </cell>
          <cell r="AJ16">
            <v>0</v>
          </cell>
          <cell r="AK16">
            <v>363</v>
          </cell>
          <cell r="AL16">
            <v>6</v>
          </cell>
          <cell r="AM16">
            <v>0</v>
          </cell>
          <cell r="AN16">
            <v>3413</v>
          </cell>
        </row>
        <row r="17">
          <cell r="E17">
            <v>6973</v>
          </cell>
          <cell r="I17">
            <v>94</v>
          </cell>
          <cell r="J17">
            <v>1041</v>
          </cell>
          <cell r="K17">
            <v>73</v>
          </cell>
          <cell r="L17">
            <v>0</v>
          </cell>
          <cell r="M17">
            <v>1242</v>
          </cell>
          <cell r="N17">
            <v>224</v>
          </cell>
          <cell r="O17">
            <v>215</v>
          </cell>
          <cell r="P17">
            <v>531</v>
          </cell>
          <cell r="Q17">
            <v>18</v>
          </cell>
          <cell r="R17">
            <v>1717</v>
          </cell>
          <cell r="S17">
            <v>477</v>
          </cell>
          <cell r="T17">
            <v>0</v>
          </cell>
          <cell r="U17">
            <v>1327</v>
          </cell>
          <cell r="V17">
            <v>0</v>
          </cell>
          <cell r="W17">
            <v>14</v>
          </cell>
          <cell r="X17">
            <v>6973</v>
          </cell>
          <cell r="Y17">
            <v>94</v>
          </cell>
          <cell r="Z17">
            <v>1041</v>
          </cell>
          <cell r="AA17">
            <v>73</v>
          </cell>
          <cell r="AB17">
            <v>0</v>
          </cell>
          <cell r="AC17">
            <v>1242</v>
          </cell>
          <cell r="AD17">
            <v>224</v>
          </cell>
          <cell r="AE17">
            <v>215</v>
          </cell>
          <cell r="AF17">
            <v>531</v>
          </cell>
          <cell r="AG17">
            <v>18</v>
          </cell>
          <cell r="AH17">
            <v>1717</v>
          </cell>
          <cell r="AI17">
            <v>477</v>
          </cell>
          <cell r="AJ17">
            <v>0</v>
          </cell>
          <cell r="AK17">
            <v>1327</v>
          </cell>
          <cell r="AL17">
            <v>0</v>
          </cell>
          <cell r="AM17">
            <v>14</v>
          </cell>
          <cell r="AN17">
            <v>6973</v>
          </cell>
        </row>
        <row r="18">
          <cell r="E18">
            <v>5013</v>
          </cell>
          <cell r="I18">
            <v>67</v>
          </cell>
          <cell r="J18">
            <v>255</v>
          </cell>
          <cell r="K18">
            <v>152</v>
          </cell>
          <cell r="L18">
            <v>12</v>
          </cell>
          <cell r="M18">
            <v>694</v>
          </cell>
          <cell r="N18">
            <v>245</v>
          </cell>
          <cell r="O18">
            <v>379</v>
          </cell>
          <cell r="P18">
            <v>651</v>
          </cell>
          <cell r="Q18">
            <v>40</v>
          </cell>
          <cell r="R18">
            <v>984</v>
          </cell>
          <cell r="S18">
            <v>354</v>
          </cell>
          <cell r="T18">
            <v>95</v>
          </cell>
          <cell r="U18">
            <v>1085</v>
          </cell>
          <cell r="V18">
            <v>0</v>
          </cell>
          <cell r="W18">
            <v>0</v>
          </cell>
          <cell r="X18">
            <v>5013</v>
          </cell>
          <cell r="Y18">
            <v>67</v>
          </cell>
          <cell r="Z18">
            <v>255</v>
          </cell>
          <cell r="AA18">
            <v>152</v>
          </cell>
          <cell r="AB18">
            <v>12</v>
          </cell>
          <cell r="AC18">
            <v>694</v>
          </cell>
          <cell r="AD18">
            <v>245</v>
          </cell>
          <cell r="AE18">
            <v>379</v>
          </cell>
          <cell r="AF18">
            <v>330</v>
          </cell>
          <cell r="AG18">
            <v>40</v>
          </cell>
          <cell r="AH18">
            <v>984</v>
          </cell>
          <cell r="AI18">
            <v>341</v>
          </cell>
          <cell r="AJ18">
            <v>95</v>
          </cell>
          <cell r="AK18">
            <v>1082</v>
          </cell>
          <cell r="AL18">
            <v>0</v>
          </cell>
          <cell r="AM18">
            <v>0</v>
          </cell>
          <cell r="AN18">
            <v>4676</v>
          </cell>
        </row>
        <row r="19">
          <cell r="E19">
            <v>3503</v>
          </cell>
          <cell r="I19">
            <v>68</v>
          </cell>
          <cell r="J19">
            <v>223</v>
          </cell>
          <cell r="K19">
            <v>81</v>
          </cell>
          <cell r="L19">
            <v>26</v>
          </cell>
          <cell r="M19">
            <v>615</v>
          </cell>
          <cell r="N19">
            <v>536</v>
          </cell>
          <cell r="O19">
            <v>162</v>
          </cell>
          <cell r="P19">
            <v>173</v>
          </cell>
          <cell r="Q19">
            <v>11</v>
          </cell>
          <cell r="R19">
            <v>508</v>
          </cell>
          <cell r="S19">
            <v>119</v>
          </cell>
          <cell r="T19">
            <v>0</v>
          </cell>
          <cell r="U19">
            <v>977</v>
          </cell>
          <cell r="V19">
            <v>2</v>
          </cell>
          <cell r="W19">
            <v>0</v>
          </cell>
          <cell r="X19">
            <v>3501</v>
          </cell>
          <cell r="Y19">
            <v>68</v>
          </cell>
          <cell r="Z19">
            <v>223</v>
          </cell>
          <cell r="AA19">
            <v>81</v>
          </cell>
          <cell r="AB19">
            <v>26</v>
          </cell>
          <cell r="AC19">
            <v>615</v>
          </cell>
          <cell r="AD19">
            <v>536</v>
          </cell>
          <cell r="AE19">
            <v>162</v>
          </cell>
          <cell r="AF19">
            <v>173</v>
          </cell>
          <cell r="AG19">
            <v>11</v>
          </cell>
          <cell r="AH19">
            <v>508</v>
          </cell>
          <cell r="AI19">
            <v>119</v>
          </cell>
          <cell r="AJ19">
            <v>0</v>
          </cell>
          <cell r="AK19">
            <v>977</v>
          </cell>
          <cell r="AL19">
            <v>2</v>
          </cell>
          <cell r="AM19">
            <v>0</v>
          </cell>
          <cell r="AN19">
            <v>3501</v>
          </cell>
        </row>
        <row r="20">
          <cell r="E20">
            <v>19199</v>
          </cell>
          <cell r="I20">
            <v>3139</v>
          </cell>
          <cell r="J20">
            <v>810</v>
          </cell>
          <cell r="K20">
            <v>3023</v>
          </cell>
          <cell r="L20">
            <v>163</v>
          </cell>
          <cell r="M20">
            <v>723</v>
          </cell>
          <cell r="N20">
            <v>62</v>
          </cell>
          <cell r="O20">
            <v>78</v>
          </cell>
          <cell r="P20">
            <v>1574</v>
          </cell>
          <cell r="Q20">
            <v>1041</v>
          </cell>
          <cell r="R20">
            <v>1209</v>
          </cell>
          <cell r="S20">
            <v>4614</v>
          </cell>
          <cell r="T20">
            <v>2591</v>
          </cell>
          <cell r="U20">
            <v>169</v>
          </cell>
          <cell r="V20">
            <v>2</v>
          </cell>
          <cell r="W20">
            <v>0</v>
          </cell>
          <cell r="X20">
            <v>19198</v>
          </cell>
          <cell r="Y20">
            <v>3139</v>
          </cell>
          <cell r="Z20">
            <v>810</v>
          </cell>
          <cell r="AA20">
            <v>3023</v>
          </cell>
          <cell r="AB20">
            <v>163</v>
          </cell>
          <cell r="AC20">
            <v>723</v>
          </cell>
          <cell r="AD20">
            <v>62</v>
          </cell>
          <cell r="AE20">
            <v>78</v>
          </cell>
          <cell r="AF20">
            <v>1574</v>
          </cell>
          <cell r="AG20">
            <v>1041</v>
          </cell>
          <cell r="AH20">
            <v>1209</v>
          </cell>
          <cell r="AI20">
            <v>4614</v>
          </cell>
          <cell r="AJ20">
            <v>2591</v>
          </cell>
          <cell r="AK20">
            <v>169</v>
          </cell>
          <cell r="AL20">
            <v>2</v>
          </cell>
          <cell r="AM20">
            <v>0</v>
          </cell>
          <cell r="AN20">
            <v>19198</v>
          </cell>
        </row>
        <row r="21">
          <cell r="E21">
            <v>10993</v>
          </cell>
          <cell r="I21">
            <v>447</v>
          </cell>
          <cell r="J21">
            <v>329</v>
          </cell>
          <cell r="K21">
            <v>1141</v>
          </cell>
          <cell r="L21">
            <v>41</v>
          </cell>
          <cell r="M21">
            <v>722</v>
          </cell>
          <cell r="N21">
            <v>75</v>
          </cell>
          <cell r="O21">
            <v>331</v>
          </cell>
          <cell r="P21">
            <v>469</v>
          </cell>
          <cell r="Q21">
            <v>366</v>
          </cell>
          <cell r="R21">
            <v>1532</v>
          </cell>
          <cell r="S21">
            <v>4013</v>
          </cell>
          <cell r="T21">
            <v>1310</v>
          </cell>
          <cell r="U21">
            <v>180</v>
          </cell>
          <cell r="V21">
            <v>23</v>
          </cell>
          <cell r="W21">
            <v>4</v>
          </cell>
          <cell r="X21">
            <v>10983</v>
          </cell>
          <cell r="Y21">
            <v>447</v>
          </cell>
          <cell r="Z21">
            <v>329</v>
          </cell>
          <cell r="AA21">
            <v>1141</v>
          </cell>
          <cell r="AB21">
            <v>41</v>
          </cell>
          <cell r="AC21">
            <v>722</v>
          </cell>
          <cell r="AD21">
            <v>75</v>
          </cell>
          <cell r="AE21">
            <v>331</v>
          </cell>
          <cell r="AF21">
            <v>469</v>
          </cell>
          <cell r="AG21">
            <v>366</v>
          </cell>
          <cell r="AH21">
            <v>1532</v>
          </cell>
          <cell r="AI21">
            <v>4013</v>
          </cell>
          <cell r="AJ21">
            <v>1310</v>
          </cell>
          <cell r="AK21">
            <v>180</v>
          </cell>
          <cell r="AL21">
            <v>23</v>
          </cell>
          <cell r="AM21">
            <v>4</v>
          </cell>
          <cell r="AN21">
            <v>10983</v>
          </cell>
        </row>
        <row r="22">
          <cell r="E22">
            <v>19095</v>
          </cell>
          <cell r="I22">
            <v>240</v>
          </cell>
          <cell r="J22">
            <v>4120</v>
          </cell>
          <cell r="K22">
            <v>945</v>
          </cell>
          <cell r="L22">
            <v>34</v>
          </cell>
          <cell r="M22">
            <v>3395</v>
          </cell>
          <cell r="N22">
            <v>586</v>
          </cell>
          <cell r="O22">
            <v>298</v>
          </cell>
          <cell r="P22">
            <v>1663</v>
          </cell>
          <cell r="Q22">
            <v>135</v>
          </cell>
          <cell r="R22">
            <v>2727</v>
          </cell>
          <cell r="S22">
            <v>185</v>
          </cell>
          <cell r="T22">
            <v>132</v>
          </cell>
          <cell r="U22">
            <v>4627</v>
          </cell>
          <cell r="V22">
            <v>2</v>
          </cell>
          <cell r="W22">
            <v>6</v>
          </cell>
          <cell r="X22">
            <v>19095</v>
          </cell>
          <cell r="Y22">
            <v>240</v>
          </cell>
          <cell r="Z22">
            <v>4120</v>
          </cell>
          <cell r="AA22">
            <v>945</v>
          </cell>
          <cell r="AB22">
            <v>34</v>
          </cell>
          <cell r="AC22">
            <v>3395</v>
          </cell>
          <cell r="AD22">
            <v>586</v>
          </cell>
          <cell r="AE22">
            <v>298</v>
          </cell>
          <cell r="AF22">
            <v>1663</v>
          </cell>
          <cell r="AG22">
            <v>135</v>
          </cell>
          <cell r="AH22">
            <v>2727</v>
          </cell>
          <cell r="AI22">
            <v>185</v>
          </cell>
          <cell r="AJ22">
            <v>132</v>
          </cell>
          <cell r="AK22">
            <v>4627</v>
          </cell>
          <cell r="AL22">
            <v>2</v>
          </cell>
          <cell r="AM22">
            <v>6</v>
          </cell>
          <cell r="AN22">
            <v>19095</v>
          </cell>
        </row>
        <row r="23">
          <cell r="E23">
            <v>2717</v>
          </cell>
          <cell r="I23">
            <v>0</v>
          </cell>
          <cell r="J23">
            <v>96</v>
          </cell>
          <cell r="K23">
            <v>335</v>
          </cell>
          <cell r="L23">
            <v>1</v>
          </cell>
          <cell r="M23">
            <v>661</v>
          </cell>
          <cell r="N23">
            <v>54</v>
          </cell>
          <cell r="O23">
            <v>151</v>
          </cell>
          <cell r="P23">
            <v>0</v>
          </cell>
          <cell r="Q23">
            <v>56</v>
          </cell>
          <cell r="R23">
            <v>887</v>
          </cell>
          <cell r="S23">
            <v>320</v>
          </cell>
          <cell r="T23">
            <v>0</v>
          </cell>
          <cell r="U23">
            <v>156</v>
          </cell>
          <cell r="V23">
            <v>0</v>
          </cell>
          <cell r="W23">
            <v>0</v>
          </cell>
          <cell r="X23">
            <v>2717</v>
          </cell>
          <cell r="Y23">
            <v>0</v>
          </cell>
          <cell r="Z23">
            <v>96</v>
          </cell>
          <cell r="AA23">
            <v>335</v>
          </cell>
          <cell r="AB23">
            <v>1</v>
          </cell>
          <cell r="AC23">
            <v>661</v>
          </cell>
          <cell r="AD23">
            <v>54</v>
          </cell>
          <cell r="AE23">
            <v>151</v>
          </cell>
          <cell r="AF23">
            <v>0</v>
          </cell>
          <cell r="AG23">
            <v>56</v>
          </cell>
          <cell r="AH23">
            <v>887</v>
          </cell>
          <cell r="AI23">
            <v>320</v>
          </cell>
          <cell r="AJ23">
            <v>0</v>
          </cell>
          <cell r="AK23">
            <v>156</v>
          </cell>
          <cell r="AL23">
            <v>0</v>
          </cell>
          <cell r="AM23">
            <v>0</v>
          </cell>
          <cell r="AN23">
            <v>2717</v>
          </cell>
        </row>
        <row r="24">
          <cell r="E24">
            <v>11395.45</v>
          </cell>
          <cell r="I24">
            <v>0</v>
          </cell>
          <cell r="J24">
            <v>4</v>
          </cell>
          <cell r="K24">
            <v>1</v>
          </cell>
          <cell r="L24">
            <v>214</v>
          </cell>
          <cell r="M24">
            <v>2169</v>
          </cell>
          <cell r="N24">
            <v>591</v>
          </cell>
          <cell r="O24">
            <v>703</v>
          </cell>
          <cell r="P24">
            <v>1651</v>
          </cell>
          <cell r="Q24">
            <v>0</v>
          </cell>
          <cell r="R24">
            <v>2646</v>
          </cell>
          <cell r="S24">
            <v>2028</v>
          </cell>
          <cell r="T24">
            <v>94</v>
          </cell>
          <cell r="U24">
            <v>1170</v>
          </cell>
          <cell r="V24">
            <v>0</v>
          </cell>
          <cell r="W24">
            <v>0</v>
          </cell>
          <cell r="X24">
            <v>11271</v>
          </cell>
          <cell r="Y24">
            <v>0</v>
          </cell>
          <cell r="Z24">
            <v>4</v>
          </cell>
          <cell r="AA24">
            <v>1</v>
          </cell>
          <cell r="AB24">
            <v>214</v>
          </cell>
          <cell r="AC24">
            <v>2169</v>
          </cell>
          <cell r="AD24">
            <v>591</v>
          </cell>
          <cell r="AE24">
            <v>703</v>
          </cell>
          <cell r="AF24">
            <v>1651</v>
          </cell>
          <cell r="AG24">
            <v>0</v>
          </cell>
          <cell r="AH24">
            <v>2646</v>
          </cell>
          <cell r="AI24">
            <v>2028</v>
          </cell>
          <cell r="AJ24">
            <v>94</v>
          </cell>
          <cell r="AK24">
            <v>1170</v>
          </cell>
          <cell r="AL24">
            <v>0</v>
          </cell>
          <cell r="AM24">
            <v>0</v>
          </cell>
          <cell r="AN24">
            <v>11271</v>
          </cell>
        </row>
        <row r="25">
          <cell r="E25">
            <v>6946</v>
          </cell>
          <cell r="I25">
            <v>81</v>
          </cell>
          <cell r="J25">
            <v>571</v>
          </cell>
          <cell r="K25">
            <v>145</v>
          </cell>
          <cell r="L25">
            <v>66</v>
          </cell>
          <cell r="M25">
            <v>984</v>
          </cell>
          <cell r="N25">
            <v>269</v>
          </cell>
          <cell r="O25">
            <v>178</v>
          </cell>
          <cell r="P25">
            <v>618</v>
          </cell>
          <cell r="Q25">
            <v>20</v>
          </cell>
          <cell r="R25">
            <v>1010</v>
          </cell>
          <cell r="S25">
            <v>553</v>
          </cell>
          <cell r="T25">
            <v>0</v>
          </cell>
          <cell r="U25">
            <v>2451</v>
          </cell>
          <cell r="V25">
            <v>0</v>
          </cell>
          <cell r="W25">
            <v>0</v>
          </cell>
          <cell r="X25">
            <v>6946</v>
          </cell>
          <cell r="Y25">
            <v>81</v>
          </cell>
          <cell r="Z25">
            <v>571</v>
          </cell>
          <cell r="AA25">
            <v>145</v>
          </cell>
          <cell r="AB25">
            <v>66</v>
          </cell>
          <cell r="AC25">
            <v>984</v>
          </cell>
          <cell r="AD25">
            <v>269</v>
          </cell>
          <cell r="AE25">
            <v>178</v>
          </cell>
          <cell r="AF25">
            <v>618</v>
          </cell>
          <cell r="AG25">
            <v>20</v>
          </cell>
          <cell r="AH25">
            <v>1010</v>
          </cell>
          <cell r="AI25">
            <v>553</v>
          </cell>
          <cell r="AJ25">
            <v>0</v>
          </cell>
          <cell r="AK25">
            <v>2451</v>
          </cell>
          <cell r="AL25">
            <v>0</v>
          </cell>
          <cell r="AM25">
            <v>0</v>
          </cell>
          <cell r="AN25">
            <v>6946</v>
          </cell>
        </row>
        <row r="26">
          <cell r="E26">
            <v>64720</v>
          </cell>
          <cell r="I26">
            <v>11099</v>
          </cell>
          <cell r="J26">
            <v>3410</v>
          </cell>
          <cell r="K26">
            <v>17</v>
          </cell>
          <cell r="L26">
            <v>1966</v>
          </cell>
          <cell r="M26">
            <v>1064</v>
          </cell>
          <cell r="N26">
            <v>2143</v>
          </cell>
          <cell r="O26">
            <v>3872</v>
          </cell>
          <cell r="P26">
            <v>5341</v>
          </cell>
          <cell r="Q26">
            <v>3528</v>
          </cell>
          <cell r="R26">
            <v>11065</v>
          </cell>
          <cell r="S26">
            <v>6054</v>
          </cell>
          <cell r="T26">
            <v>10941</v>
          </cell>
          <cell r="U26">
            <v>4084</v>
          </cell>
          <cell r="V26">
            <v>13</v>
          </cell>
          <cell r="W26">
            <v>69</v>
          </cell>
          <cell r="X26">
            <v>64666</v>
          </cell>
          <cell r="Y26">
            <v>11099</v>
          </cell>
          <cell r="Z26">
            <v>3410</v>
          </cell>
          <cell r="AA26">
            <v>17</v>
          </cell>
          <cell r="AB26">
            <v>1966</v>
          </cell>
          <cell r="AC26">
            <v>1064</v>
          </cell>
          <cell r="AD26">
            <v>2143</v>
          </cell>
          <cell r="AE26">
            <v>3872</v>
          </cell>
          <cell r="AF26">
            <v>5341</v>
          </cell>
          <cell r="AG26">
            <v>3528</v>
          </cell>
          <cell r="AH26">
            <v>11065</v>
          </cell>
          <cell r="AI26">
            <v>6054</v>
          </cell>
          <cell r="AJ26">
            <v>10941</v>
          </cell>
          <cell r="AK26">
            <v>4084</v>
          </cell>
          <cell r="AL26">
            <v>13</v>
          </cell>
          <cell r="AM26">
            <v>69</v>
          </cell>
          <cell r="AN26">
            <v>64666</v>
          </cell>
        </row>
        <row r="27">
          <cell r="E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row>
        <row r="28">
          <cell r="E28">
            <v>5363</v>
          </cell>
          <cell r="I28">
            <v>81</v>
          </cell>
          <cell r="J28">
            <v>188</v>
          </cell>
          <cell r="K28">
            <v>208</v>
          </cell>
          <cell r="L28">
            <v>161</v>
          </cell>
          <cell r="M28">
            <v>768</v>
          </cell>
          <cell r="N28">
            <v>95</v>
          </cell>
          <cell r="O28">
            <v>34</v>
          </cell>
          <cell r="P28">
            <v>51</v>
          </cell>
          <cell r="Q28">
            <v>166</v>
          </cell>
          <cell r="R28">
            <v>2201</v>
          </cell>
          <cell r="S28">
            <v>905</v>
          </cell>
          <cell r="T28">
            <v>383</v>
          </cell>
          <cell r="U28">
            <v>80</v>
          </cell>
          <cell r="V28">
            <v>2</v>
          </cell>
          <cell r="W28">
            <v>40</v>
          </cell>
          <cell r="X28">
            <v>5363</v>
          </cell>
          <cell r="Y28">
            <v>81</v>
          </cell>
          <cell r="Z28">
            <v>188</v>
          </cell>
          <cell r="AA28">
            <v>208</v>
          </cell>
          <cell r="AB28">
            <v>161</v>
          </cell>
          <cell r="AC28">
            <v>768</v>
          </cell>
          <cell r="AD28">
            <v>95</v>
          </cell>
          <cell r="AE28">
            <v>34</v>
          </cell>
          <cell r="AF28">
            <v>51</v>
          </cell>
          <cell r="AG28">
            <v>166</v>
          </cell>
          <cell r="AH28">
            <v>2201</v>
          </cell>
          <cell r="AI28">
            <v>905</v>
          </cell>
          <cell r="AJ28">
            <v>383</v>
          </cell>
          <cell r="AK28">
            <v>80</v>
          </cell>
          <cell r="AL28">
            <v>2</v>
          </cell>
          <cell r="AM28">
            <v>40</v>
          </cell>
          <cell r="AN28">
            <v>5363</v>
          </cell>
        </row>
        <row r="29">
          <cell r="E29">
            <v>5376</v>
          </cell>
          <cell r="I29">
            <v>64</v>
          </cell>
          <cell r="J29">
            <v>680</v>
          </cell>
          <cell r="K29">
            <v>340</v>
          </cell>
          <cell r="L29">
            <v>2</v>
          </cell>
          <cell r="M29">
            <v>964</v>
          </cell>
          <cell r="N29">
            <v>276</v>
          </cell>
          <cell r="O29">
            <v>73</v>
          </cell>
          <cell r="P29">
            <v>34</v>
          </cell>
          <cell r="Q29">
            <v>7</v>
          </cell>
          <cell r="R29">
            <v>935</v>
          </cell>
          <cell r="S29">
            <v>0</v>
          </cell>
          <cell r="T29">
            <v>0</v>
          </cell>
          <cell r="U29">
            <v>2001</v>
          </cell>
          <cell r="V29">
            <v>0</v>
          </cell>
          <cell r="W29">
            <v>0</v>
          </cell>
          <cell r="X29">
            <v>5376</v>
          </cell>
          <cell r="Y29">
            <v>64</v>
          </cell>
          <cell r="Z29">
            <v>680</v>
          </cell>
          <cell r="AA29">
            <v>340</v>
          </cell>
          <cell r="AB29">
            <v>2</v>
          </cell>
          <cell r="AC29">
            <v>964</v>
          </cell>
          <cell r="AD29">
            <v>276</v>
          </cell>
          <cell r="AE29">
            <v>73</v>
          </cell>
          <cell r="AF29">
            <v>34</v>
          </cell>
          <cell r="AG29">
            <v>7</v>
          </cell>
          <cell r="AH29">
            <v>935</v>
          </cell>
          <cell r="AI29">
            <v>0</v>
          </cell>
          <cell r="AJ29">
            <v>0</v>
          </cell>
          <cell r="AK29">
            <v>2001</v>
          </cell>
          <cell r="AL29">
            <v>0</v>
          </cell>
          <cell r="AM29">
            <v>0</v>
          </cell>
          <cell r="AN29">
            <v>5376</v>
          </cell>
        </row>
        <row r="30">
          <cell r="E30">
            <v>18145</v>
          </cell>
          <cell r="I30">
            <v>1435</v>
          </cell>
          <cell r="J30">
            <v>2884</v>
          </cell>
          <cell r="K30">
            <v>706</v>
          </cell>
          <cell r="L30">
            <v>736</v>
          </cell>
          <cell r="M30">
            <v>2008</v>
          </cell>
          <cell r="N30">
            <v>1010</v>
          </cell>
          <cell r="O30">
            <v>1042</v>
          </cell>
          <cell r="P30">
            <v>554</v>
          </cell>
          <cell r="Q30">
            <v>191</v>
          </cell>
          <cell r="R30">
            <v>4528</v>
          </cell>
          <cell r="S30">
            <v>1062</v>
          </cell>
          <cell r="T30">
            <v>281</v>
          </cell>
          <cell r="U30">
            <v>1686</v>
          </cell>
          <cell r="V30">
            <v>7</v>
          </cell>
          <cell r="W30">
            <v>14</v>
          </cell>
          <cell r="X30">
            <v>18144</v>
          </cell>
          <cell r="Y30">
            <v>1435</v>
          </cell>
          <cell r="Z30">
            <v>2884</v>
          </cell>
          <cell r="AA30">
            <v>706</v>
          </cell>
          <cell r="AB30">
            <v>736</v>
          </cell>
          <cell r="AC30">
            <v>2008</v>
          </cell>
          <cell r="AD30">
            <v>1010</v>
          </cell>
          <cell r="AE30">
            <v>1042</v>
          </cell>
          <cell r="AF30">
            <v>554</v>
          </cell>
          <cell r="AG30">
            <v>191</v>
          </cell>
          <cell r="AH30">
            <v>4528</v>
          </cell>
          <cell r="AI30">
            <v>1062</v>
          </cell>
          <cell r="AJ30">
            <v>281</v>
          </cell>
          <cell r="AK30">
            <v>1686</v>
          </cell>
          <cell r="AL30">
            <v>7</v>
          </cell>
          <cell r="AM30">
            <v>14</v>
          </cell>
          <cell r="AN30">
            <v>18144</v>
          </cell>
        </row>
        <row r="31">
          <cell r="E31">
            <v>5118.13</v>
          </cell>
          <cell r="I31">
            <v>0</v>
          </cell>
          <cell r="J31">
            <v>282</v>
          </cell>
          <cell r="K31">
            <v>16</v>
          </cell>
          <cell r="L31">
            <v>0</v>
          </cell>
          <cell r="M31">
            <v>863</v>
          </cell>
          <cell r="N31">
            <v>77</v>
          </cell>
          <cell r="O31">
            <v>424</v>
          </cell>
          <cell r="P31">
            <v>163</v>
          </cell>
          <cell r="Q31">
            <v>77</v>
          </cell>
          <cell r="R31">
            <v>1076</v>
          </cell>
          <cell r="S31">
            <v>1697</v>
          </cell>
          <cell r="T31">
            <v>0</v>
          </cell>
          <cell r="U31">
            <v>422</v>
          </cell>
          <cell r="V31">
            <v>0</v>
          </cell>
          <cell r="W31">
            <v>10</v>
          </cell>
          <cell r="X31">
            <v>5107</v>
          </cell>
          <cell r="Y31">
            <v>0</v>
          </cell>
          <cell r="Z31">
            <v>282</v>
          </cell>
          <cell r="AA31">
            <v>16</v>
          </cell>
          <cell r="AB31">
            <v>0</v>
          </cell>
          <cell r="AC31">
            <v>863</v>
          </cell>
          <cell r="AD31">
            <v>77</v>
          </cell>
          <cell r="AE31">
            <v>424</v>
          </cell>
          <cell r="AF31">
            <v>163</v>
          </cell>
          <cell r="AG31">
            <v>77</v>
          </cell>
          <cell r="AH31">
            <v>1076</v>
          </cell>
          <cell r="AI31">
            <v>1697</v>
          </cell>
          <cell r="AJ31">
            <v>0</v>
          </cell>
          <cell r="AK31">
            <v>422</v>
          </cell>
          <cell r="AL31">
            <v>0</v>
          </cell>
          <cell r="AM31">
            <v>10</v>
          </cell>
          <cell r="AN31">
            <v>5107</v>
          </cell>
        </row>
        <row r="32">
          <cell r="E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row>
        <row r="33">
          <cell r="E33">
            <v>9225</v>
          </cell>
          <cell r="I33">
            <v>33</v>
          </cell>
          <cell r="J33">
            <v>532</v>
          </cell>
          <cell r="K33">
            <v>363</v>
          </cell>
          <cell r="L33">
            <v>3</v>
          </cell>
          <cell r="M33">
            <v>161</v>
          </cell>
          <cell r="N33">
            <v>124</v>
          </cell>
          <cell r="O33">
            <v>481</v>
          </cell>
          <cell r="P33">
            <v>308</v>
          </cell>
          <cell r="Q33">
            <v>988</v>
          </cell>
          <cell r="R33">
            <v>365</v>
          </cell>
          <cell r="S33">
            <v>3627</v>
          </cell>
          <cell r="T33">
            <v>2100</v>
          </cell>
          <cell r="U33">
            <v>126</v>
          </cell>
          <cell r="V33">
            <v>0</v>
          </cell>
          <cell r="W33">
            <v>0</v>
          </cell>
          <cell r="X33">
            <v>9211</v>
          </cell>
          <cell r="Y33">
            <v>33</v>
          </cell>
          <cell r="Z33">
            <v>532</v>
          </cell>
          <cell r="AA33">
            <v>363</v>
          </cell>
          <cell r="AB33">
            <v>3</v>
          </cell>
          <cell r="AC33">
            <v>161</v>
          </cell>
          <cell r="AD33">
            <v>124</v>
          </cell>
          <cell r="AE33">
            <v>481</v>
          </cell>
          <cell r="AF33">
            <v>308</v>
          </cell>
          <cell r="AG33">
            <v>988</v>
          </cell>
          <cell r="AH33">
            <v>365</v>
          </cell>
          <cell r="AI33">
            <v>3627</v>
          </cell>
          <cell r="AJ33">
            <v>2100</v>
          </cell>
          <cell r="AK33">
            <v>126</v>
          </cell>
          <cell r="AL33">
            <v>0</v>
          </cell>
          <cell r="AM33">
            <v>0</v>
          </cell>
          <cell r="AN33">
            <v>9211</v>
          </cell>
        </row>
        <row r="34">
          <cell r="E34">
            <v>2543.7</v>
          </cell>
          <cell r="I34">
            <v>0</v>
          </cell>
          <cell r="J34">
            <v>150</v>
          </cell>
          <cell r="K34">
            <v>40</v>
          </cell>
          <cell r="L34">
            <v>2</v>
          </cell>
          <cell r="M34">
            <v>672</v>
          </cell>
          <cell r="N34">
            <v>97</v>
          </cell>
          <cell r="O34">
            <v>7</v>
          </cell>
          <cell r="P34">
            <v>14</v>
          </cell>
          <cell r="Q34">
            <v>1</v>
          </cell>
          <cell r="R34">
            <v>593</v>
          </cell>
          <cell r="S34">
            <v>440</v>
          </cell>
          <cell r="T34">
            <v>147</v>
          </cell>
          <cell r="U34">
            <v>372</v>
          </cell>
          <cell r="V34">
            <v>0</v>
          </cell>
          <cell r="W34">
            <v>0</v>
          </cell>
          <cell r="X34">
            <v>2535</v>
          </cell>
          <cell r="Y34">
            <v>0</v>
          </cell>
          <cell r="Z34">
            <v>150</v>
          </cell>
          <cell r="AA34">
            <v>40</v>
          </cell>
          <cell r="AB34">
            <v>2</v>
          </cell>
          <cell r="AC34">
            <v>672</v>
          </cell>
          <cell r="AD34">
            <v>97</v>
          </cell>
          <cell r="AE34">
            <v>7</v>
          </cell>
          <cell r="AF34">
            <v>14</v>
          </cell>
          <cell r="AG34">
            <v>1</v>
          </cell>
          <cell r="AH34">
            <v>593</v>
          </cell>
          <cell r="AI34">
            <v>440</v>
          </cell>
          <cell r="AJ34">
            <v>147</v>
          </cell>
          <cell r="AK34">
            <v>372</v>
          </cell>
          <cell r="AL34">
            <v>0</v>
          </cell>
          <cell r="AM34">
            <v>0</v>
          </cell>
          <cell r="AN34">
            <v>2535</v>
          </cell>
        </row>
        <row r="35">
          <cell r="E35">
            <v>12304</v>
          </cell>
          <cell r="I35">
            <v>78</v>
          </cell>
          <cell r="J35">
            <v>1471</v>
          </cell>
          <cell r="K35">
            <v>582</v>
          </cell>
          <cell r="L35">
            <v>12</v>
          </cell>
          <cell r="M35">
            <v>1006</v>
          </cell>
          <cell r="N35">
            <v>62</v>
          </cell>
          <cell r="O35">
            <v>772</v>
          </cell>
          <cell r="P35">
            <v>293</v>
          </cell>
          <cell r="Q35">
            <v>360</v>
          </cell>
          <cell r="R35">
            <v>1453</v>
          </cell>
          <cell r="S35">
            <v>3997</v>
          </cell>
          <cell r="T35">
            <v>1962</v>
          </cell>
          <cell r="U35">
            <v>256</v>
          </cell>
          <cell r="V35">
            <v>0</v>
          </cell>
          <cell r="W35">
            <v>0</v>
          </cell>
          <cell r="X35">
            <v>12304</v>
          </cell>
          <cell r="Y35">
            <v>78</v>
          </cell>
          <cell r="Z35">
            <v>1471</v>
          </cell>
          <cell r="AA35">
            <v>582</v>
          </cell>
          <cell r="AB35">
            <v>12</v>
          </cell>
          <cell r="AC35">
            <v>1006</v>
          </cell>
          <cell r="AD35">
            <v>62</v>
          </cell>
          <cell r="AE35">
            <v>772</v>
          </cell>
          <cell r="AF35">
            <v>293</v>
          </cell>
          <cell r="AG35">
            <v>360</v>
          </cell>
          <cell r="AH35">
            <v>1453</v>
          </cell>
          <cell r="AI35">
            <v>3997</v>
          </cell>
          <cell r="AJ35">
            <v>1962</v>
          </cell>
          <cell r="AK35">
            <v>256</v>
          </cell>
          <cell r="AL35">
            <v>0</v>
          </cell>
          <cell r="AM35">
            <v>0</v>
          </cell>
          <cell r="AN35">
            <v>12304</v>
          </cell>
        </row>
        <row r="36">
          <cell r="E36">
            <v>28226</v>
          </cell>
          <cell r="I36">
            <v>3</v>
          </cell>
          <cell r="J36">
            <v>3255</v>
          </cell>
          <cell r="K36">
            <v>2771</v>
          </cell>
          <cell r="L36">
            <v>0</v>
          </cell>
          <cell r="M36">
            <v>961</v>
          </cell>
          <cell r="N36">
            <v>113</v>
          </cell>
          <cell r="O36">
            <v>833</v>
          </cell>
          <cell r="P36">
            <v>4330</v>
          </cell>
          <cell r="Q36">
            <v>597</v>
          </cell>
          <cell r="R36">
            <v>5954</v>
          </cell>
          <cell r="S36">
            <v>4122</v>
          </cell>
          <cell r="T36">
            <v>4284</v>
          </cell>
          <cell r="U36">
            <v>996</v>
          </cell>
          <cell r="V36">
            <v>7</v>
          </cell>
          <cell r="W36">
            <v>0</v>
          </cell>
          <cell r="X36">
            <v>28226</v>
          </cell>
          <cell r="Y36">
            <v>3</v>
          </cell>
          <cell r="Z36">
            <v>3255</v>
          </cell>
          <cell r="AA36">
            <v>2771</v>
          </cell>
          <cell r="AB36">
            <v>0</v>
          </cell>
          <cell r="AC36">
            <v>961</v>
          </cell>
          <cell r="AD36">
            <v>113</v>
          </cell>
          <cell r="AE36">
            <v>833</v>
          </cell>
          <cell r="AF36">
            <v>4330</v>
          </cell>
          <cell r="AG36">
            <v>597</v>
          </cell>
          <cell r="AH36">
            <v>5954</v>
          </cell>
          <cell r="AI36">
            <v>4122</v>
          </cell>
          <cell r="AJ36">
            <v>4284</v>
          </cell>
          <cell r="AK36">
            <v>996</v>
          </cell>
          <cell r="AL36">
            <v>7</v>
          </cell>
          <cell r="AM36">
            <v>0</v>
          </cell>
          <cell r="AN36">
            <v>28226</v>
          </cell>
        </row>
        <row r="37">
          <cell r="E37">
            <v>4619</v>
          </cell>
          <cell r="I37">
            <v>303</v>
          </cell>
          <cell r="J37">
            <v>371</v>
          </cell>
          <cell r="K37">
            <v>62</v>
          </cell>
          <cell r="L37">
            <v>7</v>
          </cell>
          <cell r="M37">
            <v>639</v>
          </cell>
          <cell r="N37">
            <v>107</v>
          </cell>
          <cell r="O37">
            <v>194</v>
          </cell>
          <cell r="P37">
            <v>46</v>
          </cell>
          <cell r="Q37">
            <v>0</v>
          </cell>
          <cell r="R37">
            <v>1797</v>
          </cell>
          <cell r="S37">
            <v>418</v>
          </cell>
          <cell r="T37">
            <v>0</v>
          </cell>
          <cell r="U37">
            <v>675</v>
          </cell>
          <cell r="V37">
            <v>0</v>
          </cell>
          <cell r="W37">
            <v>0</v>
          </cell>
          <cell r="X37">
            <v>4619</v>
          </cell>
          <cell r="Y37">
            <v>303</v>
          </cell>
          <cell r="Z37">
            <v>371</v>
          </cell>
          <cell r="AA37">
            <v>62</v>
          </cell>
          <cell r="AB37">
            <v>7</v>
          </cell>
          <cell r="AC37">
            <v>639</v>
          </cell>
          <cell r="AD37">
            <v>107</v>
          </cell>
          <cell r="AE37">
            <v>194</v>
          </cell>
          <cell r="AF37">
            <v>46</v>
          </cell>
          <cell r="AG37">
            <v>0</v>
          </cell>
          <cell r="AH37">
            <v>1797</v>
          </cell>
          <cell r="AI37">
            <v>418</v>
          </cell>
          <cell r="AJ37">
            <v>0</v>
          </cell>
          <cell r="AK37">
            <v>675</v>
          </cell>
          <cell r="AL37">
            <v>0</v>
          </cell>
          <cell r="AM37">
            <v>0</v>
          </cell>
          <cell r="AN37">
            <v>4619</v>
          </cell>
        </row>
        <row r="38">
          <cell r="E38">
            <v>8307.5</v>
          </cell>
          <cell r="I38">
            <v>82</v>
          </cell>
          <cell r="J38">
            <v>1406</v>
          </cell>
          <cell r="K38">
            <v>1097</v>
          </cell>
          <cell r="L38">
            <v>83</v>
          </cell>
          <cell r="M38">
            <v>979</v>
          </cell>
          <cell r="N38">
            <v>148</v>
          </cell>
          <cell r="O38">
            <v>125</v>
          </cell>
          <cell r="P38">
            <v>152</v>
          </cell>
          <cell r="Q38">
            <v>513</v>
          </cell>
          <cell r="R38">
            <v>2503</v>
          </cell>
          <cell r="S38">
            <v>409</v>
          </cell>
          <cell r="T38">
            <v>0</v>
          </cell>
          <cell r="U38">
            <v>810</v>
          </cell>
          <cell r="V38">
            <v>0</v>
          </cell>
          <cell r="W38">
            <v>0</v>
          </cell>
          <cell r="X38">
            <v>8307</v>
          </cell>
          <cell r="Y38">
            <v>82</v>
          </cell>
          <cell r="Z38">
            <v>1406</v>
          </cell>
          <cell r="AA38">
            <v>1097</v>
          </cell>
          <cell r="AB38">
            <v>83</v>
          </cell>
          <cell r="AC38">
            <v>979</v>
          </cell>
          <cell r="AD38">
            <v>148</v>
          </cell>
          <cell r="AE38">
            <v>125</v>
          </cell>
          <cell r="AF38">
            <v>152</v>
          </cell>
          <cell r="AG38">
            <v>513</v>
          </cell>
          <cell r="AH38">
            <v>2503</v>
          </cell>
          <cell r="AI38">
            <v>409</v>
          </cell>
          <cell r="AJ38">
            <v>0</v>
          </cell>
          <cell r="AK38">
            <v>810</v>
          </cell>
          <cell r="AL38">
            <v>0</v>
          </cell>
          <cell r="AM38">
            <v>0</v>
          </cell>
          <cell r="AN38">
            <v>8307</v>
          </cell>
        </row>
        <row r="39">
          <cell r="E39">
            <v>7405.23</v>
          </cell>
          <cell r="I39">
            <v>96</v>
          </cell>
          <cell r="J39">
            <v>485</v>
          </cell>
          <cell r="K39">
            <v>557</v>
          </cell>
          <cell r="L39">
            <v>79</v>
          </cell>
          <cell r="M39">
            <v>943</v>
          </cell>
          <cell r="N39">
            <v>380</v>
          </cell>
          <cell r="O39">
            <v>368</v>
          </cell>
          <cell r="P39">
            <v>553</v>
          </cell>
          <cell r="Q39">
            <v>156</v>
          </cell>
          <cell r="R39">
            <v>3037</v>
          </cell>
          <cell r="S39">
            <v>437</v>
          </cell>
          <cell r="T39">
            <v>17</v>
          </cell>
          <cell r="U39">
            <v>243</v>
          </cell>
          <cell r="V39">
            <v>0</v>
          </cell>
          <cell r="W39">
            <v>13</v>
          </cell>
          <cell r="X39">
            <v>7364</v>
          </cell>
          <cell r="Y39">
            <v>96</v>
          </cell>
          <cell r="Z39">
            <v>485</v>
          </cell>
          <cell r="AA39">
            <v>557</v>
          </cell>
          <cell r="AB39">
            <v>79</v>
          </cell>
          <cell r="AC39">
            <v>943</v>
          </cell>
          <cell r="AD39">
            <v>380</v>
          </cell>
          <cell r="AE39">
            <v>368</v>
          </cell>
          <cell r="AF39">
            <v>553</v>
          </cell>
          <cell r="AG39">
            <v>156</v>
          </cell>
          <cell r="AH39">
            <v>3037</v>
          </cell>
          <cell r="AI39">
            <v>437</v>
          </cell>
          <cell r="AJ39">
            <v>17</v>
          </cell>
          <cell r="AK39">
            <v>243</v>
          </cell>
          <cell r="AL39">
            <v>0</v>
          </cell>
          <cell r="AM39">
            <v>13</v>
          </cell>
          <cell r="AN39">
            <v>7364</v>
          </cell>
        </row>
        <row r="40">
          <cell r="E40">
            <v>23890</v>
          </cell>
          <cell r="I40">
            <v>13</v>
          </cell>
          <cell r="J40">
            <v>18</v>
          </cell>
          <cell r="K40">
            <v>451</v>
          </cell>
          <cell r="L40">
            <v>10</v>
          </cell>
          <cell r="M40">
            <v>49</v>
          </cell>
          <cell r="N40">
            <v>24</v>
          </cell>
          <cell r="O40">
            <v>516</v>
          </cell>
          <cell r="P40">
            <v>18</v>
          </cell>
          <cell r="Q40">
            <v>246</v>
          </cell>
          <cell r="R40">
            <v>335</v>
          </cell>
          <cell r="S40">
            <v>13767</v>
          </cell>
          <cell r="T40">
            <v>8263</v>
          </cell>
          <cell r="U40">
            <v>7</v>
          </cell>
          <cell r="V40">
            <v>127</v>
          </cell>
          <cell r="W40">
            <v>46</v>
          </cell>
          <cell r="X40">
            <v>23890</v>
          </cell>
          <cell r="Y40">
            <v>13</v>
          </cell>
          <cell r="Z40">
            <v>18</v>
          </cell>
          <cell r="AA40">
            <v>451</v>
          </cell>
          <cell r="AB40">
            <v>10</v>
          </cell>
          <cell r="AC40">
            <v>49</v>
          </cell>
          <cell r="AD40">
            <v>24</v>
          </cell>
          <cell r="AE40">
            <v>516</v>
          </cell>
          <cell r="AF40">
            <v>18</v>
          </cell>
          <cell r="AG40">
            <v>246</v>
          </cell>
          <cell r="AH40">
            <v>335</v>
          </cell>
          <cell r="AI40">
            <v>13767</v>
          </cell>
          <cell r="AJ40">
            <v>7670</v>
          </cell>
          <cell r="AK40">
            <v>7</v>
          </cell>
          <cell r="AL40">
            <v>127</v>
          </cell>
          <cell r="AM40">
            <v>46</v>
          </cell>
          <cell r="AN40">
            <v>23297</v>
          </cell>
        </row>
        <row r="41">
          <cell r="E41">
            <v>5482</v>
          </cell>
          <cell r="I41">
            <v>9</v>
          </cell>
          <cell r="J41">
            <v>585</v>
          </cell>
          <cell r="K41">
            <v>94</v>
          </cell>
          <cell r="L41">
            <v>19</v>
          </cell>
          <cell r="M41">
            <v>755</v>
          </cell>
          <cell r="N41">
            <v>194</v>
          </cell>
          <cell r="O41">
            <v>36</v>
          </cell>
          <cell r="P41">
            <v>593</v>
          </cell>
          <cell r="Q41">
            <v>4</v>
          </cell>
          <cell r="R41">
            <v>1152</v>
          </cell>
          <cell r="S41">
            <v>84</v>
          </cell>
          <cell r="T41">
            <v>0</v>
          </cell>
          <cell r="U41">
            <v>1957</v>
          </cell>
          <cell r="V41">
            <v>0</v>
          </cell>
          <cell r="W41">
            <v>0</v>
          </cell>
          <cell r="X41">
            <v>5482</v>
          </cell>
          <cell r="Y41">
            <v>9</v>
          </cell>
          <cell r="Z41">
            <v>585</v>
          </cell>
          <cell r="AA41">
            <v>94</v>
          </cell>
          <cell r="AB41">
            <v>19</v>
          </cell>
          <cell r="AC41">
            <v>755</v>
          </cell>
          <cell r="AD41">
            <v>194</v>
          </cell>
          <cell r="AE41">
            <v>36</v>
          </cell>
          <cell r="AF41">
            <v>593</v>
          </cell>
          <cell r="AG41">
            <v>4</v>
          </cell>
          <cell r="AH41">
            <v>1152</v>
          </cell>
          <cell r="AI41">
            <v>84</v>
          </cell>
          <cell r="AJ41">
            <v>0</v>
          </cell>
          <cell r="AK41">
            <v>1957</v>
          </cell>
          <cell r="AL41">
            <v>0</v>
          </cell>
          <cell r="AM41">
            <v>0</v>
          </cell>
          <cell r="AN41">
            <v>5482</v>
          </cell>
        </row>
        <row r="42">
          <cell r="E42">
            <v>5214</v>
          </cell>
          <cell r="I42">
            <v>0</v>
          </cell>
          <cell r="J42">
            <v>511</v>
          </cell>
          <cell r="K42">
            <v>287</v>
          </cell>
          <cell r="L42">
            <v>0</v>
          </cell>
          <cell r="M42">
            <v>864</v>
          </cell>
          <cell r="N42">
            <v>347</v>
          </cell>
          <cell r="O42">
            <v>296</v>
          </cell>
          <cell r="P42">
            <v>111</v>
          </cell>
          <cell r="Q42">
            <v>37</v>
          </cell>
          <cell r="R42">
            <v>1382</v>
          </cell>
          <cell r="S42">
            <v>710</v>
          </cell>
          <cell r="T42">
            <v>133</v>
          </cell>
          <cell r="U42">
            <v>507</v>
          </cell>
          <cell r="V42">
            <v>22</v>
          </cell>
          <cell r="W42">
            <v>0</v>
          </cell>
          <cell r="X42">
            <v>5207</v>
          </cell>
          <cell r="Y42">
            <v>0</v>
          </cell>
          <cell r="Z42">
            <v>511</v>
          </cell>
          <cell r="AA42">
            <v>287</v>
          </cell>
          <cell r="AB42">
            <v>0</v>
          </cell>
          <cell r="AC42">
            <v>864</v>
          </cell>
          <cell r="AD42">
            <v>347</v>
          </cell>
          <cell r="AE42">
            <v>296</v>
          </cell>
          <cell r="AF42">
            <v>111</v>
          </cell>
          <cell r="AG42">
            <v>37</v>
          </cell>
          <cell r="AH42">
            <v>1382</v>
          </cell>
          <cell r="AI42">
            <v>710</v>
          </cell>
          <cell r="AJ42">
            <v>133</v>
          </cell>
          <cell r="AK42">
            <v>507</v>
          </cell>
          <cell r="AL42">
            <v>22</v>
          </cell>
          <cell r="AM42">
            <v>0</v>
          </cell>
          <cell r="AN42">
            <v>5207</v>
          </cell>
        </row>
        <row r="43">
          <cell r="E43">
            <v>1537</v>
          </cell>
          <cell r="I43">
            <v>0</v>
          </cell>
          <cell r="J43">
            <v>21</v>
          </cell>
          <cell r="K43">
            <v>0</v>
          </cell>
          <cell r="L43">
            <v>5</v>
          </cell>
          <cell r="M43">
            <v>248</v>
          </cell>
          <cell r="N43">
            <v>147</v>
          </cell>
          <cell r="O43">
            <v>32</v>
          </cell>
          <cell r="P43">
            <v>47</v>
          </cell>
          <cell r="Q43">
            <v>6</v>
          </cell>
          <cell r="R43">
            <v>556</v>
          </cell>
          <cell r="S43">
            <v>58</v>
          </cell>
          <cell r="T43">
            <v>0</v>
          </cell>
          <cell r="U43">
            <v>417</v>
          </cell>
          <cell r="V43">
            <v>0</v>
          </cell>
          <cell r="W43">
            <v>0</v>
          </cell>
          <cell r="X43">
            <v>1537</v>
          </cell>
          <cell r="Y43">
            <v>0</v>
          </cell>
          <cell r="Z43">
            <v>21</v>
          </cell>
          <cell r="AA43">
            <v>0</v>
          </cell>
          <cell r="AB43">
            <v>5</v>
          </cell>
          <cell r="AC43">
            <v>248</v>
          </cell>
          <cell r="AD43">
            <v>147</v>
          </cell>
          <cell r="AE43">
            <v>32</v>
          </cell>
          <cell r="AF43">
            <v>47</v>
          </cell>
          <cell r="AG43">
            <v>6</v>
          </cell>
          <cell r="AH43">
            <v>556</v>
          </cell>
          <cell r="AI43">
            <v>58</v>
          </cell>
          <cell r="AJ43">
            <v>0</v>
          </cell>
          <cell r="AK43">
            <v>417</v>
          </cell>
          <cell r="AL43">
            <v>0</v>
          </cell>
          <cell r="AM43">
            <v>0</v>
          </cell>
          <cell r="AN43">
            <v>1537</v>
          </cell>
        </row>
        <row r="44">
          <cell r="E44">
            <v>5215</v>
          </cell>
          <cell r="I44">
            <v>99</v>
          </cell>
          <cell r="J44">
            <v>387</v>
          </cell>
          <cell r="K44">
            <v>40</v>
          </cell>
          <cell r="L44">
            <v>445</v>
          </cell>
          <cell r="M44">
            <v>805</v>
          </cell>
          <cell r="N44">
            <v>632</v>
          </cell>
          <cell r="O44">
            <v>130</v>
          </cell>
          <cell r="P44">
            <v>97</v>
          </cell>
          <cell r="Q44">
            <v>43</v>
          </cell>
          <cell r="R44">
            <v>1259</v>
          </cell>
          <cell r="S44">
            <v>489</v>
          </cell>
          <cell r="T44">
            <v>0</v>
          </cell>
          <cell r="U44">
            <v>773</v>
          </cell>
          <cell r="V44">
            <v>0</v>
          </cell>
          <cell r="W44">
            <v>16</v>
          </cell>
          <cell r="X44">
            <v>5215</v>
          </cell>
          <cell r="Y44">
            <v>99</v>
          </cell>
          <cell r="Z44">
            <v>387</v>
          </cell>
          <cell r="AA44">
            <v>40</v>
          </cell>
          <cell r="AB44">
            <v>445</v>
          </cell>
          <cell r="AC44">
            <v>805</v>
          </cell>
          <cell r="AD44">
            <v>632</v>
          </cell>
          <cell r="AE44">
            <v>130</v>
          </cell>
          <cell r="AF44">
            <v>97</v>
          </cell>
          <cell r="AG44">
            <v>43</v>
          </cell>
          <cell r="AH44">
            <v>1259</v>
          </cell>
          <cell r="AI44">
            <v>489</v>
          </cell>
          <cell r="AJ44">
            <v>0</v>
          </cell>
          <cell r="AK44">
            <v>773</v>
          </cell>
          <cell r="AL44">
            <v>0</v>
          </cell>
          <cell r="AM44">
            <v>16</v>
          </cell>
          <cell r="AN44">
            <v>5215</v>
          </cell>
        </row>
        <row r="45">
          <cell r="E45">
            <v>5845.5</v>
          </cell>
          <cell r="I45">
            <v>127</v>
          </cell>
          <cell r="J45">
            <v>402</v>
          </cell>
          <cell r="K45">
            <v>362</v>
          </cell>
          <cell r="L45">
            <v>0</v>
          </cell>
          <cell r="M45">
            <v>1004</v>
          </cell>
          <cell r="N45">
            <v>53</v>
          </cell>
          <cell r="O45">
            <v>192</v>
          </cell>
          <cell r="P45">
            <v>391</v>
          </cell>
          <cell r="Q45">
            <v>17</v>
          </cell>
          <cell r="R45">
            <v>1753</v>
          </cell>
          <cell r="S45">
            <v>980</v>
          </cell>
          <cell r="T45">
            <v>0</v>
          </cell>
          <cell r="U45">
            <v>564</v>
          </cell>
          <cell r="V45">
            <v>0</v>
          </cell>
          <cell r="W45">
            <v>0</v>
          </cell>
          <cell r="X45">
            <v>5845</v>
          </cell>
          <cell r="Y45">
            <v>127</v>
          </cell>
          <cell r="Z45">
            <v>402</v>
          </cell>
          <cell r="AA45">
            <v>362</v>
          </cell>
          <cell r="AB45">
            <v>0</v>
          </cell>
          <cell r="AC45">
            <v>1004</v>
          </cell>
          <cell r="AD45">
            <v>53</v>
          </cell>
          <cell r="AE45">
            <v>192</v>
          </cell>
          <cell r="AF45">
            <v>391</v>
          </cell>
          <cell r="AG45">
            <v>17</v>
          </cell>
          <cell r="AH45">
            <v>1753</v>
          </cell>
          <cell r="AI45">
            <v>980</v>
          </cell>
          <cell r="AJ45">
            <v>0</v>
          </cell>
          <cell r="AK45">
            <v>564</v>
          </cell>
          <cell r="AL45">
            <v>0</v>
          </cell>
          <cell r="AM45">
            <v>0</v>
          </cell>
          <cell r="AN45">
            <v>5845</v>
          </cell>
        </row>
        <row r="46">
          <cell r="E46">
            <v>4601</v>
          </cell>
          <cell r="I46">
            <v>191</v>
          </cell>
          <cell r="J46">
            <v>246</v>
          </cell>
          <cell r="K46">
            <v>308</v>
          </cell>
          <cell r="L46">
            <v>86</v>
          </cell>
          <cell r="M46">
            <v>308</v>
          </cell>
          <cell r="N46">
            <v>102</v>
          </cell>
          <cell r="O46">
            <v>195</v>
          </cell>
          <cell r="P46">
            <v>548</v>
          </cell>
          <cell r="Q46">
            <v>57</v>
          </cell>
          <cell r="R46">
            <v>787</v>
          </cell>
          <cell r="S46">
            <v>1533</v>
          </cell>
          <cell r="T46">
            <v>0</v>
          </cell>
          <cell r="U46">
            <v>221</v>
          </cell>
          <cell r="V46">
            <v>0</v>
          </cell>
          <cell r="W46">
            <v>0</v>
          </cell>
          <cell r="X46">
            <v>4582</v>
          </cell>
          <cell r="Y46">
            <v>191</v>
          </cell>
          <cell r="Z46">
            <v>246</v>
          </cell>
          <cell r="AA46">
            <v>308</v>
          </cell>
          <cell r="AB46">
            <v>86</v>
          </cell>
          <cell r="AC46">
            <v>308</v>
          </cell>
          <cell r="AD46">
            <v>102</v>
          </cell>
          <cell r="AE46">
            <v>195</v>
          </cell>
          <cell r="AF46">
            <v>548</v>
          </cell>
          <cell r="AG46">
            <v>57</v>
          </cell>
          <cell r="AH46">
            <v>787</v>
          </cell>
          <cell r="AI46">
            <v>1533</v>
          </cell>
          <cell r="AJ46">
            <v>0</v>
          </cell>
          <cell r="AK46">
            <v>221</v>
          </cell>
          <cell r="AL46">
            <v>0</v>
          </cell>
          <cell r="AM46">
            <v>0</v>
          </cell>
          <cell r="AN46">
            <v>4582</v>
          </cell>
        </row>
        <row r="47">
          <cell r="E47">
            <v>5667</v>
          </cell>
          <cell r="I47">
            <v>128</v>
          </cell>
          <cell r="J47">
            <v>456</v>
          </cell>
          <cell r="K47">
            <v>77</v>
          </cell>
          <cell r="L47">
            <v>130</v>
          </cell>
          <cell r="M47">
            <v>794</v>
          </cell>
          <cell r="N47">
            <v>403</v>
          </cell>
          <cell r="O47">
            <v>186</v>
          </cell>
          <cell r="P47">
            <v>975</v>
          </cell>
          <cell r="Q47">
            <v>70</v>
          </cell>
          <cell r="R47">
            <v>1221</v>
          </cell>
          <cell r="S47">
            <v>413</v>
          </cell>
          <cell r="T47">
            <v>151</v>
          </cell>
          <cell r="U47">
            <v>641</v>
          </cell>
          <cell r="V47">
            <v>0</v>
          </cell>
          <cell r="W47">
            <v>22</v>
          </cell>
          <cell r="X47">
            <v>5667</v>
          </cell>
          <cell r="Y47">
            <v>128</v>
          </cell>
          <cell r="Z47">
            <v>456</v>
          </cell>
          <cell r="AA47">
            <v>77</v>
          </cell>
          <cell r="AB47">
            <v>130</v>
          </cell>
          <cell r="AC47">
            <v>794</v>
          </cell>
          <cell r="AD47">
            <v>403</v>
          </cell>
          <cell r="AE47">
            <v>186</v>
          </cell>
          <cell r="AF47">
            <v>975</v>
          </cell>
          <cell r="AG47">
            <v>70</v>
          </cell>
          <cell r="AH47">
            <v>1221</v>
          </cell>
          <cell r="AI47">
            <v>413</v>
          </cell>
          <cell r="AJ47">
            <v>151</v>
          </cell>
          <cell r="AK47">
            <v>641</v>
          </cell>
          <cell r="AL47">
            <v>0</v>
          </cell>
          <cell r="AM47">
            <v>22</v>
          </cell>
          <cell r="AN47">
            <v>5667</v>
          </cell>
        </row>
        <row r="48">
          <cell r="E48">
            <v>9737</v>
          </cell>
          <cell r="I48">
            <v>229</v>
          </cell>
          <cell r="J48">
            <v>1552</v>
          </cell>
          <cell r="K48">
            <v>525</v>
          </cell>
          <cell r="L48">
            <v>31</v>
          </cell>
          <cell r="M48">
            <v>1487</v>
          </cell>
          <cell r="N48">
            <v>82</v>
          </cell>
          <cell r="O48">
            <v>212</v>
          </cell>
          <cell r="P48">
            <v>922</v>
          </cell>
          <cell r="Q48">
            <v>0</v>
          </cell>
          <cell r="R48">
            <v>1422</v>
          </cell>
          <cell r="S48">
            <v>1885</v>
          </cell>
          <cell r="T48">
            <v>0</v>
          </cell>
          <cell r="U48">
            <v>1390</v>
          </cell>
          <cell r="V48">
            <v>0</v>
          </cell>
          <cell r="W48">
            <v>0</v>
          </cell>
          <cell r="X48">
            <v>9737</v>
          </cell>
          <cell r="Y48">
            <v>229</v>
          </cell>
          <cell r="Z48">
            <v>1552</v>
          </cell>
          <cell r="AA48">
            <v>525</v>
          </cell>
          <cell r="AB48">
            <v>31</v>
          </cell>
          <cell r="AC48">
            <v>1487</v>
          </cell>
          <cell r="AD48">
            <v>82</v>
          </cell>
          <cell r="AE48">
            <v>212</v>
          </cell>
          <cell r="AF48">
            <v>922</v>
          </cell>
          <cell r="AG48">
            <v>0</v>
          </cell>
          <cell r="AH48">
            <v>1422</v>
          </cell>
          <cell r="AI48">
            <v>1885</v>
          </cell>
          <cell r="AJ48">
            <v>0</v>
          </cell>
          <cell r="AK48">
            <v>1390</v>
          </cell>
          <cell r="AL48">
            <v>0</v>
          </cell>
          <cell r="AM48">
            <v>0</v>
          </cell>
          <cell r="AN48">
            <v>9737</v>
          </cell>
        </row>
        <row r="49">
          <cell r="E49">
            <v>1887</v>
          </cell>
          <cell r="I49">
            <v>0</v>
          </cell>
          <cell r="J49">
            <v>0</v>
          </cell>
          <cell r="K49">
            <v>0</v>
          </cell>
          <cell r="L49">
            <v>0</v>
          </cell>
          <cell r="M49">
            <v>9</v>
          </cell>
          <cell r="N49">
            <v>0</v>
          </cell>
          <cell r="O49">
            <v>6</v>
          </cell>
          <cell r="P49">
            <v>0</v>
          </cell>
          <cell r="Q49">
            <v>0</v>
          </cell>
          <cell r="R49">
            <v>9</v>
          </cell>
          <cell r="S49">
            <v>959</v>
          </cell>
          <cell r="T49">
            <v>892</v>
          </cell>
          <cell r="U49">
            <v>12</v>
          </cell>
          <cell r="V49">
            <v>0</v>
          </cell>
          <cell r="W49">
            <v>0</v>
          </cell>
          <cell r="X49">
            <v>1887</v>
          </cell>
          <cell r="Y49">
            <v>0</v>
          </cell>
          <cell r="Z49">
            <v>0</v>
          </cell>
          <cell r="AA49">
            <v>0</v>
          </cell>
          <cell r="AB49">
            <v>0</v>
          </cell>
          <cell r="AC49">
            <v>9</v>
          </cell>
          <cell r="AD49">
            <v>0</v>
          </cell>
          <cell r="AE49">
            <v>6</v>
          </cell>
          <cell r="AF49">
            <v>0</v>
          </cell>
          <cell r="AG49">
            <v>0</v>
          </cell>
          <cell r="AH49">
            <v>9</v>
          </cell>
          <cell r="AI49">
            <v>959</v>
          </cell>
          <cell r="AJ49">
            <v>892</v>
          </cell>
          <cell r="AK49">
            <v>12</v>
          </cell>
          <cell r="AL49">
            <v>0</v>
          </cell>
          <cell r="AM49">
            <v>0</v>
          </cell>
          <cell r="AN49">
            <v>1887</v>
          </cell>
        </row>
        <row r="50">
          <cell r="E50">
            <v>7955</v>
          </cell>
          <cell r="I50">
            <v>432</v>
          </cell>
          <cell r="J50">
            <v>251</v>
          </cell>
          <cell r="K50">
            <v>1153</v>
          </cell>
          <cell r="L50">
            <v>10</v>
          </cell>
          <cell r="M50">
            <v>1069</v>
          </cell>
          <cell r="N50">
            <v>110</v>
          </cell>
          <cell r="O50">
            <v>246</v>
          </cell>
          <cell r="P50">
            <v>614</v>
          </cell>
          <cell r="Q50">
            <v>524</v>
          </cell>
          <cell r="R50">
            <v>1391</v>
          </cell>
          <cell r="S50">
            <v>1611</v>
          </cell>
          <cell r="T50">
            <v>0</v>
          </cell>
          <cell r="U50">
            <v>508</v>
          </cell>
          <cell r="V50">
            <v>30</v>
          </cell>
          <cell r="W50">
            <v>6</v>
          </cell>
          <cell r="X50">
            <v>7955</v>
          </cell>
          <cell r="Y50">
            <v>432</v>
          </cell>
          <cell r="Z50">
            <v>251</v>
          </cell>
          <cell r="AA50">
            <v>1153</v>
          </cell>
          <cell r="AB50">
            <v>10</v>
          </cell>
          <cell r="AC50">
            <v>1069</v>
          </cell>
          <cell r="AD50">
            <v>110</v>
          </cell>
          <cell r="AE50">
            <v>246</v>
          </cell>
          <cell r="AF50">
            <v>614</v>
          </cell>
          <cell r="AG50">
            <v>524</v>
          </cell>
          <cell r="AH50">
            <v>1391</v>
          </cell>
          <cell r="AI50">
            <v>1611</v>
          </cell>
          <cell r="AJ50">
            <v>0</v>
          </cell>
          <cell r="AK50">
            <v>508</v>
          </cell>
          <cell r="AL50">
            <v>30</v>
          </cell>
          <cell r="AM50">
            <v>6</v>
          </cell>
          <cell r="AN50">
            <v>7955</v>
          </cell>
        </row>
        <row r="51">
          <cell r="E51">
            <v>6310.25</v>
          </cell>
          <cell r="I51">
            <v>480</v>
          </cell>
          <cell r="J51">
            <v>249</v>
          </cell>
          <cell r="K51">
            <v>41</v>
          </cell>
          <cell r="L51">
            <v>93</v>
          </cell>
          <cell r="M51">
            <v>679</v>
          </cell>
          <cell r="N51">
            <v>216</v>
          </cell>
          <cell r="O51">
            <v>419</v>
          </cell>
          <cell r="P51">
            <v>89</v>
          </cell>
          <cell r="Q51">
            <v>69</v>
          </cell>
          <cell r="R51">
            <v>2493</v>
          </cell>
          <cell r="S51">
            <v>642</v>
          </cell>
          <cell r="T51">
            <v>0</v>
          </cell>
          <cell r="U51">
            <v>833</v>
          </cell>
          <cell r="V51">
            <v>0</v>
          </cell>
          <cell r="W51">
            <v>0</v>
          </cell>
          <cell r="X51">
            <v>6303</v>
          </cell>
          <cell r="Y51">
            <v>480</v>
          </cell>
          <cell r="Z51">
            <v>249</v>
          </cell>
          <cell r="AA51">
            <v>41</v>
          </cell>
          <cell r="AB51">
            <v>93</v>
          </cell>
          <cell r="AC51">
            <v>679</v>
          </cell>
          <cell r="AD51">
            <v>216</v>
          </cell>
          <cell r="AE51">
            <v>419</v>
          </cell>
          <cell r="AF51">
            <v>89</v>
          </cell>
          <cell r="AG51">
            <v>69</v>
          </cell>
          <cell r="AH51">
            <v>2493</v>
          </cell>
          <cell r="AI51">
            <v>642</v>
          </cell>
          <cell r="AJ51">
            <v>0</v>
          </cell>
          <cell r="AK51">
            <v>833</v>
          </cell>
          <cell r="AL51">
            <v>0</v>
          </cell>
          <cell r="AM51">
            <v>0</v>
          </cell>
          <cell r="AN51">
            <v>6303</v>
          </cell>
        </row>
        <row r="52">
          <cell r="E52">
            <v>4776</v>
          </cell>
          <cell r="I52">
            <v>100</v>
          </cell>
          <cell r="J52">
            <v>145</v>
          </cell>
          <cell r="K52">
            <v>301</v>
          </cell>
          <cell r="L52">
            <v>4</v>
          </cell>
          <cell r="M52">
            <v>570</v>
          </cell>
          <cell r="N52">
            <v>539</v>
          </cell>
          <cell r="O52">
            <v>174</v>
          </cell>
          <cell r="P52">
            <v>926</v>
          </cell>
          <cell r="Q52">
            <v>14</v>
          </cell>
          <cell r="R52">
            <v>1037</v>
          </cell>
          <cell r="S52">
            <v>469</v>
          </cell>
          <cell r="T52">
            <v>0</v>
          </cell>
          <cell r="U52">
            <v>487</v>
          </cell>
          <cell r="V52">
            <v>0</v>
          </cell>
          <cell r="W52">
            <v>10</v>
          </cell>
          <cell r="X52">
            <v>4776</v>
          </cell>
          <cell r="Y52">
            <v>100</v>
          </cell>
          <cell r="Z52">
            <v>145</v>
          </cell>
          <cell r="AA52">
            <v>301</v>
          </cell>
          <cell r="AB52">
            <v>4</v>
          </cell>
          <cell r="AC52">
            <v>570</v>
          </cell>
          <cell r="AD52">
            <v>539</v>
          </cell>
          <cell r="AE52">
            <v>174</v>
          </cell>
          <cell r="AF52">
            <v>926</v>
          </cell>
          <cell r="AG52">
            <v>14</v>
          </cell>
          <cell r="AH52">
            <v>1037</v>
          </cell>
          <cell r="AI52">
            <v>469</v>
          </cell>
          <cell r="AJ52">
            <v>0</v>
          </cell>
          <cell r="AK52">
            <v>487</v>
          </cell>
          <cell r="AL52">
            <v>0</v>
          </cell>
          <cell r="AM52">
            <v>10</v>
          </cell>
          <cell r="AN52">
            <v>4776</v>
          </cell>
        </row>
        <row r="53">
          <cell r="E53">
            <v>10542</v>
          </cell>
          <cell r="I53">
            <v>589</v>
          </cell>
          <cell r="J53">
            <v>465</v>
          </cell>
          <cell r="K53">
            <v>407</v>
          </cell>
          <cell r="L53">
            <v>468</v>
          </cell>
          <cell r="M53">
            <v>1067</v>
          </cell>
          <cell r="N53">
            <v>703</v>
          </cell>
          <cell r="O53">
            <v>755</v>
          </cell>
          <cell r="P53">
            <v>654</v>
          </cell>
          <cell r="Q53">
            <v>136</v>
          </cell>
          <cell r="R53">
            <v>2500</v>
          </cell>
          <cell r="S53">
            <v>519</v>
          </cell>
          <cell r="T53">
            <v>0</v>
          </cell>
          <cell r="U53">
            <v>2279</v>
          </cell>
          <cell r="V53">
            <v>0</v>
          </cell>
          <cell r="W53">
            <v>0</v>
          </cell>
          <cell r="X53">
            <v>10542</v>
          </cell>
          <cell r="Y53">
            <v>589</v>
          </cell>
          <cell r="Z53">
            <v>465</v>
          </cell>
          <cell r="AA53">
            <v>407</v>
          </cell>
          <cell r="AB53">
            <v>468</v>
          </cell>
          <cell r="AC53">
            <v>1067</v>
          </cell>
          <cell r="AD53">
            <v>703</v>
          </cell>
          <cell r="AE53">
            <v>755</v>
          </cell>
          <cell r="AF53">
            <v>654</v>
          </cell>
          <cell r="AG53">
            <v>136</v>
          </cell>
          <cell r="AH53">
            <v>2500</v>
          </cell>
          <cell r="AI53">
            <v>519</v>
          </cell>
          <cell r="AJ53">
            <v>0</v>
          </cell>
          <cell r="AK53">
            <v>2279</v>
          </cell>
          <cell r="AL53">
            <v>0</v>
          </cell>
          <cell r="AM53">
            <v>0</v>
          </cell>
          <cell r="AN53">
            <v>10542</v>
          </cell>
        </row>
        <row r="54">
          <cell r="E54">
            <v>8177.18</v>
          </cell>
          <cell r="I54">
            <v>42</v>
          </cell>
          <cell r="J54">
            <v>61</v>
          </cell>
          <cell r="K54">
            <v>0</v>
          </cell>
          <cell r="L54">
            <v>1994</v>
          </cell>
          <cell r="M54">
            <v>423</v>
          </cell>
          <cell r="N54">
            <v>314</v>
          </cell>
          <cell r="O54">
            <v>1518</v>
          </cell>
          <cell r="P54">
            <v>208</v>
          </cell>
          <cell r="Q54">
            <v>14</v>
          </cell>
          <cell r="R54">
            <v>1958</v>
          </cell>
          <cell r="S54">
            <v>962</v>
          </cell>
          <cell r="T54">
            <v>79</v>
          </cell>
          <cell r="U54">
            <v>438</v>
          </cell>
          <cell r="V54">
            <v>69</v>
          </cell>
          <cell r="W54">
            <v>6</v>
          </cell>
          <cell r="X54">
            <v>8086</v>
          </cell>
          <cell r="Y54">
            <v>42</v>
          </cell>
          <cell r="Z54">
            <v>61</v>
          </cell>
          <cell r="AA54">
            <v>0</v>
          </cell>
          <cell r="AB54">
            <v>1994</v>
          </cell>
          <cell r="AC54">
            <v>423</v>
          </cell>
          <cell r="AD54">
            <v>314</v>
          </cell>
          <cell r="AE54">
            <v>1518</v>
          </cell>
          <cell r="AF54">
            <v>208</v>
          </cell>
          <cell r="AG54">
            <v>14</v>
          </cell>
          <cell r="AH54">
            <v>1958</v>
          </cell>
          <cell r="AI54">
            <v>962</v>
          </cell>
          <cell r="AJ54">
            <v>79</v>
          </cell>
          <cell r="AK54">
            <v>438</v>
          </cell>
          <cell r="AL54">
            <v>69</v>
          </cell>
          <cell r="AM54">
            <v>6</v>
          </cell>
          <cell r="AN54">
            <v>8086</v>
          </cell>
        </row>
        <row r="55">
          <cell r="E55">
            <v>14058</v>
          </cell>
          <cell r="I55">
            <v>244</v>
          </cell>
          <cell r="J55">
            <v>874</v>
          </cell>
          <cell r="K55">
            <v>1043</v>
          </cell>
          <cell r="L55">
            <v>11</v>
          </cell>
          <cell r="M55">
            <v>1659</v>
          </cell>
          <cell r="N55">
            <v>694</v>
          </cell>
          <cell r="O55">
            <v>597</v>
          </cell>
          <cell r="P55">
            <v>108</v>
          </cell>
          <cell r="Q55">
            <v>491</v>
          </cell>
          <cell r="R55">
            <v>1675</v>
          </cell>
          <cell r="S55">
            <v>4811</v>
          </cell>
          <cell r="T55">
            <v>1616</v>
          </cell>
          <cell r="U55">
            <v>231</v>
          </cell>
          <cell r="V55">
            <v>0</v>
          </cell>
          <cell r="W55">
            <v>0</v>
          </cell>
          <cell r="X55">
            <v>14054</v>
          </cell>
          <cell r="Y55">
            <v>244</v>
          </cell>
          <cell r="Z55">
            <v>874</v>
          </cell>
          <cell r="AA55">
            <v>1043</v>
          </cell>
          <cell r="AB55">
            <v>11</v>
          </cell>
          <cell r="AC55">
            <v>1659</v>
          </cell>
          <cell r="AD55">
            <v>694</v>
          </cell>
          <cell r="AE55">
            <v>597</v>
          </cell>
          <cell r="AF55">
            <v>108</v>
          </cell>
          <cell r="AG55">
            <v>491</v>
          </cell>
          <cell r="AH55">
            <v>1675</v>
          </cell>
          <cell r="AI55">
            <v>4811</v>
          </cell>
          <cell r="AJ55">
            <v>1616</v>
          </cell>
          <cell r="AK55">
            <v>231</v>
          </cell>
          <cell r="AL55">
            <v>0</v>
          </cell>
          <cell r="AM55">
            <v>0</v>
          </cell>
          <cell r="AN55">
            <v>14054</v>
          </cell>
        </row>
        <row r="56">
          <cell r="E56">
            <v>10620.25</v>
          </cell>
          <cell r="I56">
            <v>127</v>
          </cell>
          <cell r="J56">
            <v>521</v>
          </cell>
          <cell r="K56">
            <v>190</v>
          </cell>
          <cell r="L56">
            <v>1006</v>
          </cell>
          <cell r="M56">
            <v>2690</v>
          </cell>
          <cell r="N56">
            <v>490</v>
          </cell>
          <cell r="O56">
            <v>666</v>
          </cell>
          <cell r="P56">
            <v>476</v>
          </cell>
          <cell r="Q56">
            <v>49</v>
          </cell>
          <cell r="R56">
            <v>2103</v>
          </cell>
          <cell r="S56">
            <v>1604</v>
          </cell>
          <cell r="T56">
            <v>134</v>
          </cell>
          <cell r="U56">
            <v>564</v>
          </cell>
          <cell r="V56">
            <v>0</v>
          </cell>
          <cell r="W56">
            <v>0</v>
          </cell>
          <cell r="X56">
            <v>10620</v>
          </cell>
          <cell r="Y56">
            <v>127</v>
          </cell>
          <cell r="Z56">
            <v>521</v>
          </cell>
          <cell r="AA56">
            <v>190</v>
          </cell>
          <cell r="AB56">
            <v>1006</v>
          </cell>
          <cell r="AC56">
            <v>2690</v>
          </cell>
          <cell r="AD56">
            <v>490</v>
          </cell>
          <cell r="AE56">
            <v>666</v>
          </cell>
          <cell r="AF56">
            <v>476</v>
          </cell>
          <cell r="AG56">
            <v>49</v>
          </cell>
          <cell r="AH56">
            <v>2103</v>
          </cell>
          <cell r="AI56">
            <v>1604</v>
          </cell>
          <cell r="AJ56">
            <v>134</v>
          </cell>
          <cell r="AK56">
            <v>564</v>
          </cell>
          <cell r="AL56">
            <v>0</v>
          </cell>
          <cell r="AM56">
            <v>0</v>
          </cell>
          <cell r="AN56">
            <v>10620</v>
          </cell>
        </row>
        <row r="57">
          <cell r="E57">
            <v>5453</v>
          </cell>
          <cell r="I57">
            <v>60</v>
          </cell>
          <cell r="J57">
            <v>220</v>
          </cell>
          <cell r="K57">
            <v>156</v>
          </cell>
          <cell r="L57">
            <v>2</v>
          </cell>
          <cell r="M57">
            <v>1461</v>
          </cell>
          <cell r="N57">
            <v>333</v>
          </cell>
          <cell r="O57">
            <v>143</v>
          </cell>
          <cell r="P57">
            <v>420</v>
          </cell>
          <cell r="Q57">
            <v>0</v>
          </cell>
          <cell r="R57">
            <v>1907</v>
          </cell>
          <cell r="S57">
            <v>408</v>
          </cell>
          <cell r="T57">
            <v>0</v>
          </cell>
          <cell r="U57">
            <v>343</v>
          </cell>
          <cell r="V57">
            <v>0</v>
          </cell>
          <cell r="W57">
            <v>0</v>
          </cell>
          <cell r="X57">
            <v>5453</v>
          </cell>
          <cell r="Y57">
            <v>60</v>
          </cell>
          <cell r="Z57">
            <v>220</v>
          </cell>
          <cell r="AA57">
            <v>156</v>
          </cell>
          <cell r="AB57">
            <v>2</v>
          </cell>
          <cell r="AC57">
            <v>1461</v>
          </cell>
          <cell r="AD57">
            <v>333</v>
          </cell>
          <cell r="AE57">
            <v>143</v>
          </cell>
          <cell r="AF57">
            <v>420</v>
          </cell>
          <cell r="AG57">
            <v>0</v>
          </cell>
          <cell r="AH57">
            <v>1907</v>
          </cell>
          <cell r="AI57">
            <v>408</v>
          </cell>
          <cell r="AJ57">
            <v>0</v>
          </cell>
          <cell r="AK57">
            <v>343</v>
          </cell>
          <cell r="AL57">
            <v>0</v>
          </cell>
          <cell r="AM57">
            <v>0</v>
          </cell>
          <cell r="AN57">
            <v>5453</v>
          </cell>
        </row>
        <row r="58">
          <cell r="E58">
            <v>4344.25</v>
          </cell>
          <cell r="I58">
            <v>218</v>
          </cell>
          <cell r="J58">
            <v>385</v>
          </cell>
          <cell r="K58">
            <v>410</v>
          </cell>
          <cell r="L58">
            <v>0</v>
          </cell>
          <cell r="M58">
            <v>798</v>
          </cell>
          <cell r="N58">
            <v>114</v>
          </cell>
          <cell r="O58">
            <v>95</v>
          </cell>
          <cell r="P58">
            <v>144</v>
          </cell>
          <cell r="Q58">
            <v>14</v>
          </cell>
          <cell r="R58">
            <v>1012</v>
          </cell>
          <cell r="S58">
            <v>915</v>
          </cell>
          <cell r="T58">
            <v>0</v>
          </cell>
          <cell r="U58">
            <v>239</v>
          </cell>
          <cell r="V58">
            <v>0</v>
          </cell>
          <cell r="W58">
            <v>0</v>
          </cell>
          <cell r="X58">
            <v>4344</v>
          </cell>
          <cell r="Y58">
            <v>218</v>
          </cell>
          <cell r="Z58">
            <v>385</v>
          </cell>
          <cell r="AA58">
            <v>410</v>
          </cell>
          <cell r="AB58">
            <v>0</v>
          </cell>
          <cell r="AC58">
            <v>798</v>
          </cell>
          <cell r="AD58">
            <v>114</v>
          </cell>
          <cell r="AE58">
            <v>95</v>
          </cell>
          <cell r="AF58">
            <v>144</v>
          </cell>
          <cell r="AG58">
            <v>14</v>
          </cell>
          <cell r="AH58">
            <v>1012</v>
          </cell>
          <cell r="AI58">
            <v>915</v>
          </cell>
          <cell r="AJ58">
            <v>0</v>
          </cell>
          <cell r="AK58">
            <v>239</v>
          </cell>
          <cell r="AL58">
            <v>0</v>
          </cell>
          <cell r="AM58">
            <v>0</v>
          </cell>
          <cell r="AN58">
            <v>4344</v>
          </cell>
        </row>
        <row r="59">
          <cell r="E59">
            <v>13575</v>
          </cell>
          <cell r="I59">
            <v>1296</v>
          </cell>
          <cell r="J59">
            <v>2403</v>
          </cell>
          <cell r="K59">
            <v>277</v>
          </cell>
          <cell r="L59">
            <v>174</v>
          </cell>
          <cell r="M59">
            <v>1270</v>
          </cell>
          <cell r="N59">
            <v>303</v>
          </cell>
          <cell r="O59">
            <v>526</v>
          </cell>
          <cell r="P59">
            <v>1672</v>
          </cell>
          <cell r="Q59">
            <v>81</v>
          </cell>
          <cell r="R59">
            <v>3041</v>
          </cell>
          <cell r="S59">
            <v>1100</v>
          </cell>
          <cell r="T59">
            <v>79</v>
          </cell>
          <cell r="U59">
            <v>1329</v>
          </cell>
          <cell r="V59">
            <v>0</v>
          </cell>
          <cell r="W59">
            <v>0</v>
          </cell>
          <cell r="X59">
            <v>13551</v>
          </cell>
          <cell r="Y59">
            <v>1296</v>
          </cell>
          <cell r="Z59">
            <v>2403</v>
          </cell>
          <cell r="AA59">
            <v>277</v>
          </cell>
          <cell r="AB59">
            <v>174</v>
          </cell>
          <cell r="AC59">
            <v>1270</v>
          </cell>
          <cell r="AD59">
            <v>303</v>
          </cell>
          <cell r="AE59">
            <v>526</v>
          </cell>
          <cell r="AF59">
            <v>1672</v>
          </cell>
          <cell r="AG59">
            <v>81</v>
          </cell>
          <cell r="AH59">
            <v>3041</v>
          </cell>
          <cell r="AI59">
            <v>1100</v>
          </cell>
          <cell r="AJ59">
            <v>79</v>
          </cell>
          <cell r="AK59">
            <v>1329</v>
          </cell>
          <cell r="AL59">
            <v>0</v>
          </cell>
          <cell r="AM59">
            <v>0</v>
          </cell>
          <cell r="AN59">
            <v>13551</v>
          </cell>
        </row>
        <row r="60">
          <cell r="E60">
            <v>20780</v>
          </cell>
          <cell r="I60">
            <v>372</v>
          </cell>
          <cell r="J60">
            <v>2338</v>
          </cell>
          <cell r="K60">
            <v>2299</v>
          </cell>
          <cell r="L60">
            <v>59</v>
          </cell>
          <cell r="M60">
            <v>2499</v>
          </cell>
          <cell r="N60">
            <v>490</v>
          </cell>
          <cell r="O60">
            <v>919</v>
          </cell>
          <cell r="P60">
            <v>1958</v>
          </cell>
          <cell r="Q60">
            <v>16</v>
          </cell>
          <cell r="R60">
            <v>2524</v>
          </cell>
          <cell r="S60">
            <v>821</v>
          </cell>
          <cell r="T60">
            <v>598</v>
          </cell>
          <cell r="U60">
            <v>5887</v>
          </cell>
          <cell r="V60">
            <v>0</v>
          </cell>
          <cell r="W60">
            <v>0</v>
          </cell>
          <cell r="X60">
            <v>20780</v>
          </cell>
          <cell r="Y60">
            <v>372</v>
          </cell>
          <cell r="Z60">
            <v>2338</v>
          </cell>
          <cell r="AA60">
            <v>2299</v>
          </cell>
          <cell r="AB60">
            <v>59</v>
          </cell>
          <cell r="AC60">
            <v>2499</v>
          </cell>
          <cell r="AD60">
            <v>490</v>
          </cell>
          <cell r="AE60">
            <v>919</v>
          </cell>
          <cell r="AF60">
            <v>1958</v>
          </cell>
          <cell r="AG60">
            <v>16</v>
          </cell>
          <cell r="AH60">
            <v>2524</v>
          </cell>
          <cell r="AI60">
            <v>821</v>
          </cell>
          <cell r="AJ60">
            <v>598</v>
          </cell>
          <cell r="AK60">
            <v>5887</v>
          </cell>
          <cell r="AL60">
            <v>0</v>
          </cell>
          <cell r="AM60">
            <v>0</v>
          </cell>
          <cell r="AN60">
            <v>20780</v>
          </cell>
        </row>
        <row r="61">
          <cell r="E61">
            <v>4471</v>
          </cell>
          <cell r="I61">
            <v>254</v>
          </cell>
          <cell r="J61">
            <v>358</v>
          </cell>
          <cell r="K61">
            <v>203</v>
          </cell>
          <cell r="L61">
            <v>113</v>
          </cell>
          <cell r="M61">
            <v>696</v>
          </cell>
          <cell r="N61">
            <v>291</v>
          </cell>
          <cell r="O61">
            <v>177</v>
          </cell>
          <cell r="P61">
            <v>190</v>
          </cell>
          <cell r="Q61">
            <v>116</v>
          </cell>
          <cell r="R61">
            <v>1201</v>
          </cell>
          <cell r="S61">
            <v>290</v>
          </cell>
          <cell r="T61">
            <v>10</v>
          </cell>
          <cell r="U61">
            <v>572</v>
          </cell>
          <cell r="V61">
            <v>0</v>
          </cell>
          <cell r="W61">
            <v>0</v>
          </cell>
          <cell r="X61">
            <v>4471</v>
          </cell>
          <cell r="Y61">
            <v>254</v>
          </cell>
          <cell r="Z61">
            <v>358</v>
          </cell>
          <cell r="AA61">
            <v>203</v>
          </cell>
          <cell r="AB61">
            <v>113</v>
          </cell>
          <cell r="AC61">
            <v>696</v>
          </cell>
          <cell r="AD61">
            <v>291</v>
          </cell>
          <cell r="AE61">
            <v>177</v>
          </cell>
          <cell r="AF61">
            <v>190</v>
          </cell>
          <cell r="AG61">
            <v>116</v>
          </cell>
          <cell r="AH61">
            <v>1201</v>
          </cell>
          <cell r="AI61">
            <v>290</v>
          </cell>
          <cell r="AJ61">
            <v>10</v>
          </cell>
          <cell r="AK61">
            <v>572</v>
          </cell>
          <cell r="AL61">
            <v>0</v>
          </cell>
          <cell r="AM61">
            <v>0</v>
          </cell>
          <cell r="AN61">
            <v>4471</v>
          </cell>
        </row>
        <row r="62">
          <cell r="E62">
            <v>23048</v>
          </cell>
          <cell r="I62">
            <v>227</v>
          </cell>
          <cell r="J62">
            <v>4912</v>
          </cell>
          <cell r="K62">
            <v>2174</v>
          </cell>
          <cell r="L62">
            <v>0</v>
          </cell>
          <cell r="M62">
            <v>3997</v>
          </cell>
          <cell r="N62">
            <v>454</v>
          </cell>
          <cell r="O62">
            <v>524</v>
          </cell>
          <cell r="P62">
            <v>939</v>
          </cell>
          <cell r="Q62">
            <v>22</v>
          </cell>
          <cell r="R62">
            <v>3374</v>
          </cell>
          <cell r="S62">
            <v>2932</v>
          </cell>
          <cell r="T62">
            <v>1489</v>
          </cell>
          <cell r="U62">
            <v>1995</v>
          </cell>
          <cell r="V62">
            <v>0</v>
          </cell>
          <cell r="W62">
            <v>9</v>
          </cell>
          <cell r="X62">
            <v>23048</v>
          </cell>
          <cell r="Y62">
            <v>227</v>
          </cell>
          <cell r="Z62">
            <v>4912</v>
          </cell>
          <cell r="AA62">
            <v>2174</v>
          </cell>
          <cell r="AB62">
            <v>0</v>
          </cell>
          <cell r="AC62">
            <v>3997</v>
          </cell>
          <cell r="AD62">
            <v>454</v>
          </cell>
          <cell r="AE62">
            <v>524</v>
          </cell>
          <cell r="AF62">
            <v>939</v>
          </cell>
          <cell r="AG62">
            <v>22</v>
          </cell>
          <cell r="AH62">
            <v>3374</v>
          </cell>
          <cell r="AI62">
            <v>2932</v>
          </cell>
          <cell r="AJ62">
            <v>1489</v>
          </cell>
          <cell r="AK62">
            <v>1995</v>
          </cell>
          <cell r="AL62">
            <v>0</v>
          </cell>
          <cell r="AM62">
            <v>9</v>
          </cell>
          <cell r="AN62">
            <v>23048</v>
          </cell>
        </row>
        <row r="63">
          <cell r="E63">
            <v>18822.75</v>
          </cell>
          <cell r="I63">
            <v>570</v>
          </cell>
          <cell r="J63">
            <v>2427</v>
          </cell>
          <cell r="K63">
            <v>608</v>
          </cell>
          <cell r="L63">
            <v>285</v>
          </cell>
          <cell r="M63">
            <v>4807</v>
          </cell>
          <cell r="N63">
            <v>1278</v>
          </cell>
          <cell r="O63">
            <v>618</v>
          </cell>
          <cell r="P63">
            <v>860</v>
          </cell>
          <cell r="Q63">
            <v>21</v>
          </cell>
          <cell r="R63">
            <v>1482</v>
          </cell>
          <cell r="S63">
            <v>397</v>
          </cell>
          <cell r="T63">
            <v>0</v>
          </cell>
          <cell r="U63">
            <v>5468</v>
          </cell>
          <cell r="V63">
            <v>0</v>
          </cell>
          <cell r="W63">
            <v>0</v>
          </cell>
          <cell r="X63">
            <v>18821</v>
          </cell>
          <cell r="Y63">
            <v>570</v>
          </cell>
          <cell r="Z63">
            <v>2427</v>
          </cell>
          <cell r="AA63">
            <v>608</v>
          </cell>
          <cell r="AB63">
            <v>285</v>
          </cell>
          <cell r="AC63">
            <v>4807</v>
          </cell>
          <cell r="AD63">
            <v>1278</v>
          </cell>
          <cell r="AE63">
            <v>618</v>
          </cell>
          <cell r="AF63">
            <v>860</v>
          </cell>
          <cell r="AG63">
            <v>21</v>
          </cell>
          <cell r="AH63">
            <v>1482</v>
          </cell>
          <cell r="AI63">
            <v>397</v>
          </cell>
          <cell r="AJ63">
            <v>0</v>
          </cell>
          <cell r="AK63">
            <v>5468</v>
          </cell>
          <cell r="AL63">
            <v>0</v>
          </cell>
          <cell r="AM63">
            <v>0</v>
          </cell>
          <cell r="AN63">
            <v>18821</v>
          </cell>
        </row>
        <row r="64">
          <cell r="E64">
            <v>13079</v>
          </cell>
          <cell r="I64">
            <v>197</v>
          </cell>
          <cell r="J64">
            <v>339</v>
          </cell>
          <cell r="K64">
            <v>822</v>
          </cell>
          <cell r="L64">
            <v>17</v>
          </cell>
          <cell r="M64">
            <v>615</v>
          </cell>
          <cell r="N64">
            <v>103</v>
          </cell>
          <cell r="O64">
            <v>438</v>
          </cell>
          <cell r="P64">
            <v>120</v>
          </cell>
          <cell r="Q64">
            <v>590</v>
          </cell>
          <cell r="R64">
            <v>1181</v>
          </cell>
          <cell r="S64">
            <v>5603</v>
          </cell>
          <cell r="T64">
            <v>2681</v>
          </cell>
          <cell r="U64">
            <v>225</v>
          </cell>
          <cell r="V64">
            <v>57</v>
          </cell>
          <cell r="W64">
            <v>86</v>
          </cell>
          <cell r="X64">
            <v>13074</v>
          </cell>
          <cell r="Y64">
            <v>197</v>
          </cell>
          <cell r="Z64">
            <v>339</v>
          </cell>
          <cell r="AA64">
            <v>822</v>
          </cell>
          <cell r="AB64">
            <v>17</v>
          </cell>
          <cell r="AC64">
            <v>615</v>
          </cell>
          <cell r="AD64">
            <v>103</v>
          </cell>
          <cell r="AE64">
            <v>438</v>
          </cell>
          <cell r="AF64">
            <v>120</v>
          </cell>
          <cell r="AG64">
            <v>590</v>
          </cell>
          <cell r="AH64">
            <v>1181</v>
          </cell>
          <cell r="AI64">
            <v>5603</v>
          </cell>
          <cell r="AJ64">
            <v>2681</v>
          </cell>
          <cell r="AK64">
            <v>225</v>
          </cell>
          <cell r="AL64">
            <v>57</v>
          </cell>
          <cell r="AM64">
            <v>86</v>
          </cell>
          <cell r="AN64">
            <v>13074</v>
          </cell>
        </row>
        <row r="65">
          <cell r="E65">
            <v>4290</v>
          </cell>
          <cell r="I65">
            <v>266</v>
          </cell>
          <cell r="J65">
            <v>322</v>
          </cell>
          <cell r="K65">
            <v>37</v>
          </cell>
          <cell r="L65">
            <v>238</v>
          </cell>
          <cell r="M65">
            <v>582</v>
          </cell>
          <cell r="N65">
            <v>179</v>
          </cell>
          <cell r="O65">
            <v>245</v>
          </cell>
          <cell r="P65">
            <v>214</v>
          </cell>
          <cell r="Q65">
            <v>73</v>
          </cell>
          <cell r="R65">
            <v>988</v>
          </cell>
          <cell r="S65">
            <v>155</v>
          </cell>
          <cell r="T65">
            <v>0</v>
          </cell>
          <cell r="U65">
            <v>991</v>
          </cell>
          <cell r="V65">
            <v>0</v>
          </cell>
          <cell r="W65">
            <v>0</v>
          </cell>
          <cell r="X65">
            <v>4290</v>
          </cell>
          <cell r="Y65">
            <v>266</v>
          </cell>
          <cell r="Z65">
            <v>322</v>
          </cell>
          <cell r="AA65">
            <v>37</v>
          </cell>
          <cell r="AB65">
            <v>238</v>
          </cell>
          <cell r="AC65">
            <v>582</v>
          </cell>
          <cell r="AD65">
            <v>179</v>
          </cell>
          <cell r="AE65">
            <v>245</v>
          </cell>
          <cell r="AF65">
            <v>214</v>
          </cell>
          <cell r="AG65">
            <v>73</v>
          </cell>
          <cell r="AH65">
            <v>988</v>
          </cell>
          <cell r="AI65">
            <v>155</v>
          </cell>
          <cell r="AJ65">
            <v>0</v>
          </cell>
          <cell r="AK65">
            <v>991</v>
          </cell>
          <cell r="AL65">
            <v>0</v>
          </cell>
          <cell r="AM65">
            <v>0</v>
          </cell>
          <cell r="AN65">
            <v>4290</v>
          </cell>
        </row>
        <row r="66">
          <cell r="E66">
            <v>11006</v>
          </cell>
          <cell r="I66">
            <v>411</v>
          </cell>
          <cell r="J66">
            <v>567</v>
          </cell>
          <cell r="K66">
            <v>608</v>
          </cell>
          <cell r="L66">
            <v>324</v>
          </cell>
          <cell r="M66">
            <v>2027</v>
          </cell>
          <cell r="N66">
            <v>296</v>
          </cell>
          <cell r="O66">
            <v>316</v>
          </cell>
          <cell r="P66">
            <v>192</v>
          </cell>
          <cell r="Q66">
            <v>106</v>
          </cell>
          <cell r="R66">
            <v>2776</v>
          </cell>
          <cell r="S66">
            <v>694</v>
          </cell>
          <cell r="T66">
            <v>65</v>
          </cell>
          <cell r="U66">
            <v>2624</v>
          </cell>
          <cell r="V66">
            <v>0</v>
          </cell>
          <cell r="W66">
            <v>0</v>
          </cell>
          <cell r="X66">
            <v>11006</v>
          </cell>
          <cell r="Y66">
            <v>411</v>
          </cell>
          <cell r="Z66">
            <v>567</v>
          </cell>
          <cell r="AA66">
            <v>608</v>
          </cell>
          <cell r="AB66">
            <v>324</v>
          </cell>
          <cell r="AC66">
            <v>2027</v>
          </cell>
          <cell r="AD66">
            <v>296</v>
          </cell>
          <cell r="AE66">
            <v>316</v>
          </cell>
          <cell r="AF66">
            <v>192</v>
          </cell>
          <cell r="AG66">
            <v>106</v>
          </cell>
          <cell r="AH66">
            <v>2776</v>
          </cell>
          <cell r="AI66">
            <v>694</v>
          </cell>
          <cell r="AJ66">
            <v>65</v>
          </cell>
          <cell r="AK66">
            <v>2624</v>
          </cell>
          <cell r="AL66">
            <v>0</v>
          </cell>
          <cell r="AM66">
            <v>0</v>
          </cell>
          <cell r="AN66">
            <v>11006</v>
          </cell>
        </row>
        <row r="67">
          <cell r="E67">
            <v>3726.38</v>
          </cell>
          <cell r="I67">
            <v>40</v>
          </cell>
          <cell r="J67">
            <v>283</v>
          </cell>
          <cell r="K67">
            <v>4</v>
          </cell>
          <cell r="L67">
            <v>421</v>
          </cell>
          <cell r="M67">
            <v>52</v>
          </cell>
          <cell r="N67">
            <v>87</v>
          </cell>
          <cell r="O67">
            <v>564</v>
          </cell>
          <cell r="P67">
            <v>332</v>
          </cell>
          <cell r="Q67">
            <v>40</v>
          </cell>
          <cell r="R67">
            <v>793</v>
          </cell>
          <cell r="S67">
            <v>1067</v>
          </cell>
          <cell r="T67">
            <v>0</v>
          </cell>
          <cell r="U67">
            <v>30</v>
          </cell>
          <cell r="V67">
            <v>0</v>
          </cell>
          <cell r="W67">
            <v>0</v>
          </cell>
          <cell r="X67">
            <v>3713</v>
          </cell>
          <cell r="Y67">
            <v>40</v>
          </cell>
          <cell r="Z67">
            <v>283</v>
          </cell>
          <cell r="AA67">
            <v>4</v>
          </cell>
          <cell r="AB67">
            <v>421</v>
          </cell>
          <cell r="AC67">
            <v>52</v>
          </cell>
          <cell r="AD67">
            <v>87</v>
          </cell>
          <cell r="AE67">
            <v>564</v>
          </cell>
          <cell r="AF67">
            <v>332</v>
          </cell>
          <cell r="AG67">
            <v>40</v>
          </cell>
          <cell r="AH67">
            <v>793</v>
          </cell>
          <cell r="AI67">
            <v>1067</v>
          </cell>
          <cell r="AJ67">
            <v>0</v>
          </cell>
          <cell r="AK67">
            <v>30</v>
          </cell>
          <cell r="AL67">
            <v>0</v>
          </cell>
          <cell r="AM67">
            <v>0</v>
          </cell>
          <cell r="AN67">
            <v>3713</v>
          </cell>
        </row>
        <row r="68">
          <cell r="E68">
            <v>11582.75</v>
          </cell>
          <cell r="I68">
            <v>393</v>
          </cell>
          <cell r="J68">
            <v>666</v>
          </cell>
          <cell r="K68">
            <v>846</v>
          </cell>
          <cell r="L68">
            <v>238</v>
          </cell>
          <cell r="M68">
            <v>568</v>
          </cell>
          <cell r="N68">
            <v>117</v>
          </cell>
          <cell r="O68">
            <v>212</v>
          </cell>
          <cell r="P68">
            <v>179</v>
          </cell>
          <cell r="Q68">
            <v>153</v>
          </cell>
          <cell r="R68">
            <v>1427</v>
          </cell>
          <cell r="S68">
            <v>3827</v>
          </cell>
          <cell r="T68">
            <v>2778</v>
          </cell>
          <cell r="U68">
            <v>105</v>
          </cell>
          <cell r="V68">
            <v>38</v>
          </cell>
          <cell r="W68">
            <v>34</v>
          </cell>
          <cell r="X68">
            <v>11581</v>
          </cell>
          <cell r="Y68">
            <v>393</v>
          </cell>
          <cell r="Z68">
            <v>666</v>
          </cell>
          <cell r="AA68">
            <v>846</v>
          </cell>
          <cell r="AB68">
            <v>238</v>
          </cell>
          <cell r="AC68">
            <v>568</v>
          </cell>
          <cell r="AD68">
            <v>117</v>
          </cell>
          <cell r="AE68">
            <v>212</v>
          </cell>
          <cell r="AF68">
            <v>179</v>
          </cell>
          <cell r="AG68">
            <v>153</v>
          </cell>
          <cell r="AH68">
            <v>1427</v>
          </cell>
          <cell r="AI68">
            <v>3827</v>
          </cell>
          <cell r="AJ68">
            <v>2778</v>
          </cell>
          <cell r="AK68">
            <v>105</v>
          </cell>
          <cell r="AL68">
            <v>38</v>
          </cell>
          <cell r="AM68">
            <v>34</v>
          </cell>
          <cell r="AN68">
            <v>11581</v>
          </cell>
        </row>
        <row r="69">
          <cell r="E69">
            <v>6578</v>
          </cell>
          <cell r="I69">
            <v>4</v>
          </cell>
          <cell r="J69">
            <v>310</v>
          </cell>
          <cell r="K69">
            <v>32</v>
          </cell>
          <cell r="L69">
            <v>36</v>
          </cell>
          <cell r="M69">
            <v>1338</v>
          </cell>
          <cell r="N69">
            <v>243</v>
          </cell>
          <cell r="O69">
            <v>259</v>
          </cell>
          <cell r="P69">
            <v>516</v>
          </cell>
          <cell r="Q69">
            <v>14</v>
          </cell>
          <cell r="R69">
            <v>1634</v>
          </cell>
          <cell r="S69">
            <v>1357</v>
          </cell>
          <cell r="T69">
            <v>0</v>
          </cell>
          <cell r="U69">
            <v>792</v>
          </cell>
          <cell r="V69">
            <v>29</v>
          </cell>
          <cell r="W69">
            <v>14</v>
          </cell>
          <cell r="X69">
            <v>6578</v>
          </cell>
          <cell r="Y69">
            <v>4</v>
          </cell>
          <cell r="Z69">
            <v>310</v>
          </cell>
          <cell r="AA69">
            <v>32</v>
          </cell>
          <cell r="AB69">
            <v>36</v>
          </cell>
          <cell r="AC69">
            <v>1338</v>
          </cell>
          <cell r="AD69">
            <v>243</v>
          </cell>
          <cell r="AE69">
            <v>259</v>
          </cell>
          <cell r="AF69">
            <v>516</v>
          </cell>
          <cell r="AG69">
            <v>14</v>
          </cell>
          <cell r="AH69">
            <v>1634</v>
          </cell>
          <cell r="AI69">
            <v>1357</v>
          </cell>
          <cell r="AJ69">
            <v>0</v>
          </cell>
          <cell r="AK69">
            <v>792</v>
          </cell>
          <cell r="AL69">
            <v>29</v>
          </cell>
          <cell r="AM69">
            <v>14</v>
          </cell>
          <cell r="AN69">
            <v>6578</v>
          </cell>
        </row>
        <row r="70">
          <cell r="E70">
            <v>5046</v>
          </cell>
          <cell r="I70">
            <v>71</v>
          </cell>
          <cell r="J70">
            <v>742</v>
          </cell>
          <cell r="K70">
            <v>158</v>
          </cell>
          <cell r="L70">
            <v>0</v>
          </cell>
          <cell r="M70">
            <v>601</v>
          </cell>
          <cell r="N70">
            <v>53</v>
          </cell>
          <cell r="O70">
            <v>254</v>
          </cell>
          <cell r="P70">
            <v>268</v>
          </cell>
          <cell r="Q70">
            <v>51</v>
          </cell>
          <cell r="R70">
            <v>1030</v>
          </cell>
          <cell r="S70">
            <v>1482</v>
          </cell>
          <cell r="T70">
            <v>61</v>
          </cell>
          <cell r="U70">
            <v>264</v>
          </cell>
          <cell r="V70">
            <v>0</v>
          </cell>
          <cell r="W70">
            <v>0</v>
          </cell>
          <cell r="X70">
            <v>5035</v>
          </cell>
          <cell r="Y70">
            <v>71</v>
          </cell>
          <cell r="Z70">
            <v>742</v>
          </cell>
          <cell r="AA70">
            <v>158</v>
          </cell>
          <cell r="AB70">
            <v>0</v>
          </cell>
          <cell r="AC70">
            <v>601</v>
          </cell>
          <cell r="AD70">
            <v>53</v>
          </cell>
          <cell r="AE70">
            <v>254</v>
          </cell>
          <cell r="AF70">
            <v>268</v>
          </cell>
          <cell r="AG70">
            <v>51</v>
          </cell>
          <cell r="AH70">
            <v>1030</v>
          </cell>
          <cell r="AI70">
            <v>1482</v>
          </cell>
          <cell r="AJ70">
            <v>61</v>
          </cell>
          <cell r="AK70">
            <v>264</v>
          </cell>
          <cell r="AL70">
            <v>0</v>
          </cell>
          <cell r="AM70">
            <v>0</v>
          </cell>
          <cell r="AN70">
            <v>5035</v>
          </cell>
        </row>
        <row r="71">
          <cell r="E71">
            <v>2407.75</v>
          </cell>
          <cell r="I71">
            <v>1</v>
          </cell>
          <cell r="J71">
            <v>102</v>
          </cell>
          <cell r="K71">
            <v>21</v>
          </cell>
          <cell r="L71">
            <v>3</v>
          </cell>
          <cell r="M71">
            <v>360</v>
          </cell>
          <cell r="N71">
            <v>101</v>
          </cell>
          <cell r="O71">
            <v>74</v>
          </cell>
          <cell r="P71">
            <v>124</v>
          </cell>
          <cell r="Q71">
            <v>4</v>
          </cell>
          <cell r="R71">
            <v>816</v>
          </cell>
          <cell r="S71">
            <v>603</v>
          </cell>
          <cell r="T71">
            <v>0</v>
          </cell>
          <cell r="U71">
            <v>163</v>
          </cell>
          <cell r="V71">
            <v>0</v>
          </cell>
          <cell r="W71">
            <v>0</v>
          </cell>
          <cell r="X71">
            <v>2372</v>
          </cell>
          <cell r="Y71">
            <v>1</v>
          </cell>
          <cell r="Z71">
            <v>102</v>
          </cell>
          <cell r="AA71">
            <v>21</v>
          </cell>
          <cell r="AB71">
            <v>3</v>
          </cell>
          <cell r="AC71">
            <v>360</v>
          </cell>
          <cell r="AD71">
            <v>101</v>
          </cell>
          <cell r="AE71">
            <v>74</v>
          </cell>
          <cell r="AF71">
            <v>124</v>
          </cell>
          <cell r="AG71">
            <v>4</v>
          </cell>
          <cell r="AH71">
            <v>816</v>
          </cell>
          <cell r="AI71">
            <v>603</v>
          </cell>
          <cell r="AJ71">
            <v>0</v>
          </cell>
          <cell r="AK71">
            <v>163</v>
          </cell>
          <cell r="AL71">
            <v>0</v>
          </cell>
          <cell r="AM71">
            <v>0</v>
          </cell>
          <cell r="AN71">
            <v>2372</v>
          </cell>
        </row>
        <row r="72">
          <cell r="E72">
            <v>21308</v>
          </cell>
          <cell r="I72">
            <v>672</v>
          </cell>
          <cell r="J72">
            <v>3074</v>
          </cell>
          <cell r="K72">
            <v>896</v>
          </cell>
          <cell r="L72">
            <v>114</v>
          </cell>
          <cell r="M72">
            <v>4215</v>
          </cell>
          <cell r="N72">
            <v>1185</v>
          </cell>
          <cell r="O72">
            <v>504</v>
          </cell>
          <cell r="P72">
            <v>1290</v>
          </cell>
          <cell r="Q72">
            <v>524</v>
          </cell>
          <cell r="R72">
            <v>2178</v>
          </cell>
          <cell r="S72">
            <v>1276</v>
          </cell>
          <cell r="T72">
            <v>2280</v>
          </cell>
          <cell r="U72">
            <v>3100</v>
          </cell>
          <cell r="V72">
            <v>0</v>
          </cell>
          <cell r="W72">
            <v>0</v>
          </cell>
          <cell r="X72">
            <v>21308</v>
          </cell>
          <cell r="Y72">
            <v>672</v>
          </cell>
          <cell r="Z72">
            <v>3074</v>
          </cell>
          <cell r="AA72">
            <v>896</v>
          </cell>
          <cell r="AB72">
            <v>114</v>
          </cell>
          <cell r="AC72">
            <v>4215</v>
          </cell>
          <cell r="AD72">
            <v>1185</v>
          </cell>
          <cell r="AE72">
            <v>504</v>
          </cell>
          <cell r="AF72">
            <v>1290</v>
          </cell>
          <cell r="AG72">
            <v>524</v>
          </cell>
          <cell r="AH72">
            <v>2178</v>
          </cell>
          <cell r="AI72">
            <v>1276</v>
          </cell>
          <cell r="AJ72">
            <v>2280</v>
          </cell>
          <cell r="AK72">
            <v>3100</v>
          </cell>
          <cell r="AL72">
            <v>0</v>
          </cell>
          <cell r="AM72">
            <v>0</v>
          </cell>
          <cell r="AN72">
            <v>21308</v>
          </cell>
        </row>
        <row r="73">
          <cell r="E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row>
        <row r="74">
          <cell r="E74">
            <v>4543.52</v>
          </cell>
          <cell r="I74">
            <v>37</v>
          </cell>
          <cell r="J74">
            <v>654</v>
          </cell>
          <cell r="K74">
            <v>87</v>
          </cell>
          <cell r="L74">
            <v>31</v>
          </cell>
          <cell r="M74">
            <v>127</v>
          </cell>
          <cell r="N74">
            <v>18</v>
          </cell>
          <cell r="O74">
            <v>275</v>
          </cell>
          <cell r="P74">
            <v>520</v>
          </cell>
          <cell r="Q74">
            <v>36</v>
          </cell>
          <cell r="R74">
            <v>1696</v>
          </cell>
          <cell r="S74">
            <v>354</v>
          </cell>
          <cell r="T74">
            <v>77</v>
          </cell>
          <cell r="U74">
            <v>605</v>
          </cell>
          <cell r="V74">
            <v>0</v>
          </cell>
          <cell r="W74">
            <v>0</v>
          </cell>
          <cell r="X74">
            <v>4517</v>
          </cell>
          <cell r="Y74">
            <v>37</v>
          </cell>
          <cell r="Z74">
            <v>654</v>
          </cell>
          <cell r="AA74">
            <v>87</v>
          </cell>
          <cell r="AB74">
            <v>31</v>
          </cell>
          <cell r="AC74">
            <v>127</v>
          </cell>
          <cell r="AD74">
            <v>18</v>
          </cell>
          <cell r="AE74">
            <v>275</v>
          </cell>
          <cell r="AF74">
            <v>520</v>
          </cell>
          <cell r="AG74">
            <v>36</v>
          </cell>
          <cell r="AH74">
            <v>1696</v>
          </cell>
          <cell r="AI74">
            <v>354</v>
          </cell>
          <cell r="AJ74">
            <v>77</v>
          </cell>
          <cell r="AK74">
            <v>605</v>
          </cell>
          <cell r="AL74">
            <v>0</v>
          </cell>
          <cell r="AM74">
            <v>0</v>
          </cell>
          <cell r="AN74">
            <v>4517</v>
          </cell>
        </row>
        <row r="75">
          <cell r="E75">
            <v>3219</v>
          </cell>
          <cell r="I75">
            <v>14</v>
          </cell>
          <cell r="J75">
            <v>186</v>
          </cell>
          <cell r="K75">
            <v>22</v>
          </cell>
          <cell r="L75">
            <v>95</v>
          </cell>
          <cell r="M75">
            <v>409</v>
          </cell>
          <cell r="N75">
            <v>43</v>
          </cell>
          <cell r="O75">
            <v>258</v>
          </cell>
          <cell r="P75">
            <v>290</v>
          </cell>
          <cell r="Q75">
            <v>43</v>
          </cell>
          <cell r="R75">
            <v>851</v>
          </cell>
          <cell r="S75">
            <v>567</v>
          </cell>
          <cell r="T75">
            <v>0</v>
          </cell>
          <cell r="U75">
            <v>441</v>
          </cell>
          <cell r="V75">
            <v>0</v>
          </cell>
          <cell r="W75">
            <v>0</v>
          </cell>
          <cell r="X75">
            <v>3219</v>
          </cell>
          <cell r="Y75">
            <v>14</v>
          </cell>
          <cell r="Z75">
            <v>186</v>
          </cell>
          <cell r="AA75">
            <v>22</v>
          </cell>
          <cell r="AB75">
            <v>95</v>
          </cell>
          <cell r="AC75">
            <v>409</v>
          </cell>
          <cell r="AD75">
            <v>43</v>
          </cell>
          <cell r="AE75">
            <v>258</v>
          </cell>
          <cell r="AF75">
            <v>290</v>
          </cell>
          <cell r="AG75">
            <v>43</v>
          </cell>
          <cell r="AH75">
            <v>851</v>
          </cell>
          <cell r="AI75">
            <v>567</v>
          </cell>
          <cell r="AJ75">
            <v>0</v>
          </cell>
          <cell r="AK75">
            <v>441</v>
          </cell>
          <cell r="AL75">
            <v>0</v>
          </cell>
          <cell r="AM75">
            <v>0</v>
          </cell>
          <cell r="AN75">
            <v>3219</v>
          </cell>
        </row>
        <row r="76">
          <cell r="E76">
            <v>5883</v>
          </cell>
          <cell r="I76">
            <v>528</v>
          </cell>
          <cell r="J76">
            <v>353</v>
          </cell>
          <cell r="K76">
            <v>157</v>
          </cell>
          <cell r="L76">
            <v>77</v>
          </cell>
          <cell r="M76">
            <v>1285</v>
          </cell>
          <cell r="N76">
            <v>227</v>
          </cell>
          <cell r="O76">
            <v>264</v>
          </cell>
          <cell r="P76">
            <v>143</v>
          </cell>
          <cell r="Q76">
            <v>12</v>
          </cell>
          <cell r="R76">
            <v>1041</v>
          </cell>
          <cell r="S76">
            <v>1141</v>
          </cell>
          <cell r="T76">
            <v>378</v>
          </cell>
          <cell r="U76">
            <v>277</v>
          </cell>
          <cell r="V76">
            <v>0</v>
          </cell>
          <cell r="W76">
            <v>0</v>
          </cell>
          <cell r="X76">
            <v>5883</v>
          </cell>
          <cell r="Y76">
            <v>528</v>
          </cell>
          <cell r="Z76">
            <v>353</v>
          </cell>
          <cell r="AA76">
            <v>157</v>
          </cell>
          <cell r="AB76">
            <v>77</v>
          </cell>
          <cell r="AC76">
            <v>1285</v>
          </cell>
          <cell r="AD76">
            <v>227</v>
          </cell>
          <cell r="AE76">
            <v>264</v>
          </cell>
          <cell r="AF76">
            <v>143</v>
          </cell>
          <cell r="AG76">
            <v>12</v>
          </cell>
          <cell r="AH76">
            <v>1041</v>
          </cell>
          <cell r="AI76">
            <v>1141</v>
          </cell>
          <cell r="AJ76">
            <v>378</v>
          </cell>
          <cell r="AK76">
            <v>277</v>
          </cell>
          <cell r="AL76">
            <v>0</v>
          </cell>
          <cell r="AM76">
            <v>0</v>
          </cell>
          <cell r="AN76">
            <v>5883</v>
          </cell>
        </row>
        <row r="77">
          <cell r="E77">
            <v>6063</v>
          </cell>
          <cell r="I77">
            <v>792</v>
          </cell>
          <cell r="J77">
            <v>136</v>
          </cell>
          <cell r="K77">
            <v>864</v>
          </cell>
          <cell r="L77">
            <v>0</v>
          </cell>
          <cell r="M77">
            <v>194</v>
          </cell>
          <cell r="N77">
            <v>300</v>
          </cell>
          <cell r="O77">
            <v>194</v>
          </cell>
          <cell r="P77">
            <v>0</v>
          </cell>
          <cell r="Q77">
            <v>75</v>
          </cell>
          <cell r="R77">
            <v>1228</v>
          </cell>
          <cell r="S77">
            <v>1395</v>
          </cell>
          <cell r="T77">
            <v>0</v>
          </cell>
          <cell r="U77">
            <v>885</v>
          </cell>
          <cell r="V77">
            <v>0</v>
          </cell>
          <cell r="W77">
            <v>0</v>
          </cell>
          <cell r="X77">
            <v>6063</v>
          </cell>
          <cell r="Y77">
            <v>792</v>
          </cell>
          <cell r="Z77">
            <v>136</v>
          </cell>
          <cell r="AA77">
            <v>864</v>
          </cell>
          <cell r="AB77">
            <v>0</v>
          </cell>
          <cell r="AC77">
            <v>194</v>
          </cell>
          <cell r="AD77">
            <v>300</v>
          </cell>
          <cell r="AE77">
            <v>194</v>
          </cell>
          <cell r="AF77">
            <v>0</v>
          </cell>
          <cell r="AG77">
            <v>75</v>
          </cell>
          <cell r="AH77">
            <v>1228</v>
          </cell>
          <cell r="AI77">
            <v>1395</v>
          </cell>
          <cell r="AJ77">
            <v>0</v>
          </cell>
          <cell r="AK77">
            <v>885</v>
          </cell>
          <cell r="AL77">
            <v>0</v>
          </cell>
          <cell r="AM77">
            <v>0</v>
          </cell>
          <cell r="AN77">
            <v>6063</v>
          </cell>
        </row>
        <row r="78">
          <cell r="E78">
            <v>23745</v>
          </cell>
          <cell r="I78">
            <v>778</v>
          </cell>
          <cell r="J78">
            <v>682</v>
          </cell>
          <cell r="K78">
            <v>822</v>
          </cell>
          <cell r="L78">
            <v>340</v>
          </cell>
          <cell r="M78">
            <v>1332</v>
          </cell>
          <cell r="N78">
            <v>388</v>
          </cell>
          <cell r="O78">
            <v>1630</v>
          </cell>
          <cell r="P78">
            <v>835</v>
          </cell>
          <cell r="Q78">
            <v>853</v>
          </cell>
          <cell r="R78">
            <v>2140</v>
          </cell>
          <cell r="S78">
            <v>9480</v>
          </cell>
          <cell r="T78">
            <v>4171</v>
          </cell>
          <cell r="U78">
            <v>275</v>
          </cell>
          <cell r="V78">
            <v>18</v>
          </cell>
          <cell r="W78">
            <v>0</v>
          </cell>
          <cell r="X78">
            <v>23744</v>
          </cell>
          <cell r="Y78">
            <v>778</v>
          </cell>
          <cell r="Z78">
            <v>682</v>
          </cell>
          <cell r="AA78">
            <v>822</v>
          </cell>
          <cell r="AB78">
            <v>340</v>
          </cell>
          <cell r="AC78">
            <v>1332</v>
          </cell>
          <cell r="AD78">
            <v>388</v>
          </cell>
          <cell r="AE78">
            <v>1630</v>
          </cell>
          <cell r="AF78">
            <v>835</v>
          </cell>
          <cell r="AG78">
            <v>853</v>
          </cell>
          <cell r="AH78">
            <v>2140</v>
          </cell>
          <cell r="AI78">
            <v>9480</v>
          </cell>
          <cell r="AJ78">
            <v>4171</v>
          </cell>
          <cell r="AK78">
            <v>275</v>
          </cell>
          <cell r="AL78">
            <v>18</v>
          </cell>
          <cell r="AM78">
            <v>0</v>
          </cell>
          <cell r="AN78">
            <v>23744</v>
          </cell>
        </row>
        <row r="79">
          <cell r="E79">
            <v>5357</v>
          </cell>
          <cell r="I79">
            <v>50</v>
          </cell>
          <cell r="J79">
            <v>797</v>
          </cell>
          <cell r="K79">
            <v>10</v>
          </cell>
          <cell r="L79">
            <v>4</v>
          </cell>
          <cell r="M79">
            <v>1202</v>
          </cell>
          <cell r="N79">
            <v>223</v>
          </cell>
          <cell r="O79">
            <v>177</v>
          </cell>
          <cell r="P79">
            <v>71</v>
          </cell>
          <cell r="Q79">
            <v>182</v>
          </cell>
          <cell r="R79">
            <v>1482</v>
          </cell>
          <cell r="S79">
            <v>573</v>
          </cell>
          <cell r="T79">
            <v>62</v>
          </cell>
          <cell r="U79">
            <v>354</v>
          </cell>
          <cell r="V79">
            <v>2</v>
          </cell>
          <cell r="W79">
            <v>0</v>
          </cell>
          <cell r="X79">
            <v>5189</v>
          </cell>
          <cell r="Y79">
            <v>50</v>
          </cell>
          <cell r="Z79">
            <v>797</v>
          </cell>
          <cell r="AA79">
            <v>10</v>
          </cell>
          <cell r="AB79">
            <v>4</v>
          </cell>
          <cell r="AC79">
            <v>1202</v>
          </cell>
          <cell r="AD79">
            <v>223</v>
          </cell>
          <cell r="AE79">
            <v>177</v>
          </cell>
          <cell r="AF79">
            <v>71</v>
          </cell>
          <cell r="AG79">
            <v>182</v>
          </cell>
          <cell r="AH79">
            <v>1482</v>
          </cell>
          <cell r="AI79">
            <v>573</v>
          </cell>
          <cell r="AJ79">
            <v>62</v>
          </cell>
          <cell r="AK79">
            <v>354</v>
          </cell>
          <cell r="AL79">
            <v>2</v>
          </cell>
          <cell r="AM79">
            <v>0</v>
          </cell>
          <cell r="AN79">
            <v>5189</v>
          </cell>
        </row>
        <row r="80">
          <cell r="E80">
            <v>22706.5</v>
          </cell>
          <cell r="I80">
            <v>1</v>
          </cell>
          <cell r="J80">
            <v>36</v>
          </cell>
          <cell r="K80">
            <v>416</v>
          </cell>
          <cell r="L80">
            <v>12</v>
          </cell>
          <cell r="M80">
            <v>119</v>
          </cell>
          <cell r="N80">
            <v>282</v>
          </cell>
          <cell r="O80">
            <v>1157</v>
          </cell>
          <cell r="P80">
            <v>0</v>
          </cell>
          <cell r="Q80">
            <v>320</v>
          </cell>
          <cell r="R80">
            <v>412</v>
          </cell>
          <cell r="S80">
            <v>12029</v>
          </cell>
          <cell r="T80">
            <v>7755</v>
          </cell>
          <cell r="U80">
            <v>117</v>
          </cell>
          <cell r="V80">
            <v>0</v>
          </cell>
          <cell r="W80">
            <v>50</v>
          </cell>
          <cell r="X80">
            <v>22706</v>
          </cell>
          <cell r="Y80">
            <v>1</v>
          </cell>
          <cell r="Z80">
            <v>36</v>
          </cell>
          <cell r="AA80">
            <v>416</v>
          </cell>
          <cell r="AB80">
            <v>12</v>
          </cell>
          <cell r="AC80">
            <v>119</v>
          </cell>
          <cell r="AD80">
            <v>282</v>
          </cell>
          <cell r="AE80">
            <v>1157</v>
          </cell>
          <cell r="AF80">
            <v>0</v>
          </cell>
          <cell r="AG80">
            <v>320</v>
          </cell>
          <cell r="AH80">
            <v>412</v>
          </cell>
          <cell r="AI80">
            <v>12029</v>
          </cell>
          <cell r="AJ80">
            <v>7755</v>
          </cell>
          <cell r="AK80">
            <v>117</v>
          </cell>
          <cell r="AL80">
            <v>0</v>
          </cell>
          <cell r="AM80">
            <v>50</v>
          </cell>
          <cell r="AN80">
            <v>22706</v>
          </cell>
        </row>
        <row r="81">
          <cell r="E81">
            <v>13070</v>
          </cell>
          <cell r="I81">
            <v>130</v>
          </cell>
          <cell r="J81">
            <v>63</v>
          </cell>
          <cell r="K81">
            <v>836</v>
          </cell>
          <cell r="L81">
            <v>0</v>
          </cell>
          <cell r="M81">
            <v>20</v>
          </cell>
          <cell r="N81">
            <v>142</v>
          </cell>
          <cell r="O81">
            <v>135</v>
          </cell>
          <cell r="P81">
            <v>0</v>
          </cell>
          <cell r="Q81">
            <v>590</v>
          </cell>
          <cell r="R81">
            <v>393</v>
          </cell>
          <cell r="S81">
            <v>7706</v>
          </cell>
          <cell r="T81">
            <v>2921</v>
          </cell>
          <cell r="U81">
            <v>9</v>
          </cell>
          <cell r="V81">
            <v>59</v>
          </cell>
          <cell r="W81">
            <v>52</v>
          </cell>
          <cell r="X81">
            <v>13056</v>
          </cell>
          <cell r="Y81">
            <v>130</v>
          </cell>
          <cell r="Z81">
            <v>63</v>
          </cell>
          <cell r="AA81">
            <v>836</v>
          </cell>
          <cell r="AB81">
            <v>0</v>
          </cell>
          <cell r="AC81">
            <v>20</v>
          </cell>
          <cell r="AD81">
            <v>142</v>
          </cell>
          <cell r="AE81">
            <v>135</v>
          </cell>
          <cell r="AF81">
            <v>0</v>
          </cell>
          <cell r="AG81">
            <v>590</v>
          </cell>
          <cell r="AH81">
            <v>393</v>
          </cell>
          <cell r="AI81">
            <v>7706</v>
          </cell>
          <cell r="AJ81">
            <v>2921</v>
          </cell>
          <cell r="AK81">
            <v>9</v>
          </cell>
          <cell r="AL81">
            <v>59</v>
          </cell>
          <cell r="AM81">
            <v>52</v>
          </cell>
          <cell r="AN81">
            <v>13056</v>
          </cell>
        </row>
        <row r="82">
          <cell r="E82">
            <v>16312.25</v>
          </cell>
          <cell r="I82">
            <v>1341</v>
          </cell>
          <cell r="J82">
            <v>207</v>
          </cell>
          <cell r="K82">
            <v>2094</v>
          </cell>
          <cell r="L82">
            <v>41</v>
          </cell>
          <cell r="M82">
            <v>105</v>
          </cell>
          <cell r="N82">
            <v>468</v>
          </cell>
          <cell r="O82">
            <v>724</v>
          </cell>
          <cell r="P82">
            <v>120</v>
          </cell>
          <cell r="Q82">
            <v>863</v>
          </cell>
          <cell r="R82">
            <v>858</v>
          </cell>
          <cell r="S82">
            <v>6450</v>
          </cell>
          <cell r="T82">
            <v>2666</v>
          </cell>
          <cell r="U82">
            <v>219</v>
          </cell>
          <cell r="V82">
            <v>84</v>
          </cell>
          <cell r="W82">
            <v>71</v>
          </cell>
          <cell r="X82">
            <v>16311</v>
          </cell>
          <cell r="Y82">
            <v>1341</v>
          </cell>
          <cell r="Z82">
            <v>207</v>
          </cell>
          <cell r="AA82">
            <v>2094</v>
          </cell>
          <cell r="AB82">
            <v>41</v>
          </cell>
          <cell r="AC82">
            <v>105</v>
          </cell>
          <cell r="AD82">
            <v>468</v>
          </cell>
          <cell r="AE82">
            <v>724</v>
          </cell>
          <cell r="AF82">
            <v>120</v>
          </cell>
          <cell r="AG82">
            <v>863</v>
          </cell>
          <cell r="AH82">
            <v>858</v>
          </cell>
          <cell r="AI82">
            <v>6450</v>
          </cell>
          <cell r="AJ82">
            <v>2666</v>
          </cell>
          <cell r="AK82">
            <v>219</v>
          </cell>
          <cell r="AL82">
            <v>84</v>
          </cell>
          <cell r="AM82">
            <v>71</v>
          </cell>
          <cell r="AN82">
            <v>16311</v>
          </cell>
        </row>
        <row r="83">
          <cell r="E83">
            <v>9915</v>
          </cell>
          <cell r="I83">
            <v>12</v>
          </cell>
          <cell r="J83">
            <v>154</v>
          </cell>
          <cell r="K83">
            <v>9</v>
          </cell>
          <cell r="L83">
            <v>871</v>
          </cell>
          <cell r="M83">
            <v>2834</v>
          </cell>
          <cell r="N83">
            <v>526</v>
          </cell>
          <cell r="O83">
            <v>356</v>
          </cell>
          <cell r="P83">
            <v>716</v>
          </cell>
          <cell r="Q83">
            <v>15</v>
          </cell>
          <cell r="R83">
            <v>1359</v>
          </cell>
          <cell r="S83">
            <v>1985</v>
          </cell>
          <cell r="T83">
            <v>397</v>
          </cell>
          <cell r="U83">
            <v>662</v>
          </cell>
          <cell r="V83">
            <v>10</v>
          </cell>
          <cell r="W83">
            <v>2</v>
          </cell>
          <cell r="X83">
            <v>9908</v>
          </cell>
          <cell r="Y83">
            <v>12</v>
          </cell>
          <cell r="Z83">
            <v>154</v>
          </cell>
          <cell r="AA83">
            <v>9</v>
          </cell>
          <cell r="AB83">
            <v>871</v>
          </cell>
          <cell r="AC83">
            <v>2834</v>
          </cell>
          <cell r="AD83">
            <v>526</v>
          </cell>
          <cell r="AE83">
            <v>356</v>
          </cell>
          <cell r="AF83">
            <v>716</v>
          </cell>
          <cell r="AG83">
            <v>15</v>
          </cell>
          <cell r="AH83">
            <v>1359</v>
          </cell>
          <cell r="AI83">
            <v>1985</v>
          </cell>
          <cell r="AJ83">
            <v>397</v>
          </cell>
          <cell r="AK83">
            <v>662</v>
          </cell>
          <cell r="AL83">
            <v>10</v>
          </cell>
          <cell r="AM83">
            <v>2</v>
          </cell>
          <cell r="AN83">
            <v>9908</v>
          </cell>
        </row>
        <row r="84">
          <cell r="E84">
            <v>3933</v>
          </cell>
          <cell r="I84">
            <v>127</v>
          </cell>
          <cell r="J84">
            <v>237</v>
          </cell>
          <cell r="K84">
            <v>187</v>
          </cell>
          <cell r="L84">
            <v>46</v>
          </cell>
          <cell r="M84">
            <v>547</v>
          </cell>
          <cell r="N84">
            <v>45</v>
          </cell>
          <cell r="O84">
            <v>48</v>
          </cell>
          <cell r="P84">
            <v>167</v>
          </cell>
          <cell r="Q84">
            <v>37</v>
          </cell>
          <cell r="R84">
            <v>1617</v>
          </cell>
          <cell r="S84">
            <v>201</v>
          </cell>
          <cell r="T84">
            <v>0</v>
          </cell>
          <cell r="U84">
            <v>669</v>
          </cell>
          <cell r="V84">
            <v>5</v>
          </cell>
          <cell r="W84">
            <v>0</v>
          </cell>
          <cell r="X84">
            <v>3933</v>
          </cell>
          <cell r="Y84">
            <v>127</v>
          </cell>
          <cell r="Z84">
            <v>237</v>
          </cell>
          <cell r="AA84">
            <v>187</v>
          </cell>
          <cell r="AB84">
            <v>46</v>
          </cell>
          <cell r="AC84">
            <v>547</v>
          </cell>
          <cell r="AD84">
            <v>45</v>
          </cell>
          <cell r="AE84">
            <v>48</v>
          </cell>
          <cell r="AF84">
            <v>167</v>
          </cell>
          <cell r="AG84">
            <v>37</v>
          </cell>
          <cell r="AH84">
            <v>1617</v>
          </cell>
          <cell r="AI84">
            <v>201</v>
          </cell>
          <cell r="AJ84">
            <v>0</v>
          </cell>
          <cell r="AK84">
            <v>669</v>
          </cell>
          <cell r="AL84">
            <v>5</v>
          </cell>
          <cell r="AM84">
            <v>0</v>
          </cell>
          <cell r="AN84">
            <v>3933</v>
          </cell>
        </row>
        <row r="85">
          <cell r="E85">
            <v>5055</v>
          </cell>
          <cell r="I85">
            <v>35</v>
          </cell>
          <cell r="J85">
            <v>433</v>
          </cell>
          <cell r="K85">
            <v>503</v>
          </cell>
          <cell r="L85">
            <v>0</v>
          </cell>
          <cell r="M85">
            <v>252</v>
          </cell>
          <cell r="N85">
            <v>259</v>
          </cell>
          <cell r="O85">
            <v>97</v>
          </cell>
          <cell r="P85">
            <v>381</v>
          </cell>
          <cell r="Q85">
            <v>42</v>
          </cell>
          <cell r="R85">
            <v>737</v>
          </cell>
          <cell r="S85">
            <v>2151</v>
          </cell>
          <cell r="T85">
            <v>0</v>
          </cell>
          <cell r="U85">
            <v>163</v>
          </cell>
          <cell r="V85">
            <v>0</v>
          </cell>
          <cell r="W85">
            <v>2</v>
          </cell>
          <cell r="X85">
            <v>5055</v>
          </cell>
          <cell r="Y85">
            <v>35</v>
          </cell>
          <cell r="Z85">
            <v>433</v>
          </cell>
          <cell r="AA85">
            <v>503</v>
          </cell>
          <cell r="AB85">
            <v>0</v>
          </cell>
          <cell r="AC85">
            <v>252</v>
          </cell>
          <cell r="AD85">
            <v>259</v>
          </cell>
          <cell r="AE85">
            <v>97</v>
          </cell>
          <cell r="AF85">
            <v>381</v>
          </cell>
          <cell r="AG85">
            <v>42</v>
          </cell>
          <cell r="AH85">
            <v>737</v>
          </cell>
          <cell r="AI85">
            <v>2151</v>
          </cell>
          <cell r="AJ85">
            <v>0</v>
          </cell>
          <cell r="AK85">
            <v>163</v>
          </cell>
          <cell r="AL85">
            <v>0</v>
          </cell>
          <cell r="AM85">
            <v>2</v>
          </cell>
          <cell r="AN85">
            <v>5055</v>
          </cell>
        </row>
        <row r="86">
          <cell r="E86">
            <v>10087.5</v>
          </cell>
          <cell r="I86">
            <v>126</v>
          </cell>
          <cell r="J86">
            <v>214</v>
          </cell>
          <cell r="K86">
            <v>90</v>
          </cell>
          <cell r="L86">
            <v>640</v>
          </cell>
          <cell r="M86">
            <v>1197</v>
          </cell>
          <cell r="N86">
            <v>483</v>
          </cell>
          <cell r="O86">
            <v>244</v>
          </cell>
          <cell r="P86">
            <v>787</v>
          </cell>
          <cell r="Q86">
            <v>78</v>
          </cell>
          <cell r="R86">
            <v>2345</v>
          </cell>
          <cell r="S86">
            <v>2825</v>
          </cell>
          <cell r="T86">
            <v>611</v>
          </cell>
          <cell r="U86">
            <v>394</v>
          </cell>
          <cell r="V86">
            <v>0</v>
          </cell>
          <cell r="W86">
            <v>51</v>
          </cell>
          <cell r="X86">
            <v>10085</v>
          </cell>
          <cell r="Y86">
            <v>126</v>
          </cell>
          <cell r="Z86">
            <v>214</v>
          </cell>
          <cell r="AA86">
            <v>90</v>
          </cell>
          <cell r="AB86">
            <v>640</v>
          </cell>
          <cell r="AC86">
            <v>1197</v>
          </cell>
          <cell r="AD86">
            <v>483</v>
          </cell>
          <cell r="AE86">
            <v>244</v>
          </cell>
          <cell r="AF86">
            <v>787</v>
          </cell>
          <cell r="AG86">
            <v>78</v>
          </cell>
          <cell r="AH86">
            <v>2345</v>
          </cell>
          <cell r="AI86">
            <v>2825</v>
          </cell>
          <cell r="AJ86">
            <v>611</v>
          </cell>
          <cell r="AK86">
            <v>394</v>
          </cell>
          <cell r="AL86">
            <v>0</v>
          </cell>
          <cell r="AM86">
            <v>51</v>
          </cell>
          <cell r="AN86">
            <v>10085</v>
          </cell>
        </row>
        <row r="87">
          <cell r="E87">
            <v>4105</v>
          </cell>
          <cell r="I87">
            <v>57</v>
          </cell>
          <cell r="J87">
            <v>186</v>
          </cell>
          <cell r="K87">
            <v>170</v>
          </cell>
          <cell r="L87">
            <v>50</v>
          </cell>
          <cell r="M87">
            <v>807</v>
          </cell>
          <cell r="N87">
            <v>124</v>
          </cell>
          <cell r="O87">
            <v>67</v>
          </cell>
          <cell r="P87">
            <v>668</v>
          </cell>
          <cell r="Q87">
            <v>43</v>
          </cell>
          <cell r="R87">
            <v>952</v>
          </cell>
          <cell r="S87">
            <v>184</v>
          </cell>
          <cell r="T87">
            <v>0</v>
          </cell>
          <cell r="U87">
            <v>797</v>
          </cell>
          <cell r="V87">
            <v>0</v>
          </cell>
          <cell r="W87">
            <v>0</v>
          </cell>
          <cell r="X87">
            <v>4105</v>
          </cell>
          <cell r="Y87">
            <v>57</v>
          </cell>
          <cell r="Z87">
            <v>186</v>
          </cell>
          <cell r="AA87">
            <v>170</v>
          </cell>
          <cell r="AB87">
            <v>50</v>
          </cell>
          <cell r="AC87">
            <v>807</v>
          </cell>
          <cell r="AD87">
            <v>124</v>
          </cell>
          <cell r="AE87">
            <v>67</v>
          </cell>
          <cell r="AF87">
            <v>668</v>
          </cell>
          <cell r="AG87">
            <v>43</v>
          </cell>
          <cell r="AH87">
            <v>952</v>
          </cell>
          <cell r="AI87">
            <v>184</v>
          </cell>
          <cell r="AJ87">
            <v>0</v>
          </cell>
          <cell r="AK87">
            <v>797</v>
          </cell>
          <cell r="AL87">
            <v>0</v>
          </cell>
          <cell r="AM87">
            <v>0</v>
          </cell>
          <cell r="AN87">
            <v>4105</v>
          </cell>
        </row>
        <row r="88">
          <cell r="E88">
            <v>10350.13</v>
          </cell>
          <cell r="I88">
            <v>118</v>
          </cell>
          <cell r="J88">
            <v>969</v>
          </cell>
          <cell r="K88">
            <v>741</v>
          </cell>
          <cell r="L88">
            <v>55</v>
          </cell>
          <cell r="M88">
            <v>1422</v>
          </cell>
          <cell r="N88">
            <v>675</v>
          </cell>
          <cell r="O88">
            <v>351</v>
          </cell>
          <cell r="P88">
            <v>167</v>
          </cell>
          <cell r="Q88">
            <v>79</v>
          </cell>
          <cell r="R88">
            <v>2499</v>
          </cell>
          <cell r="S88">
            <v>2162</v>
          </cell>
          <cell r="T88">
            <v>544</v>
          </cell>
          <cell r="U88">
            <v>516</v>
          </cell>
          <cell r="V88">
            <v>0</v>
          </cell>
          <cell r="W88">
            <v>0</v>
          </cell>
          <cell r="X88">
            <v>10298</v>
          </cell>
          <cell r="Y88">
            <v>118</v>
          </cell>
          <cell r="Z88">
            <v>969</v>
          </cell>
          <cell r="AA88">
            <v>741</v>
          </cell>
          <cell r="AB88">
            <v>55</v>
          </cell>
          <cell r="AC88">
            <v>1422</v>
          </cell>
          <cell r="AD88">
            <v>675</v>
          </cell>
          <cell r="AE88">
            <v>351</v>
          </cell>
          <cell r="AF88">
            <v>167</v>
          </cell>
          <cell r="AG88">
            <v>79</v>
          </cell>
          <cell r="AH88">
            <v>2499</v>
          </cell>
          <cell r="AI88">
            <v>2162</v>
          </cell>
          <cell r="AJ88">
            <v>544</v>
          </cell>
          <cell r="AK88">
            <v>516</v>
          </cell>
          <cell r="AL88">
            <v>0</v>
          </cell>
          <cell r="AM88">
            <v>0</v>
          </cell>
          <cell r="AN88">
            <v>10298</v>
          </cell>
        </row>
        <row r="89">
          <cell r="E89">
            <v>3398</v>
          </cell>
          <cell r="I89">
            <v>95</v>
          </cell>
          <cell r="J89">
            <v>473</v>
          </cell>
          <cell r="K89">
            <v>123</v>
          </cell>
          <cell r="L89">
            <v>14</v>
          </cell>
          <cell r="M89">
            <v>590</v>
          </cell>
          <cell r="N89">
            <v>144</v>
          </cell>
          <cell r="O89">
            <v>122</v>
          </cell>
          <cell r="P89">
            <v>133</v>
          </cell>
          <cell r="Q89">
            <v>18</v>
          </cell>
          <cell r="R89">
            <v>911</v>
          </cell>
          <cell r="S89">
            <v>72</v>
          </cell>
          <cell r="T89">
            <v>0</v>
          </cell>
          <cell r="U89">
            <v>689</v>
          </cell>
          <cell r="V89">
            <v>0</v>
          </cell>
          <cell r="W89">
            <v>14</v>
          </cell>
          <cell r="X89">
            <v>3398</v>
          </cell>
          <cell r="Y89">
            <v>95</v>
          </cell>
          <cell r="Z89">
            <v>473</v>
          </cell>
          <cell r="AA89">
            <v>123</v>
          </cell>
          <cell r="AB89">
            <v>14</v>
          </cell>
          <cell r="AC89">
            <v>590</v>
          </cell>
          <cell r="AD89">
            <v>144</v>
          </cell>
          <cell r="AE89">
            <v>122</v>
          </cell>
          <cell r="AF89">
            <v>133</v>
          </cell>
          <cell r="AG89">
            <v>18</v>
          </cell>
          <cell r="AH89">
            <v>911</v>
          </cell>
          <cell r="AI89">
            <v>72</v>
          </cell>
          <cell r="AJ89">
            <v>0</v>
          </cell>
          <cell r="AK89">
            <v>689</v>
          </cell>
          <cell r="AL89">
            <v>0</v>
          </cell>
          <cell r="AM89">
            <v>14</v>
          </cell>
          <cell r="AN89">
            <v>3398</v>
          </cell>
        </row>
        <row r="90">
          <cell r="E90">
            <v>13419</v>
          </cell>
          <cell r="I90">
            <v>489</v>
          </cell>
          <cell r="J90">
            <v>777</v>
          </cell>
          <cell r="K90">
            <v>546</v>
          </cell>
          <cell r="L90">
            <v>183</v>
          </cell>
          <cell r="M90">
            <v>809</v>
          </cell>
          <cell r="N90">
            <v>203</v>
          </cell>
          <cell r="O90">
            <v>647</v>
          </cell>
          <cell r="P90">
            <v>240</v>
          </cell>
          <cell r="Q90">
            <v>574</v>
          </cell>
          <cell r="R90">
            <v>959</v>
          </cell>
          <cell r="S90">
            <v>5828</v>
          </cell>
          <cell r="T90">
            <v>1822</v>
          </cell>
          <cell r="U90">
            <v>312</v>
          </cell>
          <cell r="V90">
            <v>20</v>
          </cell>
          <cell r="W90">
            <v>9</v>
          </cell>
          <cell r="X90">
            <v>13418</v>
          </cell>
          <cell r="Y90">
            <v>489</v>
          </cell>
          <cell r="Z90">
            <v>777</v>
          </cell>
          <cell r="AA90">
            <v>546</v>
          </cell>
          <cell r="AB90">
            <v>183</v>
          </cell>
          <cell r="AC90">
            <v>809</v>
          </cell>
          <cell r="AD90">
            <v>203</v>
          </cell>
          <cell r="AE90">
            <v>647</v>
          </cell>
          <cell r="AF90">
            <v>240</v>
          </cell>
          <cell r="AG90">
            <v>574</v>
          </cell>
          <cell r="AH90">
            <v>959</v>
          </cell>
          <cell r="AI90">
            <v>5828</v>
          </cell>
          <cell r="AJ90">
            <v>1822</v>
          </cell>
          <cell r="AK90">
            <v>312</v>
          </cell>
          <cell r="AL90">
            <v>20</v>
          </cell>
          <cell r="AM90">
            <v>9</v>
          </cell>
          <cell r="AN90">
            <v>13418</v>
          </cell>
        </row>
        <row r="91">
          <cell r="E91">
            <v>8187</v>
          </cell>
          <cell r="I91">
            <v>401</v>
          </cell>
          <cell r="J91">
            <v>1021</v>
          </cell>
          <cell r="K91">
            <v>686</v>
          </cell>
          <cell r="L91">
            <v>7</v>
          </cell>
          <cell r="M91">
            <v>1583</v>
          </cell>
          <cell r="N91">
            <v>60</v>
          </cell>
          <cell r="O91">
            <v>330</v>
          </cell>
          <cell r="P91">
            <v>504</v>
          </cell>
          <cell r="Q91">
            <v>187</v>
          </cell>
          <cell r="R91">
            <v>1441</v>
          </cell>
          <cell r="S91">
            <v>1517</v>
          </cell>
          <cell r="T91">
            <v>69</v>
          </cell>
          <cell r="U91">
            <v>367</v>
          </cell>
          <cell r="V91">
            <v>14</v>
          </cell>
          <cell r="W91">
            <v>0</v>
          </cell>
          <cell r="X91">
            <v>8187</v>
          </cell>
          <cell r="Y91">
            <v>401</v>
          </cell>
          <cell r="Z91">
            <v>1021</v>
          </cell>
          <cell r="AA91">
            <v>686</v>
          </cell>
          <cell r="AB91">
            <v>7</v>
          </cell>
          <cell r="AC91">
            <v>1583</v>
          </cell>
          <cell r="AD91">
            <v>60</v>
          </cell>
          <cell r="AE91">
            <v>330</v>
          </cell>
          <cell r="AF91">
            <v>504</v>
          </cell>
          <cell r="AG91">
            <v>187</v>
          </cell>
          <cell r="AH91">
            <v>1441</v>
          </cell>
          <cell r="AI91">
            <v>1517</v>
          </cell>
          <cell r="AJ91">
            <v>69</v>
          </cell>
          <cell r="AK91">
            <v>367</v>
          </cell>
          <cell r="AL91">
            <v>14</v>
          </cell>
          <cell r="AM91">
            <v>0</v>
          </cell>
          <cell r="AN91">
            <v>8187</v>
          </cell>
        </row>
        <row r="92">
          <cell r="E92">
            <v>108</v>
          </cell>
          <cell r="I92">
            <v>0</v>
          </cell>
          <cell r="J92">
            <v>1</v>
          </cell>
          <cell r="K92">
            <v>0</v>
          </cell>
          <cell r="L92">
            <v>24</v>
          </cell>
          <cell r="M92">
            <v>2</v>
          </cell>
          <cell r="N92">
            <v>17</v>
          </cell>
          <cell r="O92">
            <v>6</v>
          </cell>
          <cell r="P92">
            <v>10</v>
          </cell>
          <cell r="Q92">
            <v>0</v>
          </cell>
          <cell r="R92">
            <v>41</v>
          </cell>
          <cell r="S92">
            <v>0</v>
          </cell>
          <cell r="T92">
            <v>0</v>
          </cell>
          <cell r="U92">
            <v>7</v>
          </cell>
          <cell r="V92">
            <v>0</v>
          </cell>
          <cell r="W92">
            <v>0</v>
          </cell>
          <cell r="X92">
            <v>108</v>
          </cell>
          <cell r="Y92">
            <v>0</v>
          </cell>
          <cell r="Z92">
            <v>1</v>
          </cell>
          <cell r="AA92">
            <v>0</v>
          </cell>
          <cell r="AB92">
            <v>24</v>
          </cell>
          <cell r="AC92">
            <v>2</v>
          </cell>
          <cell r="AD92">
            <v>17</v>
          </cell>
          <cell r="AE92">
            <v>6</v>
          </cell>
          <cell r="AF92">
            <v>10</v>
          </cell>
          <cell r="AG92">
            <v>0</v>
          </cell>
          <cell r="AH92">
            <v>41</v>
          </cell>
          <cell r="AI92">
            <v>0</v>
          </cell>
          <cell r="AJ92">
            <v>7</v>
          </cell>
          <cell r="AK92">
            <v>0</v>
          </cell>
          <cell r="AL92">
            <v>0</v>
          </cell>
          <cell r="AM92">
            <v>0</v>
          </cell>
          <cell r="AN92">
            <v>108</v>
          </cell>
        </row>
        <row r="93">
          <cell r="E93">
            <v>25927</v>
          </cell>
          <cell r="I93">
            <v>45</v>
          </cell>
          <cell r="J93">
            <v>18</v>
          </cell>
          <cell r="K93">
            <v>675</v>
          </cell>
          <cell r="L93">
            <v>6</v>
          </cell>
          <cell r="M93">
            <v>29</v>
          </cell>
          <cell r="N93">
            <v>376</v>
          </cell>
          <cell r="O93">
            <v>1278</v>
          </cell>
          <cell r="P93">
            <v>0</v>
          </cell>
          <cell r="Q93">
            <v>140</v>
          </cell>
          <cell r="R93">
            <v>306</v>
          </cell>
          <cell r="S93">
            <v>17433</v>
          </cell>
          <cell r="T93">
            <v>5604</v>
          </cell>
          <cell r="U93">
            <v>16</v>
          </cell>
          <cell r="V93">
            <v>0</v>
          </cell>
          <cell r="W93">
            <v>0</v>
          </cell>
          <cell r="X93">
            <v>25926</v>
          </cell>
          <cell r="Y93">
            <v>10</v>
          </cell>
          <cell r="Z93">
            <v>1</v>
          </cell>
          <cell r="AA93">
            <v>79</v>
          </cell>
          <cell r="AB93">
            <v>6</v>
          </cell>
          <cell r="AC93">
            <v>28</v>
          </cell>
          <cell r="AD93">
            <v>376</v>
          </cell>
          <cell r="AE93">
            <v>1278</v>
          </cell>
          <cell r="AF93">
            <v>0</v>
          </cell>
          <cell r="AG93">
            <v>45</v>
          </cell>
          <cell r="AH93">
            <v>306</v>
          </cell>
          <cell r="AI93">
            <v>13577</v>
          </cell>
          <cell r="AJ93">
            <v>5604</v>
          </cell>
          <cell r="AK93">
            <v>16</v>
          </cell>
          <cell r="AL93">
            <v>0</v>
          </cell>
          <cell r="AM93">
            <v>0</v>
          </cell>
          <cell r="AN93">
            <v>21326</v>
          </cell>
        </row>
        <row r="94">
          <cell r="E94">
            <v>6924</v>
          </cell>
          <cell r="I94">
            <v>0</v>
          </cell>
          <cell r="J94">
            <v>1</v>
          </cell>
          <cell r="K94">
            <v>57</v>
          </cell>
          <cell r="L94">
            <v>0</v>
          </cell>
          <cell r="M94">
            <v>7</v>
          </cell>
          <cell r="N94">
            <v>10</v>
          </cell>
          <cell r="O94">
            <v>67</v>
          </cell>
          <cell r="P94">
            <v>0</v>
          </cell>
          <cell r="Q94">
            <v>210</v>
          </cell>
          <cell r="R94">
            <v>201</v>
          </cell>
          <cell r="S94">
            <v>3663</v>
          </cell>
          <cell r="T94">
            <v>2652</v>
          </cell>
          <cell r="U94">
            <v>12</v>
          </cell>
          <cell r="V94">
            <v>44</v>
          </cell>
          <cell r="W94">
            <v>0</v>
          </cell>
          <cell r="X94">
            <v>6924</v>
          </cell>
          <cell r="Y94">
            <v>0</v>
          </cell>
          <cell r="Z94">
            <v>1</v>
          </cell>
          <cell r="AA94">
            <v>57</v>
          </cell>
          <cell r="AB94">
            <v>0</v>
          </cell>
          <cell r="AC94">
            <v>7</v>
          </cell>
          <cell r="AD94">
            <v>10</v>
          </cell>
          <cell r="AE94">
            <v>67</v>
          </cell>
          <cell r="AF94">
            <v>0</v>
          </cell>
          <cell r="AG94">
            <v>210</v>
          </cell>
          <cell r="AH94">
            <v>201</v>
          </cell>
          <cell r="AI94">
            <v>3663</v>
          </cell>
          <cell r="AJ94">
            <v>2652</v>
          </cell>
          <cell r="AK94">
            <v>12</v>
          </cell>
          <cell r="AL94">
            <v>44</v>
          </cell>
          <cell r="AM94">
            <v>0</v>
          </cell>
          <cell r="AN94">
            <v>6924</v>
          </cell>
        </row>
        <row r="95">
          <cell r="E95">
            <v>3812</v>
          </cell>
          <cell r="I95">
            <v>176</v>
          </cell>
          <cell r="J95">
            <v>477</v>
          </cell>
          <cell r="K95">
            <v>342</v>
          </cell>
          <cell r="L95">
            <v>2</v>
          </cell>
          <cell r="M95">
            <v>545</v>
          </cell>
          <cell r="N95">
            <v>41</v>
          </cell>
          <cell r="O95">
            <v>155</v>
          </cell>
          <cell r="P95">
            <v>29</v>
          </cell>
          <cell r="Q95">
            <v>30</v>
          </cell>
          <cell r="R95">
            <v>1191</v>
          </cell>
          <cell r="S95">
            <v>349</v>
          </cell>
          <cell r="T95">
            <v>0</v>
          </cell>
          <cell r="U95">
            <v>475</v>
          </cell>
          <cell r="V95">
            <v>0</v>
          </cell>
          <cell r="W95">
            <v>0</v>
          </cell>
          <cell r="X95">
            <v>3812</v>
          </cell>
          <cell r="Y95">
            <v>176</v>
          </cell>
          <cell r="Z95">
            <v>477</v>
          </cell>
          <cell r="AA95">
            <v>342</v>
          </cell>
          <cell r="AB95">
            <v>2</v>
          </cell>
          <cell r="AC95">
            <v>545</v>
          </cell>
          <cell r="AD95">
            <v>41</v>
          </cell>
          <cell r="AE95">
            <v>155</v>
          </cell>
          <cell r="AF95">
            <v>29</v>
          </cell>
          <cell r="AG95">
            <v>30</v>
          </cell>
          <cell r="AH95">
            <v>1191</v>
          </cell>
          <cell r="AI95">
            <v>349</v>
          </cell>
          <cell r="AJ95">
            <v>0</v>
          </cell>
          <cell r="AK95">
            <v>475</v>
          </cell>
          <cell r="AL95">
            <v>0</v>
          </cell>
          <cell r="AM95">
            <v>0</v>
          </cell>
          <cell r="AN95">
            <v>3812</v>
          </cell>
        </row>
        <row r="96">
          <cell r="E96">
            <v>26917</v>
          </cell>
          <cell r="I96">
            <v>549</v>
          </cell>
          <cell r="J96">
            <v>900</v>
          </cell>
          <cell r="K96">
            <v>3097</v>
          </cell>
          <cell r="L96">
            <v>2115</v>
          </cell>
          <cell r="M96">
            <v>2260</v>
          </cell>
          <cell r="N96">
            <v>1940</v>
          </cell>
          <cell r="O96">
            <v>2473</v>
          </cell>
          <cell r="P96">
            <v>4590</v>
          </cell>
          <cell r="Q96">
            <v>292</v>
          </cell>
          <cell r="R96">
            <v>2661</v>
          </cell>
          <cell r="S96">
            <v>1079</v>
          </cell>
          <cell r="T96">
            <v>2007</v>
          </cell>
          <cell r="U96">
            <v>2946</v>
          </cell>
          <cell r="V96">
            <v>1</v>
          </cell>
          <cell r="W96">
            <v>7</v>
          </cell>
          <cell r="X96">
            <v>26917</v>
          </cell>
          <cell r="Y96">
            <v>549</v>
          </cell>
          <cell r="Z96">
            <v>900</v>
          </cell>
          <cell r="AA96">
            <v>3097</v>
          </cell>
          <cell r="AB96">
            <v>2115</v>
          </cell>
          <cell r="AC96">
            <v>2260</v>
          </cell>
          <cell r="AD96">
            <v>1940</v>
          </cell>
          <cell r="AE96">
            <v>2473</v>
          </cell>
          <cell r="AF96">
            <v>4590</v>
          </cell>
          <cell r="AG96">
            <v>292</v>
          </cell>
          <cell r="AH96">
            <v>2661</v>
          </cell>
          <cell r="AI96">
            <v>1079</v>
          </cell>
          <cell r="AJ96">
            <v>2007</v>
          </cell>
          <cell r="AK96">
            <v>2946</v>
          </cell>
          <cell r="AL96">
            <v>1</v>
          </cell>
          <cell r="AM96">
            <v>7</v>
          </cell>
          <cell r="AN96">
            <v>26917</v>
          </cell>
        </row>
        <row r="97">
          <cell r="E97">
            <v>4849.88</v>
          </cell>
          <cell r="I97">
            <v>18</v>
          </cell>
          <cell r="J97">
            <v>207</v>
          </cell>
          <cell r="K97">
            <v>255</v>
          </cell>
          <cell r="L97">
            <v>0</v>
          </cell>
          <cell r="M97">
            <v>407</v>
          </cell>
          <cell r="N97">
            <v>128</v>
          </cell>
          <cell r="O97">
            <v>86</v>
          </cell>
          <cell r="P97">
            <v>3</v>
          </cell>
          <cell r="Q97">
            <v>81</v>
          </cell>
          <cell r="R97">
            <v>897</v>
          </cell>
          <cell r="S97">
            <v>2102</v>
          </cell>
          <cell r="T97">
            <v>453</v>
          </cell>
          <cell r="U97">
            <v>156</v>
          </cell>
          <cell r="V97">
            <v>14</v>
          </cell>
          <cell r="W97">
            <v>19</v>
          </cell>
          <cell r="X97">
            <v>4826</v>
          </cell>
          <cell r="Y97">
            <v>18</v>
          </cell>
          <cell r="Z97">
            <v>207</v>
          </cell>
          <cell r="AA97">
            <v>255</v>
          </cell>
          <cell r="AB97">
            <v>0</v>
          </cell>
          <cell r="AC97">
            <v>407</v>
          </cell>
          <cell r="AD97">
            <v>128</v>
          </cell>
          <cell r="AE97">
            <v>86</v>
          </cell>
          <cell r="AF97">
            <v>3</v>
          </cell>
          <cell r="AG97">
            <v>81</v>
          </cell>
          <cell r="AH97">
            <v>897</v>
          </cell>
          <cell r="AI97">
            <v>2102</v>
          </cell>
          <cell r="AJ97">
            <v>453</v>
          </cell>
          <cell r="AK97">
            <v>156</v>
          </cell>
          <cell r="AL97">
            <v>14</v>
          </cell>
          <cell r="AM97">
            <v>19</v>
          </cell>
          <cell r="AN97">
            <v>4826</v>
          </cell>
        </row>
        <row r="98">
          <cell r="E98">
            <v>23122</v>
          </cell>
          <cell r="I98">
            <v>324</v>
          </cell>
          <cell r="J98">
            <v>1353</v>
          </cell>
          <cell r="K98">
            <v>4010</v>
          </cell>
          <cell r="L98">
            <v>0</v>
          </cell>
          <cell r="M98">
            <v>2994</v>
          </cell>
          <cell r="N98">
            <v>491</v>
          </cell>
          <cell r="O98">
            <v>349</v>
          </cell>
          <cell r="P98">
            <v>1055</v>
          </cell>
          <cell r="Q98">
            <v>161</v>
          </cell>
          <cell r="R98">
            <v>6906</v>
          </cell>
          <cell r="S98">
            <v>1443</v>
          </cell>
          <cell r="T98">
            <v>781</v>
          </cell>
          <cell r="U98">
            <v>3255</v>
          </cell>
          <cell r="V98">
            <v>0</v>
          </cell>
          <cell r="W98">
            <v>0</v>
          </cell>
          <cell r="X98">
            <v>23122</v>
          </cell>
          <cell r="Y98">
            <v>324</v>
          </cell>
          <cell r="Z98">
            <v>1353</v>
          </cell>
          <cell r="AA98">
            <v>4010</v>
          </cell>
          <cell r="AB98">
            <v>0</v>
          </cell>
          <cell r="AC98">
            <v>2994</v>
          </cell>
          <cell r="AD98">
            <v>491</v>
          </cell>
          <cell r="AE98">
            <v>349</v>
          </cell>
          <cell r="AF98">
            <v>1055</v>
          </cell>
          <cell r="AG98">
            <v>161</v>
          </cell>
          <cell r="AH98">
            <v>6906</v>
          </cell>
          <cell r="AI98">
            <v>1443</v>
          </cell>
          <cell r="AJ98">
            <v>781</v>
          </cell>
          <cell r="AK98">
            <v>3255</v>
          </cell>
          <cell r="AL98">
            <v>0</v>
          </cell>
          <cell r="AM98">
            <v>0</v>
          </cell>
          <cell r="AN98">
            <v>23122</v>
          </cell>
        </row>
        <row r="99">
          <cell r="E99">
            <v>25941</v>
          </cell>
          <cell r="I99">
            <v>76</v>
          </cell>
          <cell r="J99">
            <v>222</v>
          </cell>
          <cell r="K99">
            <v>924</v>
          </cell>
          <cell r="L99">
            <v>13</v>
          </cell>
          <cell r="M99">
            <v>222</v>
          </cell>
          <cell r="N99">
            <v>461</v>
          </cell>
          <cell r="O99">
            <v>1910</v>
          </cell>
          <cell r="P99">
            <v>133</v>
          </cell>
          <cell r="Q99">
            <v>1054</v>
          </cell>
          <cell r="R99">
            <v>2323</v>
          </cell>
          <cell r="S99">
            <v>14031</v>
          </cell>
          <cell r="T99">
            <v>4306</v>
          </cell>
          <cell r="U99">
            <v>105</v>
          </cell>
          <cell r="V99">
            <v>135</v>
          </cell>
          <cell r="W99">
            <v>25</v>
          </cell>
          <cell r="X99">
            <v>25940</v>
          </cell>
          <cell r="Y99">
            <v>76</v>
          </cell>
          <cell r="Z99">
            <v>222</v>
          </cell>
          <cell r="AA99">
            <v>924</v>
          </cell>
          <cell r="AB99">
            <v>13</v>
          </cell>
          <cell r="AC99">
            <v>222</v>
          </cell>
          <cell r="AD99">
            <v>461</v>
          </cell>
          <cell r="AE99">
            <v>1910</v>
          </cell>
          <cell r="AF99">
            <v>133</v>
          </cell>
          <cell r="AG99">
            <v>1054</v>
          </cell>
          <cell r="AH99">
            <v>2323</v>
          </cell>
          <cell r="AI99">
            <v>14031</v>
          </cell>
          <cell r="AJ99">
            <v>4306</v>
          </cell>
          <cell r="AK99">
            <v>105</v>
          </cell>
          <cell r="AL99">
            <v>135</v>
          </cell>
          <cell r="AM99">
            <v>25</v>
          </cell>
          <cell r="AN99">
            <v>25940</v>
          </cell>
        </row>
        <row r="100">
          <cell r="E100">
            <v>3809.5</v>
          </cell>
          <cell r="I100">
            <v>0</v>
          </cell>
          <cell r="J100">
            <v>401</v>
          </cell>
          <cell r="K100">
            <v>546</v>
          </cell>
          <cell r="L100">
            <v>0</v>
          </cell>
          <cell r="M100">
            <v>561</v>
          </cell>
          <cell r="N100">
            <v>1</v>
          </cell>
          <cell r="O100">
            <v>196</v>
          </cell>
          <cell r="P100">
            <v>61</v>
          </cell>
          <cell r="Q100">
            <v>10</v>
          </cell>
          <cell r="R100">
            <v>563</v>
          </cell>
          <cell r="S100">
            <v>622</v>
          </cell>
          <cell r="T100">
            <v>120</v>
          </cell>
          <cell r="U100">
            <v>728</v>
          </cell>
          <cell r="V100">
            <v>0</v>
          </cell>
          <cell r="W100">
            <v>0</v>
          </cell>
          <cell r="X100">
            <v>3809</v>
          </cell>
          <cell r="Y100">
            <v>0</v>
          </cell>
          <cell r="Z100">
            <v>401</v>
          </cell>
          <cell r="AA100">
            <v>546</v>
          </cell>
          <cell r="AB100">
            <v>0</v>
          </cell>
          <cell r="AC100">
            <v>561</v>
          </cell>
          <cell r="AD100">
            <v>1</v>
          </cell>
          <cell r="AE100">
            <v>196</v>
          </cell>
          <cell r="AF100">
            <v>61</v>
          </cell>
          <cell r="AG100">
            <v>10</v>
          </cell>
          <cell r="AH100">
            <v>563</v>
          </cell>
          <cell r="AI100">
            <v>622</v>
          </cell>
          <cell r="AJ100">
            <v>120</v>
          </cell>
          <cell r="AK100">
            <v>728</v>
          </cell>
          <cell r="AL100">
            <v>0</v>
          </cell>
          <cell r="AM100">
            <v>0</v>
          </cell>
          <cell r="AN100">
            <v>3809</v>
          </cell>
        </row>
        <row r="101">
          <cell r="E101">
            <v>58428.75</v>
          </cell>
          <cell r="I101">
            <v>3235</v>
          </cell>
          <cell r="J101">
            <v>5670</v>
          </cell>
          <cell r="K101">
            <v>4262</v>
          </cell>
          <cell r="L101">
            <v>666</v>
          </cell>
          <cell r="M101">
            <v>5763</v>
          </cell>
          <cell r="N101">
            <v>2377</v>
          </cell>
          <cell r="O101">
            <v>2734</v>
          </cell>
          <cell r="P101">
            <v>6971</v>
          </cell>
          <cell r="Q101">
            <v>1772</v>
          </cell>
          <cell r="R101">
            <v>10232</v>
          </cell>
          <cell r="S101">
            <v>4202</v>
          </cell>
          <cell r="T101">
            <v>7526</v>
          </cell>
          <cell r="U101">
            <v>3006</v>
          </cell>
          <cell r="V101">
            <v>2</v>
          </cell>
          <cell r="W101">
            <v>0</v>
          </cell>
          <cell r="X101">
            <v>58418</v>
          </cell>
          <cell r="Y101">
            <v>3235</v>
          </cell>
          <cell r="Z101">
            <v>5670</v>
          </cell>
          <cell r="AA101">
            <v>4262</v>
          </cell>
          <cell r="AB101">
            <v>666</v>
          </cell>
          <cell r="AC101">
            <v>5627</v>
          </cell>
          <cell r="AD101">
            <v>2375</v>
          </cell>
          <cell r="AE101">
            <v>2734</v>
          </cell>
          <cell r="AF101">
            <v>6097</v>
          </cell>
          <cell r="AG101">
            <v>1772</v>
          </cell>
          <cell r="AH101">
            <v>10010</v>
          </cell>
          <cell r="AI101">
            <v>4136</v>
          </cell>
          <cell r="AJ101">
            <v>7441</v>
          </cell>
          <cell r="AK101">
            <v>2990</v>
          </cell>
          <cell r="AL101">
            <v>2</v>
          </cell>
          <cell r="AM101">
            <v>0</v>
          </cell>
          <cell r="AN101">
            <v>57017</v>
          </cell>
        </row>
        <row r="102">
          <cell r="E102">
            <v>22297</v>
          </cell>
          <cell r="I102">
            <v>1096</v>
          </cell>
          <cell r="J102">
            <v>1877</v>
          </cell>
          <cell r="K102">
            <v>1010</v>
          </cell>
          <cell r="L102">
            <v>228</v>
          </cell>
          <cell r="M102">
            <v>1180</v>
          </cell>
          <cell r="N102">
            <v>205</v>
          </cell>
          <cell r="O102">
            <v>1937</v>
          </cell>
          <cell r="P102">
            <v>3610</v>
          </cell>
          <cell r="Q102">
            <v>274</v>
          </cell>
          <cell r="R102">
            <v>3285</v>
          </cell>
          <cell r="S102">
            <v>4099</v>
          </cell>
          <cell r="T102">
            <v>666</v>
          </cell>
          <cell r="U102">
            <v>2824</v>
          </cell>
          <cell r="V102">
            <v>3</v>
          </cell>
          <cell r="W102">
            <v>3</v>
          </cell>
          <cell r="X102">
            <v>22297</v>
          </cell>
          <cell r="Y102">
            <v>1096</v>
          </cell>
          <cell r="Z102">
            <v>1877</v>
          </cell>
          <cell r="AA102">
            <v>1010</v>
          </cell>
          <cell r="AB102">
            <v>228</v>
          </cell>
          <cell r="AC102">
            <v>1180</v>
          </cell>
          <cell r="AD102">
            <v>205</v>
          </cell>
          <cell r="AE102">
            <v>1937</v>
          </cell>
          <cell r="AF102">
            <v>3610</v>
          </cell>
          <cell r="AG102">
            <v>274</v>
          </cell>
          <cell r="AH102">
            <v>3285</v>
          </cell>
          <cell r="AI102">
            <v>4099</v>
          </cell>
          <cell r="AJ102">
            <v>666</v>
          </cell>
          <cell r="AK102">
            <v>2824</v>
          </cell>
          <cell r="AL102">
            <v>3</v>
          </cell>
          <cell r="AM102">
            <v>3</v>
          </cell>
          <cell r="AN102">
            <v>22297</v>
          </cell>
        </row>
        <row r="103">
          <cell r="E103">
            <v>3257.59</v>
          </cell>
          <cell r="I103">
            <v>13</v>
          </cell>
          <cell r="J103">
            <v>215</v>
          </cell>
          <cell r="K103">
            <v>201</v>
          </cell>
          <cell r="L103">
            <v>0</v>
          </cell>
          <cell r="M103">
            <v>413</v>
          </cell>
          <cell r="N103">
            <v>188</v>
          </cell>
          <cell r="O103">
            <v>312</v>
          </cell>
          <cell r="P103">
            <v>34</v>
          </cell>
          <cell r="Q103">
            <v>42</v>
          </cell>
          <cell r="R103">
            <v>719</v>
          </cell>
          <cell r="S103">
            <v>645</v>
          </cell>
          <cell r="T103">
            <v>12</v>
          </cell>
          <cell r="U103">
            <v>458</v>
          </cell>
          <cell r="V103">
            <v>0</v>
          </cell>
          <cell r="W103">
            <v>0</v>
          </cell>
          <cell r="X103">
            <v>3252</v>
          </cell>
          <cell r="Y103">
            <v>13</v>
          </cell>
          <cell r="Z103">
            <v>215</v>
          </cell>
          <cell r="AA103">
            <v>201</v>
          </cell>
          <cell r="AB103">
            <v>0</v>
          </cell>
          <cell r="AC103">
            <v>413</v>
          </cell>
          <cell r="AD103">
            <v>188</v>
          </cell>
          <cell r="AE103">
            <v>312</v>
          </cell>
          <cell r="AF103">
            <v>34</v>
          </cell>
          <cell r="AG103">
            <v>42</v>
          </cell>
          <cell r="AH103">
            <v>719</v>
          </cell>
          <cell r="AI103">
            <v>645</v>
          </cell>
          <cell r="AJ103">
            <v>12</v>
          </cell>
          <cell r="AK103">
            <v>458</v>
          </cell>
          <cell r="AL103">
            <v>0</v>
          </cell>
          <cell r="AM103">
            <v>0</v>
          </cell>
          <cell r="AN103">
            <v>3252</v>
          </cell>
        </row>
        <row r="104">
          <cell r="E104">
            <v>17921</v>
          </cell>
          <cell r="I104">
            <v>811</v>
          </cell>
          <cell r="J104">
            <v>53</v>
          </cell>
          <cell r="K104">
            <v>421</v>
          </cell>
          <cell r="L104">
            <v>244</v>
          </cell>
          <cell r="M104">
            <v>55</v>
          </cell>
          <cell r="N104">
            <v>310</v>
          </cell>
          <cell r="O104">
            <v>1095</v>
          </cell>
          <cell r="P104">
            <v>0</v>
          </cell>
          <cell r="Q104">
            <v>1893</v>
          </cell>
          <cell r="R104">
            <v>1149</v>
          </cell>
          <cell r="S104">
            <v>8161</v>
          </cell>
          <cell r="T104">
            <v>3242</v>
          </cell>
          <cell r="U104">
            <v>209</v>
          </cell>
          <cell r="V104">
            <v>143</v>
          </cell>
          <cell r="W104">
            <v>135</v>
          </cell>
          <cell r="X104">
            <v>17921</v>
          </cell>
          <cell r="Y104">
            <v>751</v>
          </cell>
          <cell r="Z104">
            <v>51</v>
          </cell>
          <cell r="AA104">
            <v>356</v>
          </cell>
          <cell r="AB104">
            <v>223</v>
          </cell>
          <cell r="AC104">
            <v>53</v>
          </cell>
          <cell r="AD104">
            <v>286</v>
          </cell>
          <cell r="AE104">
            <v>1047</v>
          </cell>
          <cell r="AF104">
            <v>0</v>
          </cell>
          <cell r="AG104">
            <v>1728</v>
          </cell>
          <cell r="AH104">
            <v>1107</v>
          </cell>
          <cell r="AI104">
            <v>7440</v>
          </cell>
          <cell r="AJ104">
            <v>3060</v>
          </cell>
          <cell r="AK104">
            <v>209</v>
          </cell>
          <cell r="AL104">
            <v>143</v>
          </cell>
          <cell r="AM104">
            <v>135</v>
          </cell>
          <cell r="AN104">
            <v>16589</v>
          </cell>
        </row>
        <row r="105">
          <cell r="E105">
            <v>7944</v>
          </cell>
          <cell r="I105">
            <v>25</v>
          </cell>
          <cell r="J105">
            <v>495</v>
          </cell>
          <cell r="K105">
            <v>1224</v>
          </cell>
          <cell r="L105">
            <v>1</v>
          </cell>
          <cell r="M105">
            <v>1170</v>
          </cell>
          <cell r="N105">
            <v>187</v>
          </cell>
          <cell r="O105">
            <v>459</v>
          </cell>
          <cell r="P105">
            <v>89</v>
          </cell>
          <cell r="Q105">
            <v>50</v>
          </cell>
          <cell r="R105">
            <v>1593</v>
          </cell>
          <cell r="S105">
            <v>1782</v>
          </cell>
          <cell r="T105">
            <v>300</v>
          </cell>
          <cell r="U105">
            <v>569</v>
          </cell>
          <cell r="V105">
            <v>0</v>
          </cell>
          <cell r="W105">
            <v>0</v>
          </cell>
          <cell r="X105">
            <v>7944</v>
          </cell>
          <cell r="Y105">
            <v>25</v>
          </cell>
          <cell r="Z105">
            <v>495</v>
          </cell>
          <cell r="AA105">
            <v>1224</v>
          </cell>
          <cell r="AB105">
            <v>1</v>
          </cell>
          <cell r="AC105">
            <v>1170</v>
          </cell>
          <cell r="AD105">
            <v>187</v>
          </cell>
          <cell r="AE105">
            <v>459</v>
          </cell>
          <cell r="AF105">
            <v>89</v>
          </cell>
          <cell r="AG105">
            <v>50</v>
          </cell>
          <cell r="AH105">
            <v>1593</v>
          </cell>
          <cell r="AI105">
            <v>1782</v>
          </cell>
          <cell r="AJ105">
            <v>300</v>
          </cell>
          <cell r="AK105">
            <v>569</v>
          </cell>
          <cell r="AL105">
            <v>0</v>
          </cell>
          <cell r="AM105">
            <v>0</v>
          </cell>
          <cell r="AN105">
            <v>7944</v>
          </cell>
        </row>
        <row r="106">
          <cell r="E106">
            <v>8196.63</v>
          </cell>
          <cell r="I106">
            <v>19</v>
          </cell>
          <cell r="J106">
            <v>74</v>
          </cell>
          <cell r="K106">
            <v>323</v>
          </cell>
          <cell r="L106">
            <v>0</v>
          </cell>
          <cell r="M106">
            <v>1278</v>
          </cell>
          <cell r="N106">
            <v>240</v>
          </cell>
          <cell r="O106">
            <v>624</v>
          </cell>
          <cell r="P106">
            <v>1108</v>
          </cell>
          <cell r="Q106">
            <v>24</v>
          </cell>
          <cell r="R106">
            <v>1788</v>
          </cell>
          <cell r="S106">
            <v>1350</v>
          </cell>
          <cell r="T106">
            <v>1172</v>
          </cell>
          <cell r="U106">
            <v>183</v>
          </cell>
          <cell r="V106">
            <v>0</v>
          </cell>
          <cell r="W106">
            <v>0</v>
          </cell>
          <cell r="X106">
            <v>8183</v>
          </cell>
          <cell r="Y106">
            <v>19</v>
          </cell>
          <cell r="Z106">
            <v>74</v>
          </cell>
          <cell r="AA106">
            <v>323</v>
          </cell>
          <cell r="AB106">
            <v>0</v>
          </cell>
          <cell r="AC106">
            <v>1278</v>
          </cell>
          <cell r="AD106">
            <v>240</v>
          </cell>
          <cell r="AE106">
            <v>624</v>
          </cell>
          <cell r="AF106">
            <v>1108</v>
          </cell>
          <cell r="AG106">
            <v>24</v>
          </cell>
          <cell r="AH106">
            <v>1788</v>
          </cell>
          <cell r="AI106">
            <v>1350</v>
          </cell>
          <cell r="AJ106">
            <v>1172</v>
          </cell>
          <cell r="AK106">
            <v>183</v>
          </cell>
          <cell r="AL106">
            <v>0</v>
          </cell>
          <cell r="AM106">
            <v>0</v>
          </cell>
          <cell r="AN106">
            <v>8183</v>
          </cell>
        </row>
        <row r="107">
          <cell r="E107">
            <v>17419</v>
          </cell>
          <cell r="I107">
            <v>820</v>
          </cell>
          <cell r="J107">
            <v>1722</v>
          </cell>
          <cell r="K107">
            <v>503</v>
          </cell>
          <cell r="L107">
            <v>431</v>
          </cell>
          <cell r="M107">
            <v>1027</v>
          </cell>
          <cell r="N107">
            <v>2050</v>
          </cell>
          <cell r="O107">
            <v>2102</v>
          </cell>
          <cell r="P107">
            <v>1128</v>
          </cell>
          <cell r="Q107">
            <v>838</v>
          </cell>
          <cell r="R107">
            <v>2664</v>
          </cell>
          <cell r="S107">
            <v>1474</v>
          </cell>
          <cell r="T107">
            <v>2335</v>
          </cell>
          <cell r="U107">
            <v>220</v>
          </cell>
          <cell r="V107">
            <v>23</v>
          </cell>
          <cell r="W107">
            <v>82</v>
          </cell>
          <cell r="X107">
            <v>17419</v>
          </cell>
          <cell r="Y107">
            <v>820</v>
          </cell>
          <cell r="Z107">
            <v>1722</v>
          </cell>
          <cell r="AA107">
            <v>503</v>
          </cell>
          <cell r="AB107">
            <v>250</v>
          </cell>
          <cell r="AC107">
            <v>727</v>
          </cell>
          <cell r="AD107">
            <v>1588</v>
          </cell>
          <cell r="AE107">
            <v>1747</v>
          </cell>
          <cell r="AF107">
            <v>970</v>
          </cell>
          <cell r="AG107">
            <v>838</v>
          </cell>
          <cell r="AH107">
            <v>2477</v>
          </cell>
          <cell r="AI107">
            <v>1446</v>
          </cell>
          <cell r="AJ107">
            <v>1961</v>
          </cell>
          <cell r="AK107">
            <v>218</v>
          </cell>
          <cell r="AL107">
            <v>23</v>
          </cell>
          <cell r="AM107">
            <v>82</v>
          </cell>
          <cell r="AN107">
            <v>15372</v>
          </cell>
        </row>
        <row r="108">
          <cell r="E108">
            <v>6665</v>
          </cell>
          <cell r="I108">
            <v>160</v>
          </cell>
          <cell r="J108">
            <v>697</v>
          </cell>
          <cell r="K108">
            <v>484</v>
          </cell>
          <cell r="L108">
            <v>7</v>
          </cell>
          <cell r="M108">
            <v>643</v>
          </cell>
          <cell r="N108">
            <v>83</v>
          </cell>
          <cell r="O108">
            <v>370</v>
          </cell>
          <cell r="P108">
            <v>548</v>
          </cell>
          <cell r="Q108">
            <v>17</v>
          </cell>
          <cell r="R108">
            <v>1476</v>
          </cell>
          <cell r="S108">
            <v>270</v>
          </cell>
          <cell r="T108">
            <v>0</v>
          </cell>
          <cell r="U108">
            <v>1870</v>
          </cell>
          <cell r="V108">
            <v>9</v>
          </cell>
          <cell r="W108">
            <v>31</v>
          </cell>
          <cell r="X108">
            <v>6665</v>
          </cell>
          <cell r="Y108">
            <v>160</v>
          </cell>
          <cell r="Z108">
            <v>697</v>
          </cell>
          <cell r="AA108">
            <v>484</v>
          </cell>
          <cell r="AB108">
            <v>7</v>
          </cell>
          <cell r="AC108">
            <v>643</v>
          </cell>
          <cell r="AD108">
            <v>83</v>
          </cell>
          <cell r="AE108">
            <v>370</v>
          </cell>
          <cell r="AF108">
            <v>548</v>
          </cell>
          <cell r="AG108">
            <v>17</v>
          </cell>
          <cell r="AH108">
            <v>1476</v>
          </cell>
          <cell r="AI108">
            <v>270</v>
          </cell>
          <cell r="AJ108">
            <v>0</v>
          </cell>
          <cell r="AK108">
            <v>1870</v>
          </cell>
          <cell r="AL108">
            <v>9</v>
          </cell>
          <cell r="AM108">
            <v>31</v>
          </cell>
          <cell r="AN108">
            <v>6665</v>
          </cell>
        </row>
        <row r="109">
          <cell r="E109">
            <v>3050</v>
          </cell>
          <cell r="I109">
            <v>218</v>
          </cell>
          <cell r="J109">
            <v>168</v>
          </cell>
          <cell r="K109">
            <v>56</v>
          </cell>
          <cell r="L109">
            <v>8</v>
          </cell>
          <cell r="M109">
            <v>584</v>
          </cell>
          <cell r="N109">
            <v>60</v>
          </cell>
          <cell r="O109">
            <v>222</v>
          </cell>
          <cell r="P109">
            <v>0</v>
          </cell>
          <cell r="Q109">
            <v>30</v>
          </cell>
          <cell r="R109">
            <v>748</v>
          </cell>
          <cell r="S109">
            <v>712</v>
          </cell>
          <cell r="T109">
            <v>0</v>
          </cell>
          <cell r="U109">
            <v>244</v>
          </cell>
          <cell r="V109">
            <v>0</v>
          </cell>
          <cell r="W109">
            <v>0</v>
          </cell>
          <cell r="X109">
            <v>3050</v>
          </cell>
          <cell r="Y109">
            <v>218</v>
          </cell>
          <cell r="Z109">
            <v>168</v>
          </cell>
          <cell r="AA109">
            <v>56</v>
          </cell>
          <cell r="AB109">
            <v>8</v>
          </cell>
          <cell r="AC109">
            <v>584</v>
          </cell>
          <cell r="AD109">
            <v>60</v>
          </cell>
          <cell r="AE109">
            <v>222</v>
          </cell>
          <cell r="AF109">
            <v>0</v>
          </cell>
          <cell r="AG109">
            <v>30</v>
          </cell>
          <cell r="AH109">
            <v>748</v>
          </cell>
          <cell r="AI109">
            <v>712</v>
          </cell>
          <cell r="AJ109">
            <v>0</v>
          </cell>
          <cell r="AK109">
            <v>244</v>
          </cell>
          <cell r="AL109">
            <v>0</v>
          </cell>
          <cell r="AM109">
            <v>0</v>
          </cell>
          <cell r="AN109">
            <v>3050</v>
          </cell>
        </row>
        <row r="110">
          <cell r="E110">
            <v>1897</v>
          </cell>
          <cell r="I110">
            <v>49</v>
          </cell>
          <cell r="J110">
            <v>86</v>
          </cell>
          <cell r="K110">
            <v>66</v>
          </cell>
          <cell r="L110">
            <v>39</v>
          </cell>
          <cell r="M110">
            <v>375</v>
          </cell>
          <cell r="N110">
            <v>66</v>
          </cell>
          <cell r="O110">
            <v>106</v>
          </cell>
          <cell r="P110">
            <v>111</v>
          </cell>
          <cell r="Q110">
            <v>36</v>
          </cell>
          <cell r="R110">
            <v>345</v>
          </cell>
          <cell r="S110">
            <v>334</v>
          </cell>
          <cell r="T110">
            <v>0</v>
          </cell>
          <cell r="U110">
            <v>284</v>
          </cell>
          <cell r="V110">
            <v>0</v>
          </cell>
          <cell r="W110">
            <v>0</v>
          </cell>
          <cell r="X110">
            <v>1897</v>
          </cell>
          <cell r="Y110">
            <v>49</v>
          </cell>
          <cell r="Z110">
            <v>86</v>
          </cell>
          <cell r="AA110">
            <v>66</v>
          </cell>
          <cell r="AB110">
            <v>39</v>
          </cell>
          <cell r="AC110">
            <v>375</v>
          </cell>
          <cell r="AD110">
            <v>66</v>
          </cell>
          <cell r="AE110">
            <v>106</v>
          </cell>
          <cell r="AF110">
            <v>111</v>
          </cell>
          <cell r="AG110">
            <v>36</v>
          </cell>
          <cell r="AH110">
            <v>345</v>
          </cell>
          <cell r="AI110">
            <v>334</v>
          </cell>
          <cell r="AJ110">
            <v>0</v>
          </cell>
          <cell r="AK110">
            <v>284</v>
          </cell>
          <cell r="AL110">
            <v>0</v>
          </cell>
          <cell r="AM110">
            <v>0</v>
          </cell>
          <cell r="AN110">
            <v>1897</v>
          </cell>
        </row>
        <row r="111">
          <cell r="E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row r="112">
          <cell r="E112">
            <v>3091</v>
          </cell>
          <cell r="I112">
            <v>48</v>
          </cell>
          <cell r="J112">
            <v>138</v>
          </cell>
          <cell r="K112">
            <v>175</v>
          </cell>
          <cell r="L112">
            <v>47</v>
          </cell>
          <cell r="M112">
            <v>345</v>
          </cell>
          <cell r="N112">
            <v>162</v>
          </cell>
          <cell r="O112">
            <v>260</v>
          </cell>
          <cell r="P112">
            <v>307</v>
          </cell>
          <cell r="Q112">
            <v>14</v>
          </cell>
          <cell r="R112">
            <v>444</v>
          </cell>
          <cell r="S112">
            <v>134</v>
          </cell>
          <cell r="T112">
            <v>0</v>
          </cell>
          <cell r="U112">
            <v>1017</v>
          </cell>
          <cell r="V112">
            <v>0</v>
          </cell>
          <cell r="W112">
            <v>0</v>
          </cell>
          <cell r="X112">
            <v>3091</v>
          </cell>
          <cell r="Y112">
            <v>48</v>
          </cell>
          <cell r="Z112">
            <v>138</v>
          </cell>
          <cell r="AA112">
            <v>175</v>
          </cell>
          <cell r="AB112">
            <v>47</v>
          </cell>
          <cell r="AC112">
            <v>345</v>
          </cell>
          <cell r="AD112">
            <v>162</v>
          </cell>
          <cell r="AE112">
            <v>260</v>
          </cell>
          <cell r="AF112">
            <v>307</v>
          </cell>
          <cell r="AG112">
            <v>14</v>
          </cell>
          <cell r="AH112">
            <v>444</v>
          </cell>
          <cell r="AI112">
            <v>134</v>
          </cell>
          <cell r="AJ112">
            <v>0</v>
          </cell>
          <cell r="AK112">
            <v>1017</v>
          </cell>
          <cell r="AL112">
            <v>0</v>
          </cell>
          <cell r="AM112">
            <v>0</v>
          </cell>
          <cell r="AN112">
            <v>3091</v>
          </cell>
        </row>
        <row r="113">
          <cell r="E113">
            <v>3433</v>
          </cell>
          <cell r="I113">
            <v>21</v>
          </cell>
          <cell r="J113">
            <v>534</v>
          </cell>
          <cell r="K113">
            <v>128</v>
          </cell>
          <cell r="L113">
            <v>0</v>
          </cell>
          <cell r="M113">
            <v>520</v>
          </cell>
          <cell r="N113">
            <v>102</v>
          </cell>
          <cell r="O113">
            <v>243</v>
          </cell>
          <cell r="P113">
            <v>69</v>
          </cell>
          <cell r="Q113">
            <v>0</v>
          </cell>
          <cell r="R113">
            <v>287</v>
          </cell>
          <cell r="S113">
            <v>42</v>
          </cell>
          <cell r="T113">
            <v>0</v>
          </cell>
          <cell r="U113">
            <v>1478</v>
          </cell>
          <cell r="V113">
            <v>0</v>
          </cell>
          <cell r="W113">
            <v>0</v>
          </cell>
          <cell r="X113">
            <v>3424</v>
          </cell>
          <cell r="Y113">
            <v>21</v>
          </cell>
          <cell r="Z113">
            <v>534</v>
          </cell>
          <cell r="AA113">
            <v>128</v>
          </cell>
          <cell r="AB113">
            <v>0</v>
          </cell>
          <cell r="AC113">
            <v>520</v>
          </cell>
          <cell r="AD113">
            <v>102</v>
          </cell>
          <cell r="AE113">
            <v>243</v>
          </cell>
          <cell r="AF113">
            <v>69</v>
          </cell>
          <cell r="AG113">
            <v>0</v>
          </cell>
          <cell r="AH113">
            <v>287</v>
          </cell>
          <cell r="AI113">
            <v>42</v>
          </cell>
          <cell r="AJ113">
            <v>0</v>
          </cell>
          <cell r="AK113">
            <v>1478</v>
          </cell>
          <cell r="AL113">
            <v>0</v>
          </cell>
          <cell r="AM113">
            <v>0</v>
          </cell>
          <cell r="AN113">
            <v>3424</v>
          </cell>
        </row>
        <row r="114">
          <cell r="E114">
            <v>12511.3</v>
          </cell>
          <cell r="I114">
            <v>143</v>
          </cell>
          <cell r="J114">
            <v>197</v>
          </cell>
          <cell r="K114">
            <v>14</v>
          </cell>
          <cell r="L114">
            <v>363</v>
          </cell>
          <cell r="M114">
            <v>477</v>
          </cell>
          <cell r="N114">
            <v>918</v>
          </cell>
          <cell r="O114">
            <v>2619</v>
          </cell>
          <cell r="P114">
            <v>699</v>
          </cell>
          <cell r="Q114">
            <v>41</v>
          </cell>
          <cell r="R114">
            <v>2008</v>
          </cell>
          <cell r="S114">
            <v>1166</v>
          </cell>
          <cell r="T114">
            <v>170</v>
          </cell>
          <cell r="U114">
            <v>2652</v>
          </cell>
          <cell r="V114">
            <v>20</v>
          </cell>
          <cell r="W114">
            <v>18</v>
          </cell>
          <cell r="X114">
            <v>11505</v>
          </cell>
          <cell r="Y114">
            <v>143</v>
          </cell>
          <cell r="Z114">
            <v>197</v>
          </cell>
          <cell r="AA114">
            <v>14</v>
          </cell>
          <cell r="AB114">
            <v>363</v>
          </cell>
          <cell r="AC114">
            <v>477</v>
          </cell>
          <cell r="AD114">
            <v>918</v>
          </cell>
          <cell r="AE114">
            <v>2619</v>
          </cell>
          <cell r="AF114">
            <v>699</v>
          </cell>
          <cell r="AG114">
            <v>41</v>
          </cell>
          <cell r="AH114">
            <v>2008</v>
          </cell>
          <cell r="AI114">
            <v>1166</v>
          </cell>
          <cell r="AJ114">
            <v>170</v>
          </cell>
          <cell r="AK114">
            <v>2652</v>
          </cell>
          <cell r="AL114">
            <v>20</v>
          </cell>
          <cell r="AM114">
            <v>18</v>
          </cell>
          <cell r="AN114">
            <v>11505</v>
          </cell>
        </row>
        <row r="115">
          <cell r="E115">
            <v>8189</v>
          </cell>
          <cell r="I115">
            <v>46</v>
          </cell>
          <cell r="J115">
            <v>542</v>
          </cell>
          <cell r="K115">
            <v>212</v>
          </cell>
          <cell r="L115">
            <v>24</v>
          </cell>
          <cell r="M115">
            <v>1031</v>
          </cell>
          <cell r="N115">
            <v>275</v>
          </cell>
          <cell r="O115">
            <v>300</v>
          </cell>
          <cell r="P115">
            <v>2705</v>
          </cell>
          <cell r="Q115">
            <v>0</v>
          </cell>
          <cell r="R115">
            <v>1028</v>
          </cell>
          <cell r="S115">
            <v>176</v>
          </cell>
          <cell r="T115">
            <v>0</v>
          </cell>
          <cell r="U115">
            <v>1850</v>
          </cell>
          <cell r="V115">
            <v>0</v>
          </cell>
          <cell r="W115">
            <v>0</v>
          </cell>
          <cell r="X115">
            <v>8189</v>
          </cell>
          <cell r="Y115">
            <v>46</v>
          </cell>
          <cell r="Z115">
            <v>542</v>
          </cell>
          <cell r="AA115">
            <v>212</v>
          </cell>
          <cell r="AB115">
            <v>24</v>
          </cell>
          <cell r="AC115">
            <v>1031</v>
          </cell>
          <cell r="AD115">
            <v>275</v>
          </cell>
          <cell r="AE115">
            <v>300</v>
          </cell>
          <cell r="AF115">
            <v>2705</v>
          </cell>
          <cell r="AG115">
            <v>0</v>
          </cell>
          <cell r="AH115">
            <v>1028</v>
          </cell>
          <cell r="AI115">
            <v>176</v>
          </cell>
          <cell r="AJ115">
            <v>0</v>
          </cell>
          <cell r="AK115">
            <v>1850</v>
          </cell>
          <cell r="AL115">
            <v>0</v>
          </cell>
          <cell r="AM115">
            <v>0</v>
          </cell>
          <cell r="AN115">
            <v>8189</v>
          </cell>
        </row>
        <row r="116">
          <cell r="E116">
            <v>5017.25</v>
          </cell>
          <cell r="I116">
            <v>34</v>
          </cell>
          <cell r="J116">
            <v>309</v>
          </cell>
          <cell r="K116">
            <v>9</v>
          </cell>
          <cell r="L116">
            <v>82</v>
          </cell>
          <cell r="M116">
            <v>1225</v>
          </cell>
          <cell r="N116">
            <v>421</v>
          </cell>
          <cell r="O116">
            <v>451</v>
          </cell>
          <cell r="P116">
            <v>241</v>
          </cell>
          <cell r="Q116">
            <v>0</v>
          </cell>
          <cell r="R116">
            <v>952</v>
          </cell>
          <cell r="S116">
            <v>390</v>
          </cell>
          <cell r="T116">
            <v>0</v>
          </cell>
          <cell r="U116">
            <v>880</v>
          </cell>
          <cell r="V116">
            <v>10</v>
          </cell>
          <cell r="W116">
            <v>13</v>
          </cell>
          <cell r="X116">
            <v>5017</v>
          </cell>
          <cell r="Y116">
            <v>34</v>
          </cell>
          <cell r="Z116">
            <v>309</v>
          </cell>
          <cell r="AA116">
            <v>9</v>
          </cell>
          <cell r="AB116">
            <v>82</v>
          </cell>
          <cell r="AC116">
            <v>1225</v>
          </cell>
          <cell r="AD116">
            <v>421</v>
          </cell>
          <cell r="AE116">
            <v>451</v>
          </cell>
          <cell r="AF116">
            <v>241</v>
          </cell>
          <cell r="AG116">
            <v>0</v>
          </cell>
          <cell r="AH116">
            <v>952</v>
          </cell>
          <cell r="AI116">
            <v>390</v>
          </cell>
          <cell r="AJ116">
            <v>0</v>
          </cell>
          <cell r="AK116">
            <v>880</v>
          </cell>
          <cell r="AL116">
            <v>10</v>
          </cell>
          <cell r="AM116">
            <v>13</v>
          </cell>
          <cell r="AN116">
            <v>5017</v>
          </cell>
        </row>
        <row r="117">
          <cell r="E117">
            <v>5431</v>
          </cell>
          <cell r="I117">
            <v>64</v>
          </cell>
          <cell r="J117">
            <v>302</v>
          </cell>
          <cell r="K117">
            <v>91</v>
          </cell>
          <cell r="L117">
            <v>34</v>
          </cell>
          <cell r="M117">
            <v>953</v>
          </cell>
          <cell r="N117">
            <v>188</v>
          </cell>
          <cell r="O117">
            <v>209</v>
          </cell>
          <cell r="P117">
            <v>326</v>
          </cell>
          <cell r="Q117">
            <v>19</v>
          </cell>
          <cell r="R117">
            <v>984</v>
          </cell>
          <cell r="S117">
            <v>474</v>
          </cell>
          <cell r="T117">
            <v>0</v>
          </cell>
          <cell r="U117">
            <v>1787</v>
          </cell>
          <cell r="V117">
            <v>0</v>
          </cell>
          <cell r="W117">
            <v>0</v>
          </cell>
          <cell r="X117">
            <v>5431</v>
          </cell>
          <cell r="Y117">
            <v>64</v>
          </cell>
          <cell r="Z117">
            <v>302</v>
          </cell>
          <cell r="AA117">
            <v>91</v>
          </cell>
          <cell r="AB117">
            <v>34</v>
          </cell>
          <cell r="AC117">
            <v>953</v>
          </cell>
          <cell r="AD117">
            <v>188</v>
          </cell>
          <cell r="AE117">
            <v>209</v>
          </cell>
          <cell r="AF117">
            <v>326</v>
          </cell>
          <cell r="AG117">
            <v>19</v>
          </cell>
          <cell r="AH117">
            <v>984</v>
          </cell>
          <cell r="AI117">
            <v>474</v>
          </cell>
          <cell r="AJ117">
            <v>0</v>
          </cell>
          <cell r="AK117">
            <v>1787</v>
          </cell>
          <cell r="AL117">
            <v>0</v>
          </cell>
          <cell r="AM117">
            <v>0</v>
          </cell>
          <cell r="AN117">
            <v>5431</v>
          </cell>
        </row>
        <row r="118">
          <cell r="E118">
            <v>29396</v>
          </cell>
          <cell r="I118">
            <v>4581</v>
          </cell>
          <cell r="J118">
            <v>1441</v>
          </cell>
          <cell r="K118">
            <v>759</v>
          </cell>
          <cell r="L118">
            <v>1046</v>
          </cell>
          <cell r="M118">
            <v>2583</v>
          </cell>
          <cell r="N118">
            <v>1653</v>
          </cell>
          <cell r="O118">
            <v>1433</v>
          </cell>
          <cell r="P118">
            <v>1553</v>
          </cell>
          <cell r="Q118">
            <v>1199</v>
          </cell>
          <cell r="R118">
            <v>2658</v>
          </cell>
          <cell r="S118">
            <v>4162</v>
          </cell>
          <cell r="T118">
            <v>4823</v>
          </cell>
          <cell r="U118">
            <v>1455</v>
          </cell>
          <cell r="V118">
            <v>0</v>
          </cell>
          <cell r="W118">
            <v>47</v>
          </cell>
          <cell r="X118">
            <v>29393</v>
          </cell>
          <cell r="Y118">
            <v>4581</v>
          </cell>
          <cell r="Z118">
            <v>1441</v>
          </cell>
          <cell r="AA118">
            <v>759</v>
          </cell>
          <cell r="AB118">
            <v>1046</v>
          </cell>
          <cell r="AC118">
            <v>2583</v>
          </cell>
          <cell r="AD118">
            <v>1653</v>
          </cell>
          <cell r="AE118">
            <v>1433</v>
          </cell>
          <cell r="AF118">
            <v>1553</v>
          </cell>
          <cell r="AG118">
            <v>1199</v>
          </cell>
          <cell r="AH118">
            <v>2658</v>
          </cell>
          <cell r="AI118">
            <v>4162</v>
          </cell>
          <cell r="AJ118">
            <v>4823</v>
          </cell>
          <cell r="AK118">
            <v>1455</v>
          </cell>
          <cell r="AL118">
            <v>0</v>
          </cell>
          <cell r="AM118">
            <v>47</v>
          </cell>
          <cell r="AN118">
            <v>29393</v>
          </cell>
        </row>
        <row r="119">
          <cell r="E119">
            <v>18341</v>
          </cell>
          <cell r="I119">
            <v>425</v>
          </cell>
          <cell r="J119">
            <v>111</v>
          </cell>
          <cell r="K119">
            <v>911</v>
          </cell>
          <cell r="L119">
            <v>365</v>
          </cell>
          <cell r="M119">
            <v>627</v>
          </cell>
          <cell r="N119">
            <v>509</v>
          </cell>
          <cell r="O119">
            <v>1566</v>
          </cell>
          <cell r="P119">
            <v>194</v>
          </cell>
          <cell r="Q119">
            <v>655</v>
          </cell>
          <cell r="R119">
            <v>3405</v>
          </cell>
          <cell r="S119">
            <v>5818</v>
          </cell>
          <cell r="T119">
            <v>3705</v>
          </cell>
          <cell r="U119">
            <v>34</v>
          </cell>
          <cell r="V119">
            <v>14</v>
          </cell>
          <cell r="W119">
            <v>0</v>
          </cell>
          <cell r="X119">
            <v>18339</v>
          </cell>
          <cell r="Y119">
            <v>417</v>
          </cell>
          <cell r="Z119">
            <v>110</v>
          </cell>
          <cell r="AA119">
            <v>867</v>
          </cell>
          <cell r="AB119">
            <v>342</v>
          </cell>
          <cell r="AC119">
            <v>428</v>
          </cell>
          <cell r="AD119">
            <v>467</v>
          </cell>
          <cell r="AE119">
            <v>1452</v>
          </cell>
          <cell r="AF119">
            <v>134</v>
          </cell>
          <cell r="AG119">
            <v>603</v>
          </cell>
          <cell r="AH119">
            <v>2838</v>
          </cell>
          <cell r="AI119">
            <v>5106</v>
          </cell>
          <cell r="AJ119">
            <v>3621</v>
          </cell>
          <cell r="AK119">
            <v>31</v>
          </cell>
          <cell r="AL119">
            <v>14</v>
          </cell>
          <cell r="AM119">
            <v>0</v>
          </cell>
          <cell r="AN119">
            <v>16430</v>
          </cell>
        </row>
        <row r="120">
          <cell r="E120">
            <v>3797</v>
          </cell>
          <cell r="I120">
            <v>17</v>
          </cell>
          <cell r="J120">
            <v>384</v>
          </cell>
          <cell r="K120">
            <v>190</v>
          </cell>
          <cell r="L120">
            <v>0</v>
          </cell>
          <cell r="M120">
            <v>459</v>
          </cell>
          <cell r="N120">
            <v>36</v>
          </cell>
          <cell r="O120">
            <v>59</v>
          </cell>
          <cell r="P120">
            <v>609</v>
          </cell>
          <cell r="Q120">
            <v>0</v>
          </cell>
          <cell r="R120">
            <v>248</v>
          </cell>
          <cell r="S120">
            <v>176</v>
          </cell>
          <cell r="T120">
            <v>0</v>
          </cell>
          <cell r="U120">
            <v>1619</v>
          </cell>
          <cell r="V120">
            <v>0</v>
          </cell>
          <cell r="W120">
            <v>0</v>
          </cell>
          <cell r="X120">
            <v>3797</v>
          </cell>
          <cell r="Y120">
            <v>17</v>
          </cell>
          <cell r="Z120">
            <v>384</v>
          </cell>
          <cell r="AA120">
            <v>190</v>
          </cell>
          <cell r="AB120">
            <v>0</v>
          </cell>
          <cell r="AC120">
            <v>459</v>
          </cell>
          <cell r="AD120">
            <v>36</v>
          </cell>
          <cell r="AE120">
            <v>59</v>
          </cell>
          <cell r="AF120">
            <v>609</v>
          </cell>
          <cell r="AG120">
            <v>0</v>
          </cell>
          <cell r="AH120">
            <v>248</v>
          </cell>
          <cell r="AI120">
            <v>176</v>
          </cell>
          <cell r="AJ120">
            <v>0</v>
          </cell>
          <cell r="AK120">
            <v>1619</v>
          </cell>
          <cell r="AL120">
            <v>0</v>
          </cell>
          <cell r="AM120">
            <v>0</v>
          </cell>
          <cell r="AN120">
            <v>3797</v>
          </cell>
        </row>
        <row r="121">
          <cell r="E121">
            <v>15668</v>
          </cell>
          <cell r="I121">
            <v>603</v>
          </cell>
          <cell r="J121">
            <v>1721</v>
          </cell>
          <cell r="K121">
            <v>874</v>
          </cell>
          <cell r="L121">
            <v>71</v>
          </cell>
          <cell r="M121">
            <v>3227</v>
          </cell>
          <cell r="N121">
            <v>1151</v>
          </cell>
          <cell r="O121">
            <v>914</v>
          </cell>
          <cell r="P121">
            <v>539</v>
          </cell>
          <cell r="Q121">
            <v>536</v>
          </cell>
          <cell r="R121">
            <v>2504</v>
          </cell>
          <cell r="S121">
            <v>1735</v>
          </cell>
          <cell r="T121">
            <v>0</v>
          </cell>
          <cell r="U121">
            <v>1793</v>
          </cell>
          <cell r="V121">
            <v>0</v>
          </cell>
          <cell r="W121">
            <v>0</v>
          </cell>
          <cell r="X121">
            <v>15668</v>
          </cell>
          <cell r="Y121">
            <v>603</v>
          </cell>
          <cell r="Z121">
            <v>1721</v>
          </cell>
          <cell r="AA121">
            <v>874</v>
          </cell>
          <cell r="AB121">
            <v>71</v>
          </cell>
          <cell r="AC121">
            <v>3227</v>
          </cell>
          <cell r="AD121">
            <v>1151</v>
          </cell>
          <cell r="AE121">
            <v>914</v>
          </cell>
          <cell r="AF121">
            <v>539</v>
          </cell>
          <cell r="AG121">
            <v>536</v>
          </cell>
          <cell r="AH121">
            <v>2504</v>
          </cell>
          <cell r="AI121">
            <v>1735</v>
          </cell>
          <cell r="AJ121">
            <v>0</v>
          </cell>
          <cell r="AK121">
            <v>1793</v>
          </cell>
          <cell r="AL121">
            <v>0</v>
          </cell>
          <cell r="AM121">
            <v>0</v>
          </cell>
          <cell r="AN121">
            <v>15668</v>
          </cell>
        </row>
        <row r="122">
          <cell r="E122">
            <v>2724</v>
          </cell>
          <cell r="I122">
            <v>37</v>
          </cell>
          <cell r="J122">
            <v>378</v>
          </cell>
          <cell r="K122">
            <v>60</v>
          </cell>
          <cell r="L122">
            <v>63</v>
          </cell>
          <cell r="M122">
            <v>556</v>
          </cell>
          <cell r="N122">
            <v>199</v>
          </cell>
          <cell r="O122">
            <v>120</v>
          </cell>
          <cell r="P122">
            <v>56</v>
          </cell>
          <cell r="Q122">
            <v>0</v>
          </cell>
          <cell r="R122">
            <v>136</v>
          </cell>
          <cell r="S122">
            <v>484</v>
          </cell>
          <cell r="T122">
            <v>0</v>
          </cell>
          <cell r="U122">
            <v>635</v>
          </cell>
          <cell r="V122">
            <v>0</v>
          </cell>
          <cell r="W122">
            <v>0</v>
          </cell>
          <cell r="X122">
            <v>2724</v>
          </cell>
          <cell r="Y122">
            <v>37</v>
          </cell>
          <cell r="Z122">
            <v>378</v>
          </cell>
          <cell r="AA122">
            <v>60</v>
          </cell>
          <cell r="AB122">
            <v>63</v>
          </cell>
          <cell r="AC122">
            <v>556</v>
          </cell>
          <cell r="AD122">
            <v>199</v>
          </cell>
          <cell r="AE122">
            <v>120</v>
          </cell>
          <cell r="AF122">
            <v>56</v>
          </cell>
          <cell r="AG122">
            <v>0</v>
          </cell>
          <cell r="AH122">
            <v>136</v>
          </cell>
          <cell r="AI122">
            <v>484</v>
          </cell>
          <cell r="AJ122">
            <v>0</v>
          </cell>
          <cell r="AK122">
            <v>635</v>
          </cell>
          <cell r="AL122">
            <v>0</v>
          </cell>
          <cell r="AM122">
            <v>0</v>
          </cell>
          <cell r="AN122">
            <v>2724</v>
          </cell>
        </row>
        <row r="123">
          <cell r="E123">
            <v>12249.7</v>
          </cell>
          <cell r="I123">
            <v>35</v>
          </cell>
          <cell r="J123">
            <v>471</v>
          </cell>
          <cell r="K123">
            <v>1287</v>
          </cell>
          <cell r="L123">
            <v>0</v>
          </cell>
          <cell r="M123">
            <v>944</v>
          </cell>
          <cell r="N123">
            <v>870</v>
          </cell>
          <cell r="O123">
            <v>1691</v>
          </cell>
          <cell r="P123">
            <v>114</v>
          </cell>
          <cell r="Q123">
            <v>296</v>
          </cell>
          <cell r="R123">
            <v>1619</v>
          </cell>
          <cell r="S123">
            <v>2776</v>
          </cell>
          <cell r="T123">
            <v>503</v>
          </cell>
          <cell r="U123">
            <v>1608</v>
          </cell>
          <cell r="V123">
            <v>0</v>
          </cell>
          <cell r="W123">
            <v>0</v>
          </cell>
          <cell r="X123">
            <v>12214</v>
          </cell>
          <cell r="Y123">
            <v>35</v>
          </cell>
          <cell r="Z123">
            <v>471</v>
          </cell>
          <cell r="AA123">
            <v>1287</v>
          </cell>
          <cell r="AB123">
            <v>0</v>
          </cell>
          <cell r="AC123">
            <v>944</v>
          </cell>
          <cell r="AD123">
            <v>870</v>
          </cell>
          <cell r="AE123">
            <v>1691</v>
          </cell>
          <cell r="AF123">
            <v>114</v>
          </cell>
          <cell r="AG123">
            <v>296</v>
          </cell>
          <cell r="AH123">
            <v>1619</v>
          </cell>
          <cell r="AI123">
            <v>2776</v>
          </cell>
          <cell r="AJ123">
            <v>503</v>
          </cell>
          <cell r="AK123">
            <v>1608</v>
          </cell>
          <cell r="AL123">
            <v>0</v>
          </cell>
          <cell r="AM123">
            <v>0</v>
          </cell>
          <cell r="AN123">
            <v>12214</v>
          </cell>
        </row>
        <row r="124">
          <cell r="E124">
            <v>8526</v>
          </cell>
          <cell r="I124">
            <v>245</v>
          </cell>
          <cell r="J124">
            <v>1347</v>
          </cell>
          <cell r="K124">
            <v>311</v>
          </cell>
          <cell r="L124">
            <v>74</v>
          </cell>
          <cell r="M124">
            <v>1973</v>
          </cell>
          <cell r="N124">
            <v>762</v>
          </cell>
          <cell r="O124">
            <v>732</v>
          </cell>
          <cell r="P124">
            <v>350</v>
          </cell>
          <cell r="Q124">
            <v>201</v>
          </cell>
          <cell r="R124">
            <v>685</v>
          </cell>
          <cell r="S124">
            <v>404</v>
          </cell>
          <cell r="T124">
            <v>0</v>
          </cell>
          <cell r="U124">
            <v>1432</v>
          </cell>
          <cell r="V124">
            <v>10</v>
          </cell>
          <cell r="W124">
            <v>0</v>
          </cell>
          <cell r="X124">
            <v>8526</v>
          </cell>
          <cell r="Y124">
            <v>245</v>
          </cell>
          <cell r="Z124">
            <v>1347</v>
          </cell>
          <cell r="AA124">
            <v>311</v>
          </cell>
          <cell r="AB124">
            <v>74</v>
          </cell>
          <cell r="AC124">
            <v>1973</v>
          </cell>
          <cell r="AD124">
            <v>762</v>
          </cell>
          <cell r="AE124">
            <v>732</v>
          </cell>
          <cell r="AF124">
            <v>350</v>
          </cell>
          <cell r="AG124">
            <v>201</v>
          </cell>
          <cell r="AH124">
            <v>685</v>
          </cell>
          <cell r="AI124">
            <v>404</v>
          </cell>
          <cell r="AJ124">
            <v>0</v>
          </cell>
          <cell r="AK124">
            <v>1432</v>
          </cell>
          <cell r="AL124">
            <v>10</v>
          </cell>
          <cell r="AM124">
            <v>0</v>
          </cell>
          <cell r="AN124">
            <v>8526</v>
          </cell>
        </row>
        <row r="125">
          <cell r="E125">
            <v>15710</v>
          </cell>
          <cell r="I125">
            <v>255</v>
          </cell>
          <cell r="J125">
            <v>992</v>
          </cell>
          <cell r="K125">
            <v>2403</v>
          </cell>
          <cell r="L125">
            <v>79</v>
          </cell>
          <cell r="M125">
            <v>1561</v>
          </cell>
          <cell r="N125">
            <v>71</v>
          </cell>
          <cell r="O125">
            <v>652</v>
          </cell>
          <cell r="P125">
            <v>664</v>
          </cell>
          <cell r="Q125">
            <v>837</v>
          </cell>
          <cell r="R125">
            <v>3280</v>
          </cell>
          <cell r="S125">
            <v>3565</v>
          </cell>
          <cell r="T125">
            <v>473</v>
          </cell>
          <cell r="U125">
            <v>873</v>
          </cell>
          <cell r="V125">
            <v>0</v>
          </cell>
          <cell r="W125">
            <v>5</v>
          </cell>
          <cell r="X125">
            <v>15710</v>
          </cell>
          <cell r="Y125">
            <v>255</v>
          </cell>
          <cell r="Z125">
            <v>992</v>
          </cell>
          <cell r="AA125">
            <v>2403</v>
          </cell>
          <cell r="AB125">
            <v>79</v>
          </cell>
          <cell r="AC125">
            <v>1561</v>
          </cell>
          <cell r="AD125">
            <v>71</v>
          </cell>
          <cell r="AE125">
            <v>652</v>
          </cell>
          <cell r="AF125">
            <v>664</v>
          </cell>
          <cell r="AG125">
            <v>837</v>
          </cell>
          <cell r="AH125">
            <v>3280</v>
          </cell>
          <cell r="AI125">
            <v>3565</v>
          </cell>
          <cell r="AJ125">
            <v>473</v>
          </cell>
          <cell r="AK125">
            <v>873</v>
          </cell>
          <cell r="AL125">
            <v>0</v>
          </cell>
          <cell r="AM125">
            <v>5</v>
          </cell>
          <cell r="AN125">
            <v>15710</v>
          </cell>
        </row>
        <row r="126">
          <cell r="E126">
            <v>28638</v>
          </cell>
          <cell r="I126">
            <v>2318</v>
          </cell>
          <cell r="J126">
            <v>2207</v>
          </cell>
          <cell r="K126">
            <v>3530</v>
          </cell>
          <cell r="L126">
            <v>73</v>
          </cell>
          <cell r="M126">
            <v>1627</v>
          </cell>
          <cell r="N126">
            <v>967</v>
          </cell>
          <cell r="O126">
            <v>2104</v>
          </cell>
          <cell r="P126">
            <v>3293</v>
          </cell>
          <cell r="Q126">
            <v>341</v>
          </cell>
          <cell r="R126">
            <v>4974</v>
          </cell>
          <cell r="S126">
            <v>2743</v>
          </cell>
          <cell r="T126">
            <v>2145</v>
          </cell>
          <cell r="U126">
            <v>2275</v>
          </cell>
          <cell r="V126">
            <v>0</v>
          </cell>
          <cell r="W126">
            <v>41</v>
          </cell>
          <cell r="X126">
            <v>28638</v>
          </cell>
          <cell r="Y126">
            <v>2318</v>
          </cell>
          <cell r="Z126">
            <v>2207</v>
          </cell>
          <cell r="AA126">
            <v>3530</v>
          </cell>
          <cell r="AB126">
            <v>73</v>
          </cell>
          <cell r="AC126">
            <v>1627</v>
          </cell>
          <cell r="AD126">
            <v>967</v>
          </cell>
          <cell r="AE126">
            <v>2104</v>
          </cell>
          <cell r="AF126">
            <v>3293</v>
          </cell>
          <cell r="AG126">
            <v>341</v>
          </cell>
          <cell r="AH126">
            <v>4974</v>
          </cell>
          <cell r="AI126">
            <v>2743</v>
          </cell>
          <cell r="AJ126">
            <v>2145</v>
          </cell>
          <cell r="AK126">
            <v>2275</v>
          </cell>
          <cell r="AL126">
            <v>0</v>
          </cell>
          <cell r="AM126">
            <v>41</v>
          </cell>
          <cell r="AN126">
            <v>28638</v>
          </cell>
        </row>
        <row r="127">
          <cell r="E127">
            <v>5931</v>
          </cell>
          <cell r="I127">
            <v>51</v>
          </cell>
          <cell r="J127">
            <v>834</v>
          </cell>
          <cell r="K127">
            <v>145</v>
          </cell>
          <cell r="L127">
            <v>48</v>
          </cell>
          <cell r="M127">
            <v>734</v>
          </cell>
          <cell r="N127">
            <v>168</v>
          </cell>
          <cell r="O127">
            <v>138</v>
          </cell>
          <cell r="P127">
            <v>855</v>
          </cell>
          <cell r="Q127">
            <v>2</v>
          </cell>
          <cell r="R127">
            <v>1275</v>
          </cell>
          <cell r="S127">
            <v>1103</v>
          </cell>
          <cell r="T127">
            <v>0</v>
          </cell>
          <cell r="U127">
            <v>564</v>
          </cell>
          <cell r="V127">
            <v>3</v>
          </cell>
          <cell r="W127">
            <v>11</v>
          </cell>
          <cell r="X127">
            <v>5931</v>
          </cell>
          <cell r="Y127">
            <v>51</v>
          </cell>
          <cell r="Z127">
            <v>834</v>
          </cell>
          <cell r="AA127">
            <v>145</v>
          </cell>
          <cell r="AB127">
            <v>48</v>
          </cell>
          <cell r="AC127">
            <v>734</v>
          </cell>
          <cell r="AD127">
            <v>168</v>
          </cell>
          <cell r="AE127">
            <v>138</v>
          </cell>
          <cell r="AF127">
            <v>855</v>
          </cell>
          <cell r="AG127">
            <v>2</v>
          </cell>
          <cell r="AH127">
            <v>1275</v>
          </cell>
          <cell r="AI127">
            <v>1103</v>
          </cell>
          <cell r="AJ127">
            <v>0</v>
          </cell>
          <cell r="AK127">
            <v>564</v>
          </cell>
          <cell r="AL127">
            <v>3</v>
          </cell>
          <cell r="AM127">
            <v>11</v>
          </cell>
          <cell r="AN127">
            <v>5931</v>
          </cell>
        </row>
        <row r="128">
          <cell r="E128">
            <v>4383</v>
          </cell>
          <cell r="I128">
            <v>143</v>
          </cell>
          <cell r="J128">
            <v>448</v>
          </cell>
          <cell r="K128">
            <v>181</v>
          </cell>
          <cell r="L128">
            <v>22</v>
          </cell>
          <cell r="M128">
            <v>1331</v>
          </cell>
          <cell r="N128">
            <v>54</v>
          </cell>
          <cell r="O128">
            <v>52</v>
          </cell>
          <cell r="P128">
            <v>416</v>
          </cell>
          <cell r="Q128">
            <v>9</v>
          </cell>
          <cell r="R128">
            <v>867</v>
          </cell>
          <cell r="S128">
            <v>48</v>
          </cell>
          <cell r="T128">
            <v>0</v>
          </cell>
          <cell r="U128">
            <v>812</v>
          </cell>
          <cell r="V128">
            <v>0</v>
          </cell>
          <cell r="W128">
            <v>0</v>
          </cell>
          <cell r="X128">
            <v>4383</v>
          </cell>
          <cell r="Y128">
            <v>143</v>
          </cell>
          <cell r="Z128">
            <v>448</v>
          </cell>
          <cell r="AA128">
            <v>181</v>
          </cell>
          <cell r="AB128">
            <v>22</v>
          </cell>
          <cell r="AC128">
            <v>1331</v>
          </cell>
          <cell r="AD128">
            <v>54</v>
          </cell>
          <cell r="AE128">
            <v>52</v>
          </cell>
          <cell r="AF128">
            <v>416</v>
          </cell>
          <cell r="AG128">
            <v>9</v>
          </cell>
          <cell r="AH128">
            <v>867</v>
          </cell>
          <cell r="AI128">
            <v>48</v>
          </cell>
          <cell r="AJ128">
            <v>0</v>
          </cell>
          <cell r="AK128">
            <v>812</v>
          </cell>
          <cell r="AL128">
            <v>0</v>
          </cell>
          <cell r="AM128">
            <v>0</v>
          </cell>
          <cell r="AN128">
            <v>4383</v>
          </cell>
        </row>
        <row r="129">
          <cell r="E129">
            <v>1262</v>
          </cell>
          <cell r="I129">
            <v>19</v>
          </cell>
          <cell r="J129">
            <v>50</v>
          </cell>
          <cell r="K129">
            <v>99</v>
          </cell>
          <cell r="L129">
            <v>95</v>
          </cell>
          <cell r="M129">
            <v>201</v>
          </cell>
          <cell r="N129">
            <v>29</v>
          </cell>
          <cell r="O129">
            <v>33</v>
          </cell>
          <cell r="P129">
            <v>0</v>
          </cell>
          <cell r="Q129">
            <v>0</v>
          </cell>
          <cell r="R129">
            <v>150</v>
          </cell>
          <cell r="S129">
            <v>361</v>
          </cell>
          <cell r="T129">
            <v>41</v>
          </cell>
          <cell r="U129">
            <v>184</v>
          </cell>
          <cell r="V129">
            <v>0</v>
          </cell>
          <cell r="W129">
            <v>0</v>
          </cell>
          <cell r="X129">
            <v>1262</v>
          </cell>
          <cell r="Y129">
            <v>19</v>
          </cell>
          <cell r="Z129">
            <v>50</v>
          </cell>
          <cell r="AA129">
            <v>99</v>
          </cell>
          <cell r="AB129">
            <v>95</v>
          </cell>
          <cell r="AC129">
            <v>201</v>
          </cell>
          <cell r="AD129">
            <v>29</v>
          </cell>
          <cell r="AE129">
            <v>33</v>
          </cell>
          <cell r="AF129">
            <v>0</v>
          </cell>
          <cell r="AG129">
            <v>0</v>
          </cell>
          <cell r="AH129">
            <v>150</v>
          </cell>
          <cell r="AI129">
            <v>361</v>
          </cell>
          <cell r="AJ129">
            <v>41</v>
          </cell>
          <cell r="AK129">
            <v>184</v>
          </cell>
          <cell r="AL129">
            <v>0</v>
          </cell>
          <cell r="AM129">
            <v>0</v>
          </cell>
          <cell r="AN129">
            <v>1262</v>
          </cell>
        </row>
        <row r="130">
          <cell r="E130">
            <v>13799</v>
          </cell>
          <cell r="I130">
            <v>151</v>
          </cell>
          <cell r="J130">
            <v>559</v>
          </cell>
          <cell r="K130">
            <v>1144</v>
          </cell>
          <cell r="L130">
            <v>48</v>
          </cell>
          <cell r="M130">
            <v>1420</v>
          </cell>
          <cell r="N130">
            <v>768</v>
          </cell>
          <cell r="O130">
            <v>736</v>
          </cell>
          <cell r="P130">
            <v>1000</v>
          </cell>
          <cell r="Q130">
            <v>21</v>
          </cell>
          <cell r="R130">
            <v>2988</v>
          </cell>
          <cell r="S130">
            <v>3062</v>
          </cell>
          <cell r="T130">
            <v>628</v>
          </cell>
          <cell r="U130">
            <v>1254</v>
          </cell>
          <cell r="V130">
            <v>0</v>
          </cell>
          <cell r="W130">
            <v>20</v>
          </cell>
          <cell r="X130">
            <v>13799</v>
          </cell>
          <cell r="Y130">
            <v>151</v>
          </cell>
          <cell r="Z130">
            <v>559</v>
          </cell>
          <cell r="AA130">
            <v>1144</v>
          </cell>
          <cell r="AB130">
            <v>48</v>
          </cell>
          <cell r="AC130">
            <v>1420</v>
          </cell>
          <cell r="AD130">
            <v>768</v>
          </cell>
          <cell r="AE130">
            <v>734</v>
          </cell>
          <cell r="AF130">
            <v>1000</v>
          </cell>
          <cell r="AG130">
            <v>21</v>
          </cell>
          <cell r="AH130">
            <v>2726</v>
          </cell>
          <cell r="AI130">
            <v>2672</v>
          </cell>
          <cell r="AJ130">
            <v>628</v>
          </cell>
          <cell r="AK130">
            <v>442</v>
          </cell>
          <cell r="AL130">
            <v>0</v>
          </cell>
          <cell r="AM130">
            <v>20</v>
          </cell>
          <cell r="AN130">
            <v>12333</v>
          </cell>
        </row>
        <row r="131">
          <cell r="E131">
            <v>7772</v>
          </cell>
          <cell r="I131">
            <v>6</v>
          </cell>
          <cell r="J131">
            <v>72</v>
          </cell>
          <cell r="K131">
            <v>1173</v>
          </cell>
          <cell r="L131">
            <v>0</v>
          </cell>
          <cell r="M131">
            <v>725</v>
          </cell>
          <cell r="N131">
            <v>482</v>
          </cell>
          <cell r="O131">
            <v>512</v>
          </cell>
          <cell r="P131">
            <v>1004</v>
          </cell>
          <cell r="Q131">
            <v>83</v>
          </cell>
          <cell r="R131">
            <v>1216</v>
          </cell>
          <cell r="S131">
            <v>1872</v>
          </cell>
          <cell r="T131">
            <v>300</v>
          </cell>
          <cell r="U131">
            <v>321</v>
          </cell>
          <cell r="V131">
            <v>3</v>
          </cell>
          <cell r="W131">
            <v>0</v>
          </cell>
          <cell r="X131">
            <v>7769</v>
          </cell>
          <cell r="Y131">
            <v>6</v>
          </cell>
          <cell r="Z131">
            <v>72</v>
          </cell>
          <cell r="AA131">
            <v>1173</v>
          </cell>
          <cell r="AB131">
            <v>0</v>
          </cell>
          <cell r="AC131">
            <v>725</v>
          </cell>
          <cell r="AD131">
            <v>482</v>
          </cell>
          <cell r="AE131">
            <v>512</v>
          </cell>
          <cell r="AF131">
            <v>1004</v>
          </cell>
          <cell r="AG131">
            <v>83</v>
          </cell>
          <cell r="AH131">
            <v>1216</v>
          </cell>
          <cell r="AI131">
            <v>1872</v>
          </cell>
          <cell r="AJ131">
            <v>300</v>
          </cell>
          <cell r="AK131">
            <v>321</v>
          </cell>
          <cell r="AL131">
            <v>3</v>
          </cell>
          <cell r="AM131">
            <v>0</v>
          </cell>
          <cell r="AN131">
            <v>7769</v>
          </cell>
        </row>
        <row r="132">
          <cell r="E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row>
        <row r="133">
          <cell r="E133">
            <v>4620</v>
          </cell>
          <cell r="I133">
            <v>5</v>
          </cell>
          <cell r="J133">
            <v>254</v>
          </cell>
          <cell r="K133">
            <v>67</v>
          </cell>
          <cell r="L133">
            <v>62</v>
          </cell>
          <cell r="M133">
            <v>1025</v>
          </cell>
          <cell r="N133">
            <v>190</v>
          </cell>
          <cell r="O133">
            <v>211</v>
          </cell>
          <cell r="P133">
            <v>137</v>
          </cell>
          <cell r="Q133">
            <v>28</v>
          </cell>
          <cell r="R133">
            <v>1354</v>
          </cell>
          <cell r="S133">
            <v>682</v>
          </cell>
          <cell r="T133">
            <v>314</v>
          </cell>
          <cell r="U133">
            <v>273</v>
          </cell>
          <cell r="V133">
            <v>0</v>
          </cell>
          <cell r="W133">
            <v>18</v>
          </cell>
          <cell r="X133">
            <v>4620</v>
          </cell>
          <cell r="Y133">
            <v>5</v>
          </cell>
          <cell r="Z133">
            <v>254</v>
          </cell>
          <cell r="AA133">
            <v>67</v>
          </cell>
          <cell r="AB133">
            <v>62</v>
          </cell>
          <cell r="AC133">
            <v>1025</v>
          </cell>
          <cell r="AD133">
            <v>190</v>
          </cell>
          <cell r="AE133">
            <v>211</v>
          </cell>
          <cell r="AF133">
            <v>137</v>
          </cell>
          <cell r="AG133">
            <v>28</v>
          </cell>
          <cell r="AH133">
            <v>1354</v>
          </cell>
          <cell r="AI133">
            <v>682</v>
          </cell>
          <cell r="AJ133">
            <v>314</v>
          </cell>
          <cell r="AK133">
            <v>273</v>
          </cell>
          <cell r="AL133">
            <v>0</v>
          </cell>
          <cell r="AM133">
            <v>18</v>
          </cell>
          <cell r="AN133">
            <v>4620</v>
          </cell>
        </row>
        <row r="134">
          <cell r="E134">
            <v>15177</v>
          </cell>
          <cell r="I134">
            <v>265</v>
          </cell>
          <cell r="J134">
            <v>178</v>
          </cell>
          <cell r="K134">
            <v>415</v>
          </cell>
          <cell r="L134">
            <v>1005</v>
          </cell>
          <cell r="M134">
            <v>748</v>
          </cell>
          <cell r="N134">
            <v>314</v>
          </cell>
          <cell r="O134">
            <v>307</v>
          </cell>
          <cell r="P134">
            <v>1138</v>
          </cell>
          <cell r="Q134">
            <v>208</v>
          </cell>
          <cell r="R134">
            <v>2040</v>
          </cell>
          <cell r="S134">
            <v>5926</v>
          </cell>
          <cell r="T134">
            <v>2413</v>
          </cell>
          <cell r="U134">
            <v>220</v>
          </cell>
          <cell r="V134">
            <v>0</v>
          </cell>
          <cell r="W134">
            <v>0</v>
          </cell>
          <cell r="X134">
            <v>15177</v>
          </cell>
          <cell r="Y134">
            <v>265</v>
          </cell>
          <cell r="Z134">
            <v>178</v>
          </cell>
          <cell r="AA134">
            <v>415</v>
          </cell>
          <cell r="AB134">
            <v>1005</v>
          </cell>
          <cell r="AC134">
            <v>748</v>
          </cell>
          <cell r="AD134">
            <v>314</v>
          </cell>
          <cell r="AE134">
            <v>307</v>
          </cell>
          <cell r="AF134">
            <v>1138</v>
          </cell>
          <cell r="AG134">
            <v>208</v>
          </cell>
          <cell r="AH134">
            <v>2040</v>
          </cell>
          <cell r="AI134">
            <v>5926</v>
          </cell>
          <cell r="AJ134">
            <v>2413</v>
          </cell>
          <cell r="AK134">
            <v>220</v>
          </cell>
          <cell r="AL134">
            <v>0</v>
          </cell>
          <cell r="AM134">
            <v>0</v>
          </cell>
          <cell r="AN134">
            <v>15177</v>
          </cell>
        </row>
        <row r="135">
          <cell r="E135">
            <v>7297.63</v>
          </cell>
          <cell r="I135">
            <v>487</v>
          </cell>
          <cell r="J135">
            <v>681</v>
          </cell>
          <cell r="K135">
            <v>428</v>
          </cell>
          <cell r="L135">
            <v>61</v>
          </cell>
          <cell r="M135">
            <v>729</v>
          </cell>
          <cell r="N135">
            <v>358</v>
          </cell>
          <cell r="O135">
            <v>360</v>
          </cell>
          <cell r="P135">
            <v>602</v>
          </cell>
          <cell r="Q135">
            <v>56</v>
          </cell>
          <cell r="R135">
            <v>1655</v>
          </cell>
          <cell r="S135">
            <v>1092</v>
          </cell>
          <cell r="T135">
            <v>420</v>
          </cell>
          <cell r="U135">
            <v>357</v>
          </cell>
          <cell r="V135">
            <v>2</v>
          </cell>
          <cell r="W135">
            <v>4</v>
          </cell>
          <cell r="X135">
            <v>7292</v>
          </cell>
          <cell r="Y135">
            <v>94</v>
          </cell>
          <cell r="Z135">
            <v>117</v>
          </cell>
          <cell r="AA135">
            <v>230</v>
          </cell>
          <cell r="AB135">
            <v>61</v>
          </cell>
          <cell r="AC135">
            <v>702</v>
          </cell>
          <cell r="AD135">
            <v>358</v>
          </cell>
          <cell r="AE135">
            <v>360</v>
          </cell>
          <cell r="AF135">
            <v>602</v>
          </cell>
          <cell r="AG135">
            <v>35</v>
          </cell>
          <cell r="AH135">
            <v>1552</v>
          </cell>
          <cell r="AI135">
            <v>1077</v>
          </cell>
          <cell r="AJ135">
            <v>420</v>
          </cell>
          <cell r="AK135">
            <v>340</v>
          </cell>
          <cell r="AL135">
            <v>2</v>
          </cell>
          <cell r="AM135">
            <v>4</v>
          </cell>
          <cell r="AN135">
            <v>5954</v>
          </cell>
        </row>
        <row r="136">
          <cell r="E136">
            <v>4691</v>
          </cell>
          <cell r="I136">
            <v>96</v>
          </cell>
          <cell r="J136">
            <v>114</v>
          </cell>
          <cell r="K136">
            <v>99</v>
          </cell>
          <cell r="L136">
            <v>88</v>
          </cell>
          <cell r="M136">
            <v>304</v>
          </cell>
          <cell r="N136">
            <v>192</v>
          </cell>
          <cell r="O136">
            <v>51</v>
          </cell>
          <cell r="P136">
            <v>412</v>
          </cell>
          <cell r="Q136">
            <v>62</v>
          </cell>
          <cell r="R136">
            <v>638</v>
          </cell>
          <cell r="S136">
            <v>1889</v>
          </cell>
          <cell r="T136">
            <v>680</v>
          </cell>
          <cell r="U136">
            <v>66</v>
          </cell>
          <cell r="V136">
            <v>0</v>
          </cell>
          <cell r="W136">
            <v>0</v>
          </cell>
          <cell r="X136">
            <v>4691</v>
          </cell>
          <cell r="Y136">
            <v>96</v>
          </cell>
          <cell r="Z136">
            <v>114</v>
          </cell>
          <cell r="AA136">
            <v>99</v>
          </cell>
          <cell r="AB136">
            <v>88</v>
          </cell>
          <cell r="AC136">
            <v>304</v>
          </cell>
          <cell r="AD136">
            <v>192</v>
          </cell>
          <cell r="AE136">
            <v>51</v>
          </cell>
          <cell r="AF136">
            <v>412</v>
          </cell>
          <cell r="AG136">
            <v>62</v>
          </cell>
          <cell r="AH136">
            <v>638</v>
          </cell>
          <cell r="AI136">
            <v>1889</v>
          </cell>
          <cell r="AJ136">
            <v>680</v>
          </cell>
          <cell r="AK136">
            <v>66</v>
          </cell>
          <cell r="AL136">
            <v>0</v>
          </cell>
          <cell r="AM136">
            <v>0</v>
          </cell>
          <cell r="AN136">
            <v>4691</v>
          </cell>
        </row>
        <row r="137">
          <cell r="E137">
            <v>6041</v>
          </cell>
          <cell r="I137">
            <v>19</v>
          </cell>
          <cell r="J137">
            <v>226</v>
          </cell>
          <cell r="K137">
            <v>180</v>
          </cell>
          <cell r="L137">
            <v>2</v>
          </cell>
          <cell r="M137">
            <v>281</v>
          </cell>
          <cell r="N137">
            <v>498</v>
          </cell>
          <cell r="O137">
            <v>1067</v>
          </cell>
          <cell r="P137">
            <v>850</v>
          </cell>
          <cell r="Q137">
            <v>25</v>
          </cell>
          <cell r="R137">
            <v>1308</v>
          </cell>
          <cell r="S137">
            <v>857</v>
          </cell>
          <cell r="T137">
            <v>0</v>
          </cell>
          <cell r="U137">
            <v>728</v>
          </cell>
          <cell r="V137">
            <v>0</v>
          </cell>
          <cell r="W137">
            <v>0</v>
          </cell>
          <cell r="X137">
            <v>6041</v>
          </cell>
          <cell r="Y137">
            <v>19</v>
          </cell>
          <cell r="Z137">
            <v>226</v>
          </cell>
          <cell r="AA137">
            <v>180</v>
          </cell>
          <cell r="AB137">
            <v>2</v>
          </cell>
          <cell r="AC137">
            <v>281</v>
          </cell>
          <cell r="AD137">
            <v>498</v>
          </cell>
          <cell r="AE137">
            <v>1067</v>
          </cell>
          <cell r="AF137">
            <v>850</v>
          </cell>
          <cell r="AG137">
            <v>25</v>
          </cell>
          <cell r="AH137">
            <v>1308</v>
          </cell>
          <cell r="AI137">
            <v>857</v>
          </cell>
          <cell r="AJ137">
            <v>0</v>
          </cell>
          <cell r="AK137">
            <v>728</v>
          </cell>
          <cell r="AL137">
            <v>0</v>
          </cell>
          <cell r="AM137">
            <v>0</v>
          </cell>
          <cell r="AN137">
            <v>6041</v>
          </cell>
        </row>
        <row r="138">
          <cell r="E138">
            <v>1591</v>
          </cell>
          <cell r="I138">
            <v>11</v>
          </cell>
          <cell r="J138">
            <v>75</v>
          </cell>
          <cell r="K138">
            <v>19</v>
          </cell>
          <cell r="L138">
            <v>0</v>
          </cell>
          <cell r="M138">
            <v>199</v>
          </cell>
          <cell r="N138">
            <v>52</v>
          </cell>
          <cell r="O138">
            <v>45</v>
          </cell>
          <cell r="P138">
            <v>311</v>
          </cell>
          <cell r="Q138">
            <v>3</v>
          </cell>
          <cell r="R138">
            <v>331</v>
          </cell>
          <cell r="S138">
            <v>142</v>
          </cell>
          <cell r="T138">
            <v>0</v>
          </cell>
          <cell r="U138">
            <v>403</v>
          </cell>
          <cell r="V138">
            <v>0</v>
          </cell>
          <cell r="W138">
            <v>0</v>
          </cell>
          <cell r="X138">
            <v>1591</v>
          </cell>
          <cell r="Y138">
            <v>11</v>
          </cell>
          <cell r="Z138">
            <v>75</v>
          </cell>
          <cell r="AA138">
            <v>19</v>
          </cell>
          <cell r="AB138">
            <v>0</v>
          </cell>
          <cell r="AC138">
            <v>199</v>
          </cell>
          <cell r="AD138">
            <v>52</v>
          </cell>
          <cell r="AE138">
            <v>45</v>
          </cell>
          <cell r="AF138">
            <v>311</v>
          </cell>
          <cell r="AG138">
            <v>3</v>
          </cell>
          <cell r="AH138">
            <v>331</v>
          </cell>
          <cell r="AI138">
            <v>142</v>
          </cell>
          <cell r="AJ138">
            <v>0</v>
          </cell>
          <cell r="AK138">
            <v>403</v>
          </cell>
          <cell r="AL138">
            <v>0</v>
          </cell>
          <cell r="AM138">
            <v>0</v>
          </cell>
          <cell r="AN138">
            <v>1591</v>
          </cell>
        </row>
        <row r="139">
          <cell r="E139">
            <v>13776.75</v>
          </cell>
          <cell r="I139">
            <v>587</v>
          </cell>
          <cell r="J139">
            <v>1641</v>
          </cell>
          <cell r="K139">
            <v>569</v>
          </cell>
          <cell r="L139">
            <v>568</v>
          </cell>
          <cell r="M139">
            <v>1449</v>
          </cell>
          <cell r="N139">
            <v>148</v>
          </cell>
          <cell r="O139">
            <v>624</v>
          </cell>
          <cell r="P139">
            <v>568</v>
          </cell>
          <cell r="Q139">
            <v>69</v>
          </cell>
          <cell r="R139">
            <v>3337</v>
          </cell>
          <cell r="S139">
            <v>1876</v>
          </cell>
          <cell r="T139">
            <v>716</v>
          </cell>
          <cell r="U139">
            <v>1619</v>
          </cell>
          <cell r="V139">
            <v>0</v>
          </cell>
          <cell r="W139">
            <v>0</v>
          </cell>
          <cell r="X139">
            <v>13771</v>
          </cell>
          <cell r="Y139">
            <v>587</v>
          </cell>
          <cell r="Z139">
            <v>1641</v>
          </cell>
          <cell r="AA139">
            <v>569</v>
          </cell>
          <cell r="AB139">
            <v>568</v>
          </cell>
          <cell r="AC139">
            <v>1449</v>
          </cell>
          <cell r="AD139">
            <v>148</v>
          </cell>
          <cell r="AE139">
            <v>624</v>
          </cell>
          <cell r="AF139">
            <v>568</v>
          </cell>
          <cell r="AG139">
            <v>69</v>
          </cell>
          <cell r="AH139">
            <v>3337</v>
          </cell>
          <cell r="AI139">
            <v>1876</v>
          </cell>
          <cell r="AJ139">
            <v>716</v>
          </cell>
          <cell r="AK139">
            <v>1619</v>
          </cell>
          <cell r="AL139">
            <v>0</v>
          </cell>
          <cell r="AM139">
            <v>0</v>
          </cell>
          <cell r="AN139">
            <v>13771</v>
          </cell>
        </row>
        <row r="140">
          <cell r="E140">
            <v>20910</v>
          </cell>
          <cell r="I140">
            <v>399</v>
          </cell>
          <cell r="J140">
            <v>3321</v>
          </cell>
          <cell r="K140">
            <v>1044</v>
          </cell>
          <cell r="L140">
            <v>34</v>
          </cell>
          <cell r="M140">
            <v>3874</v>
          </cell>
          <cell r="N140">
            <v>701</v>
          </cell>
          <cell r="O140">
            <v>932</v>
          </cell>
          <cell r="P140">
            <v>536</v>
          </cell>
          <cell r="Q140">
            <v>4</v>
          </cell>
          <cell r="R140">
            <v>3328</v>
          </cell>
          <cell r="S140">
            <v>1952</v>
          </cell>
          <cell r="T140">
            <v>48</v>
          </cell>
          <cell r="U140">
            <v>4737</v>
          </cell>
          <cell r="V140">
            <v>0</v>
          </cell>
          <cell r="W140">
            <v>0</v>
          </cell>
          <cell r="X140">
            <v>20910</v>
          </cell>
          <cell r="Y140">
            <v>399</v>
          </cell>
          <cell r="Z140">
            <v>3321</v>
          </cell>
          <cell r="AA140">
            <v>1044</v>
          </cell>
          <cell r="AB140">
            <v>34</v>
          </cell>
          <cell r="AC140">
            <v>3874</v>
          </cell>
          <cell r="AD140">
            <v>701</v>
          </cell>
          <cell r="AE140">
            <v>932</v>
          </cell>
          <cell r="AF140">
            <v>536</v>
          </cell>
          <cell r="AG140">
            <v>4</v>
          </cell>
          <cell r="AH140">
            <v>3328</v>
          </cell>
          <cell r="AI140">
            <v>1952</v>
          </cell>
          <cell r="AJ140">
            <v>48</v>
          </cell>
          <cell r="AK140">
            <v>4737</v>
          </cell>
          <cell r="AL140">
            <v>0</v>
          </cell>
          <cell r="AM140">
            <v>0</v>
          </cell>
          <cell r="AN140">
            <v>20910</v>
          </cell>
        </row>
        <row r="141">
          <cell r="E141">
            <v>3920</v>
          </cell>
          <cell r="I141">
            <v>85</v>
          </cell>
          <cell r="J141">
            <v>343</v>
          </cell>
          <cell r="K141">
            <v>7</v>
          </cell>
          <cell r="L141">
            <v>44</v>
          </cell>
          <cell r="M141">
            <v>326</v>
          </cell>
          <cell r="N141">
            <v>53</v>
          </cell>
          <cell r="O141">
            <v>441</v>
          </cell>
          <cell r="P141">
            <v>560</v>
          </cell>
          <cell r="Q141">
            <v>1</v>
          </cell>
          <cell r="R141">
            <v>975</v>
          </cell>
          <cell r="S141">
            <v>365</v>
          </cell>
          <cell r="T141">
            <v>307</v>
          </cell>
          <cell r="U141">
            <v>407</v>
          </cell>
          <cell r="V141">
            <v>0</v>
          </cell>
          <cell r="W141">
            <v>0</v>
          </cell>
          <cell r="X141">
            <v>3914</v>
          </cell>
          <cell r="Y141">
            <v>85</v>
          </cell>
          <cell r="Z141">
            <v>343</v>
          </cell>
          <cell r="AA141">
            <v>7</v>
          </cell>
          <cell r="AB141">
            <v>44</v>
          </cell>
          <cell r="AC141">
            <v>326</v>
          </cell>
          <cell r="AD141">
            <v>53</v>
          </cell>
          <cell r="AE141">
            <v>441</v>
          </cell>
          <cell r="AF141">
            <v>560</v>
          </cell>
          <cell r="AG141">
            <v>1</v>
          </cell>
          <cell r="AH141">
            <v>975</v>
          </cell>
          <cell r="AI141">
            <v>365</v>
          </cell>
          <cell r="AJ141">
            <v>307</v>
          </cell>
          <cell r="AK141">
            <v>407</v>
          </cell>
          <cell r="AL141">
            <v>0</v>
          </cell>
          <cell r="AM141">
            <v>0</v>
          </cell>
          <cell r="AN141">
            <v>3914</v>
          </cell>
        </row>
        <row r="142">
          <cell r="E142">
            <v>2988</v>
          </cell>
          <cell r="I142">
            <v>20</v>
          </cell>
          <cell r="J142">
            <v>171</v>
          </cell>
          <cell r="K142">
            <v>78</v>
          </cell>
          <cell r="L142">
            <v>18</v>
          </cell>
          <cell r="M142">
            <v>615</v>
          </cell>
          <cell r="N142">
            <v>162</v>
          </cell>
          <cell r="O142">
            <v>385</v>
          </cell>
          <cell r="P142">
            <v>132</v>
          </cell>
          <cell r="Q142">
            <v>4</v>
          </cell>
          <cell r="R142">
            <v>581</v>
          </cell>
          <cell r="S142">
            <v>321</v>
          </cell>
          <cell r="T142">
            <v>93</v>
          </cell>
          <cell r="U142">
            <v>329</v>
          </cell>
          <cell r="V142">
            <v>28</v>
          </cell>
          <cell r="W142">
            <v>0</v>
          </cell>
          <cell r="X142">
            <v>2937</v>
          </cell>
          <cell r="Y142">
            <v>20</v>
          </cell>
          <cell r="Z142">
            <v>171</v>
          </cell>
          <cell r="AA142">
            <v>78</v>
          </cell>
          <cell r="AB142">
            <v>18</v>
          </cell>
          <cell r="AC142">
            <v>615</v>
          </cell>
          <cell r="AD142">
            <v>162</v>
          </cell>
          <cell r="AE142">
            <v>385</v>
          </cell>
          <cell r="AF142">
            <v>132</v>
          </cell>
          <cell r="AG142">
            <v>4</v>
          </cell>
          <cell r="AH142">
            <v>581</v>
          </cell>
          <cell r="AI142">
            <v>321</v>
          </cell>
          <cell r="AJ142">
            <v>93</v>
          </cell>
          <cell r="AK142">
            <v>329</v>
          </cell>
          <cell r="AL142">
            <v>28</v>
          </cell>
          <cell r="AM142">
            <v>0</v>
          </cell>
          <cell r="AN142">
            <v>2937</v>
          </cell>
        </row>
        <row r="143">
          <cell r="E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row>
        <row r="144">
          <cell r="E144">
            <v>10522</v>
          </cell>
          <cell r="I144">
            <v>592</v>
          </cell>
          <cell r="J144">
            <v>437</v>
          </cell>
          <cell r="K144">
            <v>223</v>
          </cell>
          <cell r="L144">
            <v>113</v>
          </cell>
          <cell r="M144">
            <v>230</v>
          </cell>
          <cell r="N144">
            <v>622</v>
          </cell>
          <cell r="O144">
            <v>1690</v>
          </cell>
          <cell r="P144">
            <v>1216</v>
          </cell>
          <cell r="Q144">
            <v>191</v>
          </cell>
          <cell r="R144">
            <v>1408</v>
          </cell>
          <cell r="S144">
            <v>875</v>
          </cell>
          <cell r="T144">
            <v>2795</v>
          </cell>
          <cell r="U144">
            <v>130</v>
          </cell>
          <cell r="V144">
            <v>0</v>
          </cell>
          <cell r="W144">
            <v>0</v>
          </cell>
          <cell r="X144">
            <v>10522</v>
          </cell>
          <cell r="Y144">
            <v>592</v>
          </cell>
          <cell r="Z144">
            <v>437</v>
          </cell>
          <cell r="AA144">
            <v>223</v>
          </cell>
          <cell r="AB144">
            <v>113</v>
          </cell>
          <cell r="AC144">
            <v>230</v>
          </cell>
          <cell r="AD144">
            <v>622</v>
          </cell>
          <cell r="AE144">
            <v>1690</v>
          </cell>
          <cell r="AF144">
            <v>1216</v>
          </cell>
          <cell r="AG144">
            <v>191</v>
          </cell>
          <cell r="AH144">
            <v>1408</v>
          </cell>
          <cell r="AI144">
            <v>875</v>
          </cell>
          <cell r="AJ144">
            <v>2795</v>
          </cell>
          <cell r="AK144">
            <v>130</v>
          </cell>
          <cell r="AL144">
            <v>0</v>
          </cell>
          <cell r="AM144">
            <v>0</v>
          </cell>
          <cell r="AN144">
            <v>10522</v>
          </cell>
        </row>
        <row r="145">
          <cell r="E145">
            <v>30317</v>
          </cell>
          <cell r="I145">
            <v>430</v>
          </cell>
          <cell r="J145">
            <v>5056</v>
          </cell>
          <cell r="K145">
            <v>4249</v>
          </cell>
          <cell r="L145">
            <v>46</v>
          </cell>
          <cell r="M145">
            <v>3920</v>
          </cell>
          <cell r="N145">
            <v>1508</v>
          </cell>
          <cell r="O145">
            <v>1083</v>
          </cell>
          <cell r="P145">
            <v>555</v>
          </cell>
          <cell r="Q145">
            <v>274</v>
          </cell>
          <cell r="R145">
            <v>6466</v>
          </cell>
          <cell r="S145">
            <v>2076</v>
          </cell>
          <cell r="T145">
            <v>3121</v>
          </cell>
          <cell r="U145">
            <v>1533</v>
          </cell>
          <cell r="V145">
            <v>0</v>
          </cell>
          <cell r="W145">
            <v>0</v>
          </cell>
          <cell r="X145">
            <v>30317</v>
          </cell>
          <cell r="Y145">
            <v>430</v>
          </cell>
          <cell r="Z145">
            <v>5046</v>
          </cell>
          <cell r="AA145">
            <v>4196</v>
          </cell>
          <cell r="AB145">
            <v>35</v>
          </cell>
          <cell r="AC145">
            <v>3529</v>
          </cell>
          <cell r="AD145">
            <v>1508</v>
          </cell>
          <cell r="AE145">
            <v>959</v>
          </cell>
          <cell r="AF145">
            <v>460</v>
          </cell>
          <cell r="AG145">
            <v>274</v>
          </cell>
          <cell r="AH145">
            <v>6186</v>
          </cell>
          <cell r="AI145">
            <v>2050</v>
          </cell>
          <cell r="AJ145">
            <v>3086</v>
          </cell>
          <cell r="AK145">
            <v>1439</v>
          </cell>
          <cell r="AL145">
            <v>0</v>
          </cell>
          <cell r="AM145">
            <v>0</v>
          </cell>
          <cell r="AN145">
            <v>29198</v>
          </cell>
        </row>
        <row r="146">
          <cell r="E146">
            <v>4133.2</v>
          </cell>
          <cell r="I146">
            <v>229</v>
          </cell>
          <cell r="J146">
            <v>214</v>
          </cell>
          <cell r="K146">
            <v>193</v>
          </cell>
          <cell r="L146">
            <v>72</v>
          </cell>
          <cell r="M146">
            <v>582</v>
          </cell>
          <cell r="N146">
            <v>82</v>
          </cell>
          <cell r="O146">
            <v>53</v>
          </cell>
          <cell r="P146">
            <v>546</v>
          </cell>
          <cell r="Q146">
            <v>27</v>
          </cell>
          <cell r="R146">
            <v>639</v>
          </cell>
          <cell r="S146">
            <v>725</v>
          </cell>
          <cell r="T146">
            <v>61</v>
          </cell>
          <cell r="U146">
            <v>658</v>
          </cell>
          <cell r="V146">
            <v>0</v>
          </cell>
          <cell r="W146">
            <v>13</v>
          </cell>
          <cell r="X146">
            <v>4094</v>
          </cell>
          <cell r="Y146">
            <v>229</v>
          </cell>
          <cell r="Z146">
            <v>214</v>
          </cell>
          <cell r="AA146">
            <v>193</v>
          </cell>
          <cell r="AB146">
            <v>72</v>
          </cell>
          <cell r="AC146">
            <v>582</v>
          </cell>
          <cell r="AD146">
            <v>82</v>
          </cell>
          <cell r="AE146">
            <v>53</v>
          </cell>
          <cell r="AF146">
            <v>546</v>
          </cell>
          <cell r="AG146">
            <v>27</v>
          </cell>
          <cell r="AH146">
            <v>639</v>
          </cell>
          <cell r="AI146">
            <v>725</v>
          </cell>
          <cell r="AJ146">
            <v>61</v>
          </cell>
          <cell r="AK146">
            <v>658</v>
          </cell>
          <cell r="AL146">
            <v>0</v>
          </cell>
          <cell r="AM146">
            <v>13</v>
          </cell>
          <cell r="AN146">
            <v>4094</v>
          </cell>
        </row>
        <row r="147">
          <cell r="E147">
            <v>3172</v>
          </cell>
          <cell r="I147">
            <v>32</v>
          </cell>
          <cell r="J147">
            <v>372</v>
          </cell>
          <cell r="K147">
            <v>114</v>
          </cell>
          <cell r="L147">
            <v>83</v>
          </cell>
          <cell r="M147">
            <v>372</v>
          </cell>
          <cell r="N147">
            <v>104</v>
          </cell>
          <cell r="O147">
            <v>203</v>
          </cell>
          <cell r="P147">
            <v>114</v>
          </cell>
          <cell r="Q147">
            <v>9</v>
          </cell>
          <cell r="R147">
            <v>575</v>
          </cell>
          <cell r="S147">
            <v>24</v>
          </cell>
          <cell r="T147">
            <v>0</v>
          </cell>
          <cell r="U147">
            <v>1154</v>
          </cell>
          <cell r="V147">
            <v>16</v>
          </cell>
          <cell r="W147">
            <v>0</v>
          </cell>
          <cell r="X147">
            <v>3172</v>
          </cell>
          <cell r="Y147">
            <v>32</v>
          </cell>
          <cell r="Z147">
            <v>372</v>
          </cell>
          <cell r="AA147">
            <v>114</v>
          </cell>
          <cell r="AB147">
            <v>83</v>
          </cell>
          <cell r="AC147">
            <v>372</v>
          </cell>
          <cell r="AD147">
            <v>104</v>
          </cell>
          <cell r="AE147">
            <v>203</v>
          </cell>
          <cell r="AF147">
            <v>114</v>
          </cell>
          <cell r="AG147">
            <v>9</v>
          </cell>
          <cell r="AH147">
            <v>575</v>
          </cell>
          <cell r="AI147">
            <v>24</v>
          </cell>
          <cell r="AJ147">
            <v>0</v>
          </cell>
          <cell r="AK147">
            <v>1154</v>
          </cell>
          <cell r="AL147">
            <v>16</v>
          </cell>
          <cell r="AM147">
            <v>0</v>
          </cell>
          <cell r="AN147">
            <v>3172</v>
          </cell>
        </row>
        <row r="148">
          <cell r="E148">
            <v>41803</v>
          </cell>
          <cell r="I148">
            <v>4394</v>
          </cell>
          <cell r="J148">
            <v>3111</v>
          </cell>
          <cell r="K148">
            <v>1748</v>
          </cell>
          <cell r="L148">
            <v>23</v>
          </cell>
          <cell r="M148">
            <v>5592</v>
          </cell>
          <cell r="N148">
            <v>1479</v>
          </cell>
          <cell r="O148">
            <v>2107</v>
          </cell>
          <cell r="P148">
            <v>1289</v>
          </cell>
          <cell r="Q148">
            <v>605</v>
          </cell>
          <cell r="R148">
            <v>5370</v>
          </cell>
          <cell r="S148">
            <v>11474</v>
          </cell>
          <cell r="T148">
            <v>1931</v>
          </cell>
          <cell r="U148">
            <v>2676</v>
          </cell>
          <cell r="V148">
            <v>4</v>
          </cell>
          <cell r="W148">
            <v>0</v>
          </cell>
          <cell r="X148">
            <v>41803</v>
          </cell>
          <cell r="Y148">
            <v>4394</v>
          </cell>
          <cell r="Z148">
            <v>3111</v>
          </cell>
          <cell r="AA148">
            <v>1748</v>
          </cell>
          <cell r="AB148">
            <v>23</v>
          </cell>
          <cell r="AC148">
            <v>5592</v>
          </cell>
          <cell r="AD148">
            <v>1479</v>
          </cell>
          <cell r="AE148">
            <v>2107</v>
          </cell>
          <cell r="AF148">
            <v>1289</v>
          </cell>
          <cell r="AG148">
            <v>605</v>
          </cell>
          <cell r="AH148">
            <v>5370</v>
          </cell>
          <cell r="AI148">
            <v>11474</v>
          </cell>
          <cell r="AJ148">
            <v>1931</v>
          </cell>
          <cell r="AK148">
            <v>2676</v>
          </cell>
          <cell r="AL148">
            <v>4</v>
          </cell>
          <cell r="AM148">
            <v>0</v>
          </cell>
          <cell r="AN148">
            <v>41803</v>
          </cell>
        </row>
        <row r="149">
          <cell r="E149">
            <v>3444</v>
          </cell>
          <cell r="I149">
            <v>62</v>
          </cell>
          <cell r="J149">
            <v>279</v>
          </cell>
          <cell r="K149">
            <v>284</v>
          </cell>
          <cell r="L149">
            <v>0</v>
          </cell>
          <cell r="M149">
            <v>499</v>
          </cell>
          <cell r="N149">
            <v>169</v>
          </cell>
          <cell r="O149">
            <v>235</v>
          </cell>
          <cell r="P149">
            <v>23</v>
          </cell>
          <cell r="Q149">
            <v>33</v>
          </cell>
          <cell r="R149">
            <v>736</v>
          </cell>
          <cell r="S149">
            <v>698</v>
          </cell>
          <cell r="T149">
            <v>0</v>
          </cell>
          <cell r="U149">
            <v>415</v>
          </cell>
          <cell r="V149">
            <v>8</v>
          </cell>
          <cell r="W149">
            <v>0</v>
          </cell>
          <cell r="X149">
            <v>3441</v>
          </cell>
          <cell r="Y149">
            <v>62</v>
          </cell>
          <cell r="Z149">
            <v>279</v>
          </cell>
          <cell r="AA149">
            <v>284</v>
          </cell>
          <cell r="AB149">
            <v>0</v>
          </cell>
          <cell r="AC149">
            <v>499</v>
          </cell>
          <cell r="AD149">
            <v>169</v>
          </cell>
          <cell r="AE149">
            <v>235</v>
          </cell>
          <cell r="AF149">
            <v>23</v>
          </cell>
          <cell r="AG149">
            <v>33</v>
          </cell>
          <cell r="AH149">
            <v>736</v>
          </cell>
          <cell r="AI149">
            <v>698</v>
          </cell>
          <cell r="AJ149">
            <v>0</v>
          </cell>
          <cell r="AK149">
            <v>415</v>
          </cell>
          <cell r="AL149">
            <v>8</v>
          </cell>
          <cell r="AM149">
            <v>0</v>
          </cell>
          <cell r="AN149">
            <v>3441</v>
          </cell>
        </row>
        <row r="150">
          <cell r="E150">
            <v>4249</v>
          </cell>
          <cell r="I150">
            <v>192</v>
          </cell>
          <cell r="J150">
            <v>379</v>
          </cell>
          <cell r="K150">
            <v>207</v>
          </cell>
          <cell r="L150">
            <v>63</v>
          </cell>
          <cell r="M150">
            <v>869</v>
          </cell>
          <cell r="N150">
            <v>191</v>
          </cell>
          <cell r="O150">
            <v>55</v>
          </cell>
          <cell r="P150">
            <v>248</v>
          </cell>
          <cell r="Q150">
            <v>25</v>
          </cell>
          <cell r="R150">
            <v>626</v>
          </cell>
          <cell r="S150">
            <v>315</v>
          </cell>
          <cell r="T150">
            <v>0</v>
          </cell>
          <cell r="U150">
            <v>1079</v>
          </cell>
          <cell r="V150">
            <v>0</v>
          </cell>
          <cell r="W150">
            <v>0</v>
          </cell>
          <cell r="X150">
            <v>4249</v>
          </cell>
          <cell r="Y150">
            <v>192</v>
          </cell>
          <cell r="Z150">
            <v>379</v>
          </cell>
          <cell r="AA150">
            <v>207</v>
          </cell>
          <cell r="AB150">
            <v>63</v>
          </cell>
          <cell r="AC150">
            <v>869</v>
          </cell>
          <cell r="AD150">
            <v>191</v>
          </cell>
          <cell r="AE150">
            <v>55</v>
          </cell>
          <cell r="AF150">
            <v>248</v>
          </cell>
          <cell r="AG150">
            <v>25</v>
          </cell>
          <cell r="AH150">
            <v>626</v>
          </cell>
          <cell r="AI150">
            <v>315</v>
          </cell>
          <cell r="AJ150">
            <v>0</v>
          </cell>
          <cell r="AK150">
            <v>1079</v>
          </cell>
          <cell r="AL150">
            <v>0</v>
          </cell>
          <cell r="AM150">
            <v>0</v>
          </cell>
          <cell r="AN150">
            <v>4249</v>
          </cell>
        </row>
        <row r="151">
          <cell r="E151">
            <v>6487.57</v>
          </cell>
          <cell r="I151">
            <v>170</v>
          </cell>
          <cell r="J151">
            <v>120</v>
          </cell>
          <cell r="K151">
            <v>355</v>
          </cell>
          <cell r="L151">
            <v>147</v>
          </cell>
          <cell r="M151">
            <v>1459</v>
          </cell>
          <cell r="N151">
            <v>111</v>
          </cell>
          <cell r="O151">
            <v>220</v>
          </cell>
          <cell r="P151">
            <v>252</v>
          </cell>
          <cell r="Q151">
            <v>38</v>
          </cell>
          <cell r="R151">
            <v>1552</v>
          </cell>
          <cell r="S151">
            <v>1277</v>
          </cell>
          <cell r="T151">
            <v>185</v>
          </cell>
          <cell r="U151">
            <v>599</v>
          </cell>
          <cell r="V151">
            <v>0</v>
          </cell>
          <cell r="W151">
            <v>0</v>
          </cell>
          <cell r="X151">
            <v>6485</v>
          </cell>
          <cell r="Y151">
            <v>170</v>
          </cell>
          <cell r="Z151">
            <v>120</v>
          </cell>
          <cell r="AA151">
            <v>355</v>
          </cell>
          <cell r="AB151">
            <v>147</v>
          </cell>
          <cell r="AC151">
            <v>1459</v>
          </cell>
          <cell r="AD151">
            <v>111</v>
          </cell>
          <cell r="AE151">
            <v>220</v>
          </cell>
          <cell r="AF151">
            <v>252</v>
          </cell>
          <cell r="AG151">
            <v>38</v>
          </cell>
          <cell r="AH151">
            <v>1552</v>
          </cell>
          <cell r="AI151">
            <v>1277</v>
          </cell>
          <cell r="AJ151">
            <v>185</v>
          </cell>
          <cell r="AK151">
            <v>599</v>
          </cell>
          <cell r="AL151">
            <v>0</v>
          </cell>
          <cell r="AM151">
            <v>0</v>
          </cell>
          <cell r="AN151">
            <v>6485</v>
          </cell>
        </row>
        <row r="152">
          <cell r="E152">
            <v>10423</v>
          </cell>
          <cell r="I152">
            <v>9</v>
          </cell>
          <cell r="J152">
            <v>210</v>
          </cell>
          <cell r="K152">
            <v>9</v>
          </cell>
          <cell r="L152">
            <v>89</v>
          </cell>
          <cell r="M152">
            <v>798</v>
          </cell>
          <cell r="N152">
            <v>162</v>
          </cell>
          <cell r="O152">
            <v>335</v>
          </cell>
          <cell r="P152">
            <v>1795</v>
          </cell>
          <cell r="Q152">
            <v>0</v>
          </cell>
          <cell r="R152">
            <v>2418</v>
          </cell>
          <cell r="S152">
            <v>757</v>
          </cell>
          <cell r="T152">
            <v>2081</v>
          </cell>
          <cell r="U152">
            <v>1760</v>
          </cell>
          <cell r="V152">
            <v>0</v>
          </cell>
          <cell r="W152">
            <v>0</v>
          </cell>
          <cell r="X152">
            <v>10423</v>
          </cell>
          <cell r="Y152">
            <v>9</v>
          </cell>
          <cell r="Z152">
            <v>210</v>
          </cell>
          <cell r="AA152">
            <v>9</v>
          </cell>
          <cell r="AB152">
            <v>89</v>
          </cell>
          <cell r="AC152">
            <v>798</v>
          </cell>
          <cell r="AD152">
            <v>162</v>
          </cell>
          <cell r="AE152">
            <v>335</v>
          </cell>
          <cell r="AF152">
            <v>1795</v>
          </cell>
          <cell r="AG152">
            <v>0</v>
          </cell>
          <cell r="AH152">
            <v>2418</v>
          </cell>
          <cell r="AI152">
            <v>757</v>
          </cell>
          <cell r="AJ152">
            <v>2081</v>
          </cell>
          <cell r="AK152">
            <v>1760</v>
          </cell>
          <cell r="AL152">
            <v>0</v>
          </cell>
          <cell r="AM152">
            <v>0</v>
          </cell>
          <cell r="AN152">
            <v>10423</v>
          </cell>
        </row>
        <row r="153">
          <cell r="E153">
            <v>5534.32</v>
          </cell>
          <cell r="I153">
            <v>4</v>
          </cell>
          <cell r="J153">
            <v>896</v>
          </cell>
          <cell r="K153">
            <v>8</v>
          </cell>
          <cell r="L153">
            <v>0</v>
          </cell>
          <cell r="M153">
            <v>781</v>
          </cell>
          <cell r="N153">
            <v>211</v>
          </cell>
          <cell r="O153">
            <v>361</v>
          </cell>
          <cell r="P153">
            <v>274</v>
          </cell>
          <cell r="Q153">
            <v>6</v>
          </cell>
          <cell r="R153">
            <v>256</v>
          </cell>
          <cell r="S153">
            <v>25</v>
          </cell>
          <cell r="T153">
            <v>0</v>
          </cell>
          <cell r="U153">
            <v>2594</v>
          </cell>
          <cell r="V153">
            <v>0</v>
          </cell>
          <cell r="W153">
            <v>0</v>
          </cell>
          <cell r="X153">
            <v>5416</v>
          </cell>
          <cell r="Y153">
            <v>4</v>
          </cell>
          <cell r="Z153">
            <v>896</v>
          </cell>
          <cell r="AA153">
            <v>8</v>
          </cell>
          <cell r="AB153">
            <v>0</v>
          </cell>
          <cell r="AC153">
            <v>781</v>
          </cell>
          <cell r="AD153">
            <v>211</v>
          </cell>
          <cell r="AE153">
            <v>361</v>
          </cell>
          <cell r="AF153">
            <v>274</v>
          </cell>
          <cell r="AG153">
            <v>6</v>
          </cell>
          <cell r="AH153">
            <v>256</v>
          </cell>
          <cell r="AI153">
            <v>25</v>
          </cell>
          <cell r="AJ153">
            <v>0</v>
          </cell>
          <cell r="AK153">
            <v>2594</v>
          </cell>
          <cell r="AL153">
            <v>0</v>
          </cell>
          <cell r="AM153">
            <v>0</v>
          </cell>
          <cell r="AN153">
            <v>5416</v>
          </cell>
        </row>
        <row r="154">
          <cell r="E154">
            <v>3057</v>
          </cell>
          <cell r="I154">
            <v>84</v>
          </cell>
          <cell r="J154">
            <v>210</v>
          </cell>
          <cell r="K154">
            <v>173</v>
          </cell>
          <cell r="L154">
            <v>112</v>
          </cell>
          <cell r="M154">
            <v>779</v>
          </cell>
          <cell r="N154">
            <v>116</v>
          </cell>
          <cell r="O154">
            <v>91</v>
          </cell>
          <cell r="P154">
            <v>62</v>
          </cell>
          <cell r="Q154">
            <v>0</v>
          </cell>
          <cell r="R154">
            <v>666</v>
          </cell>
          <cell r="S154">
            <v>125</v>
          </cell>
          <cell r="T154">
            <v>0</v>
          </cell>
          <cell r="U154">
            <v>637</v>
          </cell>
          <cell r="V154">
            <v>0</v>
          </cell>
          <cell r="W154">
            <v>2</v>
          </cell>
          <cell r="X154">
            <v>3057</v>
          </cell>
          <cell r="Y154">
            <v>84</v>
          </cell>
          <cell r="Z154">
            <v>210</v>
          </cell>
          <cell r="AA154">
            <v>173</v>
          </cell>
          <cell r="AB154">
            <v>112</v>
          </cell>
          <cell r="AC154">
            <v>779</v>
          </cell>
          <cell r="AD154">
            <v>116</v>
          </cell>
          <cell r="AE154">
            <v>91</v>
          </cell>
          <cell r="AF154">
            <v>62</v>
          </cell>
          <cell r="AG154">
            <v>0</v>
          </cell>
          <cell r="AH154">
            <v>666</v>
          </cell>
          <cell r="AI154">
            <v>125</v>
          </cell>
          <cell r="AJ154">
            <v>0</v>
          </cell>
          <cell r="AK154">
            <v>637</v>
          </cell>
          <cell r="AL154">
            <v>0</v>
          </cell>
          <cell r="AM154">
            <v>2</v>
          </cell>
          <cell r="AN154">
            <v>3057</v>
          </cell>
        </row>
        <row r="155">
          <cell r="E155">
            <v>3901</v>
          </cell>
          <cell r="I155">
            <v>147</v>
          </cell>
          <cell r="J155">
            <v>731</v>
          </cell>
          <cell r="K155">
            <v>86</v>
          </cell>
          <cell r="L155">
            <v>1</v>
          </cell>
          <cell r="M155">
            <v>534</v>
          </cell>
          <cell r="N155">
            <v>15</v>
          </cell>
          <cell r="O155">
            <v>17</v>
          </cell>
          <cell r="P155">
            <v>421</v>
          </cell>
          <cell r="Q155">
            <v>39</v>
          </cell>
          <cell r="R155">
            <v>202</v>
          </cell>
          <cell r="S155">
            <v>24</v>
          </cell>
          <cell r="T155">
            <v>0</v>
          </cell>
          <cell r="U155">
            <v>1679</v>
          </cell>
          <cell r="V155">
            <v>0</v>
          </cell>
          <cell r="W155">
            <v>0</v>
          </cell>
          <cell r="X155">
            <v>3896</v>
          </cell>
          <cell r="Y155">
            <v>147</v>
          </cell>
          <cell r="Z155">
            <v>731</v>
          </cell>
          <cell r="AA155">
            <v>86</v>
          </cell>
          <cell r="AB155">
            <v>1</v>
          </cell>
          <cell r="AC155">
            <v>534</v>
          </cell>
          <cell r="AD155">
            <v>15</v>
          </cell>
          <cell r="AE155">
            <v>17</v>
          </cell>
          <cell r="AF155">
            <v>421</v>
          </cell>
          <cell r="AG155">
            <v>39</v>
          </cell>
          <cell r="AH155">
            <v>202</v>
          </cell>
          <cell r="AI155">
            <v>24</v>
          </cell>
          <cell r="AJ155">
            <v>0</v>
          </cell>
          <cell r="AK155">
            <v>1679</v>
          </cell>
          <cell r="AL155">
            <v>0</v>
          </cell>
          <cell r="AM155">
            <v>0</v>
          </cell>
          <cell r="AN155">
            <v>3896</v>
          </cell>
        </row>
        <row r="156">
          <cell r="E156">
            <v>6278.95</v>
          </cell>
          <cell r="I156">
            <v>574</v>
          </cell>
          <cell r="J156">
            <v>303</v>
          </cell>
          <cell r="K156">
            <v>411</v>
          </cell>
          <cell r="L156">
            <v>107</v>
          </cell>
          <cell r="M156">
            <v>902</v>
          </cell>
          <cell r="N156">
            <v>383</v>
          </cell>
          <cell r="O156">
            <v>205</v>
          </cell>
          <cell r="P156">
            <v>565</v>
          </cell>
          <cell r="Q156">
            <v>8</v>
          </cell>
          <cell r="R156">
            <v>1123</v>
          </cell>
          <cell r="S156">
            <v>158</v>
          </cell>
          <cell r="T156">
            <v>0</v>
          </cell>
          <cell r="U156">
            <v>1513</v>
          </cell>
          <cell r="V156">
            <v>0</v>
          </cell>
          <cell r="W156">
            <v>0</v>
          </cell>
          <cell r="X156">
            <v>6252</v>
          </cell>
          <cell r="Y156">
            <v>574</v>
          </cell>
          <cell r="Z156">
            <v>303</v>
          </cell>
          <cell r="AA156">
            <v>411</v>
          </cell>
          <cell r="AB156">
            <v>107</v>
          </cell>
          <cell r="AC156">
            <v>902</v>
          </cell>
          <cell r="AD156">
            <v>383</v>
          </cell>
          <cell r="AE156">
            <v>205</v>
          </cell>
          <cell r="AF156">
            <v>565</v>
          </cell>
          <cell r="AG156">
            <v>8</v>
          </cell>
          <cell r="AH156">
            <v>1123</v>
          </cell>
          <cell r="AI156">
            <v>158</v>
          </cell>
          <cell r="AJ156">
            <v>0</v>
          </cell>
          <cell r="AK156">
            <v>1513</v>
          </cell>
          <cell r="AL156">
            <v>0</v>
          </cell>
          <cell r="AM156">
            <v>0</v>
          </cell>
          <cell r="AN156">
            <v>6252</v>
          </cell>
        </row>
        <row r="157">
          <cell r="E157">
            <v>3184.25</v>
          </cell>
          <cell r="I157">
            <v>128</v>
          </cell>
          <cell r="J157">
            <v>276</v>
          </cell>
          <cell r="K157">
            <v>199</v>
          </cell>
          <cell r="L157">
            <v>284</v>
          </cell>
          <cell r="M157">
            <v>543</v>
          </cell>
          <cell r="N157">
            <v>160</v>
          </cell>
          <cell r="O157">
            <v>68</v>
          </cell>
          <cell r="P157">
            <v>0</v>
          </cell>
          <cell r="Q157">
            <v>73</v>
          </cell>
          <cell r="R157">
            <v>712</v>
          </cell>
          <cell r="S157">
            <v>304</v>
          </cell>
          <cell r="T157">
            <v>0</v>
          </cell>
          <cell r="U157">
            <v>435</v>
          </cell>
          <cell r="V157">
            <v>0</v>
          </cell>
          <cell r="W157">
            <v>0</v>
          </cell>
          <cell r="X157">
            <v>3182</v>
          </cell>
          <cell r="Y157">
            <v>128</v>
          </cell>
          <cell r="Z157">
            <v>276</v>
          </cell>
          <cell r="AA157">
            <v>199</v>
          </cell>
          <cell r="AB157">
            <v>284</v>
          </cell>
          <cell r="AC157">
            <v>543</v>
          </cell>
          <cell r="AD157">
            <v>160</v>
          </cell>
          <cell r="AE157">
            <v>68</v>
          </cell>
          <cell r="AF157">
            <v>0</v>
          </cell>
          <cell r="AG157">
            <v>73</v>
          </cell>
          <cell r="AH157">
            <v>712</v>
          </cell>
          <cell r="AI157">
            <v>304</v>
          </cell>
          <cell r="AJ157">
            <v>0</v>
          </cell>
          <cell r="AK157">
            <v>435</v>
          </cell>
          <cell r="AL157">
            <v>0</v>
          </cell>
          <cell r="AM157">
            <v>0</v>
          </cell>
          <cell r="AN157">
            <v>3182</v>
          </cell>
        </row>
        <row r="158">
          <cell r="E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row>
        <row r="159">
          <cell r="E159">
            <v>18187</v>
          </cell>
          <cell r="I159">
            <v>147</v>
          </cell>
          <cell r="J159">
            <v>1659</v>
          </cell>
          <cell r="K159">
            <v>1006</v>
          </cell>
          <cell r="L159">
            <v>17</v>
          </cell>
          <cell r="M159">
            <v>4461</v>
          </cell>
          <cell r="N159">
            <v>1452</v>
          </cell>
          <cell r="O159">
            <v>943</v>
          </cell>
          <cell r="P159">
            <v>961</v>
          </cell>
          <cell r="Q159">
            <v>318</v>
          </cell>
          <cell r="R159">
            <v>2368</v>
          </cell>
          <cell r="S159">
            <v>1690</v>
          </cell>
          <cell r="T159">
            <v>354</v>
          </cell>
          <cell r="U159">
            <v>2804</v>
          </cell>
          <cell r="V159">
            <v>0</v>
          </cell>
          <cell r="W159">
            <v>5</v>
          </cell>
          <cell r="X159">
            <v>18185</v>
          </cell>
          <cell r="Y159">
            <v>147</v>
          </cell>
          <cell r="Z159">
            <v>1659</v>
          </cell>
          <cell r="AA159">
            <v>1006</v>
          </cell>
          <cell r="AB159">
            <v>17</v>
          </cell>
          <cell r="AC159">
            <v>4461</v>
          </cell>
          <cell r="AD159">
            <v>1452</v>
          </cell>
          <cell r="AE159">
            <v>943</v>
          </cell>
          <cell r="AF159">
            <v>961</v>
          </cell>
          <cell r="AG159">
            <v>318</v>
          </cell>
          <cell r="AH159">
            <v>2368</v>
          </cell>
          <cell r="AI159">
            <v>1690</v>
          </cell>
          <cell r="AJ159">
            <v>354</v>
          </cell>
          <cell r="AK159">
            <v>2804</v>
          </cell>
          <cell r="AL159">
            <v>0</v>
          </cell>
          <cell r="AM159">
            <v>5</v>
          </cell>
          <cell r="AN159">
            <v>18185</v>
          </cell>
        </row>
        <row r="160">
          <cell r="E160">
            <v>17049.89</v>
          </cell>
          <cell r="I160">
            <v>459</v>
          </cell>
          <cell r="J160">
            <v>1280</v>
          </cell>
          <cell r="K160">
            <v>274</v>
          </cell>
          <cell r="L160">
            <v>62</v>
          </cell>
          <cell r="M160">
            <v>682</v>
          </cell>
          <cell r="N160">
            <v>518</v>
          </cell>
          <cell r="O160">
            <v>435</v>
          </cell>
          <cell r="P160">
            <v>1698</v>
          </cell>
          <cell r="Q160">
            <v>82</v>
          </cell>
          <cell r="R160">
            <v>3662</v>
          </cell>
          <cell r="S160">
            <v>6018</v>
          </cell>
          <cell r="T160">
            <v>1803</v>
          </cell>
          <cell r="U160">
            <v>37</v>
          </cell>
          <cell r="V160">
            <v>2</v>
          </cell>
          <cell r="W160">
            <v>0</v>
          </cell>
          <cell r="X160">
            <v>17012</v>
          </cell>
          <cell r="Y160">
            <v>459</v>
          </cell>
          <cell r="Z160">
            <v>1280</v>
          </cell>
          <cell r="AA160">
            <v>274</v>
          </cell>
          <cell r="AB160">
            <v>62</v>
          </cell>
          <cell r="AC160">
            <v>682</v>
          </cell>
          <cell r="AD160">
            <v>518</v>
          </cell>
          <cell r="AE160">
            <v>435</v>
          </cell>
          <cell r="AF160">
            <v>1698</v>
          </cell>
          <cell r="AG160">
            <v>82</v>
          </cell>
          <cell r="AH160">
            <v>3662</v>
          </cell>
          <cell r="AI160">
            <v>6018</v>
          </cell>
          <cell r="AJ160">
            <v>1803</v>
          </cell>
          <cell r="AK160">
            <v>37</v>
          </cell>
          <cell r="AL160">
            <v>2</v>
          </cell>
          <cell r="AM160">
            <v>0</v>
          </cell>
          <cell r="AN160">
            <v>17012</v>
          </cell>
        </row>
        <row r="161">
          <cell r="E161">
            <v>6136.5</v>
          </cell>
          <cell r="I161">
            <v>98</v>
          </cell>
          <cell r="J161">
            <v>35</v>
          </cell>
          <cell r="K161">
            <v>308</v>
          </cell>
          <cell r="L161">
            <v>75</v>
          </cell>
          <cell r="M161">
            <v>643</v>
          </cell>
          <cell r="N161">
            <v>16</v>
          </cell>
          <cell r="O161">
            <v>90</v>
          </cell>
          <cell r="P161">
            <v>675</v>
          </cell>
          <cell r="Q161">
            <v>65</v>
          </cell>
          <cell r="R161">
            <v>1464</v>
          </cell>
          <cell r="S161">
            <v>1112</v>
          </cell>
          <cell r="T161">
            <v>1277</v>
          </cell>
          <cell r="U161">
            <v>210</v>
          </cell>
          <cell r="V161">
            <v>61</v>
          </cell>
          <cell r="W161">
            <v>0</v>
          </cell>
          <cell r="X161">
            <v>6129</v>
          </cell>
          <cell r="Y161">
            <v>98</v>
          </cell>
          <cell r="Z161">
            <v>35</v>
          </cell>
          <cell r="AA161">
            <v>308</v>
          </cell>
          <cell r="AB161">
            <v>75</v>
          </cell>
          <cell r="AC161">
            <v>643</v>
          </cell>
          <cell r="AD161">
            <v>16</v>
          </cell>
          <cell r="AE161">
            <v>90</v>
          </cell>
          <cell r="AF161">
            <v>675</v>
          </cell>
          <cell r="AG161">
            <v>65</v>
          </cell>
          <cell r="AH161">
            <v>1464</v>
          </cell>
          <cell r="AI161">
            <v>1112</v>
          </cell>
          <cell r="AJ161">
            <v>1277</v>
          </cell>
          <cell r="AK161">
            <v>210</v>
          </cell>
          <cell r="AL161">
            <v>61</v>
          </cell>
          <cell r="AM161">
            <v>0</v>
          </cell>
          <cell r="AN161">
            <v>6129</v>
          </cell>
        </row>
        <row r="162">
          <cell r="E162">
            <v>39337</v>
          </cell>
          <cell r="I162">
            <v>320</v>
          </cell>
          <cell r="J162">
            <v>242</v>
          </cell>
          <cell r="K162">
            <v>876</v>
          </cell>
          <cell r="L162">
            <v>238</v>
          </cell>
          <cell r="M162">
            <v>249</v>
          </cell>
          <cell r="N162">
            <v>213</v>
          </cell>
          <cell r="O162">
            <v>1751</v>
          </cell>
          <cell r="P162">
            <v>0</v>
          </cell>
          <cell r="Q162">
            <v>1662</v>
          </cell>
          <cell r="R162">
            <v>2365</v>
          </cell>
          <cell r="S162">
            <v>20913</v>
          </cell>
          <cell r="T162">
            <v>10053</v>
          </cell>
          <cell r="U162">
            <v>207</v>
          </cell>
          <cell r="V162">
            <v>94</v>
          </cell>
          <cell r="W162">
            <v>150</v>
          </cell>
          <cell r="X162">
            <v>39333</v>
          </cell>
          <cell r="Y162">
            <v>320</v>
          </cell>
          <cell r="Z162">
            <v>242</v>
          </cell>
          <cell r="AA162">
            <v>876</v>
          </cell>
          <cell r="AB162">
            <v>238</v>
          </cell>
          <cell r="AC162">
            <v>249</v>
          </cell>
          <cell r="AD162">
            <v>213</v>
          </cell>
          <cell r="AE162">
            <v>1751</v>
          </cell>
          <cell r="AF162">
            <v>0</v>
          </cell>
          <cell r="AG162">
            <v>1662</v>
          </cell>
          <cell r="AH162">
            <v>2365</v>
          </cell>
          <cell r="AI162">
            <v>20913</v>
          </cell>
          <cell r="AJ162">
            <v>10053</v>
          </cell>
          <cell r="AK162">
            <v>207</v>
          </cell>
          <cell r="AL162">
            <v>94</v>
          </cell>
          <cell r="AM162">
            <v>150</v>
          </cell>
          <cell r="AN162">
            <v>39333</v>
          </cell>
        </row>
        <row r="163">
          <cell r="E163">
            <v>5154</v>
          </cell>
          <cell r="I163">
            <v>0</v>
          </cell>
          <cell r="J163">
            <v>837</v>
          </cell>
          <cell r="K163">
            <v>0</v>
          </cell>
          <cell r="L163">
            <v>0</v>
          </cell>
          <cell r="M163">
            <v>1059</v>
          </cell>
          <cell r="N163">
            <v>164</v>
          </cell>
          <cell r="O163">
            <v>145</v>
          </cell>
          <cell r="P163">
            <v>393</v>
          </cell>
          <cell r="Q163">
            <v>64</v>
          </cell>
          <cell r="R163">
            <v>1477</v>
          </cell>
          <cell r="S163">
            <v>594</v>
          </cell>
          <cell r="T163">
            <v>55</v>
          </cell>
          <cell r="U163">
            <v>319</v>
          </cell>
          <cell r="V163">
            <v>11</v>
          </cell>
          <cell r="W163">
            <v>36</v>
          </cell>
          <cell r="X163">
            <v>5154</v>
          </cell>
          <cell r="Y163">
            <v>0</v>
          </cell>
          <cell r="Z163">
            <v>837</v>
          </cell>
          <cell r="AA163">
            <v>0</v>
          </cell>
          <cell r="AB163">
            <v>0</v>
          </cell>
          <cell r="AC163">
            <v>1059</v>
          </cell>
          <cell r="AD163">
            <v>164</v>
          </cell>
          <cell r="AE163">
            <v>145</v>
          </cell>
          <cell r="AF163">
            <v>393</v>
          </cell>
          <cell r="AG163">
            <v>64</v>
          </cell>
          <cell r="AH163">
            <v>1477</v>
          </cell>
          <cell r="AI163">
            <v>594</v>
          </cell>
          <cell r="AJ163">
            <v>55</v>
          </cell>
          <cell r="AK163">
            <v>319</v>
          </cell>
          <cell r="AL163">
            <v>11</v>
          </cell>
          <cell r="AM163">
            <v>36</v>
          </cell>
          <cell r="AN163">
            <v>5154</v>
          </cell>
        </row>
        <row r="164">
          <cell r="E164">
            <v>8297.55</v>
          </cell>
          <cell r="I164">
            <v>6</v>
          </cell>
          <cell r="J164">
            <v>89</v>
          </cell>
          <cell r="K164">
            <v>59</v>
          </cell>
          <cell r="L164">
            <v>68</v>
          </cell>
          <cell r="M164">
            <v>2917</v>
          </cell>
          <cell r="N164">
            <v>332</v>
          </cell>
          <cell r="O164">
            <v>471</v>
          </cell>
          <cell r="P164">
            <v>960</v>
          </cell>
          <cell r="Q164">
            <v>8</v>
          </cell>
          <cell r="R164">
            <v>1765</v>
          </cell>
          <cell r="S164">
            <v>726</v>
          </cell>
          <cell r="T164">
            <v>356</v>
          </cell>
          <cell r="U164">
            <v>441</v>
          </cell>
          <cell r="V164">
            <v>0</v>
          </cell>
          <cell r="W164">
            <v>0</v>
          </cell>
          <cell r="X164">
            <v>8198</v>
          </cell>
          <cell r="Y164">
            <v>6</v>
          </cell>
          <cell r="Z164">
            <v>89</v>
          </cell>
          <cell r="AA164">
            <v>59</v>
          </cell>
          <cell r="AB164">
            <v>68</v>
          </cell>
          <cell r="AC164">
            <v>2917</v>
          </cell>
          <cell r="AD164">
            <v>332</v>
          </cell>
          <cell r="AE164">
            <v>471</v>
          </cell>
          <cell r="AF164">
            <v>960</v>
          </cell>
          <cell r="AG164">
            <v>8</v>
          </cell>
          <cell r="AH164">
            <v>1765</v>
          </cell>
          <cell r="AI164">
            <v>726</v>
          </cell>
          <cell r="AJ164">
            <v>356</v>
          </cell>
          <cell r="AK164">
            <v>441</v>
          </cell>
          <cell r="AL164">
            <v>0</v>
          </cell>
          <cell r="AM164">
            <v>0</v>
          </cell>
          <cell r="AN164">
            <v>8198</v>
          </cell>
        </row>
        <row r="165">
          <cell r="E165">
            <v>11483</v>
          </cell>
          <cell r="I165">
            <v>6</v>
          </cell>
          <cell r="J165">
            <v>1134</v>
          </cell>
          <cell r="K165">
            <v>341</v>
          </cell>
          <cell r="L165">
            <v>0</v>
          </cell>
          <cell r="M165">
            <v>2269</v>
          </cell>
          <cell r="N165">
            <v>526</v>
          </cell>
          <cell r="O165">
            <v>292</v>
          </cell>
          <cell r="P165">
            <v>412</v>
          </cell>
          <cell r="Q165">
            <v>305</v>
          </cell>
          <cell r="R165">
            <v>2730</v>
          </cell>
          <cell r="S165">
            <v>984</v>
          </cell>
          <cell r="T165">
            <v>1971</v>
          </cell>
          <cell r="U165">
            <v>513</v>
          </cell>
          <cell r="V165">
            <v>0</v>
          </cell>
          <cell r="W165">
            <v>0</v>
          </cell>
          <cell r="X165">
            <v>11483</v>
          </cell>
          <cell r="Y165">
            <v>6</v>
          </cell>
          <cell r="Z165">
            <v>1134</v>
          </cell>
          <cell r="AA165">
            <v>341</v>
          </cell>
          <cell r="AB165">
            <v>0</v>
          </cell>
          <cell r="AC165">
            <v>2269</v>
          </cell>
          <cell r="AD165">
            <v>526</v>
          </cell>
          <cell r="AE165">
            <v>292</v>
          </cell>
          <cell r="AF165">
            <v>412</v>
          </cell>
          <cell r="AG165">
            <v>305</v>
          </cell>
          <cell r="AH165">
            <v>2730</v>
          </cell>
          <cell r="AI165">
            <v>984</v>
          </cell>
          <cell r="AJ165">
            <v>1971</v>
          </cell>
          <cell r="AK165">
            <v>513</v>
          </cell>
          <cell r="AL165">
            <v>0</v>
          </cell>
          <cell r="AM165">
            <v>0</v>
          </cell>
          <cell r="AN165">
            <v>11483</v>
          </cell>
        </row>
        <row r="166">
          <cell r="E166">
            <v>10377</v>
          </cell>
          <cell r="I166">
            <v>578</v>
          </cell>
          <cell r="J166">
            <v>786</v>
          </cell>
          <cell r="K166">
            <v>214</v>
          </cell>
          <cell r="L166">
            <v>251</v>
          </cell>
          <cell r="M166">
            <v>2007</v>
          </cell>
          <cell r="N166">
            <v>909</v>
          </cell>
          <cell r="O166">
            <v>299</v>
          </cell>
          <cell r="P166">
            <v>566</v>
          </cell>
          <cell r="Q166">
            <v>87</v>
          </cell>
          <cell r="R166">
            <v>1758</v>
          </cell>
          <cell r="S166">
            <v>387</v>
          </cell>
          <cell r="T166">
            <v>800</v>
          </cell>
          <cell r="U166">
            <v>1733</v>
          </cell>
          <cell r="V166">
            <v>0</v>
          </cell>
          <cell r="W166">
            <v>0</v>
          </cell>
          <cell r="X166">
            <v>10375</v>
          </cell>
          <cell r="Y166">
            <v>578</v>
          </cell>
          <cell r="Z166">
            <v>786</v>
          </cell>
          <cell r="AA166">
            <v>214</v>
          </cell>
          <cell r="AB166">
            <v>251</v>
          </cell>
          <cell r="AC166">
            <v>2007</v>
          </cell>
          <cell r="AD166">
            <v>909</v>
          </cell>
          <cell r="AE166">
            <v>299</v>
          </cell>
          <cell r="AF166">
            <v>566</v>
          </cell>
          <cell r="AG166">
            <v>87</v>
          </cell>
          <cell r="AH166">
            <v>1758</v>
          </cell>
          <cell r="AI166">
            <v>387</v>
          </cell>
          <cell r="AJ166">
            <v>800</v>
          </cell>
          <cell r="AK166">
            <v>1733</v>
          </cell>
          <cell r="AL166">
            <v>0</v>
          </cell>
          <cell r="AM166">
            <v>0</v>
          </cell>
          <cell r="AN166">
            <v>10375</v>
          </cell>
        </row>
        <row r="167">
          <cell r="E167">
            <v>19297</v>
          </cell>
          <cell r="I167">
            <v>647</v>
          </cell>
          <cell r="J167">
            <v>3613</v>
          </cell>
          <cell r="K167">
            <v>486</v>
          </cell>
          <cell r="L167">
            <v>0</v>
          </cell>
          <cell r="M167">
            <v>5967</v>
          </cell>
          <cell r="N167">
            <v>760</v>
          </cell>
          <cell r="O167">
            <v>669</v>
          </cell>
          <cell r="P167">
            <v>412</v>
          </cell>
          <cell r="Q167">
            <v>7</v>
          </cell>
          <cell r="R167">
            <v>2145</v>
          </cell>
          <cell r="S167">
            <v>471</v>
          </cell>
          <cell r="T167">
            <v>552</v>
          </cell>
          <cell r="U167">
            <v>3568</v>
          </cell>
          <cell r="V167">
            <v>0</v>
          </cell>
          <cell r="W167">
            <v>0</v>
          </cell>
          <cell r="X167">
            <v>19297</v>
          </cell>
          <cell r="Y167">
            <v>647</v>
          </cell>
          <cell r="Z167">
            <v>3613</v>
          </cell>
          <cell r="AA167">
            <v>486</v>
          </cell>
          <cell r="AB167">
            <v>0</v>
          </cell>
          <cell r="AC167">
            <v>5967</v>
          </cell>
          <cell r="AD167">
            <v>760</v>
          </cell>
          <cell r="AE167">
            <v>669</v>
          </cell>
          <cell r="AF167">
            <v>412</v>
          </cell>
          <cell r="AG167">
            <v>7</v>
          </cell>
          <cell r="AH167">
            <v>2145</v>
          </cell>
          <cell r="AI167">
            <v>471</v>
          </cell>
          <cell r="AJ167">
            <v>552</v>
          </cell>
          <cell r="AK167">
            <v>3568</v>
          </cell>
          <cell r="AL167">
            <v>0</v>
          </cell>
          <cell r="AM167">
            <v>0</v>
          </cell>
          <cell r="AN167">
            <v>19297</v>
          </cell>
        </row>
        <row r="168">
          <cell r="E168">
            <v>5229</v>
          </cell>
          <cell r="I168">
            <v>237</v>
          </cell>
          <cell r="J168">
            <v>509</v>
          </cell>
          <cell r="K168">
            <v>25</v>
          </cell>
          <cell r="L168">
            <v>95</v>
          </cell>
          <cell r="M168">
            <v>792</v>
          </cell>
          <cell r="N168">
            <v>173</v>
          </cell>
          <cell r="O168">
            <v>171</v>
          </cell>
          <cell r="P168">
            <v>377</v>
          </cell>
          <cell r="Q168">
            <v>27</v>
          </cell>
          <cell r="R168">
            <v>1079</v>
          </cell>
          <cell r="S168">
            <v>448</v>
          </cell>
          <cell r="T168">
            <v>0</v>
          </cell>
          <cell r="U168">
            <v>1295</v>
          </cell>
          <cell r="V168">
            <v>0</v>
          </cell>
          <cell r="W168">
            <v>0</v>
          </cell>
          <cell r="X168">
            <v>5228</v>
          </cell>
          <cell r="Y168">
            <v>237</v>
          </cell>
          <cell r="Z168">
            <v>509</v>
          </cell>
          <cell r="AA168">
            <v>25</v>
          </cell>
          <cell r="AB168">
            <v>95</v>
          </cell>
          <cell r="AC168">
            <v>792</v>
          </cell>
          <cell r="AD168">
            <v>173</v>
          </cell>
          <cell r="AE168">
            <v>171</v>
          </cell>
          <cell r="AF168">
            <v>377</v>
          </cell>
          <cell r="AG168">
            <v>27</v>
          </cell>
          <cell r="AH168">
            <v>1079</v>
          </cell>
          <cell r="AI168">
            <v>448</v>
          </cell>
          <cell r="AJ168">
            <v>0</v>
          </cell>
          <cell r="AK168">
            <v>1295</v>
          </cell>
          <cell r="AL168">
            <v>0</v>
          </cell>
          <cell r="AM168">
            <v>0</v>
          </cell>
          <cell r="AN168">
            <v>5228</v>
          </cell>
        </row>
        <row r="169">
          <cell r="E169">
            <v>6470.5</v>
          </cell>
          <cell r="I169">
            <v>643</v>
          </cell>
          <cell r="J169">
            <v>233</v>
          </cell>
          <cell r="K169">
            <v>1578</v>
          </cell>
          <cell r="L169">
            <v>4</v>
          </cell>
          <cell r="M169">
            <v>132</v>
          </cell>
          <cell r="N169">
            <v>62</v>
          </cell>
          <cell r="O169">
            <v>102</v>
          </cell>
          <cell r="P169">
            <v>97</v>
          </cell>
          <cell r="Q169">
            <v>548</v>
          </cell>
          <cell r="R169">
            <v>784</v>
          </cell>
          <cell r="S169">
            <v>1912</v>
          </cell>
          <cell r="T169">
            <v>255</v>
          </cell>
          <cell r="U169">
            <v>113</v>
          </cell>
          <cell r="V169">
            <v>0</v>
          </cell>
          <cell r="W169">
            <v>0</v>
          </cell>
          <cell r="X169">
            <v>6463</v>
          </cell>
          <cell r="Y169">
            <v>643</v>
          </cell>
          <cell r="Z169">
            <v>233</v>
          </cell>
          <cell r="AA169">
            <v>1578</v>
          </cell>
          <cell r="AB169">
            <v>4</v>
          </cell>
          <cell r="AC169">
            <v>132</v>
          </cell>
          <cell r="AD169">
            <v>62</v>
          </cell>
          <cell r="AE169">
            <v>102</v>
          </cell>
          <cell r="AF169">
            <v>97</v>
          </cell>
          <cell r="AG169">
            <v>548</v>
          </cell>
          <cell r="AH169">
            <v>784</v>
          </cell>
          <cell r="AI169">
            <v>1912</v>
          </cell>
          <cell r="AJ169">
            <v>255</v>
          </cell>
          <cell r="AK169">
            <v>113</v>
          </cell>
          <cell r="AL169">
            <v>0</v>
          </cell>
          <cell r="AM169">
            <v>0</v>
          </cell>
          <cell r="AN169">
            <v>6463</v>
          </cell>
        </row>
        <row r="170">
          <cell r="E170">
            <v>10490</v>
          </cell>
          <cell r="I170">
            <v>154</v>
          </cell>
          <cell r="J170">
            <v>373</v>
          </cell>
          <cell r="K170">
            <v>212</v>
          </cell>
          <cell r="L170">
            <v>12</v>
          </cell>
          <cell r="M170">
            <v>558</v>
          </cell>
          <cell r="N170">
            <v>323</v>
          </cell>
          <cell r="O170">
            <v>754</v>
          </cell>
          <cell r="P170">
            <v>2853</v>
          </cell>
          <cell r="Q170">
            <v>123</v>
          </cell>
          <cell r="R170">
            <v>2742</v>
          </cell>
          <cell r="S170">
            <v>1056</v>
          </cell>
          <cell r="T170">
            <v>262</v>
          </cell>
          <cell r="U170">
            <v>1068</v>
          </cell>
          <cell r="V170">
            <v>0</v>
          </cell>
          <cell r="W170">
            <v>0</v>
          </cell>
          <cell r="X170">
            <v>10490</v>
          </cell>
          <cell r="Y170">
            <v>154</v>
          </cell>
          <cell r="Z170">
            <v>373</v>
          </cell>
          <cell r="AA170">
            <v>212</v>
          </cell>
          <cell r="AB170">
            <v>12</v>
          </cell>
          <cell r="AC170">
            <v>558</v>
          </cell>
          <cell r="AD170">
            <v>323</v>
          </cell>
          <cell r="AE170">
            <v>754</v>
          </cell>
          <cell r="AF170">
            <v>2853</v>
          </cell>
          <cell r="AG170">
            <v>123</v>
          </cell>
          <cell r="AH170">
            <v>2742</v>
          </cell>
          <cell r="AI170">
            <v>1056</v>
          </cell>
          <cell r="AJ170">
            <v>262</v>
          </cell>
          <cell r="AK170">
            <v>1068</v>
          </cell>
          <cell r="AL170">
            <v>0</v>
          </cell>
          <cell r="AM170">
            <v>0</v>
          </cell>
          <cell r="AN170">
            <v>10490</v>
          </cell>
        </row>
        <row r="171">
          <cell r="E171">
            <v>4540</v>
          </cell>
          <cell r="I171">
            <v>0</v>
          </cell>
          <cell r="J171">
            <v>251</v>
          </cell>
          <cell r="K171">
            <v>89</v>
          </cell>
          <cell r="L171">
            <v>6</v>
          </cell>
          <cell r="M171">
            <v>227</v>
          </cell>
          <cell r="N171">
            <v>175</v>
          </cell>
          <cell r="O171">
            <v>812</v>
          </cell>
          <cell r="P171">
            <v>975</v>
          </cell>
          <cell r="Q171">
            <v>45</v>
          </cell>
          <cell r="R171">
            <v>841</v>
          </cell>
          <cell r="S171">
            <v>453</v>
          </cell>
          <cell r="T171">
            <v>313</v>
          </cell>
          <cell r="U171">
            <v>353</v>
          </cell>
          <cell r="V171">
            <v>0</v>
          </cell>
          <cell r="W171">
            <v>0</v>
          </cell>
          <cell r="X171">
            <v>4540</v>
          </cell>
          <cell r="Y171">
            <v>0</v>
          </cell>
          <cell r="Z171">
            <v>251</v>
          </cell>
          <cell r="AA171">
            <v>89</v>
          </cell>
          <cell r="AB171">
            <v>6</v>
          </cell>
          <cell r="AC171">
            <v>227</v>
          </cell>
          <cell r="AD171">
            <v>175</v>
          </cell>
          <cell r="AE171">
            <v>812</v>
          </cell>
          <cell r="AF171">
            <v>975</v>
          </cell>
          <cell r="AG171">
            <v>45</v>
          </cell>
          <cell r="AH171">
            <v>841</v>
          </cell>
          <cell r="AI171">
            <v>453</v>
          </cell>
          <cell r="AJ171">
            <v>313</v>
          </cell>
          <cell r="AK171">
            <v>353</v>
          </cell>
          <cell r="AL171">
            <v>0</v>
          </cell>
          <cell r="AM171">
            <v>0</v>
          </cell>
          <cell r="AN171">
            <v>4540</v>
          </cell>
        </row>
        <row r="172">
          <cell r="E172">
            <v>2675</v>
          </cell>
          <cell r="I172">
            <v>43</v>
          </cell>
          <cell r="J172">
            <v>192</v>
          </cell>
          <cell r="K172">
            <v>110</v>
          </cell>
          <cell r="L172">
            <v>28</v>
          </cell>
          <cell r="M172">
            <v>523</v>
          </cell>
          <cell r="N172">
            <v>39</v>
          </cell>
          <cell r="O172">
            <v>74</v>
          </cell>
          <cell r="P172">
            <v>22</v>
          </cell>
          <cell r="Q172">
            <v>50</v>
          </cell>
          <cell r="R172">
            <v>1099</v>
          </cell>
          <cell r="S172">
            <v>334</v>
          </cell>
          <cell r="T172">
            <v>0</v>
          </cell>
          <cell r="U172">
            <v>154</v>
          </cell>
          <cell r="V172">
            <v>0</v>
          </cell>
          <cell r="W172">
            <v>7</v>
          </cell>
          <cell r="X172">
            <v>2675</v>
          </cell>
          <cell r="Y172">
            <v>43</v>
          </cell>
          <cell r="Z172">
            <v>192</v>
          </cell>
          <cell r="AA172">
            <v>110</v>
          </cell>
          <cell r="AB172">
            <v>28</v>
          </cell>
          <cell r="AC172">
            <v>523</v>
          </cell>
          <cell r="AD172">
            <v>39</v>
          </cell>
          <cell r="AE172">
            <v>74</v>
          </cell>
          <cell r="AF172">
            <v>22</v>
          </cell>
          <cell r="AG172">
            <v>50</v>
          </cell>
          <cell r="AH172">
            <v>1099</v>
          </cell>
          <cell r="AI172">
            <v>334</v>
          </cell>
          <cell r="AJ172">
            <v>0</v>
          </cell>
          <cell r="AK172">
            <v>154</v>
          </cell>
          <cell r="AL172">
            <v>0</v>
          </cell>
          <cell r="AM172">
            <v>7</v>
          </cell>
          <cell r="AN172">
            <v>2675</v>
          </cell>
        </row>
        <row r="173">
          <cell r="E173">
            <v>6085</v>
          </cell>
          <cell r="I173">
            <v>62</v>
          </cell>
          <cell r="J173">
            <v>951</v>
          </cell>
          <cell r="K173">
            <v>134</v>
          </cell>
          <cell r="L173">
            <v>6</v>
          </cell>
          <cell r="M173">
            <v>470</v>
          </cell>
          <cell r="N173">
            <v>92</v>
          </cell>
          <cell r="O173">
            <v>428</v>
          </cell>
          <cell r="P173">
            <v>902</v>
          </cell>
          <cell r="Q173">
            <v>125</v>
          </cell>
          <cell r="R173">
            <v>1727</v>
          </cell>
          <cell r="S173">
            <v>313</v>
          </cell>
          <cell r="T173">
            <v>0</v>
          </cell>
          <cell r="U173">
            <v>864</v>
          </cell>
          <cell r="V173">
            <v>8</v>
          </cell>
          <cell r="W173">
            <v>2</v>
          </cell>
          <cell r="X173">
            <v>6084</v>
          </cell>
          <cell r="Y173">
            <v>62</v>
          </cell>
          <cell r="Z173">
            <v>951</v>
          </cell>
          <cell r="AA173">
            <v>134</v>
          </cell>
          <cell r="AB173">
            <v>6</v>
          </cell>
          <cell r="AC173">
            <v>470</v>
          </cell>
          <cell r="AD173">
            <v>92</v>
          </cell>
          <cell r="AE173">
            <v>428</v>
          </cell>
          <cell r="AF173">
            <v>902</v>
          </cell>
          <cell r="AG173">
            <v>125</v>
          </cell>
          <cell r="AH173">
            <v>1727</v>
          </cell>
          <cell r="AI173">
            <v>313</v>
          </cell>
          <cell r="AJ173">
            <v>0</v>
          </cell>
          <cell r="AK173">
            <v>864</v>
          </cell>
          <cell r="AL173">
            <v>8</v>
          </cell>
          <cell r="AM173">
            <v>2</v>
          </cell>
          <cell r="AN173">
            <v>6084</v>
          </cell>
        </row>
        <row r="174">
          <cell r="E174">
            <v>3246.48</v>
          </cell>
          <cell r="I174">
            <v>23</v>
          </cell>
          <cell r="J174">
            <v>221</v>
          </cell>
          <cell r="K174">
            <v>135</v>
          </cell>
          <cell r="L174">
            <v>8</v>
          </cell>
          <cell r="M174">
            <v>362</v>
          </cell>
          <cell r="N174">
            <v>46</v>
          </cell>
          <cell r="O174">
            <v>136</v>
          </cell>
          <cell r="P174">
            <v>125</v>
          </cell>
          <cell r="Q174">
            <v>22</v>
          </cell>
          <cell r="R174">
            <v>1346</v>
          </cell>
          <cell r="S174">
            <v>442</v>
          </cell>
          <cell r="T174">
            <v>0</v>
          </cell>
          <cell r="U174">
            <v>355</v>
          </cell>
          <cell r="V174">
            <v>0</v>
          </cell>
          <cell r="W174">
            <v>0</v>
          </cell>
          <cell r="X174">
            <v>3221</v>
          </cell>
          <cell r="Y174">
            <v>23</v>
          </cell>
          <cell r="Z174">
            <v>221</v>
          </cell>
          <cell r="AA174">
            <v>135</v>
          </cell>
          <cell r="AB174">
            <v>8</v>
          </cell>
          <cell r="AC174">
            <v>362</v>
          </cell>
          <cell r="AD174">
            <v>46</v>
          </cell>
          <cell r="AE174">
            <v>136</v>
          </cell>
          <cell r="AF174">
            <v>125</v>
          </cell>
          <cell r="AG174">
            <v>22</v>
          </cell>
          <cell r="AH174">
            <v>1346</v>
          </cell>
          <cell r="AI174">
            <v>442</v>
          </cell>
          <cell r="AJ174">
            <v>0</v>
          </cell>
          <cell r="AK174">
            <v>355</v>
          </cell>
          <cell r="AL174">
            <v>0</v>
          </cell>
          <cell r="AM174">
            <v>0</v>
          </cell>
          <cell r="AN174">
            <v>3221</v>
          </cell>
        </row>
        <row r="175">
          <cell r="E175">
            <v>3120</v>
          </cell>
          <cell r="I175">
            <v>19</v>
          </cell>
          <cell r="J175">
            <v>430</v>
          </cell>
          <cell r="K175">
            <v>138</v>
          </cell>
          <cell r="L175">
            <v>17</v>
          </cell>
          <cell r="M175">
            <v>505</v>
          </cell>
          <cell r="N175">
            <v>31</v>
          </cell>
          <cell r="O175">
            <v>376</v>
          </cell>
          <cell r="P175">
            <v>96</v>
          </cell>
          <cell r="Q175">
            <v>4</v>
          </cell>
          <cell r="R175">
            <v>189</v>
          </cell>
          <cell r="S175">
            <v>900</v>
          </cell>
          <cell r="T175">
            <v>405</v>
          </cell>
          <cell r="U175">
            <v>0</v>
          </cell>
          <cell r="V175">
            <v>0</v>
          </cell>
          <cell r="W175">
            <v>0</v>
          </cell>
          <cell r="X175">
            <v>3110</v>
          </cell>
          <cell r="Y175">
            <v>19</v>
          </cell>
          <cell r="Z175">
            <v>430</v>
          </cell>
          <cell r="AA175">
            <v>138</v>
          </cell>
          <cell r="AB175">
            <v>17</v>
          </cell>
          <cell r="AC175">
            <v>505</v>
          </cell>
          <cell r="AD175">
            <v>31</v>
          </cell>
          <cell r="AE175">
            <v>376</v>
          </cell>
          <cell r="AF175">
            <v>96</v>
          </cell>
          <cell r="AG175">
            <v>4</v>
          </cell>
          <cell r="AH175">
            <v>189</v>
          </cell>
          <cell r="AI175">
            <v>900</v>
          </cell>
          <cell r="AJ175">
            <v>405</v>
          </cell>
          <cell r="AK175">
            <v>0</v>
          </cell>
          <cell r="AL175">
            <v>0</v>
          </cell>
          <cell r="AM175">
            <v>0</v>
          </cell>
          <cell r="AN175">
            <v>3110</v>
          </cell>
        </row>
        <row r="176">
          <cell r="E176">
            <v>10322</v>
          </cell>
          <cell r="I176">
            <v>468</v>
          </cell>
          <cell r="J176">
            <v>1135</v>
          </cell>
          <cell r="K176">
            <v>367</v>
          </cell>
          <cell r="L176">
            <v>183</v>
          </cell>
          <cell r="M176">
            <v>1368</v>
          </cell>
          <cell r="N176">
            <v>649</v>
          </cell>
          <cell r="O176">
            <v>265</v>
          </cell>
          <cell r="P176">
            <v>681</v>
          </cell>
          <cell r="Q176">
            <v>24</v>
          </cell>
          <cell r="R176">
            <v>1834</v>
          </cell>
          <cell r="S176">
            <v>1842</v>
          </cell>
          <cell r="T176">
            <v>975</v>
          </cell>
          <cell r="U176">
            <v>531</v>
          </cell>
          <cell r="V176">
            <v>0</v>
          </cell>
          <cell r="W176">
            <v>0</v>
          </cell>
          <cell r="X176">
            <v>10322</v>
          </cell>
          <cell r="Y176">
            <v>468</v>
          </cell>
          <cell r="Z176">
            <v>1135</v>
          </cell>
          <cell r="AA176">
            <v>367</v>
          </cell>
          <cell r="AB176">
            <v>183</v>
          </cell>
          <cell r="AC176">
            <v>1368</v>
          </cell>
          <cell r="AD176">
            <v>649</v>
          </cell>
          <cell r="AE176">
            <v>265</v>
          </cell>
          <cell r="AF176">
            <v>681</v>
          </cell>
          <cell r="AG176">
            <v>24</v>
          </cell>
          <cell r="AH176">
            <v>1834</v>
          </cell>
          <cell r="AI176">
            <v>1842</v>
          </cell>
          <cell r="AJ176">
            <v>975</v>
          </cell>
          <cell r="AK176">
            <v>531</v>
          </cell>
          <cell r="AL176">
            <v>0</v>
          </cell>
          <cell r="AM176">
            <v>0</v>
          </cell>
          <cell r="AN176">
            <v>10322</v>
          </cell>
        </row>
        <row r="177">
          <cell r="E177">
            <v>12642.66</v>
          </cell>
          <cell r="I177">
            <v>0</v>
          </cell>
          <cell r="J177">
            <v>0</v>
          </cell>
          <cell r="K177">
            <v>220</v>
          </cell>
          <cell r="L177">
            <v>0</v>
          </cell>
          <cell r="M177">
            <v>141</v>
          </cell>
          <cell r="N177">
            <v>18</v>
          </cell>
          <cell r="O177">
            <v>361</v>
          </cell>
          <cell r="P177">
            <v>0</v>
          </cell>
          <cell r="Q177">
            <v>41</v>
          </cell>
          <cell r="R177">
            <v>229</v>
          </cell>
          <cell r="S177">
            <v>7471</v>
          </cell>
          <cell r="T177">
            <v>4104</v>
          </cell>
          <cell r="U177">
            <v>57</v>
          </cell>
          <cell r="V177">
            <v>0</v>
          </cell>
          <cell r="W177">
            <v>0</v>
          </cell>
          <cell r="X177">
            <v>12642</v>
          </cell>
          <cell r="Y177">
            <v>0</v>
          </cell>
          <cell r="Z177">
            <v>0</v>
          </cell>
          <cell r="AA177">
            <v>220</v>
          </cell>
          <cell r="AB177">
            <v>0</v>
          </cell>
          <cell r="AC177">
            <v>141</v>
          </cell>
          <cell r="AD177">
            <v>18</v>
          </cell>
          <cell r="AE177">
            <v>361</v>
          </cell>
          <cell r="AF177">
            <v>0</v>
          </cell>
          <cell r="AG177">
            <v>41</v>
          </cell>
          <cell r="AH177">
            <v>229</v>
          </cell>
          <cell r="AI177">
            <v>7471</v>
          </cell>
          <cell r="AJ177">
            <v>4104</v>
          </cell>
          <cell r="AK177">
            <v>57</v>
          </cell>
          <cell r="AL177">
            <v>0</v>
          </cell>
          <cell r="AM177">
            <v>0</v>
          </cell>
          <cell r="AN177">
            <v>12642</v>
          </cell>
        </row>
        <row r="178">
          <cell r="E178">
            <v>2872</v>
          </cell>
          <cell r="I178">
            <v>13</v>
          </cell>
          <cell r="J178">
            <v>415</v>
          </cell>
          <cell r="K178">
            <v>17</v>
          </cell>
          <cell r="L178">
            <v>41</v>
          </cell>
          <cell r="M178">
            <v>651</v>
          </cell>
          <cell r="N178">
            <v>62</v>
          </cell>
          <cell r="O178">
            <v>180</v>
          </cell>
          <cell r="P178">
            <v>0</v>
          </cell>
          <cell r="Q178">
            <v>24</v>
          </cell>
          <cell r="R178">
            <v>675</v>
          </cell>
          <cell r="S178">
            <v>48</v>
          </cell>
          <cell r="T178">
            <v>0</v>
          </cell>
          <cell r="U178">
            <v>746</v>
          </cell>
          <cell r="V178">
            <v>0</v>
          </cell>
          <cell r="W178">
            <v>0</v>
          </cell>
          <cell r="X178">
            <v>2872</v>
          </cell>
          <cell r="Y178">
            <v>13</v>
          </cell>
          <cell r="Z178">
            <v>415</v>
          </cell>
          <cell r="AA178">
            <v>17</v>
          </cell>
          <cell r="AB178">
            <v>41</v>
          </cell>
          <cell r="AC178">
            <v>651</v>
          </cell>
          <cell r="AD178">
            <v>62</v>
          </cell>
          <cell r="AE178">
            <v>180</v>
          </cell>
          <cell r="AF178">
            <v>0</v>
          </cell>
          <cell r="AG178">
            <v>24</v>
          </cell>
          <cell r="AH178">
            <v>675</v>
          </cell>
          <cell r="AI178">
            <v>48</v>
          </cell>
          <cell r="AJ178">
            <v>0</v>
          </cell>
          <cell r="AK178">
            <v>746</v>
          </cell>
          <cell r="AL178">
            <v>0</v>
          </cell>
          <cell r="AM178">
            <v>0</v>
          </cell>
          <cell r="AN178">
            <v>2872</v>
          </cell>
        </row>
        <row r="179">
          <cell r="E179">
            <v>10489</v>
          </cell>
          <cell r="I179">
            <v>643</v>
          </cell>
          <cell r="J179">
            <v>238</v>
          </cell>
          <cell r="K179">
            <v>1136</v>
          </cell>
          <cell r="L179">
            <v>64</v>
          </cell>
          <cell r="M179">
            <v>546</v>
          </cell>
          <cell r="N179">
            <v>307</v>
          </cell>
          <cell r="O179">
            <v>646</v>
          </cell>
          <cell r="P179">
            <v>193</v>
          </cell>
          <cell r="Q179">
            <v>601</v>
          </cell>
          <cell r="R179">
            <v>1149</v>
          </cell>
          <cell r="S179">
            <v>3791</v>
          </cell>
          <cell r="T179">
            <v>1007</v>
          </cell>
          <cell r="U179">
            <v>152</v>
          </cell>
          <cell r="V179">
            <v>14</v>
          </cell>
          <cell r="W179">
            <v>1</v>
          </cell>
          <cell r="X179">
            <v>10488</v>
          </cell>
          <cell r="Y179">
            <v>643</v>
          </cell>
          <cell r="Z179">
            <v>238</v>
          </cell>
          <cell r="AA179">
            <v>1136</v>
          </cell>
          <cell r="AB179">
            <v>64</v>
          </cell>
          <cell r="AC179">
            <v>546</v>
          </cell>
          <cell r="AD179">
            <v>307</v>
          </cell>
          <cell r="AE179">
            <v>646</v>
          </cell>
          <cell r="AF179">
            <v>193</v>
          </cell>
          <cell r="AG179">
            <v>601</v>
          </cell>
          <cell r="AH179">
            <v>1149</v>
          </cell>
          <cell r="AI179">
            <v>3791</v>
          </cell>
          <cell r="AJ179">
            <v>1007</v>
          </cell>
          <cell r="AK179">
            <v>152</v>
          </cell>
          <cell r="AL179">
            <v>14</v>
          </cell>
          <cell r="AM179">
            <v>1</v>
          </cell>
          <cell r="AN179">
            <v>10488</v>
          </cell>
        </row>
        <row r="180">
          <cell r="E180">
            <v>17201.8</v>
          </cell>
          <cell r="I180">
            <v>414</v>
          </cell>
          <cell r="J180">
            <v>321</v>
          </cell>
          <cell r="K180">
            <v>708</v>
          </cell>
          <cell r="L180">
            <v>2</v>
          </cell>
          <cell r="M180">
            <v>361</v>
          </cell>
          <cell r="N180">
            <v>366</v>
          </cell>
          <cell r="O180">
            <v>291</v>
          </cell>
          <cell r="P180">
            <v>34</v>
          </cell>
          <cell r="Q180">
            <v>460</v>
          </cell>
          <cell r="R180">
            <v>377</v>
          </cell>
          <cell r="S180">
            <v>7461</v>
          </cell>
          <cell r="T180">
            <v>6166</v>
          </cell>
          <cell r="U180">
            <v>126</v>
          </cell>
          <cell r="V180">
            <v>27</v>
          </cell>
          <cell r="W180">
            <v>24</v>
          </cell>
          <cell r="X180">
            <v>17138</v>
          </cell>
          <cell r="Y180">
            <v>414</v>
          </cell>
          <cell r="Z180">
            <v>321</v>
          </cell>
          <cell r="AA180">
            <v>708</v>
          </cell>
          <cell r="AB180">
            <v>2</v>
          </cell>
          <cell r="AC180">
            <v>361</v>
          </cell>
          <cell r="AD180">
            <v>366</v>
          </cell>
          <cell r="AE180">
            <v>291</v>
          </cell>
          <cell r="AF180">
            <v>34</v>
          </cell>
          <cell r="AG180">
            <v>460</v>
          </cell>
          <cell r="AH180">
            <v>377</v>
          </cell>
          <cell r="AI180">
            <v>7461</v>
          </cell>
          <cell r="AJ180">
            <v>6166</v>
          </cell>
          <cell r="AK180">
            <v>126</v>
          </cell>
          <cell r="AL180">
            <v>27</v>
          </cell>
          <cell r="AM180">
            <v>24</v>
          </cell>
          <cell r="AN180">
            <v>17138</v>
          </cell>
        </row>
        <row r="181">
          <cell r="E181">
            <v>8715.5</v>
          </cell>
          <cell r="I181">
            <v>272</v>
          </cell>
          <cell r="J181">
            <v>1047</v>
          </cell>
          <cell r="K181">
            <v>480</v>
          </cell>
          <cell r="L181">
            <v>387</v>
          </cell>
          <cell r="M181">
            <v>1274</v>
          </cell>
          <cell r="N181">
            <v>255</v>
          </cell>
          <cell r="O181">
            <v>404</v>
          </cell>
          <cell r="P181">
            <v>411</v>
          </cell>
          <cell r="Q181">
            <v>611</v>
          </cell>
          <cell r="R181">
            <v>1702</v>
          </cell>
          <cell r="S181">
            <v>391</v>
          </cell>
          <cell r="T181">
            <v>127</v>
          </cell>
          <cell r="U181">
            <v>1324</v>
          </cell>
          <cell r="V181">
            <v>0</v>
          </cell>
          <cell r="W181">
            <v>0</v>
          </cell>
          <cell r="X181">
            <v>8685</v>
          </cell>
          <cell r="Y181">
            <v>272</v>
          </cell>
          <cell r="Z181">
            <v>1047</v>
          </cell>
          <cell r="AA181">
            <v>480</v>
          </cell>
          <cell r="AB181">
            <v>387</v>
          </cell>
          <cell r="AC181">
            <v>1274</v>
          </cell>
          <cell r="AD181">
            <v>255</v>
          </cell>
          <cell r="AE181">
            <v>404</v>
          </cell>
          <cell r="AF181">
            <v>411</v>
          </cell>
          <cell r="AG181">
            <v>611</v>
          </cell>
          <cell r="AH181">
            <v>1702</v>
          </cell>
          <cell r="AI181">
            <v>391</v>
          </cell>
          <cell r="AJ181">
            <v>127</v>
          </cell>
          <cell r="AK181">
            <v>1324</v>
          </cell>
          <cell r="AL181">
            <v>0</v>
          </cell>
          <cell r="AM181">
            <v>0</v>
          </cell>
          <cell r="AN181">
            <v>8685</v>
          </cell>
        </row>
        <row r="182">
          <cell r="E182">
            <v>5621</v>
          </cell>
          <cell r="I182">
            <v>208</v>
          </cell>
          <cell r="J182">
            <v>369</v>
          </cell>
          <cell r="K182">
            <v>263</v>
          </cell>
          <cell r="L182">
            <v>112</v>
          </cell>
          <cell r="M182">
            <v>698</v>
          </cell>
          <cell r="N182">
            <v>123</v>
          </cell>
          <cell r="O182">
            <v>328</v>
          </cell>
          <cell r="P182">
            <v>412</v>
          </cell>
          <cell r="Q182">
            <v>29</v>
          </cell>
          <cell r="R182">
            <v>888</v>
          </cell>
          <cell r="S182">
            <v>1162</v>
          </cell>
          <cell r="T182">
            <v>359</v>
          </cell>
          <cell r="U182">
            <v>670</v>
          </cell>
          <cell r="V182">
            <v>0</v>
          </cell>
          <cell r="W182">
            <v>0</v>
          </cell>
          <cell r="X182">
            <v>5621</v>
          </cell>
          <cell r="Y182">
            <v>208</v>
          </cell>
          <cell r="Z182">
            <v>369</v>
          </cell>
          <cell r="AA182">
            <v>263</v>
          </cell>
          <cell r="AB182">
            <v>112</v>
          </cell>
          <cell r="AC182">
            <v>698</v>
          </cell>
          <cell r="AD182">
            <v>123</v>
          </cell>
          <cell r="AE182">
            <v>328</v>
          </cell>
          <cell r="AF182">
            <v>412</v>
          </cell>
          <cell r="AG182">
            <v>29</v>
          </cell>
          <cell r="AH182">
            <v>888</v>
          </cell>
          <cell r="AI182">
            <v>1162</v>
          </cell>
          <cell r="AJ182">
            <v>359</v>
          </cell>
          <cell r="AK182">
            <v>670</v>
          </cell>
          <cell r="AL182">
            <v>0</v>
          </cell>
          <cell r="AM182">
            <v>0</v>
          </cell>
          <cell r="AN182">
            <v>5621</v>
          </cell>
        </row>
        <row r="183">
          <cell r="E183">
            <v>4596</v>
          </cell>
          <cell r="I183">
            <v>93</v>
          </cell>
          <cell r="J183">
            <v>264</v>
          </cell>
          <cell r="K183">
            <v>217</v>
          </cell>
          <cell r="L183">
            <v>90</v>
          </cell>
          <cell r="M183">
            <v>1003</v>
          </cell>
          <cell r="N183">
            <v>161</v>
          </cell>
          <cell r="O183">
            <v>271</v>
          </cell>
          <cell r="P183">
            <v>46</v>
          </cell>
          <cell r="Q183">
            <v>7</v>
          </cell>
          <cell r="R183">
            <v>847</v>
          </cell>
          <cell r="S183">
            <v>372</v>
          </cell>
          <cell r="T183">
            <v>84</v>
          </cell>
          <cell r="U183">
            <v>1140</v>
          </cell>
          <cell r="V183">
            <v>0</v>
          </cell>
          <cell r="W183">
            <v>0</v>
          </cell>
          <cell r="X183">
            <v>4595</v>
          </cell>
          <cell r="Y183">
            <v>93</v>
          </cell>
          <cell r="Z183">
            <v>264</v>
          </cell>
          <cell r="AA183">
            <v>217</v>
          </cell>
          <cell r="AB183">
            <v>90</v>
          </cell>
          <cell r="AC183">
            <v>1003</v>
          </cell>
          <cell r="AD183">
            <v>161</v>
          </cell>
          <cell r="AE183">
            <v>271</v>
          </cell>
          <cell r="AF183">
            <v>46</v>
          </cell>
          <cell r="AG183">
            <v>7</v>
          </cell>
          <cell r="AH183">
            <v>847</v>
          </cell>
          <cell r="AI183">
            <v>372</v>
          </cell>
          <cell r="AJ183">
            <v>84</v>
          </cell>
          <cell r="AK183">
            <v>1140</v>
          </cell>
          <cell r="AL183">
            <v>0</v>
          </cell>
          <cell r="AM183">
            <v>0</v>
          </cell>
          <cell r="AN183">
            <v>4595</v>
          </cell>
        </row>
        <row r="184">
          <cell r="E184">
            <v>4940.42</v>
          </cell>
          <cell r="I184">
            <v>100</v>
          </cell>
          <cell r="J184">
            <v>647</v>
          </cell>
          <cell r="K184">
            <v>64</v>
          </cell>
          <cell r="L184">
            <v>203</v>
          </cell>
          <cell r="M184">
            <v>714</v>
          </cell>
          <cell r="N184">
            <v>262</v>
          </cell>
          <cell r="O184">
            <v>224</v>
          </cell>
          <cell r="P184">
            <v>0</v>
          </cell>
          <cell r="Q184">
            <v>24</v>
          </cell>
          <cell r="R184">
            <v>1444</v>
          </cell>
          <cell r="S184">
            <v>271</v>
          </cell>
          <cell r="T184">
            <v>0</v>
          </cell>
          <cell r="U184">
            <v>938</v>
          </cell>
          <cell r="V184">
            <v>2</v>
          </cell>
          <cell r="W184">
            <v>0</v>
          </cell>
          <cell r="X184">
            <v>4893</v>
          </cell>
          <cell r="Y184">
            <v>100</v>
          </cell>
          <cell r="Z184">
            <v>647</v>
          </cell>
          <cell r="AA184">
            <v>64</v>
          </cell>
          <cell r="AB184">
            <v>203</v>
          </cell>
          <cell r="AC184">
            <v>714</v>
          </cell>
          <cell r="AD184">
            <v>262</v>
          </cell>
          <cell r="AE184">
            <v>224</v>
          </cell>
          <cell r="AF184">
            <v>0</v>
          </cell>
          <cell r="AG184">
            <v>24</v>
          </cell>
          <cell r="AH184">
            <v>1444</v>
          </cell>
          <cell r="AI184">
            <v>271</v>
          </cell>
          <cell r="AJ184">
            <v>0</v>
          </cell>
          <cell r="AK184">
            <v>938</v>
          </cell>
          <cell r="AL184">
            <v>2</v>
          </cell>
          <cell r="AM184">
            <v>0</v>
          </cell>
          <cell r="AN184">
            <v>4893</v>
          </cell>
        </row>
        <row r="185">
          <cell r="E185">
            <v>3106</v>
          </cell>
          <cell r="I185">
            <v>4</v>
          </cell>
          <cell r="J185">
            <v>142</v>
          </cell>
          <cell r="K185">
            <v>24</v>
          </cell>
          <cell r="L185">
            <v>0</v>
          </cell>
          <cell r="M185">
            <v>566</v>
          </cell>
          <cell r="N185">
            <v>240</v>
          </cell>
          <cell r="O185">
            <v>352</v>
          </cell>
          <cell r="P185">
            <v>0</v>
          </cell>
          <cell r="Q185">
            <v>6</v>
          </cell>
          <cell r="R185">
            <v>1276</v>
          </cell>
          <cell r="S185">
            <v>187</v>
          </cell>
          <cell r="T185">
            <v>0</v>
          </cell>
          <cell r="U185">
            <v>251</v>
          </cell>
          <cell r="V185">
            <v>0</v>
          </cell>
          <cell r="W185">
            <v>3</v>
          </cell>
          <cell r="X185">
            <v>3051</v>
          </cell>
          <cell r="Y185">
            <v>4</v>
          </cell>
          <cell r="Z185">
            <v>142</v>
          </cell>
          <cell r="AA185">
            <v>24</v>
          </cell>
          <cell r="AB185">
            <v>0</v>
          </cell>
          <cell r="AC185">
            <v>566</v>
          </cell>
          <cell r="AD185">
            <v>240</v>
          </cell>
          <cell r="AE185">
            <v>352</v>
          </cell>
          <cell r="AF185">
            <v>0</v>
          </cell>
          <cell r="AG185">
            <v>6</v>
          </cell>
          <cell r="AH185">
            <v>1276</v>
          </cell>
          <cell r="AI185">
            <v>187</v>
          </cell>
          <cell r="AJ185">
            <v>0</v>
          </cell>
          <cell r="AK185">
            <v>251</v>
          </cell>
          <cell r="AL185">
            <v>0</v>
          </cell>
          <cell r="AM185">
            <v>3</v>
          </cell>
          <cell r="AN185">
            <v>3051</v>
          </cell>
        </row>
        <row r="186">
          <cell r="E186">
            <v>9335.42</v>
          </cell>
          <cell r="I186">
            <v>643</v>
          </cell>
          <cell r="J186">
            <v>387</v>
          </cell>
          <cell r="K186">
            <v>462</v>
          </cell>
          <cell r="L186">
            <v>832</v>
          </cell>
          <cell r="M186">
            <v>1976</v>
          </cell>
          <cell r="N186">
            <v>276</v>
          </cell>
          <cell r="O186">
            <v>657</v>
          </cell>
          <cell r="P186">
            <v>134</v>
          </cell>
          <cell r="Q186">
            <v>124</v>
          </cell>
          <cell r="R186">
            <v>1202</v>
          </cell>
          <cell r="S186">
            <v>1399</v>
          </cell>
          <cell r="T186">
            <v>61</v>
          </cell>
          <cell r="U186">
            <v>1155</v>
          </cell>
          <cell r="V186">
            <v>0</v>
          </cell>
          <cell r="W186">
            <v>19</v>
          </cell>
          <cell r="X186">
            <v>9327</v>
          </cell>
          <cell r="Y186">
            <v>643</v>
          </cell>
          <cell r="Z186">
            <v>387</v>
          </cell>
          <cell r="AA186">
            <v>462</v>
          </cell>
          <cell r="AB186">
            <v>832</v>
          </cell>
          <cell r="AC186">
            <v>1976</v>
          </cell>
          <cell r="AD186">
            <v>276</v>
          </cell>
          <cell r="AE186">
            <v>657</v>
          </cell>
          <cell r="AF186">
            <v>134</v>
          </cell>
          <cell r="AG186">
            <v>124</v>
          </cell>
          <cell r="AH186">
            <v>1202</v>
          </cell>
          <cell r="AI186">
            <v>1399</v>
          </cell>
          <cell r="AJ186">
            <v>61</v>
          </cell>
          <cell r="AK186">
            <v>1155</v>
          </cell>
          <cell r="AL186">
            <v>0</v>
          </cell>
          <cell r="AM186">
            <v>19</v>
          </cell>
          <cell r="AN186">
            <v>9327</v>
          </cell>
        </row>
        <row r="187">
          <cell r="E187">
            <v>6318</v>
          </cell>
          <cell r="I187">
            <v>27</v>
          </cell>
          <cell r="J187">
            <v>173</v>
          </cell>
          <cell r="K187">
            <v>14</v>
          </cell>
          <cell r="L187">
            <v>154</v>
          </cell>
          <cell r="M187">
            <v>571</v>
          </cell>
          <cell r="N187">
            <v>767</v>
          </cell>
          <cell r="O187">
            <v>287</v>
          </cell>
          <cell r="P187">
            <v>1279</v>
          </cell>
          <cell r="Q187">
            <v>0</v>
          </cell>
          <cell r="R187">
            <v>1285</v>
          </cell>
          <cell r="S187">
            <v>1078</v>
          </cell>
          <cell r="T187">
            <v>0</v>
          </cell>
          <cell r="U187">
            <v>683</v>
          </cell>
          <cell r="V187">
            <v>0</v>
          </cell>
          <cell r="W187">
            <v>0</v>
          </cell>
          <cell r="X187">
            <v>6318</v>
          </cell>
          <cell r="Y187">
            <v>27</v>
          </cell>
          <cell r="Z187">
            <v>173</v>
          </cell>
          <cell r="AA187">
            <v>14</v>
          </cell>
          <cell r="AB187">
            <v>154</v>
          </cell>
          <cell r="AC187">
            <v>571</v>
          </cell>
          <cell r="AD187">
            <v>767</v>
          </cell>
          <cell r="AE187">
            <v>287</v>
          </cell>
          <cell r="AF187">
            <v>1279</v>
          </cell>
          <cell r="AG187">
            <v>0</v>
          </cell>
          <cell r="AH187">
            <v>1285</v>
          </cell>
          <cell r="AI187">
            <v>1078</v>
          </cell>
          <cell r="AJ187">
            <v>0</v>
          </cell>
          <cell r="AK187">
            <v>683</v>
          </cell>
          <cell r="AL187">
            <v>0</v>
          </cell>
          <cell r="AM187">
            <v>0</v>
          </cell>
          <cell r="AN187">
            <v>6318</v>
          </cell>
        </row>
        <row r="188">
          <cell r="E188">
            <v>12306.8</v>
          </cell>
          <cell r="I188">
            <v>0</v>
          </cell>
          <cell r="J188">
            <v>3</v>
          </cell>
          <cell r="K188">
            <v>627</v>
          </cell>
          <cell r="L188">
            <v>0</v>
          </cell>
          <cell r="M188">
            <v>5</v>
          </cell>
          <cell r="N188">
            <v>31</v>
          </cell>
          <cell r="O188">
            <v>73</v>
          </cell>
          <cell r="P188">
            <v>0</v>
          </cell>
          <cell r="Q188">
            <v>255</v>
          </cell>
          <cell r="R188">
            <v>175</v>
          </cell>
          <cell r="S188">
            <v>4800</v>
          </cell>
          <cell r="T188">
            <v>6300</v>
          </cell>
          <cell r="U188">
            <v>4</v>
          </cell>
          <cell r="V188">
            <v>0</v>
          </cell>
          <cell r="W188">
            <v>0</v>
          </cell>
          <cell r="X188">
            <v>12273</v>
          </cell>
          <cell r="Y188">
            <v>0</v>
          </cell>
          <cell r="Z188">
            <v>3</v>
          </cell>
          <cell r="AA188">
            <v>627</v>
          </cell>
          <cell r="AB188">
            <v>0</v>
          </cell>
          <cell r="AC188">
            <v>5</v>
          </cell>
          <cell r="AD188">
            <v>31</v>
          </cell>
          <cell r="AE188">
            <v>73</v>
          </cell>
          <cell r="AF188">
            <v>0</v>
          </cell>
          <cell r="AG188">
            <v>255</v>
          </cell>
          <cell r="AH188">
            <v>175</v>
          </cell>
          <cell r="AI188">
            <v>4800</v>
          </cell>
          <cell r="AJ188">
            <v>6300</v>
          </cell>
          <cell r="AK188">
            <v>4</v>
          </cell>
          <cell r="AL188">
            <v>0</v>
          </cell>
          <cell r="AM188">
            <v>0</v>
          </cell>
          <cell r="AN188">
            <v>12273</v>
          </cell>
        </row>
        <row r="189">
          <cell r="E189">
            <v>22794</v>
          </cell>
          <cell r="I189">
            <v>11</v>
          </cell>
          <cell r="J189">
            <v>3981</v>
          </cell>
          <cell r="K189">
            <v>2293</v>
          </cell>
          <cell r="L189">
            <v>0</v>
          </cell>
          <cell r="M189">
            <v>5748</v>
          </cell>
          <cell r="N189">
            <v>1170</v>
          </cell>
          <cell r="O189">
            <v>985</v>
          </cell>
          <cell r="P189">
            <v>380</v>
          </cell>
          <cell r="Q189">
            <v>18</v>
          </cell>
          <cell r="R189">
            <v>3778</v>
          </cell>
          <cell r="S189">
            <v>926</v>
          </cell>
          <cell r="T189">
            <v>688</v>
          </cell>
          <cell r="U189">
            <v>2816</v>
          </cell>
          <cell r="V189">
            <v>0</v>
          </cell>
          <cell r="W189">
            <v>0</v>
          </cell>
          <cell r="X189">
            <v>22794</v>
          </cell>
          <cell r="Y189">
            <v>11</v>
          </cell>
          <cell r="Z189">
            <v>3981</v>
          </cell>
          <cell r="AA189">
            <v>2293</v>
          </cell>
          <cell r="AB189">
            <v>0</v>
          </cell>
          <cell r="AC189">
            <v>5748</v>
          </cell>
          <cell r="AD189">
            <v>1170</v>
          </cell>
          <cell r="AE189">
            <v>985</v>
          </cell>
          <cell r="AF189">
            <v>380</v>
          </cell>
          <cell r="AG189">
            <v>18</v>
          </cell>
          <cell r="AH189">
            <v>3778</v>
          </cell>
          <cell r="AI189">
            <v>926</v>
          </cell>
          <cell r="AJ189">
            <v>688</v>
          </cell>
          <cell r="AK189">
            <v>2816</v>
          </cell>
          <cell r="AL189">
            <v>0</v>
          </cell>
          <cell r="AM189">
            <v>0</v>
          </cell>
          <cell r="AN189">
            <v>22794</v>
          </cell>
        </row>
        <row r="190">
          <cell r="E190">
            <v>5381.75</v>
          </cell>
          <cell r="I190">
            <v>122</v>
          </cell>
          <cell r="J190">
            <v>500</v>
          </cell>
          <cell r="K190">
            <v>61</v>
          </cell>
          <cell r="L190">
            <v>45</v>
          </cell>
          <cell r="M190">
            <v>686</v>
          </cell>
          <cell r="N190">
            <v>229</v>
          </cell>
          <cell r="O190">
            <v>164</v>
          </cell>
          <cell r="P190">
            <v>671</v>
          </cell>
          <cell r="Q190">
            <v>3</v>
          </cell>
          <cell r="R190">
            <v>1059</v>
          </cell>
          <cell r="S190">
            <v>614</v>
          </cell>
          <cell r="T190">
            <v>0</v>
          </cell>
          <cell r="U190">
            <v>1218</v>
          </cell>
          <cell r="V190">
            <v>0</v>
          </cell>
          <cell r="W190">
            <v>0</v>
          </cell>
          <cell r="X190">
            <v>5372</v>
          </cell>
          <cell r="Y190">
            <v>122</v>
          </cell>
          <cell r="Z190">
            <v>500</v>
          </cell>
          <cell r="AA190">
            <v>61</v>
          </cell>
          <cell r="AB190">
            <v>45</v>
          </cell>
          <cell r="AC190">
            <v>686</v>
          </cell>
          <cell r="AD190">
            <v>229</v>
          </cell>
          <cell r="AE190">
            <v>164</v>
          </cell>
          <cell r="AF190">
            <v>671</v>
          </cell>
          <cell r="AG190">
            <v>3</v>
          </cell>
          <cell r="AH190">
            <v>1059</v>
          </cell>
          <cell r="AI190">
            <v>614</v>
          </cell>
          <cell r="AJ190">
            <v>0</v>
          </cell>
          <cell r="AK190">
            <v>1218</v>
          </cell>
          <cell r="AL190">
            <v>0</v>
          </cell>
          <cell r="AM190">
            <v>0</v>
          </cell>
          <cell r="AN190">
            <v>5372</v>
          </cell>
        </row>
        <row r="191">
          <cell r="E191">
            <v>5054.5</v>
          </cell>
          <cell r="I191">
            <v>229</v>
          </cell>
          <cell r="J191">
            <v>505</v>
          </cell>
          <cell r="K191">
            <v>96</v>
          </cell>
          <cell r="L191">
            <v>113</v>
          </cell>
          <cell r="M191">
            <v>885</v>
          </cell>
          <cell r="N191">
            <v>269</v>
          </cell>
          <cell r="O191">
            <v>124</v>
          </cell>
          <cell r="P191">
            <v>81</v>
          </cell>
          <cell r="Q191">
            <v>74</v>
          </cell>
          <cell r="R191">
            <v>1555</v>
          </cell>
          <cell r="S191">
            <v>215</v>
          </cell>
          <cell r="T191">
            <v>49</v>
          </cell>
          <cell r="U191">
            <v>844</v>
          </cell>
          <cell r="V191">
            <v>0</v>
          </cell>
          <cell r="W191">
            <v>15</v>
          </cell>
          <cell r="X191">
            <v>5054</v>
          </cell>
          <cell r="Y191">
            <v>229</v>
          </cell>
          <cell r="Z191">
            <v>505</v>
          </cell>
          <cell r="AA191">
            <v>96</v>
          </cell>
          <cell r="AB191">
            <v>113</v>
          </cell>
          <cell r="AC191">
            <v>885</v>
          </cell>
          <cell r="AD191">
            <v>269</v>
          </cell>
          <cell r="AE191">
            <v>124</v>
          </cell>
          <cell r="AF191">
            <v>81</v>
          </cell>
          <cell r="AG191">
            <v>74</v>
          </cell>
          <cell r="AH191">
            <v>1555</v>
          </cell>
          <cell r="AI191">
            <v>215</v>
          </cell>
          <cell r="AJ191">
            <v>49</v>
          </cell>
          <cell r="AK191">
            <v>844</v>
          </cell>
          <cell r="AL191">
            <v>0</v>
          </cell>
          <cell r="AM191">
            <v>15</v>
          </cell>
          <cell r="AN191">
            <v>5054</v>
          </cell>
        </row>
        <row r="192">
          <cell r="E192">
            <v>3464.23</v>
          </cell>
          <cell r="I192">
            <v>0</v>
          </cell>
          <cell r="J192">
            <v>365</v>
          </cell>
          <cell r="K192">
            <v>44</v>
          </cell>
          <cell r="L192">
            <v>0</v>
          </cell>
          <cell r="M192">
            <v>567</v>
          </cell>
          <cell r="N192">
            <v>58</v>
          </cell>
          <cell r="O192">
            <v>257</v>
          </cell>
          <cell r="P192">
            <v>74</v>
          </cell>
          <cell r="Q192">
            <v>35</v>
          </cell>
          <cell r="R192">
            <v>1027</v>
          </cell>
          <cell r="S192">
            <v>692</v>
          </cell>
          <cell r="T192">
            <v>0</v>
          </cell>
          <cell r="U192">
            <v>255</v>
          </cell>
          <cell r="V192">
            <v>19</v>
          </cell>
          <cell r="W192">
            <v>1</v>
          </cell>
          <cell r="X192">
            <v>3394</v>
          </cell>
          <cell r="Y192">
            <v>0</v>
          </cell>
          <cell r="Z192">
            <v>365</v>
          </cell>
          <cell r="AA192">
            <v>44</v>
          </cell>
          <cell r="AB192">
            <v>0</v>
          </cell>
          <cell r="AC192">
            <v>567</v>
          </cell>
          <cell r="AD192">
            <v>58</v>
          </cell>
          <cell r="AE192">
            <v>257</v>
          </cell>
          <cell r="AF192">
            <v>74</v>
          </cell>
          <cell r="AG192">
            <v>35</v>
          </cell>
          <cell r="AH192">
            <v>1027</v>
          </cell>
          <cell r="AI192">
            <v>692</v>
          </cell>
          <cell r="AJ192">
            <v>0</v>
          </cell>
          <cell r="AK192">
            <v>255</v>
          </cell>
          <cell r="AL192">
            <v>19</v>
          </cell>
          <cell r="AM192">
            <v>1</v>
          </cell>
          <cell r="AN192">
            <v>3394</v>
          </cell>
        </row>
        <row r="193">
          <cell r="E193">
            <v>2771</v>
          </cell>
          <cell r="I193">
            <v>3</v>
          </cell>
          <cell r="J193">
            <v>143</v>
          </cell>
          <cell r="K193">
            <v>5</v>
          </cell>
          <cell r="L193">
            <v>185</v>
          </cell>
          <cell r="M193">
            <v>256</v>
          </cell>
          <cell r="N193">
            <v>184</v>
          </cell>
          <cell r="O193">
            <v>201</v>
          </cell>
          <cell r="P193">
            <v>326</v>
          </cell>
          <cell r="Q193">
            <v>0</v>
          </cell>
          <cell r="R193">
            <v>665</v>
          </cell>
          <cell r="S193">
            <v>207</v>
          </cell>
          <cell r="T193">
            <v>0</v>
          </cell>
          <cell r="U193">
            <v>549</v>
          </cell>
          <cell r="V193">
            <v>0</v>
          </cell>
          <cell r="W193">
            <v>0</v>
          </cell>
          <cell r="X193">
            <v>2724</v>
          </cell>
          <cell r="Y193">
            <v>3</v>
          </cell>
          <cell r="Z193">
            <v>143</v>
          </cell>
          <cell r="AA193">
            <v>5</v>
          </cell>
          <cell r="AB193">
            <v>185</v>
          </cell>
          <cell r="AC193">
            <v>256</v>
          </cell>
          <cell r="AD193">
            <v>184</v>
          </cell>
          <cell r="AE193">
            <v>201</v>
          </cell>
          <cell r="AF193">
            <v>326</v>
          </cell>
          <cell r="AG193">
            <v>0</v>
          </cell>
          <cell r="AH193">
            <v>665</v>
          </cell>
          <cell r="AI193">
            <v>207</v>
          </cell>
          <cell r="AJ193">
            <v>0</v>
          </cell>
          <cell r="AK193">
            <v>549</v>
          </cell>
          <cell r="AL193">
            <v>0</v>
          </cell>
          <cell r="AM193">
            <v>0</v>
          </cell>
          <cell r="AN193">
            <v>2724</v>
          </cell>
        </row>
        <row r="194">
          <cell r="E194">
            <v>23539</v>
          </cell>
          <cell r="I194">
            <v>3102</v>
          </cell>
          <cell r="J194">
            <v>3047</v>
          </cell>
          <cell r="K194">
            <v>135</v>
          </cell>
          <cell r="L194">
            <v>1076</v>
          </cell>
          <cell r="M194">
            <v>2171</v>
          </cell>
          <cell r="N194">
            <v>339</v>
          </cell>
          <cell r="O194">
            <v>635</v>
          </cell>
          <cell r="P194">
            <v>1958</v>
          </cell>
          <cell r="Q194">
            <v>85</v>
          </cell>
          <cell r="R194">
            <v>4986</v>
          </cell>
          <cell r="S194">
            <v>3027</v>
          </cell>
          <cell r="T194">
            <v>2120</v>
          </cell>
          <cell r="U194">
            <v>844</v>
          </cell>
          <cell r="V194">
            <v>0</v>
          </cell>
          <cell r="W194">
            <v>14</v>
          </cell>
          <cell r="X194">
            <v>23539</v>
          </cell>
          <cell r="Y194">
            <v>3102</v>
          </cell>
          <cell r="Z194">
            <v>3047</v>
          </cell>
          <cell r="AA194">
            <v>135</v>
          </cell>
          <cell r="AB194">
            <v>1076</v>
          </cell>
          <cell r="AC194">
            <v>2171</v>
          </cell>
          <cell r="AD194">
            <v>339</v>
          </cell>
          <cell r="AE194">
            <v>635</v>
          </cell>
          <cell r="AF194">
            <v>1958</v>
          </cell>
          <cell r="AG194">
            <v>85</v>
          </cell>
          <cell r="AH194">
            <v>4986</v>
          </cell>
          <cell r="AI194">
            <v>3027</v>
          </cell>
          <cell r="AJ194">
            <v>2120</v>
          </cell>
          <cell r="AK194">
            <v>844</v>
          </cell>
          <cell r="AL194">
            <v>0</v>
          </cell>
          <cell r="AM194">
            <v>14</v>
          </cell>
          <cell r="AN194">
            <v>23539</v>
          </cell>
        </row>
        <row r="195">
          <cell r="E195">
            <v>6128.25</v>
          </cell>
          <cell r="I195">
            <v>62</v>
          </cell>
          <cell r="J195">
            <v>579</v>
          </cell>
          <cell r="K195">
            <v>78</v>
          </cell>
          <cell r="L195">
            <v>34</v>
          </cell>
          <cell r="M195">
            <v>869</v>
          </cell>
          <cell r="N195">
            <v>339</v>
          </cell>
          <cell r="O195">
            <v>528</v>
          </cell>
          <cell r="P195">
            <v>274</v>
          </cell>
          <cell r="Q195">
            <v>8</v>
          </cell>
          <cell r="R195">
            <v>1658</v>
          </cell>
          <cell r="S195">
            <v>740</v>
          </cell>
          <cell r="T195">
            <v>0</v>
          </cell>
          <cell r="U195">
            <v>952</v>
          </cell>
          <cell r="V195">
            <v>2</v>
          </cell>
          <cell r="W195">
            <v>1</v>
          </cell>
          <cell r="X195">
            <v>6124</v>
          </cell>
          <cell r="Y195">
            <v>62</v>
          </cell>
          <cell r="Z195">
            <v>579</v>
          </cell>
          <cell r="AA195">
            <v>78</v>
          </cell>
          <cell r="AB195">
            <v>34</v>
          </cell>
          <cell r="AC195">
            <v>869</v>
          </cell>
          <cell r="AD195">
            <v>339</v>
          </cell>
          <cell r="AE195">
            <v>528</v>
          </cell>
          <cell r="AF195">
            <v>274</v>
          </cell>
          <cell r="AG195">
            <v>8</v>
          </cell>
          <cell r="AH195">
            <v>1658</v>
          </cell>
          <cell r="AI195">
            <v>740</v>
          </cell>
          <cell r="AJ195">
            <v>0</v>
          </cell>
          <cell r="AK195">
            <v>952</v>
          </cell>
          <cell r="AL195">
            <v>2</v>
          </cell>
          <cell r="AM195">
            <v>1</v>
          </cell>
          <cell r="AN195">
            <v>6124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our Authority"/>
      <sheetName val="Cover"/>
      <sheetName val="Schedules"/>
      <sheetName val="Rent Com"/>
      <sheetName val="Man Com"/>
      <sheetName val="Mnt Com"/>
      <sheetName val="MRA Com"/>
      <sheetName val="Debt Com"/>
      <sheetName val="MRA Brought Forward"/>
      <sheetName val="Rebasing"/>
      <sheetName val="BCIS-ACA"/>
      <sheetName val="SchedData"/>
      <sheetName val="Com Data"/>
      <sheetName val="Form Rent"/>
      <sheetName val="GL Rent"/>
      <sheetName val="Lim Rent"/>
      <sheetName val="Rebasing Calc"/>
      <sheetName val="Man 1-2"/>
      <sheetName val="Man 3"/>
      <sheetName val="Man 4"/>
      <sheetName val="Man 5"/>
      <sheetName val="Man 6-8"/>
      <sheetName val="Man TP-8"/>
      <sheetName val="Mnt 1"/>
      <sheetName val="Mnt 2"/>
      <sheetName val="Mnt 3"/>
      <sheetName val="Mnt 4"/>
      <sheetName val="Mnt 5-7"/>
      <sheetName val="Mnt TP"/>
      <sheetName val="Nat MRA"/>
      <sheetName val="MRA"/>
      <sheetName val="SCE (R)"/>
      <sheetName val="ALMO"/>
      <sheetName val="SCFR"/>
      <sheetName val="Interest"/>
      <sheetName val="PFI"/>
      <sheetName val="Other RE"/>
      <sheetName val="Inflation"/>
      <sheetName val="Reg Adj"/>
      <sheetName val="Crime"/>
      <sheetName val="09BD"/>
      <sheetName val="2010B1"/>
      <sheetName val="2010B2"/>
      <sheetName val="FH49IN"/>
      <sheetName val="2010BD"/>
      <sheetName val="Notes"/>
      <sheetName val="10-11 Schedules"/>
    </sheetNames>
    <sheetDataSet>
      <sheetData sheetId="14">
        <row r="10">
          <cell r="O10">
            <v>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tabColor indexed="9"/>
  </sheetPr>
  <dimension ref="D4:K13"/>
  <sheetViews>
    <sheetView tabSelected="1" workbookViewId="0" topLeftCell="A1">
      <selection activeCell="J20" sqref="J20"/>
    </sheetView>
  </sheetViews>
  <sheetFormatPr defaultColWidth="9.140625" defaultRowHeight="12.75"/>
  <cols>
    <col min="1" max="16384" width="9.140625" style="1" customWidth="1"/>
  </cols>
  <sheetData>
    <row r="3" ht="13.5" thickBot="1"/>
    <row r="4" spans="4:11" ht="15.75">
      <c r="D4" s="2" t="s">
        <v>0</v>
      </c>
      <c r="E4" s="3"/>
      <c r="F4" s="3"/>
      <c r="G4" s="3"/>
      <c r="H4" s="3"/>
      <c r="I4" s="3"/>
      <c r="J4" s="3"/>
      <c r="K4" s="4"/>
    </row>
    <row r="5" spans="4:11" ht="15.75">
      <c r="D5" s="5"/>
      <c r="E5" s="6"/>
      <c r="F5" s="6"/>
      <c r="G5" s="6"/>
      <c r="H5" s="6"/>
      <c r="I5" s="6"/>
      <c r="J5" s="6"/>
      <c r="K5" s="7"/>
    </row>
    <row r="6" spans="4:11" ht="16.5" thickBot="1">
      <c r="D6" s="8" t="s">
        <v>1</v>
      </c>
      <c r="E6" s="9"/>
      <c r="F6" s="9"/>
      <c r="G6" s="9"/>
      <c r="H6" s="9"/>
      <c r="I6" s="9"/>
      <c r="J6" s="9"/>
      <c r="K6" s="10"/>
    </row>
    <row r="9" ht="13.5" thickBot="1"/>
    <row r="10" spans="4:11" ht="12.75">
      <c r="D10" s="467" t="s">
        <v>2</v>
      </c>
      <c r="E10" s="468"/>
      <c r="F10" s="468"/>
      <c r="G10" s="468"/>
      <c r="H10" s="468"/>
      <c r="I10" s="468"/>
      <c r="J10" s="468"/>
      <c r="K10" s="469"/>
    </row>
    <row r="11" spans="4:11" ht="12.75">
      <c r="D11" s="470"/>
      <c r="E11" s="471"/>
      <c r="F11" s="471"/>
      <c r="G11" s="471"/>
      <c r="H11" s="471"/>
      <c r="I11" s="471"/>
      <c r="J11" s="471"/>
      <c r="K11" s="472"/>
    </row>
    <row r="12" spans="4:11" ht="12.75">
      <c r="D12" s="470"/>
      <c r="E12" s="471"/>
      <c r="F12" s="471"/>
      <c r="G12" s="471"/>
      <c r="H12" s="471"/>
      <c r="I12" s="471"/>
      <c r="J12" s="471"/>
      <c r="K12" s="472"/>
    </row>
    <row r="13" spans="4:11" ht="13.5" thickBot="1">
      <c r="D13" s="473"/>
      <c r="E13" s="474"/>
      <c r="F13" s="474"/>
      <c r="G13" s="474"/>
      <c r="H13" s="474"/>
      <c r="I13" s="474"/>
      <c r="J13" s="474"/>
      <c r="K13" s="475"/>
    </row>
  </sheetData>
  <mergeCells count="1">
    <mergeCell ref="D10:K13"/>
  </mergeCells>
  <dataValidations count="1">
    <dataValidation type="list" allowBlank="1" showInputMessage="1" showErrorMessage="1" sqref="D10:K13">
      <formula1>LAnames</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2">
    <tabColor indexed="16"/>
  </sheetPr>
  <dimension ref="B2:J61"/>
  <sheetViews>
    <sheetView workbookViewId="0" topLeftCell="A1">
      <selection activeCell="I15" sqref="I15"/>
    </sheetView>
  </sheetViews>
  <sheetFormatPr defaultColWidth="9.140625" defaultRowHeight="12.75"/>
  <cols>
    <col min="1" max="1" width="9.140625" style="1" customWidth="1"/>
    <col min="2" max="2" width="19.57421875" style="1" customWidth="1"/>
    <col min="3" max="3" width="14.00390625" style="1" customWidth="1"/>
    <col min="4" max="6" width="9.140625" style="1" customWidth="1"/>
    <col min="7" max="7" width="12.7109375" style="1" customWidth="1"/>
    <col min="8" max="8" width="9.140625" style="1" customWidth="1"/>
    <col min="9" max="9" width="43.140625" style="1" bestFit="1" customWidth="1"/>
    <col min="10" max="16384" width="9.140625" style="1" customWidth="1"/>
  </cols>
  <sheetData>
    <row r="1" ht="13.5" thickBot="1"/>
    <row r="2" spans="2:10" ht="18">
      <c r="B2" s="33" t="s">
        <v>414</v>
      </c>
      <c r="C2" s="34"/>
      <c r="D2" s="34"/>
      <c r="E2" s="34"/>
      <c r="F2" s="34"/>
      <c r="G2" s="35"/>
      <c r="I2" s="33" t="s">
        <v>415</v>
      </c>
      <c r="J2" s="35"/>
    </row>
    <row r="3" spans="2:10" ht="18">
      <c r="B3" s="36"/>
      <c r="C3" s="37"/>
      <c r="D3" s="37"/>
      <c r="E3" s="37"/>
      <c r="F3" s="37"/>
      <c r="G3" s="38"/>
      <c r="I3" s="36"/>
      <c r="J3" s="38"/>
    </row>
    <row r="4" spans="2:10" ht="18.75" thickBot="1">
      <c r="B4" s="36" t="s">
        <v>416</v>
      </c>
      <c r="C4" s="37"/>
      <c r="D4" s="37"/>
      <c r="E4" s="37"/>
      <c r="F4" s="37"/>
      <c r="G4" s="38"/>
      <c r="I4" s="39" t="s">
        <v>417</v>
      </c>
      <c r="J4" s="41"/>
    </row>
    <row r="5" spans="2:7" ht="18.75" thickBot="1">
      <c r="B5" s="39" t="s">
        <v>418</v>
      </c>
      <c r="C5" s="40"/>
      <c r="D5" s="40"/>
      <c r="E5" s="40"/>
      <c r="F5" s="40"/>
      <c r="G5" s="41"/>
    </row>
    <row r="6" ht="12.75"/>
    <row r="7" ht="12.75"/>
    <row r="8" ht="12.75"/>
    <row r="9" ht="12.75"/>
    <row r="10" ht="12.75"/>
    <row r="11" ht="12.75"/>
    <row r="12" ht="12.75"/>
    <row r="13" ht="13.5" thickBot="1"/>
    <row r="14" spans="2:10" ht="63.75" thickBot="1">
      <c r="B14" s="42" t="s">
        <v>419</v>
      </c>
      <c r="C14" s="42" t="s">
        <v>420</v>
      </c>
      <c r="D14" s="334">
        <v>39569</v>
      </c>
      <c r="E14" s="334">
        <v>39934</v>
      </c>
      <c r="F14" s="334">
        <v>40391</v>
      </c>
      <c r="G14" s="42" t="s">
        <v>421</v>
      </c>
      <c r="I14" s="42" t="s">
        <v>422</v>
      </c>
      <c r="J14" s="42" t="s">
        <v>423</v>
      </c>
    </row>
    <row r="15" spans="2:10" ht="12.75">
      <c r="B15" s="335" t="s">
        <v>424</v>
      </c>
      <c r="C15" s="335" t="s">
        <v>425</v>
      </c>
      <c r="D15" s="335">
        <v>0.99</v>
      </c>
      <c r="E15" s="335">
        <v>0.96</v>
      </c>
      <c r="F15" s="335">
        <v>0.91</v>
      </c>
      <c r="G15" s="335">
        <f aca="true" t="shared" si="0" ref="G15:G61">AVERAGE(D15:F15)</f>
        <v>0.9533333333333333</v>
      </c>
      <c r="I15" s="335" t="s">
        <v>426</v>
      </c>
      <c r="J15" s="336">
        <v>1.454400866766083</v>
      </c>
    </row>
    <row r="16" spans="2:10" ht="12.75">
      <c r="B16" s="337" t="s">
        <v>427</v>
      </c>
      <c r="C16" s="337"/>
      <c r="D16" s="337">
        <v>1.03</v>
      </c>
      <c r="E16" s="337">
        <v>0.99</v>
      </c>
      <c r="F16" s="337">
        <v>0.95</v>
      </c>
      <c r="G16" s="337">
        <f t="shared" si="0"/>
        <v>0.9899999999999999</v>
      </c>
      <c r="I16" s="337" t="s">
        <v>428</v>
      </c>
      <c r="J16" s="338">
        <v>1.2520966078131373</v>
      </c>
    </row>
    <row r="17" spans="2:10" ht="12.75">
      <c r="B17" s="337" t="s">
        <v>429</v>
      </c>
      <c r="C17" s="337"/>
      <c r="D17" s="337">
        <v>0.99</v>
      </c>
      <c r="E17" s="337">
        <v>0.95</v>
      </c>
      <c r="F17" s="337">
        <v>0.92</v>
      </c>
      <c r="G17" s="337">
        <f t="shared" si="0"/>
        <v>0.9533333333333333</v>
      </c>
      <c r="I17" s="339" t="s">
        <v>430</v>
      </c>
      <c r="J17" s="338">
        <v>1.141284291320443</v>
      </c>
    </row>
    <row r="18" spans="2:10" ht="12.75">
      <c r="B18" s="337" t="s">
        <v>431</v>
      </c>
      <c r="C18" s="337"/>
      <c r="D18" s="337">
        <v>1.02</v>
      </c>
      <c r="E18" s="337">
        <v>0.99</v>
      </c>
      <c r="F18" s="337">
        <v>0.95</v>
      </c>
      <c r="G18" s="337">
        <f t="shared" si="0"/>
        <v>0.9866666666666667</v>
      </c>
      <c r="I18" s="339" t="s">
        <v>432</v>
      </c>
      <c r="J18" s="338">
        <v>1.1323222768566725</v>
      </c>
    </row>
    <row r="19" spans="2:10" ht="12.75">
      <c r="B19" s="337" t="s">
        <v>433</v>
      </c>
      <c r="C19" s="337"/>
      <c r="D19" s="337">
        <v>0.99</v>
      </c>
      <c r="E19" s="337">
        <v>0.95</v>
      </c>
      <c r="F19" s="337">
        <v>0.92</v>
      </c>
      <c r="G19" s="337">
        <f t="shared" si="0"/>
        <v>0.9533333333333333</v>
      </c>
      <c r="I19" s="339" t="s">
        <v>434</v>
      </c>
      <c r="J19" s="338">
        <v>1.1287034737444066</v>
      </c>
    </row>
    <row r="20" spans="2:10" ht="12.75">
      <c r="B20" s="337" t="s">
        <v>435</v>
      </c>
      <c r="C20" s="337" t="s">
        <v>436</v>
      </c>
      <c r="D20" s="337">
        <v>0.97</v>
      </c>
      <c r="E20" s="337">
        <v>0.94</v>
      </c>
      <c r="F20" s="337">
        <v>0.9</v>
      </c>
      <c r="G20" s="337">
        <f t="shared" si="0"/>
        <v>0.9366666666666666</v>
      </c>
      <c r="I20" s="339" t="s">
        <v>437</v>
      </c>
      <c r="J20" s="338">
        <v>1.100569719284341</v>
      </c>
    </row>
    <row r="21" spans="2:10" ht="12.75">
      <c r="B21" s="337" t="s">
        <v>438</v>
      </c>
      <c r="C21" s="337"/>
      <c r="D21" s="337">
        <v>1.01</v>
      </c>
      <c r="E21" s="337">
        <v>0.98</v>
      </c>
      <c r="F21" s="337">
        <v>0.94</v>
      </c>
      <c r="G21" s="337">
        <f t="shared" si="0"/>
        <v>0.9766666666666666</v>
      </c>
      <c r="I21" s="339" t="s">
        <v>439</v>
      </c>
      <c r="J21" s="338">
        <v>1.0879518101672272</v>
      </c>
    </row>
    <row r="22" spans="2:10" ht="12.75">
      <c r="B22" s="337" t="s">
        <v>440</v>
      </c>
      <c r="C22" s="337"/>
      <c r="D22" s="337">
        <v>0.98</v>
      </c>
      <c r="E22" s="337">
        <v>0.95</v>
      </c>
      <c r="F22" s="337">
        <v>0.92</v>
      </c>
      <c r="G22" s="337">
        <f t="shared" si="0"/>
        <v>0.9500000000000001</v>
      </c>
      <c r="I22" s="339" t="s">
        <v>441</v>
      </c>
      <c r="J22" s="338">
        <v>1.090488652086243</v>
      </c>
    </row>
    <row r="23" spans="2:10" ht="12.75">
      <c r="B23" s="337" t="s">
        <v>442</v>
      </c>
      <c r="C23" s="337"/>
      <c r="D23" s="337">
        <v>0.97</v>
      </c>
      <c r="E23" s="337">
        <v>0.94</v>
      </c>
      <c r="F23" s="337">
        <v>0.9</v>
      </c>
      <c r="G23" s="337">
        <f t="shared" si="0"/>
        <v>0.9366666666666666</v>
      </c>
      <c r="I23" s="337" t="s">
        <v>443</v>
      </c>
      <c r="J23" s="338">
        <v>1.0701235461696632</v>
      </c>
    </row>
    <row r="24" spans="2:10" ht="12.75">
      <c r="B24" s="337" t="s">
        <v>444</v>
      </c>
      <c r="C24" s="337" t="s">
        <v>445</v>
      </c>
      <c r="D24" s="337">
        <v>0.93</v>
      </c>
      <c r="E24" s="337">
        <v>0.9</v>
      </c>
      <c r="F24" s="337">
        <v>0.93</v>
      </c>
      <c r="G24" s="337">
        <f t="shared" si="0"/>
        <v>0.92</v>
      </c>
      <c r="I24" s="339" t="s">
        <v>446</v>
      </c>
      <c r="J24" s="338">
        <v>1.0752460753535806</v>
      </c>
    </row>
    <row r="25" spans="2:10" ht="12.75">
      <c r="B25" s="337" t="s">
        <v>447</v>
      </c>
      <c r="C25" s="337"/>
      <c r="D25" s="337">
        <v>0.93</v>
      </c>
      <c r="E25" s="337">
        <v>0.9</v>
      </c>
      <c r="F25" s="337">
        <v>0.92</v>
      </c>
      <c r="G25" s="337">
        <f t="shared" si="0"/>
        <v>0.9166666666666666</v>
      </c>
      <c r="I25" s="339" t="s">
        <v>448</v>
      </c>
      <c r="J25" s="338">
        <v>1.0428149725139246</v>
      </c>
    </row>
    <row r="26" spans="2:10" ht="12.75">
      <c r="B26" s="337" t="s">
        <v>449</v>
      </c>
      <c r="C26" s="337"/>
      <c r="D26" s="337">
        <v>0.92</v>
      </c>
      <c r="E26" s="337">
        <v>0.89</v>
      </c>
      <c r="F26" s="337">
        <v>0.91</v>
      </c>
      <c r="G26" s="337">
        <f t="shared" si="0"/>
        <v>0.9066666666666667</v>
      </c>
      <c r="I26" s="337" t="s">
        <v>450</v>
      </c>
      <c r="J26" s="338">
        <v>1.0488165680716346</v>
      </c>
    </row>
    <row r="27" spans="2:10" ht="12.75">
      <c r="B27" s="337" t="s">
        <v>451</v>
      </c>
      <c r="C27" s="337"/>
      <c r="D27" s="337">
        <v>0.98</v>
      </c>
      <c r="E27" s="337">
        <v>0.95</v>
      </c>
      <c r="F27" s="337">
        <v>0.97</v>
      </c>
      <c r="G27" s="337">
        <f t="shared" si="0"/>
        <v>0.9666666666666667</v>
      </c>
      <c r="I27" s="339" t="s">
        <v>452</v>
      </c>
      <c r="J27" s="338">
        <v>1.0421109271193911</v>
      </c>
    </row>
    <row r="28" spans="2:10" ht="12.75">
      <c r="B28" s="337" t="s">
        <v>453</v>
      </c>
      <c r="C28" s="337"/>
      <c r="D28" s="337">
        <v>0.92</v>
      </c>
      <c r="E28" s="337">
        <v>0.89</v>
      </c>
      <c r="F28" s="337">
        <v>0.91</v>
      </c>
      <c r="G28" s="337">
        <f t="shared" si="0"/>
        <v>0.9066666666666667</v>
      </c>
      <c r="I28" s="339" t="s">
        <v>454</v>
      </c>
      <c r="J28" s="338">
        <v>1</v>
      </c>
    </row>
    <row r="29" spans="2:10" ht="12.75">
      <c r="B29" s="337" t="s">
        <v>455</v>
      </c>
      <c r="C29" s="337" t="s">
        <v>456</v>
      </c>
      <c r="D29" s="337">
        <v>1</v>
      </c>
      <c r="E29" s="337">
        <v>0.97</v>
      </c>
      <c r="F29" s="337">
        <v>0.99</v>
      </c>
      <c r="G29" s="337">
        <f t="shared" si="0"/>
        <v>0.9866666666666667</v>
      </c>
      <c r="I29" s="337" t="s">
        <v>457</v>
      </c>
      <c r="J29" s="338">
        <v>1.0308987036363708</v>
      </c>
    </row>
    <row r="30" spans="2:10" ht="12.75">
      <c r="B30" s="337" t="s">
        <v>458</v>
      </c>
      <c r="C30" s="337"/>
      <c r="D30" s="337">
        <v>0.94</v>
      </c>
      <c r="E30" s="337">
        <v>0.92</v>
      </c>
      <c r="F30" s="337">
        <v>0.94</v>
      </c>
      <c r="G30" s="337">
        <f t="shared" si="0"/>
        <v>0.9333333333333332</v>
      </c>
      <c r="I30" s="337" t="s">
        <v>459</v>
      </c>
      <c r="J30" s="338">
        <v>1.0205159980087553</v>
      </c>
    </row>
    <row r="31" spans="2:10" ht="12.75">
      <c r="B31" s="337" t="s">
        <v>460</v>
      </c>
      <c r="C31" s="337"/>
      <c r="D31" s="337">
        <v>0.96</v>
      </c>
      <c r="E31" s="337">
        <v>0.94</v>
      </c>
      <c r="F31" s="337">
        <v>0.95</v>
      </c>
      <c r="G31" s="337">
        <f t="shared" si="0"/>
        <v>0.9499999999999998</v>
      </c>
      <c r="I31" s="339" t="s">
        <v>451</v>
      </c>
      <c r="J31" s="338">
        <v>1.0157322142344678</v>
      </c>
    </row>
    <row r="32" spans="2:10" ht="12.75">
      <c r="B32" s="337" t="s">
        <v>461</v>
      </c>
      <c r="C32" s="337" t="s">
        <v>462</v>
      </c>
      <c r="D32" s="337">
        <v>1.03</v>
      </c>
      <c r="E32" s="337">
        <v>1.03</v>
      </c>
      <c r="F32" s="337">
        <v>1.04</v>
      </c>
      <c r="G32" s="337">
        <f t="shared" si="0"/>
        <v>1.0333333333333334</v>
      </c>
      <c r="I32" s="337" t="s">
        <v>463</v>
      </c>
      <c r="J32" s="338">
        <v>1.0358917994312307</v>
      </c>
    </row>
    <row r="33" spans="2:10" ht="12.75">
      <c r="B33" s="337" t="s">
        <v>464</v>
      </c>
      <c r="C33" s="337"/>
      <c r="D33" s="337">
        <v>1.04</v>
      </c>
      <c r="E33" s="337">
        <v>1.03</v>
      </c>
      <c r="F33" s="337">
        <v>1.05</v>
      </c>
      <c r="G33" s="337">
        <f t="shared" si="0"/>
        <v>1.04</v>
      </c>
      <c r="I33" s="339" t="s">
        <v>465</v>
      </c>
      <c r="J33" s="338">
        <v>1.011974155871452</v>
      </c>
    </row>
    <row r="34" spans="2:10" ht="12.75">
      <c r="B34" s="337" t="s">
        <v>466</v>
      </c>
      <c r="C34" s="337"/>
      <c r="D34" s="337">
        <v>1.08</v>
      </c>
      <c r="E34" s="337">
        <v>1.08</v>
      </c>
      <c r="F34" s="337">
        <v>1.09</v>
      </c>
      <c r="G34" s="337">
        <f t="shared" si="0"/>
        <v>1.0833333333333333</v>
      </c>
      <c r="I34" s="337" t="s">
        <v>467</v>
      </c>
      <c r="J34" s="338">
        <v>1.0108730912711368</v>
      </c>
    </row>
    <row r="35" spans="2:10" ht="12.75">
      <c r="B35" s="337" t="s">
        <v>468</v>
      </c>
      <c r="C35" s="337"/>
      <c r="D35" s="337">
        <v>1.06</v>
      </c>
      <c r="E35" s="337">
        <v>1.06</v>
      </c>
      <c r="F35" s="337">
        <v>1.07</v>
      </c>
      <c r="G35" s="337">
        <f t="shared" si="0"/>
        <v>1.0633333333333335</v>
      </c>
      <c r="I35" s="339" t="s">
        <v>469</v>
      </c>
      <c r="J35" s="338">
        <v>1.0162713835684478</v>
      </c>
    </row>
    <row r="36" spans="2:10" ht="12.75">
      <c r="B36" s="337" t="s">
        <v>470</v>
      </c>
      <c r="C36" s="337"/>
      <c r="D36" s="337">
        <v>1.11</v>
      </c>
      <c r="E36" s="337">
        <v>1.11</v>
      </c>
      <c r="F36" s="337">
        <v>1.12</v>
      </c>
      <c r="G36" s="337">
        <f t="shared" si="0"/>
        <v>1.1133333333333335</v>
      </c>
      <c r="I36" s="337" t="s">
        <v>471</v>
      </c>
      <c r="J36" s="338">
        <v>1.0079622379959163</v>
      </c>
    </row>
    <row r="37" spans="2:10" ht="12.75">
      <c r="B37" s="337" t="s">
        <v>472</v>
      </c>
      <c r="C37" s="337"/>
      <c r="D37" s="337">
        <v>1.07</v>
      </c>
      <c r="E37" s="337">
        <v>1.07</v>
      </c>
      <c r="F37" s="337">
        <v>1.08</v>
      </c>
      <c r="G37" s="337">
        <f t="shared" si="0"/>
        <v>1.0733333333333335</v>
      </c>
      <c r="I37" s="337" t="s">
        <v>473</v>
      </c>
      <c r="J37" s="338">
        <v>1.0220191686347762</v>
      </c>
    </row>
    <row r="38" spans="2:10" ht="12.75">
      <c r="B38" s="337" t="s">
        <v>474</v>
      </c>
      <c r="C38" s="337"/>
      <c r="D38" s="337">
        <v>1.06</v>
      </c>
      <c r="E38" s="337">
        <v>1.06</v>
      </c>
      <c r="F38" s="337">
        <v>1.07</v>
      </c>
      <c r="G38" s="337">
        <f t="shared" si="0"/>
        <v>1.0633333333333335</v>
      </c>
      <c r="I38" s="337" t="s">
        <v>475</v>
      </c>
      <c r="J38" s="338">
        <v>1.015630059694977</v>
      </c>
    </row>
    <row r="39" spans="2:10" ht="12.75">
      <c r="B39" s="337" t="s">
        <v>476</v>
      </c>
      <c r="C39" s="337"/>
      <c r="D39" s="337">
        <v>1.06</v>
      </c>
      <c r="E39" s="337">
        <v>1.06</v>
      </c>
      <c r="F39" s="337">
        <v>1.07</v>
      </c>
      <c r="G39" s="337">
        <f t="shared" si="0"/>
        <v>1.0633333333333335</v>
      </c>
      <c r="I39" s="339" t="s">
        <v>442</v>
      </c>
      <c r="J39" s="338">
        <v>1.010082933623905</v>
      </c>
    </row>
    <row r="40" spans="2:10" ht="12.75">
      <c r="B40" s="337" t="s">
        <v>477</v>
      </c>
      <c r="C40" s="337"/>
      <c r="D40" s="337">
        <v>1.04</v>
      </c>
      <c r="E40" s="337">
        <v>1.04</v>
      </c>
      <c r="F40" s="337">
        <v>1.05</v>
      </c>
      <c r="G40" s="337">
        <f t="shared" si="0"/>
        <v>1.0433333333333332</v>
      </c>
      <c r="I40" s="339" t="s">
        <v>478</v>
      </c>
      <c r="J40" s="338">
        <v>1.0101799959369813</v>
      </c>
    </row>
    <row r="41" spans="2:10" ht="12.75">
      <c r="B41" s="337" t="s">
        <v>479</v>
      </c>
      <c r="C41" s="337"/>
      <c r="D41" s="337">
        <v>1.02</v>
      </c>
      <c r="E41" s="337">
        <v>1.02</v>
      </c>
      <c r="F41" s="337">
        <v>1.03</v>
      </c>
      <c r="G41" s="337">
        <f t="shared" si="0"/>
        <v>1.0233333333333334</v>
      </c>
      <c r="I41" s="337" t="s">
        <v>480</v>
      </c>
      <c r="J41" s="338">
        <v>1</v>
      </c>
    </row>
    <row r="42" spans="2:10" ht="12.75">
      <c r="B42" s="337" t="s">
        <v>481</v>
      </c>
      <c r="C42" s="337"/>
      <c r="D42" s="337">
        <v>1.03</v>
      </c>
      <c r="E42" s="337">
        <v>1.03</v>
      </c>
      <c r="F42" s="337">
        <v>1.04</v>
      </c>
      <c r="G42" s="337">
        <f t="shared" si="0"/>
        <v>1.0333333333333334</v>
      </c>
      <c r="I42" s="337" t="s">
        <v>482</v>
      </c>
      <c r="J42" s="338">
        <v>1.5</v>
      </c>
    </row>
    <row r="43" spans="2:10" ht="13.5" thickBot="1">
      <c r="B43" s="337" t="s">
        <v>443</v>
      </c>
      <c r="C43" s="337"/>
      <c r="D43" s="337">
        <v>1</v>
      </c>
      <c r="E43" s="337">
        <v>1</v>
      </c>
      <c r="F43" s="337">
        <v>1.02</v>
      </c>
      <c r="G43" s="337">
        <f t="shared" si="0"/>
        <v>1.0066666666666666</v>
      </c>
      <c r="I43" s="340" t="s">
        <v>483</v>
      </c>
      <c r="J43" s="341">
        <v>1.0095808529678565</v>
      </c>
    </row>
    <row r="44" spans="2:7" ht="12.75">
      <c r="B44" s="337" t="s">
        <v>428</v>
      </c>
      <c r="C44" s="337" t="s">
        <v>484</v>
      </c>
      <c r="D44" s="337">
        <v>1.21</v>
      </c>
      <c r="E44" s="337">
        <v>1.21</v>
      </c>
      <c r="F44" s="337">
        <v>1.22</v>
      </c>
      <c r="G44" s="337">
        <f t="shared" si="0"/>
        <v>1.2133333333333332</v>
      </c>
    </row>
    <row r="45" spans="2:7" ht="12.75">
      <c r="B45" s="337" t="s">
        <v>485</v>
      </c>
      <c r="C45" s="337"/>
      <c r="D45" s="337">
        <v>1.13</v>
      </c>
      <c r="E45" s="337">
        <v>1.16</v>
      </c>
      <c r="F45" s="337">
        <v>1.17</v>
      </c>
      <c r="G45" s="337">
        <f t="shared" si="0"/>
        <v>1.1533333333333333</v>
      </c>
    </row>
    <row r="46" spans="2:7" ht="12.75">
      <c r="B46" s="337" t="s">
        <v>463</v>
      </c>
      <c r="C46" s="337" t="s">
        <v>486</v>
      </c>
      <c r="D46" s="337">
        <v>1</v>
      </c>
      <c r="E46" s="337">
        <v>1.01</v>
      </c>
      <c r="F46" s="337">
        <v>1.04</v>
      </c>
      <c r="G46" s="337">
        <f t="shared" si="0"/>
        <v>1.0166666666666666</v>
      </c>
    </row>
    <row r="47" spans="2:7" ht="12.75">
      <c r="B47" s="337" t="s">
        <v>487</v>
      </c>
      <c r="C47" s="337"/>
      <c r="D47" s="337">
        <v>0.98</v>
      </c>
      <c r="E47" s="337">
        <v>0.99</v>
      </c>
      <c r="F47" s="337">
        <v>1.02</v>
      </c>
      <c r="G47" s="337">
        <f t="shared" si="0"/>
        <v>0.9966666666666667</v>
      </c>
    </row>
    <row r="48" spans="2:7" ht="12.75">
      <c r="B48" s="337" t="s">
        <v>488</v>
      </c>
      <c r="C48" s="337"/>
      <c r="D48" s="337">
        <v>0.97</v>
      </c>
      <c r="E48" s="337">
        <v>0.99</v>
      </c>
      <c r="F48" s="337">
        <v>1.01</v>
      </c>
      <c r="G48" s="337">
        <f t="shared" si="0"/>
        <v>0.9899999999999999</v>
      </c>
    </row>
    <row r="49" spans="2:7" ht="12.75">
      <c r="B49" s="337" t="s">
        <v>489</v>
      </c>
      <c r="C49" s="337"/>
      <c r="D49" s="337">
        <v>1.01</v>
      </c>
      <c r="E49" s="337">
        <v>1.02</v>
      </c>
      <c r="F49" s="337">
        <v>1.04</v>
      </c>
      <c r="G49" s="337">
        <f t="shared" si="0"/>
        <v>1.0233333333333334</v>
      </c>
    </row>
    <row r="50" spans="2:7" ht="12.75">
      <c r="B50" s="337" t="s">
        <v>469</v>
      </c>
      <c r="C50" s="337"/>
      <c r="D50" s="337">
        <v>1</v>
      </c>
      <c r="E50" s="337">
        <v>1.01</v>
      </c>
      <c r="F50" s="337">
        <v>1.03</v>
      </c>
      <c r="G50" s="337">
        <f t="shared" si="0"/>
        <v>1.0133333333333334</v>
      </c>
    </row>
    <row r="51" spans="2:7" ht="12.75">
      <c r="B51" s="337" t="s">
        <v>490</v>
      </c>
      <c r="C51" s="337"/>
      <c r="D51" s="337">
        <v>0.97</v>
      </c>
      <c r="E51" s="337">
        <v>0.98</v>
      </c>
      <c r="F51" s="337">
        <v>1</v>
      </c>
      <c r="G51" s="337">
        <f t="shared" si="0"/>
        <v>0.9833333333333334</v>
      </c>
    </row>
    <row r="52" spans="2:7" ht="12.75">
      <c r="B52" s="337" t="s">
        <v>457</v>
      </c>
      <c r="C52" s="337"/>
      <c r="D52" s="337">
        <v>0.99</v>
      </c>
      <c r="E52" s="337">
        <v>1</v>
      </c>
      <c r="F52" s="337">
        <v>1.03</v>
      </c>
      <c r="G52" s="337">
        <f t="shared" si="0"/>
        <v>1.0066666666666666</v>
      </c>
    </row>
    <row r="53" spans="2:7" ht="12.75">
      <c r="B53" s="337" t="s">
        <v>491</v>
      </c>
      <c r="C53" s="337" t="s">
        <v>492</v>
      </c>
      <c r="D53" s="337">
        <v>0.92</v>
      </c>
      <c r="E53" s="337">
        <v>0.93</v>
      </c>
      <c r="F53" s="337">
        <v>0.95</v>
      </c>
      <c r="G53" s="337">
        <f t="shared" si="0"/>
        <v>0.9333333333333332</v>
      </c>
    </row>
    <row r="54" spans="2:7" ht="12.75">
      <c r="B54" s="337" t="s">
        <v>493</v>
      </c>
      <c r="C54" s="337"/>
      <c r="D54" s="337">
        <v>0.91</v>
      </c>
      <c r="E54" s="337">
        <v>0.92</v>
      </c>
      <c r="F54" s="337">
        <v>0.94</v>
      </c>
      <c r="G54" s="337">
        <f t="shared" si="0"/>
        <v>0.9233333333333333</v>
      </c>
    </row>
    <row r="55" spans="2:7" ht="12.75">
      <c r="B55" s="337" t="s">
        <v>494</v>
      </c>
      <c r="C55" s="337"/>
      <c r="D55" s="337">
        <v>0.89</v>
      </c>
      <c r="E55" s="337">
        <v>0.91</v>
      </c>
      <c r="F55" s="337">
        <v>0.93</v>
      </c>
      <c r="G55" s="337">
        <f t="shared" si="0"/>
        <v>0.91</v>
      </c>
    </row>
    <row r="56" spans="2:7" ht="12.75">
      <c r="B56" s="337" t="s">
        <v>495</v>
      </c>
      <c r="C56" s="337"/>
      <c r="D56" s="337">
        <v>0.94</v>
      </c>
      <c r="E56" s="337">
        <v>0.95</v>
      </c>
      <c r="F56" s="337">
        <v>0.97</v>
      </c>
      <c r="G56" s="337">
        <f t="shared" si="0"/>
        <v>0.9533333333333333</v>
      </c>
    </row>
    <row r="57" spans="2:7" ht="12.75">
      <c r="B57" s="337" t="s">
        <v>496</v>
      </c>
      <c r="C57" s="337"/>
      <c r="D57" s="337">
        <v>0.92</v>
      </c>
      <c r="E57" s="337">
        <v>0.94</v>
      </c>
      <c r="F57" s="337">
        <v>0.95</v>
      </c>
      <c r="G57" s="337">
        <f t="shared" si="0"/>
        <v>0.9366666666666665</v>
      </c>
    </row>
    <row r="58" spans="2:7" ht="12.75">
      <c r="B58" s="337" t="s">
        <v>471</v>
      </c>
      <c r="C58" s="337" t="s">
        <v>497</v>
      </c>
      <c r="D58" s="337">
        <v>0.91</v>
      </c>
      <c r="E58" s="337">
        <v>0.91</v>
      </c>
      <c r="F58" s="337">
        <v>0.91</v>
      </c>
      <c r="G58" s="337">
        <f t="shared" si="0"/>
        <v>0.91</v>
      </c>
    </row>
    <row r="59" spans="2:7" ht="12.75">
      <c r="B59" s="337" t="s">
        <v>473</v>
      </c>
      <c r="C59" s="337"/>
      <c r="D59" s="337">
        <v>0.92</v>
      </c>
      <c r="E59" s="337">
        <v>0.91</v>
      </c>
      <c r="F59" s="337">
        <v>0.92</v>
      </c>
      <c r="G59" s="337">
        <f t="shared" si="0"/>
        <v>0.9166666666666666</v>
      </c>
    </row>
    <row r="60" spans="2:7" ht="12.75">
      <c r="B60" s="337" t="s">
        <v>498</v>
      </c>
      <c r="C60" s="337"/>
      <c r="D60" s="337">
        <v>0.91</v>
      </c>
      <c r="E60" s="337">
        <v>0.91</v>
      </c>
      <c r="F60" s="337">
        <v>0.91</v>
      </c>
      <c r="G60" s="337">
        <f t="shared" si="0"/>
        <v>0.91</v>
      </c>
    </row>
    <row r="61" spans="2:7" ht="13.5" thickBot="1">
      <c r="B61" s="340" t="s">
        <v>499</v>
      </c>
      <c r="C61" s="340"/>
      <c r="D61" s="340">
        <v>0.92</v>
      </c>
      <c r="E61" s="340">
        <v>0.92</v>
      </c>
      <c r="F61" s="340">
        <v>0.92</v>
      </c>
      <c r="G61" s="340">
        <f t="shared" si="0"/>
        <v>0.92</v>
      </c>
    </row>
  </sheetData>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13">
    <tabColor indexed="43"/>
  </sheetPr>
  <dimension ref="B2:T195"/>
  <sheetViews>
    <sheetView workbookViewId="0" topLeftCell="A1">
      <pane xSplit="2" ySplit="14" topLeftCell="H15" activePane="bottomRight" state="frozen"/>
      <selection pane="topLeft" activeCell="I15" sqref="I15"/>
      <selection pane="topRight" activeCell="I15" sqref="I15"/>
      <selection pane="bottomLeft" activeCell="I15" sqref="I15"/>
      <selection pane="bottomRight" activeCell="A1" sqref="A1"/>
    </sheetView>
  </sheetViews>
  <sheetFormatPr defaultColWidth="9.140625" defaultRowHeight="12.75"/>
  <cols>
    <col min="1" max="1" width="9.140625" style="1" customWidth="1"/>
    <col min="2" max="20" width="16.00390625" style="1" customWidth="1"/>
    <col min="21" max="16384" width="9.140625" style="1" customWidth="1"/>
  </cols>
  <sheetData>
    <row r="1" ht="13.5" thickBot="1"/>
    <row r="2" spans="2:6" ht="12.75">
      <c r="B2" s="342" t="s">
        <v>500</v>
      </c>
      <c r="C2" s="343"/>
      <c r="D2" s="343"/>
      <c r="E2" s="343"/>
      <c r="F2" s="344"/>
    </row>
    <row r="3" spans="2:6" ht="12.75">
      <c r="B3" s="345"/>
      <c r="C3" s="346"/>
      <c r="D3" s="346"/>
      <c r="E3" s="346"/>
      <c r="F3" s="347"/>
    </row>
    <row r="4" spans="2:6" ht="12.75">
      <c r="B4" s="345" t="s">
        <v>501</v>
      </c>
      <c r="C4" s="346"/>
      <c r="D4" s="346"/>
      <c r="E4" s="346"/>
      <c r="F4" s="347"/>
    </row>
    <row r="5" spans="2:6" ht="12.75">
      <c r="B5" s="345"/>
      <c r="C5" s="346"/>
      <c r="D5" s="346"/>
      <c r="E5" s="346"/>
      <c r="F5" s="347"/>
    </row>
    <row r="6" spans="2:6" ht="13.5" thickBot="1">
      <c r="B6" s="348"/>
      <c r="C6" s="349"/>
      <c r="D6" s="349"/>
      <c r="E6" s="349"/>
      <c r="F6" s="350"/>
    </row>
    <row r="12" spans="3:20" ht="12.75">
      <c r="C12" s="351" t="s">
        <v>502</v>
      </c>
      <c r="D12" s="351" t="s">
        <v>503</v>
      </c>
      <c r="E12" s="351" t="s">
        <v>504</v>
      </c>
      <c r="F12" s="351" t="s">
        <v>505</v>
      </c>
      <c r="G12" s="351" t="s">
        <v>506</v>
      </c>
      <c r="H12" s="351" t="s">
        <v>507</v>
      </c>
      <c r="I12" s="351" t="s">
        <v>508</v>
      </c>
      <c r="J12" s="351" t="s">
        <v>509</v>
      </c>
      <c r="K12" s="351" t="s">
        <v>510</v>
      </c>
      <c r="L12" s="351" t="s">
        <v>511</v>
      </c>
      <c r="M12" s="351" t="s">
        <v>512</v>
      </c>
      <c r="N12" s="351" t="s">
        <v>513</v>
      </c>
      <c r="O12" s="351" t="s">
        <v>514</v>
      </c>
      <c r="P12" s="351" t="s">
        <v>515</v>
      </c>
      <c r="Q12" s="351" t="s">
        <v>516</v>
      </c>
      <c r="R12" s="351" t="s">
        <v>517</v>
      </c>
      <c r="S12" s="351" t="s">
        <v>518</v>
      </c>
      <c r="T12" s="351" t="s">
        <v>519</v>
      </c>
    </row>
    <row r="13" spans="2:20" ht="13.5" thickBot="1">
      <c r="B13" s="1">
        <v>1</v>
      </c>
      <c r="C13" s="1">
        <v>2</v>
      </c>
      <c r="D13" s="1">
        <v>3</v>
      </c>
      <c r="E13" s="1">
        <v>4</v>
      </c>
      <c r="F13" s="1">
        <v>5</v>
      </c>
      <c r="G13" s="1">
        <v>6</v>
      </c>
      <c r="H13" s="1">
        <v>7</v>
      </c>
      <c r="I13" s="1">
        <v>8</v>
      </c>
      <c r="J13" s="1">
        <v>9</v>
      </c>
      <c r="K13" s="1">
        <v>10</v>
      </c>
      <c r="L13" s="1">
        <v>11</v>
      </c>
      <c r="M13" s="1">
        <v>12</v>
      </c>
      <c r="N13" s="1">
        <v>13</v>
      </c>
      <c r="O13" s="1">
        <v>14</v>
      </c>
      <c r="P13" s="1">
        <v>15</v>
      </c>
      <c r="Q13" s="1">
        <v>16</v>
      </c>
      <c r="R13" s="1">
        <v>17</v>
      </c>
      <c r="S13" s="1">
        <v>18</v>
      </c>
      <c r="T13" s="1">
        <v>19</v>
      </c>
    </row>
    <row r="14" spans="2:20" ht="90" thickBot="1">
      <c r="B14" s="352" t="s">
        <v>2</v>
      </c>
      <c r="C14" s="352" t="s">
        <v>23</v>
      </c>
      <c r="D14" s="352" t="s">
        <v>25</v>
      </c>
      <c r="E14" s="352" t="s">
        <v>27</v>
      </c>
      <c r="F14" s="352" t="s">
        <v>29</v>
      </c>
      <c r="G14" s="352" t="s">
        <v>31</v>
      </c>
      <c r="H14" s="352" t="s">
        <v>33</v>
      </c>
      <c r="I14" s="352" t="s">
        <v>35</v>
      </c>
      <c r="J14" s="352" t="s">
        <v>13</v>
      </c>
      <c r="K14" s="352" t="s">
        <v>14</v>
      </c>
      <c r="L14" s="352" t="s">
        <v>38</v>
      </c>
      <c r="M14" s="352" t="s">
        <v>39</v>
      </c>
      <c r="N14" s="352" t="s">
        <v>40</v>
      </c>
      <c r="O14" s="352" t="s">
        <v>41</v>
      </c>
      <c r="P14" s="352" t="s">
        <v>42</v>
      </c>
      <c r="Q14" s="352" t="s">
        <v>43</v>
      </c>
      <c r="R14" s="352" t="s">
        <v>44</v>
      </c>
      <c r="S14" s="352" t="s">
        <v>45</v>
      </c>
      <c r="T14" s="352" t="s">
        <v>46</v>
      </c>
    </row>
    <row r="15" spans="2:20" ht="12.75">
      <c r="B15" s="353" t="s">
        <v>704</v>
      </c>
      <c r="C15" s="166">
        <v>2660</v>
      </c>
      <c r="D15" s="166">
        <v>2660</v>
      </c>
      <c r="E15" s="166">
        <v>2660</v>
      </c>
      <c r="F15" s="354">
        <v>542.3996232764207</v>
      </c>
      <c r="G15" s="354">
        <v>1153.2535746419283</v>
      </c>
      <c r="H15" s="354">
        <v>758.0791328814756</v>
      </c>
      <c r="I15" s="354">
        <v>4030.6578279475025</v>
      </c>
      <c r="J15" s="355">
        <v>12887156</v>
      </c>
      <c r="K15" s="355">
        <v>45324.311296814405</v>
      </c>
      <c r="L15" s="355">
        <v>524.7</v>
      </c>
      <c r="M15" s="355">
        <v>0</v>
      </c>
      <c r="N15" s="355">
        <v>0</v>
      </c>
      <c r="O15" s="355">
        <v>0</v>
      </c>
      <c r="P15" s="355">
        <v>0</v>
      </c>
      <c r="Q15" s="355">
        <v>0</v>
      </c>
      <c r="R15" s="355">
        <v>0</v>
      </c>
      <c r="S15" s="355">
        <v>0</v>
      </c>
      <c r="T15" s="355">
        <v>0</v>
      </c>
    </row>
    <row r="16" spans="2:20" ht="12.75">
      <c r="B16" s="356" t="s">
        <v>705</v>
      </c>
      <c r="C16" s="166">
        <v>3413</v>
      </c>
      <c r="D16" s="166">
        <v>3454</v>
      </c>
      <c r="E16" s="166">
        <v>3413</v>
      </c>
      <c r="F16" s="354">
        <v>536.3597744751069</v>
      </c>
      <c r="G16" s="354">
        <v>1125.4212546906704</v>
      </c>
      <c r="H16" s="354">
        <v>753.7407177224829</v>
      </c>
      <c r="I16" s="354">
        <v>3935.9174765552193</v>
      </c>
      <c r="J16" s="355">
        <v>10802296</v>
      </c>
      <c r="K16" s="355">
        <v>44337.76266719132</v>
      </c>
      <c r="L16" s="355">
        <v>93.6496</v>
      </c>
      <c r="M16" s="355">
        <v>0</v>
      </c>
      <c r="N16" s="355">
        <v>0</v>
      </c>
      <c r="O16" s="355">
        <v>0</v>
      </c>
      <c r="P16" s="355">
        <v>0</v>
      </c>
      <c r="Q16" s="355">
        <v>0</v>
      </c>
      <c r="R16" s="355">
        <v>0</v>
      </c>
      <c r="S16" s="355">
        <v>0</v>
      </c>
      <c r="T16" s="355">
        <v>0</v>
      </c>
    </row>
    <row r="17" spans="2:20" ht="12.75">
      <c r="B17" s="356" t="s">
        <v>706</v>
      </c>
      <c r="C17" s="166">
        <v>6973</v>
      </c>
      <c r="D17" s="166">
        <v>6973</v>
      </c>
      <c r="E17" s="166">
        <v>6973</v>
      </c>
      <c r="F17" s="354">
        <v>550.300702191401</v>
      </c>
      <c r="G17" s="354">
        <v>1031.0067257637754</v>
      </c>
      <c r="H17" s="354">
        <v>611.199847917039</v>
      </c>
      <c r="I17" s="354">
        <v>2985.96434710105</v>
      </c>
      <c r="J17" s="355">
        <v>89433939</v>
      </c>
      <c r="K17" s="355">
        <v>81545.98751042382</v>
      </c>
      <c r="L17" s="355">
        <v>230.2287</v>
      </c>
      <c r="M17" s="355">
        <v>0</v>
      </c>
      <c r="N17" s="355">
        <v>0</v>
      </c>
      <c r="O17" s="355">
        <v>0</v>
      </c>
      <c r="P17" s="355">
        <v>0</v>
      </c>
      <c r="Q17" s="355">
        <v>0</v>
      </c>
      <c r="R17" s="355">
        <v>0</v>
      </c>
      <c r="S17" s="355">
        <v>0</v>
      </c>
      <c r="T17" s="355">
        <v>0</v>
      </c>
    </row>
    <row r="18" spans="2:20" ht="12.75">
      <c r="B18" s="356" t="s">
        <v>707</v>
      </c>
      <c r="C18" s="166">
        <v>5013</v>
      </c>
      <c r="D18" s="166">
        <v>5013</v>
      </c>
      <c r="E18" s="166">
        <v>4676</v>
      </c>
      <c r="F18" s="354">
        <v>467.39839941620596</v>
      </c>
      <c r="G18" s="354">
        <v>1074.9223598528365</v>
      </c>
      <c r="H18" s="354">
        <v>724.354200334103</v>
      </c>
      <c r="I18" s="354">
        <v>3890.3180140859295</v>
      </c>
      <c r="J18" s="355">
        <v>5951150</v>
      </c>
      <c r="K18" s="355">
        <v>42042.2169526582</v>
      </c>
      <c r="L18" s="355">
        <v>788.1966</v>
      </c>
      <c r="M18" s="355">
        <v>0</v>
      </c>
      <c r="N18" s="355">
        <v>2999845</v>
      </c>
      <c r="O18" s="355">
        <v>0</v>
      </c>
      <c r="P18" s="355">
        <v>0</v>
      </c>
      <c r="Q18" s="355">
        <v>0</v>
      </c>
      <c r="R18" s="355">
        <v>0</v>
      </c>
      <c r="S18" s="355">
        <v>0</v>
      </c>
      <c r="T18" s="355">
        <v>0</v>
      </c>
    </row>
    <row r="19" spans="2:20" ht="12.75">
      <c r="B19" s="356" t="s">
        <v>708</v>
      </c>
      <c r="C19" s="166">
        <v>3501</v>
      </c>
      <c r="D19" s="166">
        <v>3503</v>
      </c>
      <c r="E19" s="166">
        <v>3501</v>
      </c>
      <c r="F19" s="354">
        <v>446.8142333032731</v>
      </c>
      <c r="G19" s="354">
        <v>944.2726982652356</v>
      </c>
      <c r="H19" s="354">
        <v>640.447524908587</v>
      </c>
      <c r="I19" s="354">
        <v>3805.8929063661885</v>
      </c>
      <c r="J19" s="355">
        <v>9584522</v>
      </c>
      <c r="K19" s="355">
        <v>43761.51617059652</v>
      </c>
      <c r="L19" s="355">
        <v>345.92760000000004</v>
      </c>
      <c r="M19" s="355">
        <v>0</v>
      </c>
      <c r="N19" s="355">
        <v>0</v>
      </c>
      <c r="O19" s="355">
        <v>0</v>
      </c>
      <c r="P19" s="355">
        <v>0</v>
      </c>
      <c r="Q19" s="355">
        <v>0</v>
      </c>
      <c r="R19" s="355">
        <v>8000</v>
      </c>
      <c r="S19" s="355">
        <v>0</v>
      </c>
      <c r="T19" s="355">
        <v>0</v>
      </c>
    </row>
    <row r="20" spans="2:20" ht="12.75">
      <c r="B20" s="356" t="s">
        <v>709</v>
      </c>
      <c r="C20" s="166">
        <v>19198</v>
      </c>
      <c r="D20" s="166">
        <v>19199</v>
      </c>
      <c r="E20" s="166">
        <v>19198</v>
      </c>
      <c r="F20" s="354">
        <v>840.0710903189454</v>
      </c>
      <c r="G20" s="354">
        <v>1407.3879687050246</v>
      </c>
      <c r="H20" s="354">
        <v>761.045002129593</v>
      </c>
      <c r="I20" s="354">
        <v>4100.122157405953</v>
      </c>
      <c r="J20" s="355">
        <v>-19007670</v>
      </c>
      <c r="K20" s="355">
        <v>0</v>
      </c>
      <c r="L20" s="355">
        <v>3915.32</v>
      </c>
      <c r="M20" s="355">
        <v>0</v>
      </c>
      <c r="N20" s="355">
        <v>0</v>
      </c>
      <c r="O20" s="355">
        <v>0</v>
      </c>
      <c r="P20" s="355">
        <v>0</v>
      </c>
      <c r="Q20" s="355">
        <v>0</v>
      </c>
      <c r="R20" s="355">
        <v>0</v>
      </c>
      <c r="S20" s="355">
        <v>0</v>
      </c>
      <c r="T20" s="355">
        <v>0</v>
      </c>
    </row>
    <row r="21" spans="2:20" ht="12.75">
      <c r="B21" s="356" t="s">
        <v>710</v>
      </c>
      <c r="C21" s="166">
        <v>10983</v>
      </c>
      <c r="D21" s="166">
        <v>10993</v>
      </c>
      <c r="E21" s="166">
        <v>10983</v>
      </c>
      <c r="F21" s="354">
        <v>693.0951391358781</v>
      </c>
      <c r="G21" s="354">
        <v>1365.4739804245264</v>
      </c>
      <c r="H21" s="354">
        <v>843.1993980257462</v>
      </c>
      <c r="I21" s="354">
        <v>4566.075113736808</v>
      </c>
      <c r="J21" s="355">
        <v>139873981.2</v>
      </c>
      <c r="K21" s="355">
        <v>105414.04316430012</v>
      </c>
      <c r="L21" s="355">
        <v>15556.0061</v>
      </c>
      <c r="M21" s="355">
        <v>0</v>
      </c>
      <c r="N21" s="355">
        <v>0</v>
      </c>
      <c r="O21" s="355">
        <v>17280</v>
      </c>
      <c r="P21" s="355">
        <v>0</v>
      </c>
      <c r="Q21" s="355">
        <v>0</v>
      </c>
      <c r="R21" s="355">
        <v>9571</v>
      </c>
      <c r="S21" s="355">
        <v>0</v>
      </c>
      <c r="T21" s="355">
        <v>0</v>
      </c>
    </row>
    <row r="22" spans="2:20" ht="12.75">
      <c r="B22" s="356" t="s">
        <v>711</v>
      </c>
      <c r="C22" s="166">
        <v>19095</v>
      </c>
      <c r="D22" s="166">
        <v>19095</v>
      </c>
      <c r="E22" s="166">
        <v>19095</v>
      </c>
      <c r="F22" s="354">
        <v>551.6816555061692</v>
      </c>
      <c r="G22" s="354">
        <v>1036.6377732089588</v>
      </c>
      <c r="H22" s="354">
        <v>600.1829075980612</v>
      </c>
      <c r="I22" s="354">
        <v>3103.214738992166</v>
      </c>
      <c r="J22" s="355">
        <v>275179400</v>
      </c>
      <c r="K22" s="355">
        <v>169440.1051050145</v>
      </c>
      <c r="L22" s="355">
        <v>943.2501</v>
      </c>
      <c r="M22" s="355">
        <v>0</v>
      </c>
      <c r="N22" s="355">
        <v>0</v>
      </c>
      <c r="O22" s="355">
        <v>0</v>
      </c>
      <c r="P22" s="355">
        <v>0</v>
      </c>
      <c r="Q22" s="355">
        <v>0</v>
      </c>
      <c r="R22" s="355">
        <v>0</v>
      </c>
      <c r="S22" s="355">
        <v>3089</v>
      </c>
      <c r="T22" s="355">
        <v>0</v>
      </c>
    </row>
    <row r="23" spans="2:20" ht="12.75">
      <c r="B23" s="356" t="s">
        <v>712</v>
      </c>
      <c r="C23" s="166">
        <v>2717</v>
      </c>
      <c r="D23" s="166">
        <v>2717</v>
      </c>
      <c r="E23" s="166">
        <v>2717</v>
      </c>
      <c r="F23" s="354">
        <v>693.3425789575305</v>
      </c>
      <c r="G23" s="354">
        <v>1126.9958069877098</v>
      </c>
      <c r="H23" s="354">
        <v>700.7228037858829</v>
      </c>
      <c r="I23" s="354">
        <v>3288.440016169814</v>
      </c>
      <c r="J23" s="355">
        <v>18951650</v>
      </c>
      <c r="K23" s="355">
        <v>48194.00913986258</v>
      </c>
      <c r="L23" s="355">
        <v>145.5209</v>
      </c>
      <c r="M23" s="355">
        <v>0</v>
      </c>
      <c r="N23" s="355">
        <v>0</v>
      </c>
      <c r="O23" s="355">
        <v>0</v>
      </c>
      <c r="P23" s="355">
        <v>0</v>
      </c>
      <c r="Q23" s="355">
        <v>0</v>
      </c>
      <c r="R23" s="355">
        <v>0</v>
      </c>
      <c r="S23" s="355">
        <v>0</v>
      </c>
      <c r="T23" s="355">
        <v>0</v>
      </c>
    </row>
    <row r="24" spans="2:20" ht="12.75">
      <c r="B24" s="356" t="s">
        <v>713</v>
      </c>
      <c r="C24" s="166">
        <v>11271</v>
      </c>
      <c r="D24" s="166">
        <v>11395.45</v>
      </c>
      <c r="E24" s="166">
        <v>11271</v>
      </c>
      <c r="F24" s="354">
        <v>555.2446294666213</v>
      </c>
      <c r="G24" s="354">
        <v>1122.613760012599</v>
      </c>
      <c r="H24" s="354">
        <v>755.4789240088954</v>
      </c>
      <c r="I24" s="354">
        <v>3791.5953807936285</v>
      </c>
      <c r="J24" s="355">
        <v>157240157</v>
      </c>
      <c r="K24" s="355">
        <v>113631.65822587916</v>
      </c>
      <c r="L24" s="355">
        <v>676.9504</v>
      </c>
      <c r="M24" s="355">
        <v>0</v>
      </c>
      <c r="N24" s="355">
        <v>0</v>
      </c>
      <c r="O24" s="355">
        <v>0</v>
      </c>
      <c r="P24" s="355">
        <v>0</v>
      </c>
      <c r="Q24" s="355">
        <v>0</v>
      </c>
      <c r="R24" s="355">
        <v>0</v>
      </c>
      <c r="S24" s="355">
        <v>0</v>
      </c>
      <c r="T24" s="355">
        <v>0</v>
      </c>
    </row>
    <row r="25" spans="2:20" ht="12.75">
      <c r="B25" s="356" t="s">
        <v>714</v>
      </c>
      <c r="C25" s="166">
        <v>6946</v>
      </c>
      <c r="D25" s="166">
        <v>6946</v>
      </c>
      <c r="E25" s="166">
        <v>6946</v>
      </c>
      <c r="F25" s="354">
        <v>533.1405954427067</v>
      </c>
      <c r="G25" s="354">
        <v>982.874191090441</v>
      </c>
      <c r="H25" s="354">
        <v>600.3188006554152</v>
      </c>
      <c r="I25" s="354">
        <v>3147.8889505941474</v>
      </c>
      <c r="J25" s="355">
        <v>74147791</v>
      </c>
      <c r="K25" s="355">
        <v>74312.63449793584</v>
      </c>
      <c r="L25" s="355">
        <v>522.21</v>
      </c>
      <c r="M25" s="355">
        <v>0</v>
      </c>
      <c r="N25" s="355">
        <v>0</v>
      </c>
      <c r="O25" s="355">
        <v>0</v>
      </c>
      <c r="P25" s="355">
        <v>0</v>
      </c>
      <c r="Q25" s="355">
        <v>0</v>
      </c>
      <c r="R25" s="355">
        <v>0</v>
      </c>
      <c r="S25" s="355">
        <v>0</v>
      </c>
      <c r="T25" s="355">
        <v>0</v>
      </c>
    </row>
    <row r="26" spans="2:20" ht="12.75">
      <c r="B26" s="356" t="s">
        <v>715</v>
      </c>
      <c r="C26" s="166">
        <v>64666</v>
      </c>
      <c r="D26" s="166">
        <v>64720</v>
      </c>
      <c r="E26" s="166">
        <v>64666</v>
      </c>
      <c r="F26" s="354">
        <v>722.711381405951</v>
      </c>
      <c r="G26" s="354">
        <v>1050.6564858912184</v>
      </c>
      <c r="H26" s="354">
        <v>637.1249872302002</v>
      </c>
      <c r="I26" s="354">
        <v>3533.379525622837</v>
      </c>
      <c r="J26" s="355">
        <v>682542361</v>
      </c>
      <c r="K26" s="355">
        <v>362202.86660159106</v>
      </c>
      <c r="L26" s="355">
        <v>22805.0507</v>
      </c>
      <c r="M26" s="355">
        <v>0</v>
      </c>
      <c r="N26" s="355">
        <v>0</v>
      </c>
      <c r="O26" s="355">
        <v>0</v>
      </c>
      <c r="P26" s="355">
        <v>0</v>
      </c>
      <c r="Q26" s="355">
        <v>0</v>
      </c>
      <c r="R26" s="355">
        <v>0</v>
      </c>
      <c r="S26" s="355">
        <v>0</v>
      </c>
      <c r="T26" s="355">
        <v>0</v>
      </c>
    </row>
    <row r="27" spans="2:20" ht="12.75">
      <c r="B27" s="356" t="s">
        <v>716</v>
      </c>
      <c r="C27" s="166">
        <v>0</v>
      </c>
      <c r="D27" s="166">
        <v>0</v>
      </c>
      <c r="E27" s="166">
        <v>0</v>
      </c>
      <c r="F27" s="354">
        <v>0</v>
      </c>
      <c r="G27" s="354">
        <v>0</v>
      </c>
      <c r="H27" s="354">
        <v>0</v>
      </c>
      <c r="I27" s="354">
        <v>0</v>
      </c>
      <c r="J27" s="355">
        <v>0</v>
      </c>
      <c r="K27" s="355">
        <v>0</v>
      </c>
      <c r="L27" s="355">
        <v>0</v>
      </c>
      <c r="M27" s="355">
        <v>0</v>
      </c>
      <c r="N27" s="355">
        <v>0</v>
      </c>
      <c r="O27" s="355">
        <v>0</v>
      </c>
      <c r="P27" s="355">
        <v>0</v>
      </c>
      <c r="Q27" s="355">
        <v>0</v>
      </c>
      <c r="R27" s="355">
        <v>0</v>
      </c>
      <c r="S27" s="355">
        <v>0</v>
      </c>
      <c r="T27" s="355">
        <v>0</v>
      </c>
    </row>
    <row r="28" spans="2:20" ht="12.75">
      <c r="B28" s="356" t="s">
        <v>717</v>
      </c>
      <c r="C28" s="166">
        <v>5363</v>
      </c>
      <c r="D28" s="166">
        <v>5363</v>
      </c>
      <c r="E28" s="166">
        <v>5363</v>
      </c>
      <c r="F28" s="354">
        <v>862.3811823269003</v>
      </c>
      <c r="G28" s="354">
        <v>1097.016828346765</v>
      </c>
      <c r="H28" s="354">
        <v>687.8405986361134</v>
      </c>
      <c r="I28" s="354">
        <v>3080.465596221076</v>
      </c>
      <c r="J28" s="355">
        <v>66265983</v>
      </c>
      <c r="K28" s="355">
        <v>70582.98987846391</v>
      </c>
      <c r="L28" s="355">
        <v>2557.7475</v>
      </c>
      <c r="M28" s="355">
        <v>0</v>
      </c>
      <c r="N28" s="355">
        <v>0</v>
      </c>
      <c r="O28" s="355">
        <v>0</v>
      </c>
      <c r="P28" s="355">
        <v>0</v>
      </c>
      <c r="Q28" s="355">
        <v>0</v>
      </c>
      <c r="R28" s="355">
        <v>0</v>
      </c>
      <c r="S28" s="355">
        <v>0</v>
      </c>
      <c r="T28" s="355">
        <v>0</v>
      </c>
    </row>
    <row r="29" spans="2:20" ht="12.75">
      <c r="B29" s="356" t="s">
        <v>718</v>
      </c>
      <c r="C29" s="166">
        <v>5376</v>
      </c>
      <c r="D29" s="166">
        <v>5376</v>
      </c>
      <c r="E29" s="166">
        <v>5376</v>
      </c>
      <c r="F29" s="354">
        <v>547.0802452361407</v>
      </c>
      <c r="G29" s="354">
        <v>937.4807955469918</v>
      </c>
      <c r="H29" s="354">
        <v>595.8251848411012</v>
      </c>
      <c r="I29" s="354">
        <v>3315.4203571522153</v>
      </c>
      <c r="J29" s="355">
        <v>17963761</v>
      </c>
      <c r="K29" s="355">
        <v>47726.54343992603</v>
      </c>
      <c r="L29" s="355">
        <v>645.4240000000001</v>
      </c>
      <c r="M29" s="355">
        <v>0</v>
      </c>
      <c r="N29" s="355">
        <v>0</v>
      </c>
      <c r="O29" s="355">
        <v>0</v>
      </c>
      <c r="P29" s="355">
        <v>0</v>
      </c>
      <c r="Q29" s="355">
        <v>0</v>
      </c>
      <c r="R29" s="355">
        <v>0</v>
      </c>
      <c r="S29" s="355">
        <v>0</v>
      </c>
      <c r="T29" s="355">
        <v>0</v>
      </c>
    </row>
    <row r="30" spans="2:20" ht="12.75">
      <c r="B30" s="356" t="s">
        <v>719</v>
      </c>
      <c r="C30" s="166">
        <v>18144</v>
      </c>
      <c r="D30" s="166">
        <v>18145</v>
      </c>
      <c r="E30" s="166">
        <v>18144</v>
      </c>
      <c r="F30" s="354">
        <v>611.6809053099415</v>
      </c>
      <c r="G30" s="354">
        <v>1016.5839585423066</v>
      </c>
      <c r="H30" s="354">
        <v>598.5399903694946</v>
      </c>
      <c r="I30" s="354">
        <v>3173.7393851116367</v>
      </c>
      <c r="J30" s="355">
        <v>288716102</v>
      </c>
      <c r="K30" s="355">
        <v>175845.62624682547</v>
      </c>
      <c r="L30" s="355">
        <v>278.419</v>
      </c>
      <c r="M30" s="355">
        <v>0</v>
      </c>
      <c r="N30" s="355">
        <v>0</v>
      </c>
      <c r="O30" s="355">
        <v>0</v>
      </c>
      <c r="P30" s="355">
        <v>0</v>
      </c>
      <c r="Q30" s="355">
        <v>0</v>
      </c>
      <c r="R30" s="355">
        <v>0</v>
      </c>
      <c r="S30" s="355">
        <v>0</v>
      </c>
      <c r="T30" s="355">
        <v>0</v>
      </c>
    </row>
    <row r="31" spans="2:20" ht="12.75">
      <c r="B31" s="356" t="s">
        <v>720</v>
      </c>
      <c r="C31" s="166">
        <v>5107</v>
      </c>
      <c r="D31" s="166">
        <v>5118.13</v>
      </c>
      <c r="E31" s="166">
        <v>5107</v>
      </c>
      <c r="F31" s="354">
        <v>653.3946041280674</v>
      </c>
      <c r="G31" s="354">
        <v>1156.8486577684753</v>
      </c>
      <c r="H31" s="354">
        <v>745.6572443890489</v>
      </c>
      <c r="I31" s="354">
        <v>3587.3663024287075</v>
      </c>
      <c r="J31" s="355">
        <v>23608497</v>
      </c>
      <c r="K31" s="355">
        <v>50397.61323136723</v>
      </c>
      <c r="L31" s="355">
        <v>462.1445</v>
      </c>
      <c r="M31" s="355">
        <v>0</v>
      </c>
      <c r="N31" s="355">
        <v>0</v>
      </c>
      <c r="O31" s="355">
        <v>0</v>
      </c>
      <c r="P31" s="355">
        <v>0</v>
      </c>
      <c r="Q31" s="355">
        <v>0</v>
      </c>
      <c r="R31" s="355">
        <v>0</v>
      </c>
      <c r="S31" s="355">
        <v>0</v>
      </c>
      <c r="T31" s="355">
        <v>0</v>
      </c>
    </row>
    <row r="32" spans="2:20" ht="12.75">
      <c r="B32" s="356" t="s">
        <v>721</v>
      </c>
      <c r="C32" s="166">
        <v>0</v>
      </c>
      <c r="D32" s="166">
        <v>0</v>
      </c>
      <c r="E32" s="166">
        <v>0</v>
      </c>
      <c r="F32" s="354">
        <v>0</v>
      </c>
      <c r="G32" s="354">
        <v>0</v>
      </c>
      <c r="H32" s="354">
        <v>0</v>
      </c>
      <c r="I32" s="354">
        <v>0</v>
      </c>
      <c r="J32" s="355">
        <v>0</v>
      </c>
      <c r="K32" s="355">
        <v>0</v>
      </c>
      <c r="L32" s="355">
        <v>891</v>
      </c>
      <c r="M32" s="355">
        <v>0</v>
      </c>
      <c r="N32" s="355">
        <v>0</v>
      </c>
      <c r="O32" s="355">
        <v>0</v>
      </c>
      <c r="P32" s="355">
        <v>0</v>
      </c>
      <c r="Q32" s="355">
        <v>0</v>
      </c>
      <c r="R32" s="355">
        <v>0</v>
      </c>
      <c r="S32" s="355">
        <v>0</v>
      </c>
      <c r="T32" s="355">
        <v>0</v>
      </c>
    </row>
    <row r="33" spans="2:20" ht="12.75">
      <c r="B33" s="356" t="s">
        <v>722</v>
      </c>
      <c r="C33" s="166">
        <v>9211</v>
      </c>
      <c r="D33" s="166">
        <v>9225</v>
      </c>
      <c r="E33" s="166">
        <v>9211</v>
      </c>
      <c r="F33" s="354">
        <v>840.6817116581975</v>
      </c>
      <c r="G33" s="354">
        <v>1394.6028852624906</v>
      </c>
      <c r="H33" s="354">
        <v>871.8325983626794</v>
      </c>
      <c r="I33" s="354">
        <v>4841.628000744886</v>
      </c>
      <c r="J33" s="355">
        <v>411287867.4</v>
      </c>
      <c r="K33" s="355">
        <v>233846.16689984407</v>
      </c>
      <c r="L33" s="355">
        <v>7795.015799999999</v>
      </c>
      <c r="M33" s="355">
        <v>0</v>
      </c>
      <c r="N33" s="355">
        <v>0</v>
      </c>
      <c r="O33" s="355">
        <v>118370</v>
      </c>
      <c r="P33" s="355">
        <v>0</v>
      </c>
      <c r="Q33" s="355">
        <v>0</v>
      </c>
      <c r="R33" s="355">
        <v>0</v>
      </c>
      <c r="S33" s="355">
        <v>0</v>
      </c>
      <c r="T33" s="355">
        <v>0</v>
      </c>
    </row>
    <row r="34" spans="2:20" ht="12.75">
      <c r="B34" s="356" t="s">
        <v>723</v>
      </c>
      <c r="C34" s="166">
        <v>2535</v>
      </c>
      <c r="D34" s="166">
        <v>2543.7</v>
      </c>
      <c r="E34" s="166">
        <v>2535</v>
      </c>
      <c r="F34" s="354">
        <v>566.920757357195</v>
      </c>
      <c r="G34" s="354">
        <v>1100.7823596044411</v>
      </c>
      <c r="H34" s="354">
        <v>773.0509777400225</v>
      </c>
      <c r="I34" s="354">
        <v>4174.922320758315</v>
      </c>
      <c r="J34" s="355">
        <v>3577703</v>
      </c>
      <c r="K34" s="355">
        <v>40919.10994051684</v>
      </c>
      <c r="L34" s="355">
        <v>1413.1125</v>
      </c>
      <c r="M34" s="355">
        <v>0</v>
      </c>
      <c r="N34" s="355">
        <v>0</v>
      </c>
      <c r="O34" s="355">
        <v>0</v>
      </c>
      <c r="P34" s="355">
        <v>0</v>
      </c>
      <c r="Q34" s="355">
        <v>0</v>
      </c>
      <c r="R34" s="355">
        <v>0</v>
      </c>
      <c r="S34" s="355">
        <v>0</v>
      </c>
      <c r="T34" s="355">
        <v>0</v>
      </c>
    </row>
    <row r="35" spans="2:20" ht="12.75">
      <c r="B35" s="356" t="s">
        <v>724</v>
      </c>
      <c r="C35" s="166">
        <v>12304</v>
      </c>
      <c r="D35" s="166">
        <v>12304</v>
      </c>
      <c r="E35" s="166">
        <v>12304</v>
      </c>
      <c r="F35" s="354">
        <v>675.5672920863296</v>
      </c>
      <c r="G35" s="354">
        <v>1267.2936269790312</v>
      </c>
      <c r="H35" s="354">
        <v>790.017501562984</v>
      </c>
      <c r="I35" s="354">
        <v>3637.194912123542</v>
      </c>
      <c r="J35" s="355">
        <v>137056119</v>
      </c>
      <c r="K35" s="355">
        <v>104080.64039774667</v>
      </c>
      <c r="L35" s="355">
        <v>0</v>
      </c>
      <c r="M35" s="355">
        <v>0</v>
      </c>
      <c r="N35" s="355">
        <v>0</v>
      </c>
      <c r="O35" s="355">
        <v>0</v>
      </c>
      <c r="P35" s="355">
        <v>0</v>
      </c>
      <c r="Q35" s="355">
        <v>0</v>
      </c>
      <c r="R35" s="355">
        <v>0</v>
      </c>
      <c r="S35" s="355">
        <v>0</v>
      </c>
      <c r="T35" s="355">
        <v>0</v>
      </c>
    </row>
    <row r="36" spans="2:20" ht="12.75">
      <c r="B36" s="356" t="s">
        <v>725</v>
      </c>
      <c r="C36" s="166">
        <v>28226</v>
      </c>
      <c r="D36" s="166">
        <v>28226</v>
      </c>
      <c r="E36" s="166">
        <v>28226</v>
      </c>
      <c r="F36" s="354">
        <v>728.7411658955984</v>
      </c>
      <c r="G36" s="354">
        <v>1236.842039843683</v>
      </c>
      <c r="H36" s="354">
        <v>717.4077689009478</v>
      </c>
      <c r="I36" s="354">
        <v>3377.4164412159344</v>
      </c>
      <c r="J36" s="355">
        <v>210655800</v>
      </c>
      <c r="K36" s="355">
        <v>138907.75801295644</v>
      </c>
      <c r="L36" s="355">
        <v>11619.5728</v>
      </c>
      <c r="M36" s="355">
        <v>0</v>
      </c>
      <c r="N36" s="355">
        <v>0</v>
      </c>
      <c r="O36" s="355">
        <v>0</v>
      </c>
      <c r="P36" s="355">
        <v>0</v>
      </c>
      <c r="Q36" s="355">
        <v>0</v>
      </c>
      <c r="R36" s="355">
        <v>0</v>
      </c>
      <c r="S36" s="355">
        <v>0</v>
      </c>
      <c r="T36" s="355">
        <v>0</v>
      </c>
    </row>
    <row r="37" spans="2:20" ht="12.75">
      <c r="B37" s="356" t="s">
        <v>726</v>
      </c>
      <c r="C37" s="166">
        <v>4619</v>
      </c>
      <c r="D37" s="166">
        <v>4619</v>
      </c>
      <c r="E37" s="166">
        <v>4619</v>
      </c>
      <c r="F37" s="354">
        <v>503.5457317627948</v>
      </c>
      <c r="G37" s="354">
        <v>956.3200361284138</v>
      </c>
      <c r="H37" s="354">
        <v>630.4826147790409</v>
      </c>
      <c r="I37" s="354">
        <v>3157.10233508052</v>
      </c>
      <c r="J37" s="355">
        <v>15845417</v>
      </c>
      <c r="K37" s="355">
        <v>46724.150295892236</v>
      </c>
      <c r="L37" s="355">
        <v>1036.8548999999998</v>
      </c>
      <c r="M37" s="355">
        <v>0</v>
      </c>
      <c r="N37" s="355">
        <v>0</v>
      </c>
      <c r="O37" s="355">
        <v>0</v>
      </c>
      <c r="P37" s="355">
        <v>0</v>
      </c>
      <c r="Q37" s="355">
        <v>0</v>
      </c>
      <c r="R37" s="355">
        <v>0</v>
      </c>
      <c r="S37" s="355">
        <v>0</v>
      </c>
      <c r="T37" s="355">
        <v>0</v>
      </c>
    </row>
    <row r="38" spans="2:20" ht="12.75">
      <c r="B38" s="356" t="s">
        <v>727</v>
      </c>
      <c r="C38" s="166">
        <v>8307</v>
      </c>
      <c r="D38" s="166">
        <v>8307.5</v>
      </c>
      <c r="E38" s="166">
        <v>8307</v>
      </c>
      <c r="F38" s="354">
        <v>555.7508242770122</v>
      </c>
      <c r="G38" s="354">
        <v>998.7283183368281</v>
      </c>
      <c r="H38" s="354">
        <v>593.735870527593</v>
      </c>
      <c r="I38" s="354">
        <v>3284.2787871746764</v>
      </c>
      <c r="J38" s="355">
        <v>84606578</v>
      </c>
      <c r="K38" s="355">
        <v>79261.69677663548</v>
      </c>
      <c r="L38" s="355">
        <v>2607.7303</v>
      </c>
      <c r="M38" s="355">
        <v>0</v>
      </c>
      <c r="N38" s="355">
        <v>0</v>
      </c>
      <c r="O38" s="355">
        <v>85</v>
      </c>
      <c r="P38" s="355">
        <v>0</v>
      </c>
      <c r="Q38" s="355">
        <v>0</v>
      </c>
      <c r="R38" s="355">
        <v>0</v>
      </c>
      <c r="S38" s="355">
        <v>0</v>
      </c>
      <c r="T38" s="355">
        <v>0</v>
      </c>
    </row>
    <row r="39" spans="2:20" ht="12.75">
      <c r="B39" s="356" t="s">
        <v>728</v>
      </c>
      <c r="C39" s="166">
        <v>7364</v>
      </c>
      <c r="D39" s="166">
        <v>7405.23</v>
      </c>
      <c r="E39" s="166">
        <v>7364</v>
      </c>
      <c r="F39" s="354">
        <v>573.0145545269498</v>
      </c>
      <c r="G39" s="354">
        <v>1048.7298425231666</v>
      </c>
      <c r="H39" s="354">
        <v>691.0943302295414</v>
      </c>
      <c r="I39" s="354">
        <v>4223.580270181498</v>
      </c>
      <c r="J39" s="355">
        <v>10473256</v>
      </c>
      <c r="K39" s="355">
        <v>44182.0620632701</v>
      </c>
      <c r="L39" s="355">
        <v>821.5624</v>
      </c>
      <c r="M39" s="355">
        <v>0</v>
      </c>
      <c r="N39" s="355">
        <v>0</v>
      </c>
      <c r="O39" s="355">
        <v>0</v>
      </c>
      <c r="P39" s="355">
        <v>0</v>
      </c>
      <c r="Q39" s="355">
        <v>0</v>
      </c>
      <c r="R39" s="355">
        <v>0</v>
      </c>
      <c r="S39" s="355">
        <v>0</v>
      </c>
      <c r="T39" s="355">
        <v>0</v>
      </c>
    </row>
    <row r="40" spans="2:20" ht="12.75">
      <c r="B40" s="356" t="s">
        <v>729</v>
      </c>
      <c r="C40" s="166">
        <v>23890</v>
      </c>
      <c r="D40" s="166">
        <v>23890</v>
      </c>
      <c r="E40" s="166">
        <v>23297</v>
      </c>
      <c r="F40" s="354">
        <v>1124.1508074190724</v>
      </c>
      <c r="G40" s="354">
        <v>1593.22</v>
      </c>
      <c r="H40" s="354">
        <v>1021.763464850903</v>
      </c>
      <c r="I40" s="354">
        <v>4864.719929607429</v>
      </c>
      <c r="J40" s="355">
        <v>548155521</v>
      </c>
      <c r="K40" s="355">
        <v>298611.47301095334</v>
      </c>
      <c r="L40" s="355">
        <v>2040.8391000000004</v>
      </c>
      <c r="M40" s="355">
        <v>0</v>
      </c>
      <c r="N40" s="355">
        <v>6824382</v>
      </c>
      <c r="O40" s="355">
        <v>2718480</v>
      </c>
      <c r="P40" s="355">
        <v>295500</v>
      </c>
      <c r="Q40" s="355">
        <v>750</v>
      </c>
      <c r="R40" s="355">
        <v>1969741</v>
      </c>
      <c r="S40" s="355">
        <v>0</v>
      </c>
      <c r="T40" s="355">
        <v>0</v>
      </c>
    </row>
    <row r="41" spans="2:20" ht="12.75">
      <c r="B41" s="356" t="s">
        <v>730</v>
      </c>
      <c r="C41" s="166">
        <v>5482</v>
      </c>
      <c r="D41" s="166">
        <v>5482</v>
      </c>
      <c r="E41" s="166">
        <v>5482</v>
      </c>
      <c r="F41" s="354">
        <v>519.5466537909717</v>
      </c>
      <c r="G41" s="354">
        <v>928.1527336416577</v>
      </c>
      <c r="H41" s="354">
        <v>600.8302321961299</v>
      </c>
      <c r="I41" s="354">
        <v>3213.0296687949353</v>
      </c>
      <c r="J41" s="355">
        <v>25783535</v>
      </c>
      <c r="K41" s="355">
        <v>51426.83378252085</v>
      </c>
      <c r="L41" s="355">
        <v>1831.2</v>
      </c>
      <c r="M41" s="355">
        <v>0</v>
      </c>
      <c r="N41" s="355">
        <v>0</v>
      </c>
      <c r="O41" s="355">
        <v>0</v>
      </c>
      <c r="P41" s="355">
        <v>0</v>
      </c>
      <c r="Q41" s="355">
        <v>0</v>
      </c>
      <c r="R41" s="355">
        <v>0</v>
      </c>
      <c r="S41" s="355">
        <v>0</v>
      </c>
      <c r="T41" s="355">
        <v>0</v>
      </c>
    </row>
    <row r="42" spans="2:20" ht="12.75">
      <c r="B42" s="356" t="s">
        <v>731</v>
      </c>
      <c r="C42" s="166">
        <v>5207</v>
      </c>
      <c r="D42" s="166">
        <v>5214</v>
      </c>
      <c r="E42" s="166">
        <v>5207</v>
      </c>
      <c r="F42" s="354">
        <v>525.444919665646</v>
      </c>
      <c r="G42" s="354">
        <v>1143.2479224741442</v>
      </c>
      <c r="H42" s="354">
        <v>749.5322674094498</v>
      </c>
      <c r="I42" s="354">
        <v>3866.733725874085</v>
      </c>
      <c r="J42" s="355">
        <v>15843422</v>
      </c>
      <c r="K42" s="355">
        <v>46723.20626870763</v>
      </c>
      <c r="L42" s="355">
        <v>1264.5561</v>
      </c>
      <c r="M42" s="355">
        <v>0</v>
      </c>
      <c r="N42" s="355">
        <v>0</v>
      </c>
      <c r="O42" s="355">
        <v>0</v>
      </c>
      <c r="P42" s="355">
        <v>0</v>
      </c>
      <c r="Q42" s="355">
        <v>0</v>
      </c>
      <c r="R42" s="355">
        <v>0</v>
      </c>
      <c r="S42" s="355">
        <v>0</v>
      </c>
      <c r="T42" s="355">
        <v>0</v>
      </c>
    </row>
    <row r="43" spans="2:20" ht="12.75">
      <c r="B43" s="356" t="s">
        <v>732</v>
      </c>
      <c r="C43" s="166">
        <v>1537</v>
      </c>
      <c r="D43" s="166">
        <v>1537</v>
      </c>
      <c r="E43" s="166">
        <v>1537</v>
      </c>
      <c r="F43" s="354">
        <v>503.50492040267625</v>
      </c>
      <c r="G43" s="354">
        <v>1015.4672106760445</v>
      </c>
      <c r="H43" s="354">
        <v>748.1623539211937</v>
      </c>
      <c r="I43" s="354">
        <v>3896.519521394977</v>
      </c>
      <c r="J43" s="355">
        <v>1018448</v>
      </c>
      <c r="K43" s="355">
        <v>39708.07921753975</v>
      </c>
      <c r="L43" s="355">
        <v>0</v>
      </c>
      <c r="M43" s="355">
        <v>0</v>
      </c>
      <c r="N43" s="355">
        <v>0</v>
      </c>
      <c r="O43" s="355">
        <v>0</v>
      </c>
      <c r="P43" s="355">
        <v>0</v>
      </c>
      <c r="Q43" s="355">
        <v>0</v>
      </c>
      <c r="R43" s="355">
        <v>0</v>
      </c>
      <c r="S43" s="355">
        <v>0</v>
      </c>
      <c r="T43" s="355">
        <v>0</v>
      </c>
    </row>
    <row r="44" spans="2:20" ht="12.75">
      <c r="B44" s="356" t="s">
        <v>733</v>
      </c>
      <c r="C44" s="166">
        <v>5215</v>
      </c>
      <c r="D44" s="166">
        <v>5215</v>
      </c>
      <c r="E44" s="166">
        <v>5215</v>
      </c>
      <c r="F44" s="354">
        <v>521.6734112958264</v>
      </c>
      <c r="G44" s="354">
        <v>1090.873979253958</v>
      </c>
      <c r="H44" s="354">
        <v>725.253793420837</v>
      </c>
      <c r="I44" s="354">
        <v>4326.492084612704</v>
      </c>
      <c r="J44" s="355">
        <v>-2964034</v>
      </c>
      <c r="K44" s="355">
        <v>0</v>
      </c>
      <c r="L44" s="355">
        <v>1338</v>
      </c>
      <c r="M44" s="355">
        <v>0</v>
      </c>
      <c r="N44" s="355">
        <v>0</v>
      </c>
      <c r="O44" s="355">
        <v>0</v>
      </c>
      <c r="P44" s="355">
        <v>0</v>
      </c>
      <c r="Q44" s="355">
        <v>0</v>
      </c>
      <c r="R44" s="355">
        <v>0</v>
      </c>
      <c r="S44" s="355">
        <v>0</v>
      </c>
      <c r="T44" s="355">
        <v>0</v>
      </c>
    </row>
    <row r="45" spans="2:20" ht="12.75">
      <c r="B45" s="356" t="s">
        <v>734</v>
      </c>
      <c r="C45" s="166">
        <v>5845</v>
      </c>
      <c r="D45" s="166">
        <v>5845.5</v>
      </c>
      <c r="E45" s="166">
        <v>5845</v>
      </c>
      <c r="F45" s="354">
        <v>555.2973032313251</v>
      </c>
      <c r="G45" s="354">
        <v>1020.6391929623846</v>
      </c>
      <c r="H45" s="354">
        <v>643.1659440144854</v>
      </c>
      <c r="I45" s="354">
        <v>3227.0526440887297</v>
      </c>
      <c r="J45" s="355">
        <v>6027049</v>
      </c>
      <c r="K45" s="355">
        <v>42078.13210016919</v>
      </c>
      <c r="L45" s="355">
        <v>2603.3832</v>
      </c>
      <c r="M45" s="355">
        <v>0</v>
      </c>
      <c r="N45" s="355">
        <v>0</v>
      </c>
      <c r="O45" s="355">
        <v>0</v>
      </c>
      <c r="P45" s="355">
        <v>0</v>
      </c>
      <c r="Q45" s="355">
        <v>0</v>
      </c>
      <c r="R45" s="355">
        <v>0</v>
      </c>
      <c r="S45" s="355">
        <v>0</v>
      </c>
      <c r="T45" s="355">
        <v>0</v>
      </c>
    </row>
    <row r="46" spans="2:20" ht="12.75">
      <c r="B46" s="356" t="s">
        <v>735</v>
      </c>
      <c r="C46" s="166">
        <v>4582</v>
      </c>
      <c r="D46" s="166">
        <v>4601</v>
      </c>
      <c r="E46" s="166">
        <v>4582</v>
      </c>
      <c r="F46" s="354">
        <v>619.2794119005175</v>
      </c>
      <c r="G46" s="354">
        <v>1239.276612131999</v>
      </c>
      <c r="H46" s="354">
        <v>703.1593966585864</v>
      </c>
      <c r="I46" s="354">
        <v>3523.4956398145932</v>
      </c>
      <c r="J46" s="355">
        <v>25446847</v>
      </c>
      <c r="K46" s="355">
        <v>51267.51417112702</v>
      </c>
      <c r="L46" s="355">
        <v>4819.1358</v>
      </c>
      <c r="M46" s="355">
        <v>0</v>
      </c>
      <c r="N46" s="355">
        <v>0</v>
      </c>
      <c r="O46" s="355">
        <v>0</v>
      </c>
      <c r="P46" s="355">
        <v>0</v>
      </c>
      <c r="Q46" s="355">
        <v>0</v>
      </c>
      <c r="R46" s="355">
        <v>0</v>
      </c>
      <c r="S46" s="355">
        <v>0</v>
      </c>
      <c r="T46" s="355">
        <v>0</v>
      </c>
    </row>
    <row r="47" spans="2:20" ht="12.75">
      <c r="B47" s="356" t="s">
        <v>736</v>
      </c>
      <c r="C47" s="166">
        <v>5667</v>
      </c>
      <c r="D47" s="166">
        <v>5667</v>
      </c>
      <c r="E47" s="166">
        <v>5667</v>
      </c>
      <c r="F47" s="354">
        <v>525.1815690887738</v>
      </c>
      <c r="G47" s="354">
        <v>998.8776193905702</v>
      </c>
      <c r="H47" s="354">
        <v>625.1947909553822</v>
      </c>
      <c r="I47" s="354">
        <v>3266.911485506174</v>
      </c>
      <c r="J47" s="355">
        <v>15977610</v>
      </c>
      <c r="K47" s="355">
        <v>46786.70357188956</v>
      </c>
      <c r="L47" s="355">
        <v>1184.391</v>
      </c>
      <c r="M47" s="355">
        <v>0</v>
      </c>
      <c r="N47" s="355">
        <v>0</v>
      </c>
      <c r="O47" s="355">
        <v>0</v>
      </c>
      <c r="P47" s="355">
        <v>0</v>
      </c>
      <c r="Q47" s="355">
        <v>0</v>
      </c>
      <c r="R47" s="355">
        <v>0</v>
      </c>
      <c r="S47" s="355">
        <v>0</v>
      </c>
      <c r="T47" s="355">
        <v>0</v>
      </c>
    </row>
    <row r="48" spans="2:20" ht="12.75">
      <c r="B48" s="356" t="s">
        <v>737</v>
      </c>
      <c r="C48" s="166">
        <v>9737</v>
      </c>
      <c r="D48" s="166">
        <v>9737</v>
      </c>
      <c r="E48" s="166">
        <v>9737</v>
      </c>
      <c r="F48" s="354">
        <v>605.199790954974</v>
      </c>
      <c r="G48" s="354">
        <v>1070.9815448047277</v>
      </c>
      <c r="H48" s="354">
        <v>611.1197994301507</v>
      </c>
      <c r="I48" s="354">
        <v>3248.8900873290077</v>
      </c>
      <c r="J48" s="355">
        <v>38442454</v>
      </c>
      <c r="K48" s="355">
        <v>57416.99100744705</v>
      </c>
      <c r="L48" s="355">
        <v>1306.6452000000002</v>
      </c>
      <c r="M48" s="355">
        <v>0</v>
      </c>
      <c r="N48" s="355">
        <v>0</v>
      </c>
      <c r="O48" s="355">
        <v>0</v>
      </c>
      <c r="P48" s="355">
        <v>0</v>
      </c>
      <c r="Q48" s="355">
        <v>0</v>
      </c>
      <c r="R48" s="355">
        <v>0</v>
      </c>
      <c r="S48" s="355">
        <v>0</v>
      </c>
      <c r="T48" s="355">
        <v>0</v>
      </c>
    </row>
    <row r="49" spans="2:20" ht="12.75">
      <c r="B49" s="356" t="s">
        <v>426</v>
      </c>
      <c r="C49" s="166">
        <v>1887</v>
      </c>
      <c r="D49" s="166">
        <v>1887</v>
      </c>
      <c r="E49" s="166">
        <v>1887</v>
      </c>
      <c r="F49" s="354">
        <v>1704.327485131114</v>
      </c>
      <c r="G49" s="354">
        <v>1469.9181757229449</v>
      </c>
      <c r="H49" s="354">
        <v>1068.2006966159784</v>
      </c>
      <c r="I49" s="354">
        <v>4709.67198971198</v>
      </c>
      <c r="J49" s="355">
        <v>14093928</v>
      </c>
      <c r="K49" s="355">
        <v>45895.35168459464</v>
      </c>
      <c r="L49" s="355">
        <v>85.248</v>
      </c>
      <c r="M49" s="355">
        <v>0</v>
      </c>
      <c r="N49" s="355">
        <v>0</v>
      </c>
      <c r="O49" s="355">
        <v>0</v>
      </c>
      <c r="P49" s="355">
        <v>0</v>
      </c>
      <c r="Q49" s="355">
        <v>0</v>
      </c>
      <c r="R49" s="355">
        <v>0</v>
      </c>
      <c r="S49" s="355">
        <v>0</v>
      </c>
      <c r="T49" s="355">
        <v>0</v>
      </c>
    </row>
    <row r="50" spans="2:20" ht="12.75">
      <c r="B50" s="356" t="s">
        <v>738</v>
      </c>
      <c r="C50" s="166">
        <v>7955</v>
      </c>
      <c r="D50" s="166">
        <v>7955</v>
      </c>
      <c r="E50" s="166">
        <v>7955</v>
      </c>
      <c r="F50" s="354">
        <v>515.7079608608823</v>
      </c>
      <c r="G50" s="354">
        <v>1096.1755019808274</v>
      </c>
      <c r="H50" s="354">
        <v>648.013533224809</v>
      </c>
      <c r="I50" s="354">
        <v>3442.5225998473747</v>
      </c>
      <c r="J50" s="355">
        <v>23811616</v>
      </c>
      <c r="K50" s="355">
        <v>50493.72844826448</v>
      </c>
      <c r="L50" s="355">
        <v>652.7688</v>
      </c>
      <c r="M50" s="355">
        <v>0</v>
      </c>
      <c r="N50" s="355">
        <v>0</v>
      </c>
      <c r="O50" s="355">
        <v>0</v>
      </c>
      <c r="P50" s="355">
        <v>0</v>
      </c>
      <c r="Q50" s="355">
        <v>0</v>
      </c>
      <c r="R50" s="355">
        <v>0</v>
      </c>
      <c r="S50" s="355">
        <v>0</v>
      </c>
      <c r="T50" s="355">
        <v>0</v>
      </c>
    </row>
    <row r="51" spans="2:20" ht="12.75">
      <c r="B51" s="356" t="s">
        <v>739</v>
      </c>
      <c r="C51" s="166">
        <v>6303</v>
      </c>
      <c r="D51" s="166">
        <v>6310.25</v>
      </c>
      <c r="E51" s="166">
        <v>6303</v>
      </c>
      <c r="F51" s="354">
        <v>559.0435671208488</v>
      </c>
      <c r="G51" s="354">
        <v>1092.7191035300746</v>
      </c>
      <c r="H51" s="354">
        <v>726.8544884375985</v>
      </c>
      <c r="I51" s="354">
        <v>3778.392845238078</v>
      </c>
      <c r="J51" s="355">
        <v>66580666</v>
      </c>
      <c r="K51" s="355">
        <v>70731.89679903202</v>
      </c>
      <c r="L51" s="355">
        <v>3899.0335999999998</v>
      </c>
      <c r="M51" s="355">
        <v>0</v>
      </c>
      <c r="N51" s="355">
        <v>0</v>
      </c>
      <c r="O51" s="355">
        <v>0</v>
      </c>
      <c r="P51" s="355">
        <v>0</v>
      </c>
      <c r="Q51" s="355">
        <v>0</v>
      </c>
      <c r="R51" s="355">
        <v>0</v>
      </c>
      <c r="S51" s="355">
        <v>0</v>
      </c>
      <c r="T51" s="355">
        <v>0</v>
      </c>
    </row>
    <row r="52" spans="2:20" ht="12.75">
      <c r="B52" s="356" t="s">
        <v>740</v>
      </c>
      <c r="C52" s="166">
        <v>4776</v>
      </c>
      <c r="D52" s="166">
        <v>4776</v>
      </c>
      <c r="E52" s="166">
        <v>4776</v>
      </c>
      <c r="F52" s="354">
        <v>605.3550895707979</v>
      </c>
      <c r="G52" s="354">
        <v>1098.9550763475872</v>
      </c>
      <c r="H52" s="354">
        <v>662.7252082869913</v>
      </c>
      <c r="I52" s="354">
        <v>3350.703585735328</v>
      </c>
      <c r="J52" s="355">
        <v>1339580</v>
      </c>
      <c r="K52" s="355">
        <v>39860.03778287657</v>
      </c>
      <c r="L52" s="355">
        <v>2060.3025000000002</v>
      </c>
      <c r="M52" s="355">
        <v>0</v>
      </c>
      <c r="N52" s="355">
        <v>0</v>
      </c>
      <c r="O52" s="355">
        <v>0</v>
      </c>
      <c r="P52" s="355">
        <v>0</v>
      </c>
      <c r="Q52" s="355">
        <v>0</v>
      </c>
      <c r="R52" s="355">
        <v>0</v>
      </c>
      <c r="S52" s="355">
        <v>0</v>
      </c>
      <c r="T52" s="355">
        <v>0</v>
      </c>
    </row>
    <row r="53" spans="2:20" ht="12.75">
      <c r="B53" s="356" t="s">
        <v>741</v>
      </c>
      <c r="C53" s="166">
        <v>10542</v>
      </c>
      <c r="D53" s="166">
        <v>10542</v>
      </c>
      <c r="E53" s="166">
        <v>10542</v>
      </c>
      <c r="F53" s="354">
        <v>501.74952940853285</v>
      </c>
      <c r="G53" s="354">
        <v>975.0030395991744</v>
      </c>
      <c r="H53" s="354">
        <v>661.5122323991143</v>
      </c>
      <c r="I53" s="354">
        <v>3138.8256151996775</v>
      </c>
      <c r="J53" s="355">
        <v>44512980</v>
      </c>
      <c r="K53" s="355">
        <v>60289.54317228848</v>
      </c>
      <c r="L53" s="355">
        <v>3014.802</v>
      </c>
      <c r="M53" s="355">
        <v>0</v>
      </c>
      <c r="N53" s="355">
        <v>0</v>
      </c>
      <c r="O53" s="355">
        <v>0</v>
      </c>
      <c r="P53" s="355">
        <v>0</v>
      </c>
      <c r="Q53" s="355">
        <v>0</v>
      </c>
      <c r="R53" s="355">
        <v>0</v>
      </c>
      <c r="S53" s="355">
        <v>0</v>
      </c>
      <c r="T53" s="355">
        <v>0</v>
      </c>
    </row>
    <row r="54" spans="2:20" ht="12.75">
      <c r="B54" s="356" t="s">
        <v>742</v>
      </c>
      <c r="C54" s="166">
        <v>8086</v>
      </c>
      <c r="D54" s="166">
        <v>8177.18</v>
      </c>
      <c r="E54" s="166">
        <v>8086</v>
      </c>
      <c r="F54" s="354">
        <v>587.8644945015998</v>
      </c>
      <c r="G54" s="354">
        <v>1048.7618219687156</v>
      </c>
      <c r="H54" s="354">
        <v>740.3603298436401</v>
      </c>
      <c r="I54" s="354">
        <v>4471.020285723857</v>
      </c>
      <c r="J54" s="355">
        <v>2776148</v>
      </c>
      <c r="K54" s="355">
        <v>40539.816852819094</v>
      </c>
      <c r="L54" s="355">
        <v>4563.164400000001</v>
      </c>
      <c r="M54" s="355">
        <v>0</v>
      </c>
      <c r="N54" s="355">
        <v>0</v>
      </c>
      <c r="O54" s="355">
        <v>0</v>
      </c>
      <c r="P54" s="355">
        <v>0</v>
      </c>
      <c r="Q54" s="355">
        <v>0</v>
      </c>
      <c r="R54" s="355">
        <v>0</v>
      </c>
      <c r="S54" s="355">
        <v>0</v>
      </c>
      <c r="T54" s="355">
        <v>0</v>
      </c>
    </row>
    <row r="55" spans="2:20" ht="12.75">
      <c r="B55" s="356" t="s">
        <v>743</v>
      </c>
      <c r="C55" s="166">
        <v>14054</v>
      </c>
      <c r="D55" s="166">
        <v>14058</v>
      </c>
      <c r="E55" s="166">
        <v>14054</v>
      </c>
      <c r="F55" s="354">
        <v>721.2357412731035</v>
      </c>
      <c r="G55" s="354">
        <v>1388.5820926650558</v>
      </c>
      <c r="H55" s="354">
        <v>851.801574287165</v>
      </c>
      <c r="I55" s="354">
        <v>4593.91856952827</v>
      </c>
      <c r="J55" s="355">
        <v>105015942.6</v>
      </c>
      <c r="K55" s="355">
        <v>88919.33838211879</v>
      </c>
      <c r="L55" s="355">
        <v>8134.6239</v>
      </c>
      <c r="M55" s="355">
        <v>0</v>
      </c>
      <c r="N55" s="355">
        <v>0</v>
      </c>
      <c r="O55" s="355">
        <v>0</v>
      </c>
      <c r="P55" s="355">
        <v>0</v>
      </c>
      <c r="Q55" s="355">
        <v>0</v>
      </c>
      <c r="R55" s="355">
        <v>0</v>
      </c>
      <c r="S55" s="355">
        <v>0</v>
      </c>
      <c r="T55" s="355">
        <v>0</v>
      </c>
    </row>
    <row r="56" spans="2:20" ht="12.75">
      <c r="B56" s="356" t="s">
        <v>744</v>
      </c>
      <c r="C56" s="166">
        <v>10620</v>
      </c>
      <c r="D56" s="166">
        <v>10620.25</v>
      </c>
      <c r="E56" s="166">
        <v>10620</v>
      </c>
      <c r="F56" s="354">
        <v>508.50824277060957</v>
      </c>
      <c r="G56" s="354">
        <v>1120.1379390924862</v>
      </c>
      <c r="H56" s="354">
        <v>775.5786752191786</v>
      </c>
      <c r="I56" s="354">
        <v>4399.362927335006</v>
      </c>
      <c r="J56" s="355">
        <v>-5880604</v>
      </c>
      <c r="K56" s="355">
        <v>0</v>
      </c>
      <c r="L56" s="355">
        <v>3443</v>
      </c>
      <c r="M56" s="355">
        <v>0</v>
      </c>
      <c r="N56" s="355">
        <v>0</v>
      </c>
      <c r="O56" s="355">
        <v>0</v>
      </c>
      <c r="P56" s="355">
        <v>0</v>
      </c>
      <c r="Q56" s="355">
        <v>0</v>
      </c>
      <c r="R56" s="355">
        <v>0</v>
      </c>
      <c r="S56" s="355">
        <v>0</v>
      </c>
      <c r="T56" s="355">
        <v>0</v>
      </c>
    </row>
    <row r="57" spans="2:20" ht="12.75">
      <c r="B57" s="356" t="s">
        <v>745</v>
      </c>
      <c r="C57" s="166">
        <v>5453</v>
      </c>
      <c r="D57" s="166">
        <v>5453</v>
      </c>
      <c r="E57" s="166">
        <v>5453</v>
      </c>
      <c r="F57" s="354">
        <v>592.0488492816825</v>
      </c>
      <c r="G57" s="354">
        <v>1084.2629944664595</v>
      </c>
      <c r="H57" s="354">
        <v>692.005070921798</v>
      </c>
      <c r="I57" s="354">
        <v>3053.120763529084</v>
      </c>
      <c r="J57" s="355">
        <v>32714490</v>
      </c>
      <c r="K57" s="355">
        <v>54706.53801073247</v>
      </c>
      <c r="L57" s="355">
        <v>782.6831999999999</v>
      </c>
      <c r="M57" s="355">
        <v>0</v>
      </c>
      <c r="N57" s="355">
        <v>0</v>
      </c>
      <c r="O57" s="355">
        <v>0</v>
      </c>
      <c r="P57" s="355">
        <v>0</v>
      </c>
      <c r="Q57" s="355">
        <v>0</v>
      </c>
      <c r="R57" s="355">
        <v>0</v>
      </c>
      <c r="S57" s="355">
        <v>0</v>
      </c>
      <c r="T57" s="355">
        <v>0</v>
      </c>
    </row>
    <row r="58" spans="2:20" ht="12.75">
      <c r="B58" s="356" t="s">
        <v>746</v>
      </c>
      <c r="C58" s="166">
        <v>4344</v>
      </c>
      <c r="D58" s="166">
        <v>4344.25</v>
      </c>
      <c r="E58" s="166">
        <v>4344</v>
      </c>
      <c r="F58" s="354">
        <v>600.8221966290172</v>
      </c>
      <c r="G58" s="354">
        <v>1193.0813684567943</v>
      </c>
      <c r="H58" s="354">
        <v>733.3498847393344</v>
      </c>
      <c r="I58" s="354">
        <v>3949.010168987063</v>
      </c>
      <c r="J58" s="355">
        <v>-817540</v>
      </c>
      <c r="K58" s="355">
        <v>0</v>
      </c>
      <c r="L58" s="355">
        <v>2032.935</v>
      </c>
      <c r="M58" s="355">
        <v>0</v>
      </c>
      <c r="N58" s="355">
        <v>0</v>
      </c>
      <c r="O58" s="355">
        <v>0</v>
      </c>
      <c r="P58" s="355">
        <v>0</v>
      </c>
      <c r="Q58" s="355">
        <v>0</v>
      </c>
      <c r="R58" s="355">
        <v>0</v>
      </c>
      <c r="S58" s="355">
        <v>0</v>
      </c>
      <c r="T58" s="355">
        <v>0</v>
      </c>
    </row>
    <row r="59" spans="2:20" ht="12.75">
      <c r="B59" s="356" t="s">
        <v>747</v>
      </c>
      <c r="C59" s="166">
        <v>13551</v>
      </c>
      <c r="D59" s="166">
        <v>13575</v>
      </c>
      <c r="E59" s="166">
        <v>13551</v>
      </c>
      <c r="F59" s="354">
        <v>596.5706934280583</v>
      </c>
      <c r="G59" s="354">
        <v>1023.0022438490672</v>
      </c>
      <c r="H59" s="354">
        <v>587.1126209190647</v>
      </c>
      <c r="I59" s="354">
        <v>3302.8290631372947</v>
      </c>
      <c r="J59" s="355">
        <v>208440305</v>
      </c>
      <c r="K59" s="355">
        <v>137859.39334761354</v>
      </c>
      <c r="L59" s="355">
        <v>2677.8895</v>
      </c>
      <c r="M59" s="355">
        <v>0</v>
      </c>
      <c r="N59" s="355">
        <v>0</v>
      </c>
      <c r="O59" s="355">
        <v>0</v>
      </c>
      <c r="P59" s="355">
        <v>0</v>
      </c>
      <c r="Q59" s="355">
        <v>0</v>
      </c>
      <c r="R59" s="355">
        <v>0</v>
      </c>
      <c r="S59" s="355">
        <v>0</v>
      </c>
      <c r="T59" s="355">
        <v>0</v>
      </c>
    </row>
    <row r="60" spans="2:20" ht="12.75">
      <c r="B60" s="356" t="s">
        <v>748</v>
      </c>
      <c r="C60" s="166">
        <v>20780</v>
      </c>
      <c r="D60" s="166">
        <v>20780</v>
      </c>
      <c r="E60" s="166">
        <v>20780</v>
      </c>
      <c r="F60" s="354">
        <v>599.8490492060951</v>
      </c>
      <c r="G60" s="354">
        <v>1090.150595050087</v>
      </c>
      <c r="H60" s="354">
        <v>604.540693291174</v>
      </c>
      <c r="I60" s="354">
        <v>3066.6080109387503</v>
      </c>
      <c r="J60" s="355">
        <v>313772605</v>
      </c>
      <c r="K60" s="355">
        <v>187702.2778674603</v>
      </c>
      <c r="L60" s="355">
        <v>1843.4748</v>
      </c>
      <c r="M60" s="355">
        <v>0</v>
      </c>
      <c r="N60" s="355">
        <v>0</v>
      </c>
      <c r="O60" s="355">
        <v>0</v>
      </c>
      <c r="P60" s="355">
        <v>0</v>
      </c>
      <c r="Q60" s="355">
        <v>0</v>
      </c>
      <c r="R60" s="355">
        <v>0</v>
      </c>
      <c r="S60" s="355">
        <v>0</v>
      </c>
      <c r="T60" s="355">
        <v>0</v>
      </c>
    </row>
    <row r="61" spans="2:20" ht="12.75">
      <c r="B61" s="356" t="s">
        <v>749</v>
      </c>
      <c r="C61" s="166">
        <v>4471</v>
      </c>
      <c r="D61" s="166">
        <v>4471</v>
      </c>
      <c r="E61" s="166">
        <v>4471</v>
      </c>
      <c r="F61" s="354">
        <v>493.0456454215446</v>
      </c>
      <c r="G61" s="354">
        <v>1064.4111143268633</v>
      </c>
      <c r="H61" s="354">
        <v>717.5572686170837</v>
      </c>
      <c r="I61" s="354">
        <v>3706.9734500562336</v>
      </c>
      <c r="J61" s="355">
        <v>304903</v>
      </c>
      <c r="K61" s="355">
        <v>39370.432161178935</v>
      </c>
      <c r="L61" s="355">
        <v>0</v>
      </c>
      <c r="M61" s="355">
        <v>0</v>
      </c>
      <c r="N61" s="355">
        <v>0</v>
      </c>
      <c r="O61" s="355">
        <v>0</v>
      </c>
      <c r="P61" s="355">
        <v>0</v>
      </c>
      <c r="Q61" s="355">
        <v>0</v>
      </c>
      <c r="R61" s="355">
        <v>0</v>
      </c>
      <c r="S61" s="355">
        <v>0</v>
      </c>
      <c r="T61" s="355">
        <v>0</v>
      </c>
    </row>
    <row r="62" spans="2:20" ht="12.75">
      <c r="B62" s="356" t="s">
        <v>750</v>
      </c>
      <c r="C62" s="166">
        <v>23048</v>
      </c>
      <c r="D62" s="166">
        <v>23048</v>
      </c>
      <c r="E62" s="166">
        <v>23048</v>
      </c>
      <c r="F62" s="354">
        <v>546.0346630400066</v>
      </c>
      <c r="G62" s="354">
        <v>1063.508166152779</v>
      </c>
      <c r="H62" s="354">
        <v>626.5093114769228</v>
      </c>
      <c r="I62" s="354">
        <v>3547.420155207808</v>
      </c>
      <c r="J62" s="355">
        <v>97361228</v>
      </c>
      <c r="K62" s="355">
        <v>85297.15358372185</v>
      </c>
      <c r="L62" s="355">
        <v>6612.291</v>
      </c>
      <c r="M62" s="355">
        <v>0</v>
      </c>
      <c r="N62" s="355">
        <v>0</v>
      </c>
      <c r="O62" s="355">
        <v>0</v>
      </c>
      <c r="P62" s="355">
        <v>0</v>
      </c>
      <c r="Q62" s="355">
        <v>0</v>
      </c>
      <c r="R62" s="355">
        <v>0</v>
      </c>
      <c r="S62" s="355">
        <v>0</v>
      </c>
      <c r="T62" s="355">
        <v>0</v>
      </c>
    </row>
    <row r="63" spans="2:20" ht="12.75">
      <c r="B63" s="356" t="s">
        <v>751</v>
      </c>
      <c r="C63" s="166">
        <v>18821</v>
      </c>
      <c r="D63" s="166">
        <v>18822.75</v>
      </c>
      <c r="E63" s="166">
        <v>18821</v>
      </c>
      <c r="F63" s="354">
        <v>559.3119940443113</v>
      </c>
      <c r="G63" s="354">
        <v>1097.7359086929337</v>
      </c>
      <c r="H63" s="354">
        <v>617.809036443156</v>
      </c>
      <c r="I63" s="354">
        <v>2950.9179098047643</v>
      </c>
      <c r="J63" s="355">
        <v>169386645</v>
      </c>
      <c r="K63" s="355">
        <v>119379.33485219133</v>
      </c>
      <c r="L63" s="355">
        <v>1697.1359999999997</v>
      </c>
      <c r="M63" s="355">
        <v>0</v>
      </c>
      <c r="N63" s="355">
        <v>0</v>
      </c>
      <c r="O63" s="355">
        <v>0</v>
      </c>
      <c r="P63" s="355">
        <v>0</v>
      </c>
      <c r="Q63" s="355">
        <v>0</v>
      </c>
      <c r="R63" s="355">
        <v>0</v>
      </c>
      <c r="S63" s="355">
        <v>0</v>
      </c>
      <c r="T63" s="355">
        <v>0</v>
      </c>
    </row>
    <row r="64" spans="2:20" ht="12.75">
      <c r="B64" s="356" t="s">
        <v>752</v>
      </c>
      <c r="C64" s="166">
        <v>13074</v>
      </c>
      <c r="D64" s="166">
        <v>13079</v>
      </c>
      <c r="E64" s="166">
        <v>13074</v>
      </c>
      <c r="F64" s="354">
        <v>857.4285621812743</v>
      </c>
      <c r="G64" s="354">
        <v>1436.588587766002</v>
      </c>
      <c r="H64" s="354">
        <v>891.8449951399589</v>
      </c>
      <c r="I64" s="354">
        <v>4461.50455891971</v>
      </c>
      <c r="J64" s="355">
        <v>398240559.9</v>
      </c>
      <c r="K64" s="355">
        <v>227672.22556354522</v>
      </c>
      <c r="L64" s="355">
        <v>8197.8812</v>
      </c>
      <c r="M64" s="355">
        <v>0</v>
      </c>
      <c r="N64" s="355">
        <v>0</v>
      </c>
      <c r="O64" s="355">
        <v>0</v>
      </c>
      <c r="P64" s="355">
        <v>0</v>
      </c>
      <c r="Q64" s="355">
        <v>0</v>
      </c>
      <c r="R64" s="355">
        <v>0</v>
      </c>
      <c r="S64" s="355">
        <v>0</v>
      </c>
      <c r="T64" s="355">
        <v>0</v>
      </c>
    </row>
    <row r="65" spans="2:20" ht="12.75">
      <c r="B65" s="356" t="s">
        <v>753</v>
      </c>
      <c r="C65" s="166">
        <v>4290</v>
      </c>
      <c r="D65" s="166">
        <v>4290</v>
      </c>
      <c r="E65" s="166">
        <v>4290</v>
      </c>
      <c r="F65" s="354">
        <v>438.70741248821156</v>
      </c>
      <c r="G65" s="354">
        <v>937.1302506015506</v>
      </c>
      <c r="H65" s="354">
        <v>654.2617267537298</v>
      </c>
      <c r="I65" s="354">
        <v>3514.860163603912</v>
      </c>
      <c r="J65" s="355">
        <v>2820871</v>
      </c>
      <c r="K65" s="355">
        <v>40560.9796236347</v>
      </c>
      <c r="L65" s="355">
        <v>224.92180000000002</v>
      </c>
      <c r="M65" s="355">
        <v>0</v>
      </c>
      <c r="N65" s="355">
        <v>0</v>
      </c>
      <c r="O65" s="355">
        <v>0</v>
      </c>
      <c r="P65" s="355">
        <v>0</v>
      </c>
      <c r="Q65" s="355">
        <v>0</v>
      </c>
      <c r="R65" s="355">
        <v>0</v>
      </c>
      <c r="S65" s="355">
        <v>0</v>
      </c>
      <c r="T65" s="355">
        <v>0</v>
      </c>
    </row>
    <row r="66" spans="2:20" ht="12.75">
      <c r="B66" s="356" t="s">
        <v>754</v>
      </c>
      <c r="C66" s="166">
        <v>11006</v>
      </c>
      <c r="D66" s="166">
        <v>11006</v>
      </c>
      <c r="E66" s="166">
        <v>11006</v>
      </c>
      <c r="F66" s="354">
        <v>495.045526465118</v>
      </c>
      <c r="G66" s="354">
        <v>973.9369291435992</v>
      </c>
      <c r="H66" s="354">
        <v>637.2935618316988</v>
      </c>
      <c r="I66" s="354">
        <v>3295.156476790015</v>
      </c>
      <c r="J66" s="355">
        <v>18862415</v>
      </c>
      <c r="K66" s="355">
        <v>48151.78344271053</v>
      </c>
      <c r="L66" s="355">
        <v>2072.06</v>
      </c>
      <c r="M66" s="355">
        <v>0</v>
      </c>
      <c r="N66" s="355">
        <v>0</v>
      </c>
      <c r="O66" s="355">
        <v>0</v>
      </c>
      <c r="P66" s="355">
        <v>0</v>
      </c>
      <c r="Q66" s="355">
        <v>0</v>
      </c>
      <c r="R66" s="355">
        <v>0</v>
      </c>
      <c r="S66" s="355">
        <v>0</v>
      </c>
      <c r="T66" s="355">
        <v>0</v>
      </c>
    </row>
    <row r="67" spans="2:20" ht="12.75">
      <c r="B67" s="356" t="s">
        <v>755</v>
      </c>
      <c r="C67" s="166">
        <v>3713</v>
      </c>
      <c r="D67" s="166">
        <v>3726.38</v>
      </c>
      <c r="E67" s="166">
        <v>3713</v>
      </c>
      <c r="F67" s="354">
        <v>606.8655023783322</v>
      </c>
      <c r="G67" s="354">
        <v>1177.8131768955986</v>
      </c>
      <c r="H67" s="354">
        <v>746.833381227326</v>
      </c>
      <c r="I67" s="354">
        <v>3435.99639960233</v>
      </c>
      <c r="J67" s="355">
        <v>70464010</v>
      </c>
      <c r="K67" s="355">
        <v>72569.48191340663</v>
      </c>
      <c r="L67" s="355">
        <v>3463.6752</v>
      </c>
      <c r="M67" s="355">
        <v>0</v>
      </c>
      <c r="N67" s="355">
        <v>0</v>
      </c>
      <c r="O67" s="355">
        <v>0</v>
      </c>
      <c r="P67" s="355">
        <v>0</v>
      </c>
      <c r="Q67" s="355">
        <v>0</v>
      </c>
      <c r="R67" s="355">
        <v>68454</v>
      </c>
      <c r="S67" s="355">
        <v>0</v>
      </c>
      <c r="T67" s="355">
        <v>0</v>
      </c>
    </row>
    <row r="68" spans="2:20" ht="12.75">
      <c r="B68" s="356" t="s">
        <v>756</v>
      </c>
      <c r="C68" s="166">
        <v>11581</v>
      </c>
      <c r="D68" s="166">
        <v>11582.75</v>
      </c>
      <c r="E68" s="166">
        <v>11581</v>
      </c>
      <c r="F68" s="354">
        <v>726.2653941448099</v>
      </c>
      <c r="G68" s="354">
        <v>1422.9728569586705</v>
      </c>
      <c r="H68" s="354">
        <v>884.9534604498407</v>
      </c>
      <c r="I68" s="354">
        <v>4381.242592416593</v>
      </c>
      <c r="J68" s="355">
        <v>155225805</v>
      </c>
      <c r="K68" s="355">
        <v>112678.47374098399</v>
      </c>
      <c r="L68" s="355">
        <v>755.4044000000001</v>
      </c>
      <c r="M68" s="355">
        <v>0</v>
      </c>
      <c r="N68" s="355">
        <v>0</v>
      </c>
      <c r="O68" s="355">
        <v>0</v>
      </c>
      <c r="P68" s="355">
        <v>0</v>
      </c>
      <c r="Q68" s="355">
        <v>0</v>
      </c>
      <c r="R68" s="355">
        <v>0</v>
      </c>
      <c r="S68" s="355">
        <v>0</v>
      </c>
      <c r="T68" s="355">
        <v>0</v>
      </c>
    </row>
    <row r="69" spans="2:20" ht="12.75">
      <c r="B69" s="356" t="s">
        <v>757</v>
      </c>
      <c r="C69" s="166">
        <v>6578</v>
      </c>
      <c r="D69" s="166">
        <v>6578</v>
      </c>
      <c r="E69" s="166">
        <v>6578</v>
      </c>
      <c r="F69" s="354">
        <v>548.3293013773309</v>
      </c>
      <c r="G69" s="354">
        <v>1109.7806728764645</v>
      </c>
      <c r="H69" s="354">
        <v>752.350007531612</v>
      </c>
      <c r="I69" s="354">
        <v>4214.335280374166</v>
      </c>
      <c r="J69" s="355">
        <v>-16005859</v>
      </c>
      <c r="K69" s="355">
        <v>0</v>
      </c>
      <c r="L69" s="355">
        <v>1148.9917</v>
      </c>
      <c r="M69" s="355">
        <v>0</v>
      </c>
      <c r="N69" s="355">
        <v>0</v>
      </c>
      <c r="O69" s="355">
        <v>0</v>
      </c>
      <c r="P69" s="355">
        <v>0</v>
      </c>
      <c r="Q69" s="355">
        <v>0</v>
      </c>
      <c r="R69" s="355">
        <v>0</v>
      </c>
      <c r="S69" s="355">
        <v>0</v>
      </c>
      <c r="T69" s="355">
        <v>0</v>
      </c>
    </row>
    <row r="70" spans="2:20" ht="12.75">
      <c r="B70" s="356" t="s">
        <v>758</v>
      </c>
      <c r="C70" s="166">
        <v>5035</v>
      </c>
      <c r="D70" s="166">
        <v>5046</v>
      </c>
      <c r="E70" s="166">
        <v>5035</v>
      </c>
      <c r="F70" s="354">
        <v>557.4031472577637</v>
      </c>
      <c r="G70" s="354">
        <v>1113.681274495779</v>
      </c>
      <c r="H70" s="354">
        <v>691.3573977637486</v>
      </c>
      <c r="I70" s="354">
        <v>3283.065846907165</v>
      </c>
      <c r="J70" s="355">
        <v>-4677854</v>
      </c>
      <c r="K70" s="355">
        <v>0</v>
      </c>
      <c r="L70" s="355">
        <v>4110.3473</v>
      </c>
      <c r="M70" s="355">
        <v>0</v>
      </c>
      <c r="N70" s="355">
        <v>0</v>
      </c>
      <c r="O70" s="355">
        <v>0</v>
      </c>
      <c r="P70" s="355">
        <v>0</v>
      </c>
      <c r="Q70" s="355">
        <v>0</v>
      </c>
      <c r="R70" s="355">
        <v>0</v>
      </c>
      <c r="S70" s="355">
        <v>0</v>
      </c>
      <c r="T70" s="355">
        <v>0</v>
      </c>
    </row>
    <row r="71" spans="2:20" ht="12.75">
      <c r="B71" s="356" t="s">
        <v>759</v>
      </c>
      <c r="C71" s="166">
        <v>2372</v>
      </c>
      <c r="D71" s="166">
        <v>2407.75</v>
      </c>
      <c r="E71" s="166">
        <v>2372</v>
      </c>
      <c r="F71" s="354">
        <v>573.4412261585004</v>
      </c>
      <c r="G71" s="354">
        <v>1069.3114258871813</v>
      </c>
      <c r="H71" s="354">
        <v>760.8712731299217</v>
      </c>
      <c r="I71" s="354">
        <v>3842.7590124871945</v>
      </c>
      <c r="J71" s="355">
        <v>7186563</v>
      </c>
      <c r="K71" s="355">
        <v>42626.81016379398</v>
      </c>
      <c r="L71" s="355">
        <v>164.5128</v>
      </c>
      <c r="M71" s="355">
        <v>0</v>
      </c>
      <c r="N71" s="355">
        <v>0</v>
      </c>
      <c r="O71" s="355">
        <v>0</v>
      </c>
      <c r="P71" s="355">
        <v>0</v>
      </c>
      <c r="Q71" s="355">
        <v>0</v>
      </c>
      <c r="R71" s="355">
        <v>0</v>
      </c>
      <c r="S71" s="355">
        <v>0</v>
      </c>
      <c r="T71" s="355">
        <v>0</v>
      </c>
    </row>
    <row r="72" spans="2:20" ht="12.75">
      <c r="B72" s="356" t="s">
        <v>760</v>
      </c>
      <c r="C72" s="166">
        <v>21308</v>
      </c>
      <c r="D72" s="166">
        <v>21308</v>
      </c>
      <c r="E72" s="166">
        <v>21308</v>
      </c>
      <c r="F72" s="354">
        <v>578.947407421086</v>
      </c>
      <c r="G72" s="354">
        <v>1088.055047328128</v>
      </c>
      <c r="H72" s="354">
        <v>650.3476362922197</v>
      </c>
      <c r="I72" s="354">
        <v>3241.7109878724655</v>
      </c>
      <c r="J72" s="355">
        <v>353040653</v>
      </c>
      <c r="K72" s="355">
        <v>206283.78403208219</v>
      </c>
      <c r="L72" s="355">
        <v>292.9125</v>
      </c>
      <c r="M72" s="355">
        <v>0</v>
      </c>
      <c r="N72" s="355">
        <v>0</v>
      </c>
      <c r="O72" s="355">
        <v>0</v>
      </c>
      <c r="P72" s="355">
        <v>0</v>
      </c>
      <c r="Q72" s="355">
        <v>0</v>
      </c>
      <c r="R72" s="355">
        <v>0</v>
      </c>
      <c r="S72" s="355">
        <v>0</v>
      </c>
      <c r="T72" s="355">
        <v>0</v>
      </c>
    </row>
    <row r="73" spans="2:20" ht="12.75">
      <c r="B73" s="356" t="s">
        <v>761</v>
      </c>
      <c r="C73" s="166">
        <v>0</v>
      </c>
      <c r="D73" s="166">
        <v>0</v>
      </c>
      <c r="E73" s="166">
        <v>0</v>
      </c>
      <c r="F73" s="354">
        <v>0</v>
      </c>
      <c r="G73" s="354">
        <v>0</v>
      </c>
      <c r="H73" s="354">
        <v>0</v>
      </c>
      <c r="I73" s="354">
        <v>0</v>
      </c>
      <c r="J73" s="355">
        <v>0</v>
      </c>
      <c r="K73" s="355">
        <v>0</v>
      </c>
      <c r="L73" s="355">
        <v>0</v>
      </c>
      <c r="M73" s="355">
        <v>0</v>
      </c>
      <c r="N73" s="355">
        <v>0</v>
      </c>
      <c r="O73" s="355">
        <v>0</v>
      </c>
      <c r="P73" s="355">
        <v>0</v>
      </c>
      <c r="Q73" s="355">
        <v>0</v>
      </c>
      <c r="R73" s="355">
        <v>0</v>
      </c>
      <c r="S73" s="355">
        <v>0</v>
      </c>
      <c r="T73" s="355">
        <v>0</v>
      </c>
    </row>
    <row r="74" spans="2:20" ht="12.75">
      <c r="B74" s="356" t="s">
        <v>762</v>
      </c>
      <c r="C74" s="166">
        <v>4517</v>
      </c>
      <c r="D74" s="166">
        <v>4543.52</v>
      </c>
      <c r="E74" s="166">
        <v>4517</v>
      </c>
      <c r="F74" s="354">
        <v>608.0634697069771</v>
      </c>
      <c r="G74" s="354">
        <v>1088.627527726649</v>
      </c>
      <c r="H74" s="354">
        <v>686.7455294848604</v>
      </c>
      <c r="I74" s="354">
        <v>3398.840646735182</v>
      </c>
      <c r="J74" s="355">
        <v>59941268.6</v>
      </c>
      <c r="K74" s="355">
        <v>67590.15663111041</v>
      </c>
      <c r="L74" s="355">
        <v>716.5317</v>
      </c>
      <c r="M74" s="355">
        <v>0</v>
      </c>
      <c r="N74" s="355">
        <v>0</v>
      </c>
      <c r="O74" s="355">
        <v>0</v>
      </c>
      <c r="P74" s="355">
        <v>0</v>
      </c>
      <c r="Q74" s="355">
        <v>0</v>
      </c>
      <c r="R74" s="355">
        <v>0</v>
      </c>
      <c r="S74" s="355">
        <v>0</v>
      </c>
      <c r="T74" s="355">
        <v>0</v>
      </c>
    </row>
    <row r="75" spans="2:20" ht="12.75">
      <c r="B75" s="356" t="s">
        <v>763</v>
      </c>
      <c r="C75" s="166">
        <v>3219</v>
      </c>
      <c r="D75" s="166">
        <v>3219</v>
      </c>
      <c r="E75" s="166">
        <v>3219</v>
      </c>
      <c r="F75" s="354">
        <v>624.8282408846645</v>
      </c>
      <c r="G75" s="354">
        <v>1102.3514594471965</v>
      </c>
      <c r="H75" s="354">
        <v>717.6159244296634</v>
      </c>
      <c r="I75" s="354">
        <v>3620.871901733325</v>
      </c>
      <c r="J75" s="355">
        <v>-89530</v>
      </c>
      <c r="K75" s="355">
        <v>0</v>
      </c>
      <c r="L75" s="355">
        <v>1797.6</v>
      </c>
      <c r="M75" s="355">
        <v>0</v>
      </c>
      <c r="N75" s="355">
        <v>0</v>
      </c>
      <c r="O75" s="355">
        <v>0</v>
      </c>
      <c r="P75" s="355">
        <v>0</v>
      </c>
      <c r="Q75" s="355">
        <v>0</v>
      </c>
      <c r="R75" s="355">
        <v>0</v>
      </c>
      <c r="S75" s="355">
        <v>0</v>
      </c>
      <c r="T75" s="355">
        <v>0</v>
      </c>
    </row>
    <row r="76" spans="2:20" ht="12.75">
      <c r="B76" s="356" t="s">
        <v>764</v>
      </c>
      <c r="C76" s="166">
        <v>5883</v>
      </c>
      <c r="D76" s="166">
        <v>5883</v>
      </c>
      <c r="E76" s="166">
        <v>5883</v>
      </c>
      <c r="F76" s="354">
        <v>560.6300164986884</v>
      </c>
      <c r="G76" s="354">
        <v>1199.2345655421216</v>
      </c>
      <c r="H76" s="354">
        <v>755.6348841039027</v>
      </c>
      <c r="I76" s="354">
        <v>3846.3515981239752</v>
      </c>
      <c r="J76" s="355">
        <v>10651079</v>
      </c>
      <c r="K76" s="355">
        <v>44266.2072993845</v>
      </c>
      <c r="L76" s="355">
        <v>3629.0031999999997</v>
      </c>
      <c r="M76" s="355">
        <v>0</v>
      </c>
      <c r="N76" s="355">
        <v>0</v>
      </c>
      <c r="O76" s="355">
        <v>0</v>
      </c>
      <c r="P76" s="355">
        <v>0</v>
      </c>
      <c r="Q76" s="355">
        <v>0</v>
      </c>
      <c r="R76" s="355">
        <v>0</v>
      </c>
      <c r="S76" s="355">
        <v>0</v>
      </c>
      <c r="T76" s="355">
        <v>0</v>
      </c>
    </row>
    <row r="77" spans="2:20" ht="12.75">
      <c r="B77" s="356" t="s">
        <v>765</v>
      </c>
      <c r="C77" s="166">
        <v>6063</v>
      </c>
      <c r="D77" s="166">
        <v>6063</v>
      </c>
      <c r="E77" s="166">
        <v>6063</v>
      </c>
      <c r="F77" s="354">
        <v>607.3369029156572</v>
      </c>
      <c r="G77" s="354">
        <v>1022.7785419847316</v>
      </c>
      <c r="H77" s="354">
        <v>610.0218806265601</v>
      </c>
      <c r="I77" s="354">
        <v>3084.9486688092434</v>
      </c>
      <c r="J77" s="355">
        <v>31614601</v>
      </c>
      <c r="K77" s="355">
        <v>54186.07429341452</v>
      </c>
      <c r="L77" s="355">
        <v>0</v>
      </c>
      <c r="M77" s="355">
        <v>0</v>
      </c>
      <c r="N77" s="355">
        <v>0</v>
      </c>
      <c r="O77" s="355">
        <v>0</v>
      </c>
      <c r="P77" s="355">
        <v>0</v>
      </c>
      <c r="Q77" s="355">
        <v>0</v>
      </c>
      <c r="R77" s="355">
        <v>0</v>
      </c>
      <c r="S77" s="355">
        <v>0</v>
      </c>
      <c r="T77" s="355">
        <v>0</v>
      </c>
    </row>
    <row r="78" spans="2:20" ht="12.75">
      <c r="B78" s="356" t="s">
        <v>766</v>
      </c>
      <c r="C78" s="166">
        <v>23744</v>
      </c>
      <c r="D78" s="166">
        <v>23745</v>
      </c>
      <c r="E78" s="166">
        <v>23744</v>
      </c>
      <c r="F78" s="354">
        <v>1023.2535813786161</v>
      </c>
      <c r="G78" s="354">
        <v>1556.2036384592056</v>
      </c>
      <c r="H78" s="354">
        <v>919.6790630712541</v>
      </c>
      <c r="I78" s="354">
        <v>4400.997294801762</v>
      </c>
      <c r="J78" s="355">
        <v>435509475.7</v>
      </c>
      <c r="K78" s="355">
        <v>245307.74920063748</v>
      </c>
      <c r="L78" s="355">
        <v>7840.0675</v>
      </c>
      <c r="M78" s="355">
        <v>0</v>
      </c>
      <c r="N78" s="355">
        <v>0</v>
      </c>
      <c r="O78" s="355">
        <v>0</v>
      </c>
      <c r="P78" s="355">
        <v>0</v>
      </c>
      <c r="Q78" s="355">
        <v>0</v>
      </c>
      <c r="R78" s="355">
        <v>0</v>
      </c>
      <c r="S78" s="355">
        <v>0</v>
      </c>
      <c r="T78" s="355">
        <v>0</v>
      </c>
    </row>
    <row r="79" spans="2:20" ht="12.75">
      <c r="B79" s="356" t="s">
        <v>767</v>
      </c>
      <c r="C79" s="166">
        <v>5189</v>
      </c>
      <c r="D79" s="166">
        <v>5357</v>
      </c>
      <c r="E79" s="166">
        <v>5189</v>
      </c>
      <c r="F79" s="354">
        <v>561.6342679822963</v>
      </c>
      <c r="G79" s="354">
        <v>1105.1459749649757</v>
      </c>
      <c r="H79" s="354">
        <v>781.2645841648119</v>
      </c>
      <c r="I79" s="354">
        <v>4833.708931384205</v>
      </c>
      <c r="J79" s="355">
        <v>2284651</v>
      </c>
      <c r="K79" s="355">
        <v>40307.242151489576</v>
      </c>
      <c r="L79" s="355">
        <v>0</v>
      </c>
      <c r="M79" s="355">
        <v>0</v>
      </c>
      <c r="N79" s="355">
        <v>0</v>
      </c>
      <c r="O79" s="355">
        <v>0</v>
      </c>
      <c r="P79" s="355">
        <v>0</v>
      </c>
      <c r="Q79" s="355">
        <v>0</v>
      </c>
      <c r="R79" s="355">
        <v>0</v>
      </c>
      <c r="S79" s="355">
        <v>0</v>
      </c>
      <c r="T79" s="355">
        <v>0</v>
      </c>
    </row>
    <row r="80" spans="2:20" ht="12.75">
      <c r="B80" s="356" t="s">
        <v>768</v>
      </c>
      <c r="C80" s="166">
        <v>22706</v>
      </c>
      <c r="D80" s="166">
        <v>22706.5</v>
      </c>
      <c r="E80" s="166">
        <v>22706</v>
      </c>
      <c r="F80" s="354">
        <v>1219.6986163795557</v>
      </c>
      <c r="G80" s="354">
        <v>1583.217323245478</v>
      </c>
      <c r="H80" s="354">
        <v>1014.6108718174338</v>
      </c>
      <c r="I80" s="354">
        <v>4319.825028797073</v>
      </c>
      <c r="J80" s="355">
        <v>888363111</v>
      </c>
      <c r="K80" s="355">
        <v>459596.5423690266</v>
      </c>
      <c r="L80" s="355">
        <v>21505.983799999998</v>
      </c>
      <c r="M80" s="355">
        <v>0</v>
      </c>
      <c r="N80" s="355">
        <v>0</v>
      </c>
      <c r="O80" s="355">
        <v>162600</v>
      </c>
      <c r="P80" s="355">
        <v>0</v>
      </c>
      <c r="Q80" s="355">
        <v>0</v>
      </c>
      <c r="R80" s="355">
        <v>0</v>
      </c>
      <c r="S80" s="355">
        <v>0</v>
      </c>
      <c r="T80" s="355">
        <v>0</v>
      </c>
    </row>
    <row r="81" spans="2:20" ht="12.75">
      <c r="B81" s="356" t="s">
        <v>769</v>
      </c>
      <c r="C81" s="166">
        <v>13056</v>
      </c>
      <c r="D81" s="166">
        <v>13070</v>
      </c>
      <c r="E81" s="166">
        <v>13056</v>
      </c>
      <c r="F81" s="354">
        <v>1019.8263929159177</v>
      </c>
      <c r="G81" s="354">
        <v>1580.5257278345275</v>
      </c>
      <c r="H81" s="354">
        <v>968.8015213086887</v>
      </c>
      <c r="I81" s="354">
        <v>4802.736048470464</v>
      </c>
      <c r="J81" s="355">
        <v>452471140</v>
      </c>
      <c r="K81" s="355">
        <v>253333.95080232384</v>
      </c>
      <c r="L81" s="355">
        <v>24399.630400000002</v>
      </c>
      <c r="M81" s="355">
        <v>0</v>
      </c>
      <c r="N81" s="355">
        <v>0</v>
      </c>
      <c r="O81" s="355">
        <v>0</v>
      </c>
      <c r="P81" s="355">
        <v>0</v>
      </c>
      <c r="Q81" s="355">
        <v>0</v>
      </c>
      <c r="R81" s="355">
        <v>701986</v>
      </c>
      <c r="S81" s="355">
        <v>0</v>
      </c>
      <c r="T81" s="355">
        <v>0</v>
      </c>
    </row>
    <row r="82" spans="2:20" ht="12.75">
      <c r="B82" s="356" t="s">
        <v>770</v>
      </c>
      <c r="C82" s="166">
        <v>16311</v>
      </c>
      <c r="D82" s="166">
        <v>16312.25</v>
      </c>
      <c r="E82" s="166">
        <v>16311</v>
      </c>
      <c r="F82" s="354">
        <v>822.3893373093207</v>
      </c>
      <c r="G82" s="354">
        <v>1454.2168424914903</v>
      </c>
      <c r="H82" s="354">
        <v>830.2751256850353</v>
      </c>
      <c r="I82" s="354">
        <v>4572.3548002195</v>
      </c>
      <c r="J82" s="355">
        <v>543887878</v>
      </c>
      <c r="K82" s="355">
        <v>296592.0389226354</v>
      </c>
      <c r="L82" s="355">
        <v>16332.7287</v>
      </c>
      <c r="M82" s="355">
        <v>0</v>
      </c>
      <c r="N82" s="355">
        <v>0</v>
      </c>
      <c r="O82" s="355">
        <v>0</v>
      </c>
      <c r="P82" s="355">
        <v>0</v>
      </c>
      <c r="Q82" s="355">
        <v>0</v>
      </c>
      <c r="R82" s="355">
        <v>0</v>
      </c>
      <c r="S82" s="355">
        <v>0</v>
      </c>
      <c r="T82" s="355">
        <v>0</v>
      </c>
    </row>
    <row r="83" spans="2:20" ht="12.75">
      <c r="B83" s="356" t="s">
        <v>771</v>
      </c>
      <c r="C83" s="166">
        <v>9908</v>
      </c>
      <c r="D83" s="166">
        <v>9915</v>
      </c>
      <c r="E83" s="166">
        <v>9908</v>
      </c>
      <c r="F83" s="354">
        <v>612.5751238037994</v>
      </c>
      <c r="G83" s="354">
        <v>1135.6695938847824</v>
      </c>
      <c r="H83" s="354">
        <v>770.1810565222685</v>
      </c>
      <c r="I83" s="354">
        <v>4063.8950025858276</v>
      </c>
      <c r="J83" s="355">
        <v>-26508564</v>
      </c>
      <c r="K83" s="355">
        <v>0</v>
      </c>
      <c r="L83" s="355">
        <v>491.28</v>
      </c>
      <c r="M83" s="355">
        <v>0</v>
      </c>
      <c r="N83" s="355">
        <v>0</v>
      </c>
      <c r="O83" s="355">
        <v>0</v>
      </c>
      <c r="P83" s="355">
        <v>0</v>
      </c>
      <c r="Q83" s="355">
        <v>0</v>
      </c>
      <c r="R83" s="355">
        <v>0</v>
      </c>
      <c r="S83" s="355">
        <v>0</v>
      </c>
      <c r="T83" s="355">
        <v>0</v>
      </c>
    </row>
    <row r="84" spans="2:20" ht="12.75">
      <c r="B84" s="356" t="s">
        <v>772</v>
      </c>
      <c r="C84" s="166">
        <v>3933</v>
      </c>
      <c r="D84" s="166">
        <v>3933</v>
      </c>
      <c r="E84" s="166">
        <v>3933</v>
      </c>
      <c r="F84" s="354">
        <v>485.0670407448914</v>
      </c>
      <c r="G84" s="354">
        <v>1013.6946791725331</v>
      </c>
      <c r="H84" s="354">
        <v>680.4078625609985</v>
      </c>
      <c r="I84" s="354">
        <v>3500.36083687678</v>
      </c>
      <c r="J84" s="355">
        <v>16214229</v>
      </c>
      <c r="K84" s="355">
        <v>46898.67087434285</v>
      </c>
      <c r="L84" s="355">
        <v>2242.2264</v>
      </c>
      <c r="M84" s="355">
        <v>0</v>
      </c>
      <c r="N84" s="355">
        <v>0</v>
      </c>
      <c r="O84" s="355">
        <v>0</v>
      </c>
      <c r="P84" s="355">
        <v>0</v>
      </c>
      <c r="Q84" s="355">
        <v>0</v>
      </c>
      <c r="R84" s="355">
        <v>0</v>
      </c>
      <c r="S84" s="355">
        <v>0</v>
      </c>
      <c r="T84" s="355">
        <v>0</v>
      </c>
    </row>
    <row r="85" spans="2:20" ht="12.75">
      <c r="B85" s="356" t="s">
        <v>773</v>
      </c>
      <c r="C85" s="166">
        <v>5055</v>
      </c>
      <c r="D85" s="166">
        <v>5055</v>
      </c>
      <c r="E85" s="166">
        <v>5055</v>
      </c>
      <c r="F85" s="354">
        <v>640.5025753943581</v>
      </c>
      <c r="G85" s="354">
        <v>1360.9515705451684</v>
      </c>
      <c r="H85" s="354">
        <v>815.6870825829834</v>
      </c>
      <c r="I85" s="354">
        <v>4799.092404621401</v>
      </c>
      <c r="J85" s="355">
        <v>50994480</v>
      </c>
      <c r="K85" s="355">
        <v>63356.566829945135</v>
      </c>
      <c r="L85" s="355">
        <v>2885.0775000000003</v>
      </c>
      <c r="M85" s="355">
        <v>0</v>
      </c>
      <c r="N85" s="355">
        <v>0</v>
      </c>
      <c r="O85" s="355">
        <v>0</v>
      </c>
      <c r="P85" s="355">
        <v>0</v>
      </c>
      <c r="Q85" s="355">
        <v>0</v>
      </c>
      <c r="R85" s="355">
        <v>0</v>
      </c>
      <c r="S85" s="355">
        <v>0</v>
      </c>
      <c r="T85" s="355">
        <v>0</v>
      </c>
    </row>
    <row r="86" spans="2:20" ht="12.75">
      <c r="B86" s="356" t="s">
        <v>774</v>
      </c>
      <c r="C86" s="166">
        <v>10085</v>
      </c>
      <c r="D86" s="166">
        <v>10087.5</v>
      </c>
      <c r="E86" s="166">
        <v>10085</v>
      </c>
      <c r="F86" s="354">
        <v>605.1817186535048</v>
      </c>
      <c r="G86" s="354">
        <v>1246.2346655587708</v>
      </c>
      <c r="H86" s="354">
        <v>865.4546040733071</v>
      </c>
      <c r="I86" s="354">
        <v>3943.743471006149</v>
      </c>
      <c r="J86" s="355">
        <v>30088103</v>
      </c>
      <c r="K86" s="355">
        <v>53463.74065469422</v>
      </c>
      <c r="L86" s="355">
        <v>51787.6671</v>
      </c>
      <c r="M86" s="355">
        <v>0</v>
      </c>
      <c r="N86" s="355">
        <v>0</v>
      </c>
      <c r="O86" s="355">
        <v>454</v>
      </c>
      <c r="P86" s="355">
        <v>140</v>
      </c>
      <c r="Q86" s="355">
        <v>0</v>
      </c>
      <c r="R86" s="355">
        <v>900</v>
      </c>
      <c r="S86" s="355">
        <v>0</v>
      </c>
      <c r="T86" s="355">
        <v>0</v>
      </c>
    </row>
    <row r="87" spans="2:20" ht="12.75">
      <c r="B87" s="356" t="s">
        <v>775</v>
      </c>
      <c r="C87" s="166">
        <v>4105</v>
      </c>
      <c r="D87" s="166">
        <v>4105</v>
      </c>
      <c r="E87" s="166">
        <v>4105</v>
      </c>
      <c r="F87" s="354">
        <v>496.2288202758566</v>
      </c>
      <c r="G87" s="354">
        <v>958.5555993145159</v>
      </c>
      <c r="H87" s="354">
        <v>626.1434002922248</v>
      </c>
      <c r="I87" s="354">
        <v>3228.3951507566326</v>
      </c>
      <c r="J87" s="355">
        <v>30750844.29</v>
      </c>
      <c r="K87" s="355">
        <v>53777.347569040576</v>
      </c>
      <c r="L87" s="355">
        <v>2427.6429000000003</v>
      </c>
      <c r="M87" s="355">
        <v>0</v>
      </c>
      <c r="N87" s="355">
        <v>0</v>
      </c>
      <c r="O87" s="355">
        <v>0</v>
      </c>
      <c r="P87" s="355">
        <v>0</v>
      </c>
      <c r="Q87" s="355">
        <v>0</v>
      </c>
      <c r="R87" s="355">
        <v>0</v>
      </c>
      <c r="S87" s="355">
        <v>0</v>
      </c>
      <c r="T87" s="355">
        <v>0</v>
      </c>
    </row>
    <row r="88" spans="2:20" ht="12.75">
      <c r="B88" s="356" t="s">
        <v>776</v>
      </c>
      <c r="C88" s="166">
        <v>10298</v>
      </c>
      <c r="D88" s="166">
        <v>10350.13</v>
      </c>
      <c r="E88" s="166">
        <v>10298</v>
      </c>
      <c r="F88" s="354">
        <v>682.43792235011</v>
      </c>
      <c r="G88" s="354">
        <v>1288.5225730744223</v>
      </c>
      <c r="H88" s="354">
        <v>828.3680363066557</v>
      </c>
      <c r="I88" s="354">
        <v>4725.40986374995</v>
      </c>
      <c r="J88" s="355">
        <v>105462689</v>
      </c>
      <c r="K88" s="355">
        <v>89130.73725240698</v>
      </c>
      <c r="L88" s="355">
        <v>5724.552000000001</v>
      </c>
      <c r="M88" s="355">
        <v>0</v>
      </c>
      <c r="N88" s="355">
        <v>0</v>
      </c>
      <c r="O88" s="355">
        <v>0</v>
      </c>
      <c r="P88" s="355">
        <v>0</v>
      </c>
      <c r="Q88" s="355">
        <v>0</v>
      </c>
      <c r="R88" s="355">
        <v>0</v>
      </c>
      <c r="S88" s="355">
        <v>0</v>
      </c>
      <c r="T88" s="355">
        <v>0</v>
      </c>
    </row>
    <row r="89" spans="2:20" ht="12.75">
      <c r="B89" s="356" t="s">
        <v>777</v>
      </c>
      <c r="C89" s="166">
        <v>3398</v>
      </c>
      <c r="D89" s="166">
        <v>3398</v>
      </c>
      <c r="E89" s="166">
        <v>3398</v>
      </c>
      <c r="F89" s="354">
        <v>484.9386876011979</v>
      </c>
      <c r="G89" s="354">
        <v>920.7068385471159</v>
      </c>
      <c r="H89" s="354">
        <v>609.5210030330454</v>
      </c>
      <c r="I89" s="354">
        <v>3379.2041333642346</v>
      </c>
      <c r="J89" s="355">
        <v>4262459</v>
      </c>
      <c r="K89" s="355">
        <v>41243.13414042772</v>
      </c>
      <c r="L89" s="355">
        <v>202.22930000000002</v>
      </c>
      <c r="M89" s="355">
        <v>0</v>
      </c>
      <c r="N89" s="355">
        <v>0</v>
      </c>
      <c r="O89" s="355">
        <v>0</v>
      </c>
      <c r="P89" s="355">
        <v>0</v>
      </c>
      <c r="Q89" s="355">
        <v>0</v>
      </c>
      <c r="R89" s="355">
        <v>0</v>
      </c>
      <c r="S89" s="355">
        <v>0</v>
      </c>
      <c r="T89" s="355">
        <v>0</v>
      </c>
    </row>
    <row r="90" spans="2:20" ht="12.75">
      <c r="B90" s="356" t="s">
        <v>778</v>
      </c>
      <c r="C90" s="166">
        <v>13418</v>
      </c>
      <c r="D90" s="166">
        <v>13419</v>
      </c>
      <c r="E90" s="166">
        <v>13418</v>
      </c>
      <c r="F90" s="354">
        <v>765.2265293959773</v>
      </c>
      <c r="G90" s="354">
        <v>1402.8910399595077</v>
      </c>
      <c r="H90" s="354">
        <v>856.2787164095527</v>
      </c>
      <c r="I90" s="354">
        <v>4317.154809801609</v>
      </c>
      <c r="J90" s="355">
        <v>264136906</v>
      </c>
      <c r="K90" s="355">
        <v>164214.8346679966</v>
      </c>
      <c r="L90" s="355">
        <v>9105.8472</v>
      </c>
      <c r="M90" s="355">
        <v>0</v>
      </c>
      <c r="N90" s="355">
        <v>0</v>
      </c>
      <c r="O90" s="355">
        <v>0</v>
      </c>
      <c r="P90" s="355">
        <v>0</v>
      </c>
      <c r="Q90" s="355">
        <v>0</v>
      </c>
      <c r="R90" s="355">
        <v>0</v>
      </c>
      <c r="S90" s="355">
        <v>0</v>
      </c>
      <c r="T90" s="355">
        <v>0</v>
      </c>
    </row>
    <row r="91" spans="2:20" ht="12.75">
      <c r="B91" s="356" t="s">
        <v>779</v>
      </c>
      <c r="C91" s="166">
        <v>8187</v>
      </c>
      <c r="D91" s="166">
        <v>8187</v>
      </c>
      <c r="E91" s="166">
        <v>8187</v>
      </c>
      <c r="F91" s="354">
        <v>584.0858360796384</v>
      </c>
      <c r="G91" s="354">
        <v>1053.233853897704</v>
      </c>
      <c r="H91" s="354">
        <v>636.5453856591889</v>
      </c>
      <c r="I91" s="354">
        <v>3533.9042244584252</v>
      </c>
      <c r="J91" s="355">
        <v>45281922</v>
      </c>
      <c r="K91" s="355">
        <v>60653.40389979999</v>
      </c>
      <c r="L91" s="355">
        <v>369.6675</v>
      </c>
      <c r="M91" s="355">
        <v>0</v>
      </c>
      <c r="N91" s="355">
        <v>0</v>
      </c>
      <c r="O91" s="355">
        <v>0</v>
      </c>
      <c r="P91" s="355">
        <v>0</v>
      </c>
      <c r="Q91" s="355">
        <v>0</v>
      </c>
      <c r="R91" s="355">
        <v>0</v>
      </c>
      <c r="S91" s="355">
        <v>0</v>
      </c>
      <c r="T91" s="355">
        <v>0</v>
      </c>
    </row>
    <row r="92" spans="2:20" ht="12.75">
      <c r="B92" s="356" t="s">
        <v>780</v>
      </c>
      <c r="C92" s="166">
        <v>108</v>
      </c>
      <c r="D92" s="166">
        <v>108</v>
      </c>
      <c r="E92" s="166">
        <v>108</v>
      </c>
      <c r="F92" s="354">
        <v>972.8824659410246</v>
      </c>
      <c r="G92" s="354">
        <v>923.409374688898</v>
      </c>
      <c r="H92" s="354">
        <v>734.319029369238</v>
      </c>
      <c r="I92" s="354">
        <v>3598.5434430597506</v>
      </c>
      <c r="J92" s="355">
        <v>808604</v>
      </c>
      <c r="K92" s="355">
        <v>39608.78175361669</v>
      </c>
      <c r="L92" s="355">
        <v>0</v>
      </c>
      <c r="M92" s="355">
        <v>0</v>
      </c>
      <c r="N92" s="355">
        <v>0</v>
      </c>
      <c r="O92" s="355">
        <v>0</v>
      </c>
      <c r="P92" s="355">
        <v>0</v>
      </c>
      <c r="Q92" s="355">
        <v>0</v>
      </c>
      <c r="R92" s="355">
        <v>0</v>
      </c>
      <c r="S92" s="355">
        <v>0</v>
      </c>
      <c r="T92" s="355">
        <v>0</v>
      </c>
    </row>
    <row r="93" spans="2:20" ht="12.75">
      <c r="B93" s="356" t="s">
        <v>781</v>
      </c>
      <c r="C93" s="166">
        <v>25926</v>
      </c>
      <c r="D93" s="166">
        <v>25927</v>
      </c>
      <c r="E93" s="166">
        <v>21326</v>
      </c>
      <c r="F93" s="354">
        <v>1165.2635708000903</v>
      </c>
      <c r="G93" s="354">
        <v>1624.5226217627248</v>
      </c>
      <c r="H93" s="354">
        <v>1007.5700472160432</v>
      </c>
      <c r="I93" s="354">
        <v>4785.056735545028</v>
      </c>
      <c r="J93" s="355">
        <v>861118451</v>
      </c>
      <c r="K93" s="355">
        <v>446704.4623312558</v>
      </c>
      <c r="L93" s="355">
        <v>2395.9376</v>
      </c>
      <c r="M93" s="355">
        <v>0</v>
      </c>
      <c r="N93" s="355">
        <v>22854902</v>
      </c>
      <c r="O93" s="355">
        <v>0</v>
      </c>
      <c r="P93" s="355">
        <v>0</v>
      </c>
      <c r="Q93" s="355">
        <v>0</v>
      </c>
      <c r="R93" s="355">
        <v>0</v>
      </c>
      <c r="S93" s="355">
        <v>0</v>
      </c>
      <c r="T93" s="355">
        <v>0</v>
      </c>
    </row>
    <row r="94" spans="2:20" ht="12.75">
      <c r="B94" s="356" t="s">
        <v>782</v>
      </c>
      <c r="C94" s="166">
        <v>6924</v>
      </c>
      <c r="D94" s="166">
        <v>6924</v>
      </c>
      <c r="E94" s="166">
        <v>6924</v>
      </c>
      <c r="F94" s="354">
        <v>1105.8943260309325</v>
      </c>
      <c r="G94" s="354">
        <v>1460.1433181348002</v>
      </c>
      <c r="H94" s="354">
        <v>1033.9819401671978</v>
      </c>
      <c r="I94" s="354">
        <v>5177.250971945662</v>
      </c>
      <c r="J94" s="355">
        <v>196626763</v>
      </c>
      <c r="K94" s="355">
        <v>132269.26563107874</v>
      </c>
      <c r="L94" s="355">
        <v>2972.1519999999996</v>
      </c>
      <c r="M94" s="355">
        <v>0</v>
      </c>
      <c r="N94" s="355">
        <v>0</v>
      </c>
      <c r="O94" s="355">
        <v>0</v>
      </c>
      <c r="P94" s="355">
        <v>0</v>
      </c>
      <c r="Q94" s="355">
        <v>0</v>
      </c>
      <c r="R94" s="355">
        <v>0</v>
      </c>
      <c r="S94" s="355">
        <v>0</v>
      </c>
      <c r="T94" s="355">
        <v>0</v>
      </c>
    </row>
    <row r="95" spans="2:20" ht="12.75">
      <c r="B95" s="356" t="s">
        <v>783</v>
      </c>
      <c r="C95" s="166">
        <v>3812</v>
      </c>
      <c r="D95" s="166">
        <v>3812</v>
      </c>
      <c r="E95" s="166">
        <v>3812</v>
      </c>
      <c r="F95" s="354">
        <v>511.7419333845496</v>
      </c>
      <c r="G95" s="354">
        <v>1005.2965683207216</v>
      </c>
      <c r="H95" s="354">
        <v>645.2675685370973</v>
      </c>
      <c r="I95" s="354">
        <v>3451.2832200115117</v>
      </c>
      <c r="J95" s="355">
        <v>6225700</v>
      </c>
      <c r="K95" s="355">
        <v>42172.1330747302</v>
      </c>
      <c r="L95" s="355">
        <v>485.15</v>
      </c>
      <c r="M95" s="355">
        <v>0</v>
      </c>
      <c r="N95" s="355">
        <v>0</v>
      </c>
      <c r="O95" s="355">
        <v>0</v>
      </c>
      <c r="P95" s="355">
        <v>0</v>
      </c>
      <c r="Q95" s="355">
        <v>0</v>
      </c>
      <c r="R95" s="355">
        <v>0</v>
      </c>
      <c r="S95" s="355">
        <v>0</v>
      </c>
      <c r="T95" s="355">
        <v>0</v>
      </c>
    </row>
    <row r="96" spans="2:20" ht="12.75">
      <c r="B96" s="356" t="s">
        <v>784</v>
      </c>
      <c r="C96" s="166">
        <v>26917</v>
      </c>
      <c r="D96" s="166">
        <v>26917</v>
      </c>
      <c r="E96" s="166">
        <v>26917</v>
      </c>
      <c r="F96" s="354">
        <v>713.2254342965977</v>
      </c>
      <c r="G96" s="354">
        <v>1145.5980926612879</v>
      </c>
      <c r="H96" s="354">
        <v>619.4321491570063</v>
      </c>
      <c r="I96" s="354">
        <v>3252.29635285235</v>
      </c>
      <c r="J96" s="355">
        <v>239411397</v>
      </c>
      <c r="K96" s="355">
        <v>152514.80827740763</v>
      </c>
      <c r="L96" s="355">
        <v>8503.956</v>
      </c>
      <c r="M96" s="355">
        <v>0</v>
      </c>
      <c r="N96" s="355">
        <v>0</v>
      </c>
      <c r="O96" s="355">
        <v>0</v>
      </c>
      <c r="P96" s="355">
        <v>0</v>
      </c>
      <c r="Q96" s="355">
        <v>0</v>
      </c>
      <c r="R96" s="355">
        <v>0</v>
      </c>
      <c r="S96" s="355">
        <v>0</v>
      </c>
      <c r="T96" s="355">
        <v>0</v>
      </c>
    </row>
    <row r="97" spans="2:20" ht="12.75">
      <c r="B97" s="356" t="s">
        <v>785</v>
      </c>
      <c r="C97" s="166">
        <v>4826</v>
      </c>
      <c r="D97" s="166">
        <v>4849.88</v>
      </c>
      <c r="E97" s="166">
        <v>4826</v>
      </c>
      <c r="F97" s="354">
        <v>712.146810315078</v>
      </c>
      <c r="G97" s="354">
        <v>1315.3231343114392</v>
      </c>
      <c r="H97" s="354">
        <v>881.6659023554278</v>
      </c>
      <c r="I97" s="354">
        <v>4862.568751772779</v>
      </c>
      <c r="J97" s="355">
        <v>33766448</v>
      </c>
      <c r="K97" s="355">
        <v>55204.320942594095</v>
      </c>
      <c r="L97" s="355">
        <v>1891.7028</v>
      </c>
      <c r="M97" s="355">
        <v>0</v>
      </c>
      <c r="N97" s="355">
        <v>0</v>
      </c>
      <c r="O97" s="355">
        <v>0</v>
      </c>
      <c r="P97" s="355">
        <v>0</v>
      </c>
      <c r="Q97" s="355">
        <v>0</v>
      </c>
      <c r="R97" s="355">
        <v>0</v>
      </c>
      <c r="S97" s="355">
        <v>0</v>
      </c>
      <c r="T97" s="355">
        <v>0</v>
      </c>
    </row>
    <row r="98" spans="2:20" ht="12.75">
      <c r="B98" s="356" t="s">
        <v>786</v>
      </c>
      <c r="C98" s="166">
        <v>23122</v>
      </c>
      <c r="D98" s="166">
        <v>23122</v>
      </c>
      <c r="E98" s="166">
        <v>23122</v>
      </c>
      <c r="F98" s="354">
        <v>602.4404590649493</v>
      </c>
      <c r="G98" s="354">
        <v>1087.463143923288</v>
      </c>
      <c r="H98" s="354">
        <v>634.4261167736115</v>
      </c>
      <c r="I98" s="354">
        <v>3046.3512015242113</v>
      </c>
      <c r="J98" s="355">
        <v>276968814</v>
      </c>
      <c r="K98" s="355">
        <v>170286.84969675128</v>
      </c>
      <c r="L98" s="355">
        <v>4399.143999999999</v>
      </c>
      <c r="M98" s="355">
        <v>0</v>
      </c>
      <c r="N98" s="355">
        <v>0</v>
      </c>
      <c r="O98" s="355">
        <v>0</v>
      </c>
      <c r="P98" s="355">
        <v>0</v>
      </c>
      <c r="Q98" s="355">
        <v>0</v>
      </c>
      <c r="R98" s="355">
        <v>0</v>
      </c>
      <c r="S98" s="355">
        <v>0</v>
      </c>
      <c r="T98" s="355">
        <v>0</v>
      </c>
    </row>
    <row r="99" spans="2:20" ht="12.75">
      <c r="B99" s="356" t="s">
        <v>787</v>
      </c>
      <c r="C99" s="166">
        <v>25940</v>
      </c>
      <c r="D99" s="166">
        <v>25941</v>
      </c>
      <c r="E99" s="166">
        <v>25940</v>
      </c>
      <c r="F99" s="354">
        <v>1043.979520809123</v>
      </c>
      <c r="G99" s="354">
        <v>1557.1436461231358</v>
      </c>
      <c r="H99" s="354">
        <v>949.1552640274215</v>
      </c>
      <c r="I99" s="354">
        <v>4661.771385001843</v>
      </c>
      <c r="J99" s="355">
        <v>566287358.7</v>
      </c>
      <c r="K99" s="355">
        <v>307191.3966679295</v>
      </c>
      <c r="L99" s="355">
        <v>7766.8797</v>
      </c>
      <c r="M99" s="355">
        <v>0</v>
      </c>
      <c r="N99" s="355">
        <v>0</v>
      </c>
      <c r="O99" s="355">
        <v>0</v>
      </c>
      <c r="P99" s="355">
        <v>0</v>
      </c>
      <c r="Q99" s="355">
        <v>0</v>
      </c>
      <c r="R99" s="355">
        <v>0</v>
      </c>
      <c r="S99" s="355">
        <v>0</v>
      </c>
      <c r="T99" s="355">
        <v>0</v>
      </c>
    </row>
    <row r="100" spans="2:20" ht="12.75">
      <c r="B100" s="356" t="s">
        <v>788</v>
      </c>
      <c r="C100" s="166">
        <v>3809</v>
      </c>
      <c r="D100" s="166">
        <v>3809.5</v>
      </c>
      <c r="E100" s="166">
        <v>3809</v>
      </c>
      <c r="F100" s="354">
        <v>549.2715427305756</v>
      </c>
      <c r="G100" s="354">
        <v>1042.2501775158507</v>
      </c>
      <c r="H100" s="354">
        <v>606.7752744026856</v>
      </c>
      <c r="I100" s="354">
        <v>3316.9015228794924</v>
      </c>
      <c r="J100" s="355">
        <v>28952170</v>
      </c>
      <c r="K100" s="355">
        <v>52926.221039711134</v>
      </c>
      <c r="L100" s="355">
        <v>928.8516</v>
      </c>
      <c r="M100" s="355">
        <v>0</v>
      </c>
      <c r="N100" s="355">
        <v>0</v>
      </c>
      <c r="O100" s="355">
        <v>0</v>
      </c>
      <c r="P100" s="355">
        <v>0</v>
      </c>
      <c r="Q100" s="355">
        <v>0</v>
      </c>
      <c r="R100" s="355">
        <v>0</v>
      </c>
      <c r="S100" s="355">
        <v>0</v>
      </c>
      <c r="T100" s="355">
        <v>0</v>
      </c>
    </row>
    <row r="101" spans="2:20" ht="12.75">
      <c r="B101" s="356" t="s">
        <v>789</v>
      </c>
      <c r="C101" s="166">
        <v>58418</v>
      </c>
      <c r="D101" s="166">
        <v>58428.75</v>
      </c>
      <c r="E101" s="166">
        <v>57017</v>
      </c>
      <c r="F101" s="354">
        <v>607.9847890078112</v>
      </c>
      <c r="G101" s="354">
        <v>1130.8856100443027</v>
      </c>
      <c r="H101" s="354">
        <v>641.6918079459371</v>
      </c>
      <c r="I101" s="354">
        <v>3107.3106135032785</v>
      </c>
      <c r="J101" s="355">
        <v>829983624</v>
      </c>
      <c r="K101" s="355">
        <v>431971.5685588193</v>
      </c>
      <c r="L101" s="355">
        <v>13607.752400000001</v>
      </c>
      <c r="M101" s="355">
        <v>0</v>
      </c>
      <c r="N101" s="355">
        <v>6097000</v>
      </c>
      <c r="O101" s="355">
        <v>0</v>
      </c>
      <c r="P101" s="355">
        <v>0</v>
      </c>
      <c r="Q101" s="355">
        <v>0</v>
      </c>
      <c r="R101" s="355">
        <v>0</v>
      </c>
      <c r="S101" s="355">
        <v>0</v>
      </c>
      <c r="T101" s="355">
        <v>0</v>
      </c>
    </row>
    <row r="102" spans="2:20" ht="12.75">
      <c r="B102" s="356" t="s">
        <v>790</v>
      </c>
      <c r="C102" s="166">
        <v>22297</v>
      </c>
      <c r="D102" s="166">
        <v>22297</v>
      </c>
      <c r="E102" s="166">
        <v>22297</v>
      </c>
      <c r="F102" s="354">
        <v>738.5161230186212</v>
      </c>
      <c r="G102" s="354">
        <v>1090.7397562480505</v>
      </c>
      <c r="H102" s="354">
        <v>605.8962707684747</v>
      </c>
      <c r="I102" s="354">
        <v>3161.8027380539666</v>
      </c>
      <c r="J102" s="355">
        <v>224308128</v>
      </c>
      <c r="K102" s="355">
        <v>145367.99298296156</v>
      </c>
      <c r="L102" s="355">
        <v>660.9754</v>
      </c>
      <c r="M102" s="355">
        <v>0</v>
      </c>
      <c r="N102" s="355">
        <v>0</v>
      </c>
      <c r="O102" s="355">
        <v>0</v>
      </c>
      <c r="P102" s="355">
        <v>0</v>
      </c>
      <c r="Q102" s="355">
        <v>0</v>
      </c>
      <c r="R102" s="355">
        <v>0</v>
      </c>
      <c r="S102" s="355">
        <v>0</v>
      </c>
      <c r="T102" s="355">
        <v>0</v>
      </c>
    </row>
    <row r="103" spans="2:20" ht="12.75">
      <c r="B103" s="356" t="s">
        <v>791</v>
      </c>
      <c r="C103" s="166">
        <v>3252</v>
      </c>
      <c r="D103" s="166">
        <v>3257.59</v>
      </c>
      <c r="E103" s="166">
        <v>3252</v>
      </c>
      <c r="F103" s="354">
        <v>505.9189880066842</v>
      </c>
      <c r="G103" s="354">
        <v>1114.2970496217636</v>
      </c>
      <c r="H103" s="354">
        <v>745.4958270507016</v>
      </c>
      <c r="I103" s="354">
        <v>3794.6894612335427</v>
      </c>
      <c r="J103" s="355">
        <v>16258018</v>
      </c>
      <c r="K103" s="355">
        <v>46919.39167954923</v>
      </c>
      <c r="L103" s="355">
        <v>164.8725</v>
      </c>
      <c r="M103" s="355">
        <v>0</v>
      </c>
      <c r="N103" s="355">
        <v>0</v>
      </c>
      <c r="O103" s="355">
        <v>0</v>
      </c>
      <c r="P103" s="355">
        <v>0</v>
      </c>
      <c r="Q103" s="355">
        <v>0</v>
      </c>
      <c r="R103" s="355">
        <v>0</v>
      </c>
      <c r="S103" s="355">
        <v>0</v>
      </c>
      <c r="T103" s="355">
        <v>0</v>
      </c>
    </row>
    <row r="104" spans="2:20" ht="12.75">
      <c r="B104" s="356" t="s">
        <v>792</v>
      </c>
      <c r="C104" s="166">
        <v>17921</v>
      </c>
      <c r="D104" s="166">
        <v>17921</v>
      </c>
      <c r="E104" s="166">
        <v>16589</v>
      </c>
      <c r="F104" s="354">
        <v>1058.3511176618351</v>
      </c>
      <c r="G104" s="354">
        <v>1493.4241732044563</v>
      </c>
      <c r="H104" s="354">
        <v>918.7025579134322</v>
      </c>
      <c r="I104" s="354">
        <v>4191.557315526537</v>
      </c>
      <c r="J104" s="355">
        <v>291153231</v>
      </c>
      <c r="K104" s="355">
        <v>176998.867363814</v>
      </c>
      <c r="L104" s="355">
        <v>15463.301699999998</v>
      </c>
      <c r="M104" s="355">
        <v>0</v>
      </c>
      <c r="N104" s="355">
        <v>10353146</v>
      </c>
      <c r="O104" s="355">
        <v>137095</v>
      </c>
      <c r="P104" s="355">
        <v>0</v>
      </c>
      <c r="Q104" s="355">
        <v>0</v>
      </c>
      <c r="R104" s="355">
        <v>0</v>
      </c>
      <c r="S104" s="355">
        <v>0</v>
      </c>
      <c r="T104" s="355">
        <v>0</v>
      </c>
    </row>
    <row r="105" spans="2:20" ht="12.75">
      <c r="B105" s="356" t="s">
        <v>793</v>
      </c>
      <c r="C105" s="166">
        <v>7944</v>
      </c>
      <c r="D105" s="166">
        <v>7944</v>
      </c>
      <c r="E105" s="166">
        <v>7944</v>
      </c>
      <c r="F105" s="354">
        <v>650.3195666242704</v>
      </c>
      <c r="G105" s="354">
        <v>1100.3598449118276</v>
      </c>
      <c r="H105" s="354">
        <v>632.3214789818197</v>
      </c>
      <c r="I105" s="354">
        <v>2996.034747105624</v>
      </c>
      <c r="J105" s="355">
        <v>41084903</v>
      </c>
      <c r="K105" s="355">
        <v>58667.38884701369</v>
      </c>
      <c r="L105" s="355">
        <v>359.4816</v>
      </c>
      <c r="M105" s="355">
        <v>0</v>
      </c>
      <c r="N105" s="355">
        <v>0</v>
      </c>
      <c r="O105" s="355">
        <v>0</v>
      </c>
      <c r="P105" s="355">
        <v>0</v>
      </c>
      <c r="Q105" s="355">
        <v>0</v>
      </c>
      <c r="R105" s="355">
        <v>0</v>
      </c>
      <c r="S105" s="355">
        <v>0</v>
      </c>
      <c r="T105" s="355">
        <v>0</v>
      </c>
    </row>
    <row r="106" spans="2:20" ht="12.75">
      <c r="B106" s="356" t="s">
        <v>794</v>
      </c>
      <c r="C106" s="166">
        <v>8183</v>
      </c>
      <c r="D106" s="166">
        <v>8196.63</v>
      </c>
      <c r="E106" s="166">
        <v>8183</v>
      </c>
      <c r="F106" s="354">
        <v>627.6551463243458</v>
      </c>
      <c r="G106" s="354">
        <v>1245.331732045254</v>
      </c>
      <c r="H106" s="354">
        <v>776.2084163424802</v>
      </c>
      <c r="I106" s="354">
        <v>3745.8699095441434</v>
      </c>
      <c r="J106" s="355">
        <v>40383280</v>
      </c>
      <c r="K106" s="355">
        <v>58335.38324032449</v>
      </c>
      <c r="L106" s="355">
        <v>1459.6868</v>
      </c>
      <c r="M106" s="355">
        <v>0</v>
      </c>
      <c r="N106" s="355">
        <v>0</v>
      </c>
      <c r="O106" s="355">
        <v>0</v>
      </c>
      <c r="P106" s="355">
        <v>0</v>
      </c>
      <c r="Q106" s="355">
        <v>0</v>
      </c>
      <c r="R106" s="355">
        <v>0</v>
      </c>
      <c r="S106" s="355">
        <v>0</v>
      </c>
      <c r="T106" s="355">
        <v>0</v>
      </c>
    </row>
    <row r="107" spans="2:20" ht="12.75">
      <c r="B107" s="356" t="s">
        <v>795</v>
      </c>
      <c r="C107" s="166">
        <v>17419</v>
      </c>
      <c r="D107" s="166">
        <v>17419</v>
      </c>
      <c r="E107" s="166">
        <v>15372</v>
      </c>
      <c r="F107" s="354">
        <v>785.7765940011836</v>
      </c>
      <c r="G107" s="354">
        <v>1155.564672647024</v>
      </c>
      <c r="H107" s="354">
        <v>629.6214169484604</v>
      </c>
      <c r="I107" s="354">
        <v>3178.7679719669177</v>
      </c>
      <c r="J107" s="355">
        <v>441151756</v>
      </c>
      <c r="K107" s="355">
        <v>247977.65696322793</v>
      </c>
      <c r="L107" s="355">
        <v>11457.9348</v>
      </c>
      <c r="M107" s="355">
        <v>0</v>
      </c>
      <c r="N107" s="355">
        <v>15440777</v>
      </c>
      <c r="O107" s="355">
        <v>0</v>
      </c>
      <c r="P107" s="355">
        <v>0</v>
      </c>
      <c r="Q107" s="355">
        <v>0</v>
      </c>
      <c r="R107" s="355">
        <v>0</v>
      </c>
      <c r="S107" s="355">
        <v>0</v>
      </c>
      <c r="T107" s="355">
        <v>0</v>
      </c>
    </row>
    <row r="108" spans="2:20" ht="12.75">
      <c r="B108" s="356" t="s">
        <v>796</v>
      </c>
      <c r="C108" s="166">
        <v>6665</v>
      </c>
      <c r="D108" s="166">
        <v>6665</v>
      </c>
      <c r="E108" s="166">
        <v>6665</v>
      </c>
      <c r="F108" s="354">
        <v>633.093260967232</v>
      </c>
      <c r="G108" s="354">
        <v>1007.8679549714561</v>
      </c>
      <c r="H108" s="354">
        <v>584.0407881820342</v>
      </c>
      <c r="I108" s="354">
        <v>3168.921465992156</v>
      </c>
      <c r="J108" s="355">
        <v>42918878</v>
      </c>
      <c r="K108" s="355">
        <v>59535.219551719514</v>
      </c>
      <c r="L108" s="355">
        <v>5076.8696</v>
      </c>
      <c r="M108" s="355">
        <v>0</v>
      </c>
      <c r="N108" s="355">
        <v>0</v>
      </c>
      <c r="O108" s="355">
        <v>0</v>
      </c>
      <c r="P108" s="355">
        <v>0</v>
      </c>
      <c r="Q108" s="355">
        <v>0</v>
      </c>
      <c r="R108" s="355">
        <v>0</v>
      </c>
      <c r="S108" s="355">
        <v>0</v>
      </c>
      <c r="T108" s="355">
        <v>0</v>
      </c>
    </row>
    <row r="109" spans="2:20" ht="12.75">
      <c r="B109" s="356" t="s">
        <v>797</v>
      </c>
      <c r="C109" s="166">
        <v>3050</v>
      </c>
      <c r="D109" s="166">
        <v>3050</v>
      </c>
      <c r="E109" s="166">
        <v>3050</v>
      </c>
      <c r="F109" s="354">
        <v>610.512833842458</v>
      </c>
      <c r="G109" s="354">
        <v>1199.51810469525</v>
      </c>
      <c r="H109" s="354">
        <v>748.5274264474334</v>
      </c>
      <c r="I109" s="354">
        <v>3605.896871658772</v>
      </c>
      <c r="J109" s="355">
        <v>26701843</v>
      </c>
      <c r="K109" s="355">
        <v>51861.373990962624</v>
      </c>
      <c r="L109" s="355">
        <v>1057.94</v>
      </c>
      <c r="M109" s="355">
        <v>0</v>
      </c>
      <c r="N109" s="355">
        <v>0</v>
      </c>
      <c r="O109" s="355">
        <v>0</v>
      </c>
      <c r="P109" s="355">
        <v>0</v>
      </c>
      <c r="Q109" s="355">
        <v>0</v>
      </c>
      <c r="R109" s="355">
        <v>0</v>
      </c>
      <c r="S109" s="355">
        <v>0</v>
      </c>
      <c r="T109" s="355">
        <v>0</v>
      </c>
    </row>
    <row r="110" spans="2:20" ht="12.75">
      <c r="B110" s="356" t="s">
        <v>798</v>
      </c>
      <c r="C110" s="166">
        <v>1897</v>
      </c>
      <c r="D110" s="166">
        <v>1897</v>
      </c>
      <c r="E110" s="166">
        <v>1897</v>
      </c>
      <c r="F110" s="354">
        <v>531.4144400669027</v>
      </c>
      <c r="G110" s="354">
        <v>978.2218289688001</v>
      </c>
      <c r="H110" s="354">
        <v>636.1149954031446</v>
      </c>
      <c r="I110" s="354">
        <v>3363.279509304123</v>
      </c>
      <c r="J110" s="355">
        <v>5931224</v>
      </c>
      <c r="K110" s="355">
        <v>42032.78803753015</v>
      </c>
      <c r="L110" s="355">
        <v>418.19759999999997</v>
      </c>
      <c r="M110" s="355">
        <v>0</v>
      </c>
      <c r="N110" s="355">
        <v>0</v>
      </c>
      <c r="O110" s="355">
        <v>0</v>
      </c>
      <c r="P110" s="355">
        <v>0</v>
      </c>
      <c r="Q110" s="355">
        <v>0</v>
      </c>
      <c r="R110" s="355">
        <v>0</v>
      </c>
      <c r="S110" s="355">
        <v>0</v>
      </c>
      <c r="T110" s="355">
        <v>0</v>
      </c>
    </row>
    <row r="111" spans="2:20" ht="12.75">
      <c r="B111" s="356" t="s">
        <v>799</v>
      </c>
      <c r="C111" s="166">
        <v>0</v>
      </c>
      <c r="D111" s="166">
        <v>0</v>
      </c>
      <c r="E111" s="166">
        <v>0</v>
      </c>
      <c r="F111" s="354">
        <v>0</v>
      </c>
      <c r="G111" s="354">
        <v>0</v>
      </c>
      <c r="H111" s="354">
        <v>0</v>
      </c>
      <c r="I111" s="354">
        <v>0</v>
      </c>
      <c r="J111" s="355">
        <v>0</v>
      </c>
      <c r="K111" s="355">
        <v>0</v>
      </c>
      <c r="L111" s="355">
        <v>1476.4637999999998</v>
      </c>
      <c r="M111" s="355">
        <v>0</v>
      </c>
      <c r="N111" s="355">
        <v>0</v>
      </c>
      <c r="O111" s="355">
        <v>0</v>
      </c>
      <c r="P111" s="355">
        <v>0</v>
      </c>
      <c r="Q111" s="355">
        <v>0</v>
      </c>
      <c r="R111" s="355">
        <v>0</v>
      </c>
      <c r="S111" s="355">
        <v>0</v>
      </c>
      <c r="T111" s="355">
        <v>0</v>
      </c>
    </row>
    <row r="112" spans="2:20" ht="12.75">
      <c r="B112" s="356" t="s">
        <v>800</v>
      </c>
      <c r="C112" s="166">
        <v>3091</v>
      </c>
      <c r="D112" s="166">
        <v>3091</v>
      </c>
      <c r="E112" s="166">
        <v>3091</v>
      </c>
      <c r="F112" s="354">
        <v>439.28462504848267</v>
      </c>
      <c r="G112" s="354">
        <v>976.611502075995</v>
      </c>
      <c r="H112" s="354">
        <v>642.6887953953149</v>
      </c>
      <c r="I112" s="354">
        <v>3472.7787516096996</v>
      </c>
      <c r="J112" s="355">
        <v>7146769</v>
      </c>
      <c r="K112" s="355">
        <v>42607.979778939734</v>
      </c>
      <c r="L112" s="355">
        <v>316.59950000000003</v>
      </c>
      <c r="M112" s="355">
        <v>0</v>
      </c>
      <c r="N112" s="355">
        <v>0</v>
      </c>
      <c r="O112" s="355">
        <v>0</v>
      </c>
      <c r="P112" s="355">
        <v>0</v>
      </c>
      <c r="Q112" s="355">
        <v>0</v>
      </c>
      <c r="R112" s="355">
        <v>0</v>
      </c>
      <c r="S112" s="355">
        <v>0</v>
      </c>
      <c r="T112" s="355">
        <v>0</v>
      </c>
    </row>
    <row r="113" spans="2:20" ht="12.75">
      <c r="B113" s="356" t="s">
        <v>801</v>
      </c>
      <c r="C113" s="166">
        <v>3424</v>
      </c>
      <c r="D113" s="166">
        <v>3433</v>
      </c>
      <c r="E113" s="166">
        <v>3424</v>
      </c>
      <c r="F113" s="354">
        <v>417.65337526292336</v>
      </c>
      <c r="G113" s="354">
        <v>925.4259361789931</v>
      </c>
      <c r="H113" s="354">
        <v>592.5527294189426</v>
      </c>
      <c r="I113" s="354">
        <v>3586.436338491955</v>
      </c>
      <c r="J113" s="355">
        <v>20508243</v>
      </c>
      <c r="K113" s="355">
        <v>48930.5836297712</v>
      </c>
      <c r="L113" s="355">
        <v>1056</v>
      </c>
      <c r="M113" s="355">
        <v>0</v>
      </c>
      <c r="N113" s="355">
        <v>0</v>
      </c>
      <c r="O113" s="355">
        <v>0</v>
      </c>
      <c r="P113" s="355">
        <v>0</v>
      </c>
      <c r="Q113" s="355">
        <v>0</v>
      </c>
      <c r="R113" s="355">
        <v>0</v>
      </c>
      <c r="S113" s="355">
        <v>0</v>
      </c>
      <c r="T113" s="355">
        <v>0</v>
      </c>
    </row>
    <row r="114" spans="2:20" ht="12.75">
      <c r="B114" s="356" t="s">
        <v>802</v>
      </c>
      <c r="C114" s="166">
        <v>11505</v>
      </c>
      <c r="D114" s="166">
        <v>12511.3</v>
      </c>
      <c r="E114" s="166">
        <v>11505</v>
      </c>
      <c r="F114" s="354">
        <v>622.306899801379</v>
      </c>
      <c r="G114" s="354">
        <v>1120.7986009531417</v>
      </c>
      <c r="H114" s="354">
        <v>699.2295148614539</v>
      </c>
      <c r="I114" s="354">
        <v>3728.7164737117587</v>
      </c>
      <c r="J114" s="355">
        <v>88881749</v>
      </c>
      <c r="K114" s="355">
        <v>81284.69308883601</v>
      </c>
      <c r="L114" s="355">
        <v>1881.015</v>
      </c>
      <c r="M114" s="355">
        <v>0</v>
      </c>
      <c r="N114" s="355">
        <v>0</v>
      </c>
      <c r="O114" s="355">
        <v>0</v>
      </c>
      <c r="P114" s="355">
        <v>0</v>
      </c>
      <c r="Q114" s="355">
        <v>0</v>
      </c>
      <c r="R114" s="355">
        <v>0</v>
      </c>
      <c r="S114" s="355">
        <v>0</v>
      </c>
      <c r="T114" s="355">
        <v>0</v>
      </c>
    </row>
    <row r="115" spans="2:20" ht="12.75">
      <c r="B115" s="356" t="s">
        <v>803</v>
      </c>
      <c r="C115" s="166">
        <v>8189</v>
      </c>
      <c r="D115" s="166">
        <v>8189</v>
      </c>
      <c r="E115" s="166">
        <v>8189</v>
      </c>
      <c r="F115" s="354">
        <v>431.7022898819374</v>
      </c>
      <c r="G115" s="354">
        <v>967.8959551418687</v>
      </c>
      <c r="H115" s="354">
        <v>594.6921356691176</v>
      </c>
      <c r="I115" s="354">
        <v>3276.618966459925</v>
      </c>
      <c r="J115" s="355">
        <v>40061946</v>
      </c>
      <c r="K115" s="355">
        <v>58183.329089277744</v>
      </c>
      <c r="L115" s="355">
        <v>3130.89</v>
      </c>
      <c r="M115" s="355">
        <v>0</v>
      </c>
      <c r="N115" s="355">
        <v>0</v>
      </c>
      <c r="O115" s="355">
        <v>0</v>
      </c>
      <c r="P115" s="355">
        <v>0</v>
      </c>
      <c r="Q115" s="355">
        <v>0</v>
      </c>
      <c r="R115" s="355">
        <v>0</v>
      </c>
      <c r="S115" s="355">
        <v>0</v>
      </c>
      <c r="T115" s="355">
        <v>0</v>
      </c>
    </row>
    <row r="116" spans="2:20" ht="12.75">
      <c r="B116" s="356" t="s">
        <v>804</v>
      </c>
      <c r="C116" s="166">
        <v>5017</v>
      </c>
      <c r="D116" s="166">
        <v>5017.25</v>
      </c>
      <c r="E116" s="166">
        <v>5017</v>
      </c>
      <c r="F116" s="354">
        <v>481.4655694920849</v>
      </c>
      <c r="G116" s="354">
        <v>1003.6634137124821</v>
      </c>
      <c r="H116" s="354">
        <v>712.1949995812672</v>
      </c>
      <c r="I116" s="354">
        <v>4298.14002067387</v>
      </c>
      <c r="J116" s="355">
        <v>12832795</v>
      </c>
      <c r="K116" s="355">
        <v>45298.58785732449</v>
      </c>
      <c r="L116" s="355">
        <v>398.762</v>
      </c>
      <c r="M116" s="355">
        <v>0</v>
      </c>
      <c r="N116" s="355">
        <v>0</v>
      </c>
      <c r="O116" s="355">
        <v>0</v>
      </c>
      <c r="P116" s="355">
        <v>0</v>
      </c>
      <c r="Q116" s="355">
        <v>0</v>
      </c>
      <c r="R116" s="355">
        <v>0</v>
      </c>
      <c r="S116" s="355">
        <v>0</v>
      </c>
      <c r="T116" s="355">
        <v>0</v>
      </c>
    </row>
    <row r="117" spans="2:20" ht="12.75">
      <c r="B117" s="356" t="s">
        <v>805</v>
      </c>
      <c r="C117" s="166">
        <v>5431</v>
      </c>
      <c r="D117" s="166">
        <v>5431</v>
      </c>
      <c r="E117" s="166">
        <v>5431</v>
      </c>
      <c r="F117" s="354">
        <v>477.49947500424383</v>
      </c>
      <c r="G117" s="354">
        <v>935.2539652190878</v>
      </c>
      <c r="H117" s="354">
        <v>614.8241762760704</v>
      </c>
      <c r="I117" s="354">
        <v>3307.4705072861857</v>
      </c>
      <c r="J117" s="355">
        <v>74307399</v>
      </c>
      <c r="K117" s="355">
        <v>74388.16045827701</v>
      </c>
      <c r="L117" s="355">
        <v>1272.8877</v>
      </c>
      <c r="M117" s="355">
        <v>0</v>
      </c>
      <c r="N117" s="355">
        <v>0</v>
      </c>
      <c r="O117" s="355">
        <v>0</v>
      </c>
      <c r="P117" s="355">
        <v>0</v>
      </c>
      <c r="Q117" s="355">
        <v>0</v>
      </c>
      <c r="R117" s="355">
        <v>0</v>
      </c>
      <c r="S117" s="355">
        <v>0</v>
      </c>
      <c r="T117" s="355">
        <v>0</v>
      </c>
    </row>
    <row r="118" spans="2:20" ht="12.75">
      <c r="B118" s="356" t="s">
        <v>806</v>
      </c>
      <c r="C118" s="166">
        <v>29393</v>
      </c>
      <c r="D118" s="166">
        <v>29396</v>
      </c>
      <c r="E118" s="166">
        <v>29393</v>
      </c>
      <c r="F118" s="354">
        <v>657.236823549293</v>
      </c>
      <c r="G118" s="354">
        <v>1162.0103432332646</v>
      </c>
      <c r="H118" s="354">
        <v>657.3276157060506</v>
      </c>
      <c r="I118" s="354">
        <v>3183.7521226345343</v>
      </c>
      <c r="J118" s="355">
        <v>663623100</v>
      </c>
      <c r="K118" s="355">
        <v>353250.33692907996</v>
      </c>
      <c r="L118" s="355">
        <v>2994.4971</v>
      </c>
      <c r="M118" s="355">
        <v>0</v>
      </c>
      <c r="N118" s="355">
        <v>0</v>
      </c>
      <c r="O118" s="355">
        <v>0</v>
      </c>
      <c r="P118" s="355">
        <v>0</v>
      </c>
      <c r="Q118" s="355">
        <v>0</v>
      </c>
      <c r="R118" s="355">
        <v>0</v>
      </c>
      <c r="S118" s="355">
        <v>1130</v>
      </c>
      <c r="T118" s="355">
        <v>0</v>
      </c>
    </row>
    <row r="119" spans="2:20" ht="12.75">
      <c r="B119" s="356" t="s">
        <v>807</v>
      </c>
      <c r="C119" s="166">
        <v>18339</v>
      </c>
      <c r="D119" s="166">
        <v>18341</v>
      </c>
      <c r="E119" s="166">
        <v>16430</v>
      </c>
      <c r="F119" s="354">
        <v>950.9080781508701</v>
      </c>
      <c r="G119" s="354">
        <v>1394.746809037538</v>
      </c>
      <c r="H119" s="354">
        <v>888.6971076184393</v>
      </c>
      <c r="I119" s="354">
        <v>4179.470481210862</v>
      </c>
      <c r="J119" s="355">
        <v>786669158.6</v>
      </c>
      <c r="K119" s="355">
        <v>411475.3115040403</v>
      </c>
      <c r="L119" s="355">
        <v>0</v>
      </c>
      <c r="M119" s="355">
        <v>0</v>
      </c>
      <c r="N119" s="355">
        <v>7315008</v>
      </c>
      <c r="O119" s="355">
        <v>0</v>
      </c>
      <c r="P119" s="355">
        <v>0</v>
      </c>
      <c r="Q119" s="355">
        <v>0</v>
      </c>
      <c r="R119" s="355">
        <v>0</v>
      </c>
      <c r="S119" s="355">
        <v>0</v>
      </c>
      <c r="T119" s="355">
        <v>0</v>
      </c>
    </row>
    <row r="120" spans="2:20" ht="12.75">
      <c r="B120" s="356" t="s">
        <v>808</v>
      </c>
      <c r="C120" s="166">
        <v>3797</v>
      </c>
      <c r="D120" s="166">
        <v>3797</v>
      </c>
      <c r="E120" s="166">
        <v>3797</v>
      </c>
      <c r="F120" s="354">
        <v>415.84135659568585</v>
      </c>
      <c r="G120" s="354">
        <v>929.2605542012797</v>
      </c>
      <c r="H120" s="354">
        <v>570.147418556371</v>
      </c>
      <c r="I120" s="354">
        <v>3374.369636528231</v>
      </c>
      <c r="J120" s="355">
        <v>18868225</v>
      </c>
      <c r="K120" s="355">
        <v>48154.532714862195</v>
      </c>
      <c r="L120" s="355">
        <v>3885</v>
      </c>
      <c r="M120" s="355">
        <v>0</v>
      </c>
      <c r="N120" s="355">
        <v>0</v>
      </c>
      <c r="O120" s="355">
        <v>0</v>
      </c>
      <c r="P120" s="355">
        <v>0</v>
      </c>
      <c r="Q120" s="355">
        <v>0</v>
      </c>
      <c r="R120" s="355">
        <v>0</v>
      </c>
      <c r="S120" s="355">
        <v>0</v>
      </c>
      <c r="T120" s="355">
        <v>0</v>
      </c>
    </row>
    <row r="121" spans="2:20" ht="12.75">
      <c r="B121" s="356" t="s">
        <v>809</v>
      </c>
      <c r="C121" s="166">
        <v>15668</v>
      </c>
      <c r="D121" s="166">
        <v>15668</v>
      </c>
      <c r="E121" s="166">
        <v>15668</v>
      </c>
      <c r="F121" s="354">
        <v>533.5911844486675</v>
      </c>
      <c r="G121" s="354">
        <v>1064.3353653586694</v>
      </c>
      <c r="H121" s="354">
        <v>636.1271921014932</v>
      </c>
      <c r="I121" s="354">
        <v>3154.7031183363697</v>
      </c>
      <c r="J121" s="355">
        <v>142391717</v>
      </c>
      <c r="K121" s="355">
        <v>106605.4271436767</v>
      </c>
      <c r="L121" s="355">
        <v>227.60240000000002</v>
      </c>
      <c r="M121" s="355">
        <v>0</v>
      </c>
      <c r="N121" s="355">
        <v>0</v>
      </c>
      <c r="O121" s="355">
        <v>0</v>
      </c>
      <c r="P121" s="355">
        <v>0</v>
      </c>
      <c r="Q121" s="355">
        <v>0</v>
      </c>
      <c r="R121" s="355">
        <v>0</v>
      </c>
      <c r="S121" s="355">
        <v>0</v>
      </c>
      <c r="T121" s="355">
        <v>0</v>
      </c>
    </row>
    <row r="122" spans="2:20" ht="12.75">
      <c r="B122" s="356" t="s">
        <v>810</v>
      </c>
      <c r="C122" s="166">
        <v>2724</v>
      </c>
      <c r="D122" s="166">
        <v>2724</v>
      </c>
      <c r="E122" s="166">
        <v>2724</v>
      </c>
      <c r="F122" s="354">
        <v>462.6531125334486</v>
      </c>
      <c r="G122" s="354">
        <v>999.3418333797615</v>
      </c>
      <c r="H122" s="354">
        <v>638.2864617678332</v>
      </c>
      <c r="I122" s="354">
        <v>3591.075699460403</v>
      </c>
      <c r="J122" s="355">
        <v>3417342</v>
      </c>
      <c r="K122" s="355">
        <v>40843.22766314811</v>
      </c>
      <c r="L122" s="355">
        <v>383.5815</v>
      </c>
      <c r="M122" s="355">
        <v>0</v>
      </c>
      <c r="N122" s="355">
        <v>0</v>
      </c>
      <c r="O122" s="355">
        <v>0</v>
      </c>
      <c r="P122" s="355">
        <v>0</v>
      </c>
      <c r="Q122" s="355">
        <v>0</v>
      </c>
      <c r="R122" s="355">
        <v>0</v>
      </c>
      <c r="S122" s="355">
        <v>0</v>
      </c>
      <c r="T122" s="355">
        <v>0</v>
      </c>
    </row>
    <row r="123" spans="2:20" ht="12.75">
      <c r="B123" s="356" t="s">
        <v>811</v>
      </c>
      <c r="C123" s="166">
        <v>12214</v>
      </c>
      <c r="D123" s="166">
        <v>12249.7</v>
      </c>
      <c r="E123" s="166">
        <v>12214</v>
      </c>
      <c r="F123" s="354">
        <v>600.9477833230857</v>
      </c>
      <c r="G123" s="354">
        <v>1177.2015214515075</v>
      </c>
      <c r="H123" s="354">
        <v>664.2390561439378</v>
      </c>
      <c r="I123" s="354">
        <v>3605.5707834723707</v>
      </c>
      <c r="J123" s="355">
        <v>15480089</v>
      </c>
      <c r="K123" s="355">
        <v>46551.278334339455</v>
      </c>
      <c r="L123" s="355">
        <v>1142.4187</v>
      </c>
      <c r="M123" s="355">
        <v>0</v>
      </c>
      <c r="N123" s="355">
        <v>0</v>
      </c>
      <c r="O123" s="355">
        <v>0</v>
      </c>
      <c r="P123" s="355">
        <v>0</v>
      </c>
      <c r="Q123" s="355">
        <v>0</v>
      </c>
      <c r="R123" s="355">
        <v>0</v>
      </c>
      <c r="S123" s="355">
        <v>0</v>
      </c>
      <c r="T123" s="355">
        <v>0</v>
      </c>
    </row>
    <row r="124" spans="2:20" ht="12.75">
      <c r="B124" s="356" t="s">
        <v>812</v>
      </c>
      <c r="C124" s="166">
        <v>8526</v>
      </c>
      <c r="D124" s="166">
        <v>8526</v>
      </c>
      <c r="E124" s="166">
        <v>8526</v>
      </c>
      <c r="F124" s="354">
        <v>498.8276234637931</v>
      </c>
      <c r="G124" s="354">
        <v>1084.5251236907598</v>
      </c>
      <c r="H124" s="354">
        <v>635.0833473127869</v>
      </c>
      <c r="I124" s="354">
        <v>2919.166465673097</v>
      </c>
      <c r="J124" s="355">
        <v>95199089</v>
      </c>
      <c r="K124" s="355">
        <v>84274.03679530219</v>
      </c>
      <c r="L124" s="355">
        <v>212.9965</v>
      </c>
      <c r="M124" s="355">
        <v>0</v>
      </c>
      <c r="N124" s="355">
        <v>0</v>
      </c>
      <c r="O124" s="355">
        <v>0</v>
      </c>
      <c r="P124" s="355">
        <v>0</v>
      </c>
      <c r="Q124" s="355">
        <v>0</v>
      </c>
      <c r="R124" s="355">
        <v>0</v>
      </c>
      <c r="S124" s="355">
        <v>0</v>
      </c>
      <c r="T124" s="355">
        <v>0</v>
      </c>
    </row>
    <row r="125" spans="2:20" ht="12.75">
      <c r="B125" s="356" t="s">
        <v>813</v>
      </c>
      <c r="C125" s="166">
        <v>15710</v>
      </c>
      <c r="D125" s="166">
        <v>15710</v>
      </c>
      <c r="E125" s="166">
        <v>15710</v>
      </c>
      <c r="F125" s="354">
        <v>659.7475802799464</v>
      </c>
      <c r="G125" s="354">
        <v>1092.4057799689258</v>
      </c>
      <c r="H125" s="354">
        <v>636.1915593620556</v>
      </c>
      <c r="I125" s="354">
        <v>3395.7889111910235</v>
      </c>
      <c r="J125" s="355">
        <v>80389699</v>
      </c>
      <c r="K125" s="355">
        <v>77266.28403969566</v>
      </c>
      <c r="L125" s="355">
        <v>1486.8948</v>
      </c>
      <c r="M125" s="355">
        <v>0</v>
      </c>
      <c r="N125" s="355">
        <v>0</v>
      </c>
      <c r="O125" s="355">
        <v>13095</v>
      </c>
      <c r="P125" s="355">
        <v>0</v>
      </c>
      <c r="Q125" s="355">
        <v>0</v>
      </c>
      <c r="R125" s="355">
        <v>0</v>
      </c>
      <c r="S125" s="355">
        <v>0</v>
      </c>
      <c r="T125" s="355">
        <v>0</v>
      </c>
    </row>
    <row r="126" spans="2:20" ht="12.75">
      <c r="B126" s="356" t="s">
        <v>814</v>
      </c>
      <c r="C126" s="166">
        <v>28638</v>
      </c>
      <c r="D126" s="166">
        <v>28638</v>
      </c>
      <c r="E126" s="166">
        <v>28638</v>
      </c>
      <c r="F126" s="354">
        <v>735.5941685493341</v>
      </c>
      <c r="G126" s="354">
        <v>1147.717829176267</v>
      </c>
      <c r="H126" s="354">
        <v>592.716133700858</v>
      </c>
      <c r="I126" s="354">
        <v>3182.5877902910165</v>
      </c>
      <c r="J126" s="355">
        <v>360639181</v>
      </c>
      <c r="K126" s="355">
        <v>209879.3815233059</v>
      </c>
      <c r="L126" s="355">
        <v>13735.439899999998</v>
      </c>
      <c r="M126" s="355">
        <v>0</v>
      </c>
      <c r="N126" s="355">
        <v>0</v>
      </c>
      <c r="O126" s="355">
        <v>0</v>
      </c>
      <c r="P126" s="355">
        <v>0</v>
      </c>
      <c r="Q126" s="355">
        <v>0</v>
      </c>
      <c r="R126" s="355">
        <v>0</v>
      </c>
      <c r="S126" s="355">
        <v>0</v>
      </c>
      <c r="T126" s="355">
        <v>0</v>
      </c>
    </row>
    <row r="127" spans="2:20" ht="12.75">
      <c r="B127" s="356" t="s">
        <v>815</v>
      </c>
      <c r="C127" s="166">
        <v>5931</v>
      </c>
      <c r="D127" s="166">
        <v>5931</v>
      </c>
      <c r="E127" s="166">
        <v>5931</v>
      </c>
      <c r="F127" s="354">
        <v>564.5946138213317</v>
      </c>
      <c r="G127" s="354">
        <v>1103.0246423969386</v>
      </c>
      <c r="H127" s="354">
        <v>652.0155606359201</v>
      </c>
      <c r="I127" s="354">
        <v>3400.8492095903853</v>
      </c>
      <c r="J127" s="355">
        <v>18195053</v>
      </c>
      <c r="K127" s="355">
        <v>47835.99002417763</v>
      </c>
      <c r="L127" s="355">
        <v>0</v>
      </c>
      <c r="M127" s="355">
        <v>0</v>
      </c>
      <c r="N127" s="355">
        <v>0</v>
      </c>
      <c r="O127" s="355">
        <v>0</v>
      </c>
      <c r="P127" s="355">
        <v>0</v>
      </c>
      <c r="Q127" s="355">
        <v>0</v>
      </c>
      <c r="R127" s="355">
        <v>0</v>
      </c>
      <c r="S127" s="355">
        <v>0</v>
      </c>
      <c r="T127" s="355">
        <v>0</v>
      </c>
    </row>
    <row r="128" spans="2:20" ht="12.75">
      <c r="B128" s="356" t="s">
        <v>816</v>
      </c>
      <c r="C128" s="166">
        <v>4383</v>
      </c>
      <c r="D128" s="166">
        <v>4383</v>
      </c>
      <c r="E128" s="166">
        <v>4383</v>
      </c>
      <c r="F128" s="354">
        <v>491.0672235666203</v>
      </c>
      <c r="G128" s="354">
        <v>941.9019677565856</v>
      </c>
      <c r="H128" s="354">
        <v>614.1636037993648</v>
      </c>
      <c r="I128" s="354">
        <v>3336.5426546275376</v>
      </c>
      <c r="J128" s="355">
        <v>13601534</v>
      </c>
      <c r="K128" s="355">
        <v>45662.35252592949</v>
      </c>
      <c r="L128" s="355">
        <v>201.96329999999998</v>
      </c>
      <c r="M128" s="355">
        <v>0</v>
      </c>
      <c r="N128" s="355">
        <v>0</v>
      </c>
      <c r="O128" s="355">
        <v>0</v>
      </c>
      <c r="P128" s="355">
        <v>0</v>
      </c>
      <c r="Q128" s="355">
        <v>0</v>
      </c>
      <c r="R128" s="355">
        <v>0</v>
      </c>
      <c r="S128" s="355">
        <v>0</v>
      </c>
      <c r="T128" s="355">
        <v>0</v>
      </c>
    </row>
    <row r="129" spans="2:20" ht="12.75">
      <c r="B129" s="356" t="s">
        <v>817</v>
      </c>
      <c r="C129" s="166">
        <v>1262</v>
      </c>
      <c r="D129" s="166">
        <v>1262</v>
      </c>
      <c r="E129" s="166">
        <v>1262</v>
      </c>
      <c r="F129" s="354">
        <v>586.1252701952826</v>
      </c>
      <c r="G129" s="354">
        <v>1024.1097456584075</v>
      </c>
      <c r="H129" s="354">
        <v>651.9008953679461</v>
      </c>
      <c r="I129" s="354">
        <v>3321.664527404368</v>
      </c>
      <c r="J129" s="355">
        <v>3654216</v>
      </c>
      <c r="K129" s="355">
        <v>40955.31563073026</v>
      </c>
      <c r="L129" s="355">
        <v>35.5028</v>
      </c>
      <c r="M129" s="355">
        <v>0</v>
      </c>
      <c r="N129" s="355">
        <v>0</v>
      </c>
      <c r="O129" s="355">
        <v>0</v>
      </c>
      <c r="P129" s="355">
        <v>0</v>
      </c>
      <c r="Q129" s="355">
        <v>0</v>
      </c>
      <c r="R129" s="355">
        <v>0</v>
      </c>
      <c r="S129" s="355">
        <v>0</v>
      </c>
      <c r="T129" s="355">
        <v>0</v>
      </c>
    </row>
    <row r="130" spans="2:20" ht="12.75">
      <c r="B130" s="356" t="s">
        <v>818</v>
      </c>
      <c r="C130" s="166">
        <v>13799</v>
      </c>
      <c r="D130" s="166">
        <v>13799</v>
      </c>
      <c r="E130" s="166">
        <v>12333</v>
      </c>
      <c r="F130" s="354">
        <v>678.501364755671</v>
      </c>
      <c r="G130" s="354">
        <v>1136.03645748001</v>
      </c>
      <c r="H130" s="354">
        <v>654.8933746197187</v>
      </c>
      <c r="I130" s="354">
        <v>3150.8079676745156</v>
      </c>
      <c r="J130" s="355">
        <v>214056709</v>
      </c>
      <c r="K130" s="355">
        <v>140517.0565334436</v>
      </c>
      <c r="L130" s="355">
        <v>2714.4294999999997</v>
      </c>
      <c r="M130" s="355">
        <v>0</v>
      </c>
      <c r="N130" s="355">
        <v>9899488</v>
      </c>
      <c r="O130" s="355">
        <v>0</v>
      </c>
      <c r="P130" s="355">
        <v>0</v>
      </c>
      <c r="Q130" s="355">
        <v>0</v>
      </c>
      <c r="R130" s="355">
        <v>0</v>
      </c>
      <c r="S130" s="355">
        <v>0</v>
      </c>
      <c r="T130" s="355">
        <v>0</v>
      </c>
    </row>
    <row r="131" spans="2:20" ht="12.75">
      <c r="B131" s="356" t="s">
        <v>819</v>
      </c>
      <c r="C131" s="166">
        <v>7769</v>
      </c>
      <c r="D131" s="166">
        <v>7772</v>
      </c>
      <c r="E131" s="166">
        <v>7769</v>
      </c>
      <c r="F131" s="354">
        <v>652.6102898575223</v>
      </c>
      <c r="G131" s="354">
        <v>1168.6166254463399</v>
      </c>
      <c r="H131" s="354">
        <v>702.5816616117628</v>
      </c>
      <c r="I131" s="354">
        <v>4421.096957733878</v>
      </c>
      <c r="J131" s="355">
        <v>34489207</v>
      </c>
      <c r="K131" s="355">
        <v>55546.3280322777</v>
      </c>
      <c r="L131" s="355">
        <v>7236.3618</v>
      </c>
      <c r="M131" s="355">
        <v>0</v>
      </c>
      <c r="N131" s="355">
        <v>0</v>
      </c>
      <c r="O131" s="355">
        <v>0</v>
      </c>
      <c r="P131" s="355">
        <v>0</v>
      </c>
      <c r="Q131" s="355">
        <v>0</v>
      </c>
      <c r="R131" s="355">
        <v>0</v>
      </c>
      <c r="S131" s="355">
        <v>0</v>
      </c>
      <c r="T131" s="355">
        <v>0</v>
      </c>
    </row>
    <row r="132" spans="2:20" ht="12.75">
      <c r="B132" s="356" t="s">
        <v>820</v>
      </c>
      <c r="C132" s="166">
        <v>0</v>
      </c>
      <c r="D132" s="166">
        <v>0</v>
      </c>
      <c r="E132" s="166">
        <v>0</v>
      </c>
      <c r="F132" s="354">
        <v>0</v>
      </c>
      <c r="G132" s="354">
        <v>0</v>
      </c>
      <c r="H132" s="354">
        <v>0</v>
      </c>
      <c r="I132" s="354">
        <v>0</v>
      </c>
      <c r="J132" s="355">
        <v>0</v>
      </c>
      <c r="K132" s="355">
        <v>0</v>
      </c>
      <c r="L132" s="355">
        <v>1795.8468</v>
      </c>
      <c r="M132" s="355">
        <v>0</v>
      </c>
      <c r="N132" s="355">
        <v>0</v>
      </c>
      <c r="O132" s="355">
        <v>0</v>
      </c>
      <c r="P132" s="355">
        <v>0</v>
      </c>
      <c r="Q132" s="355">
        <v>0</v>
      </c>
      <c r="R132" s="355">
        <v>0</v>
      </c>
      <c r="S132" s="355">
        <v>0</v>
      </c>
      <c r="T132" s="355">
        <v>0</v>
      </c>
    </row>
    <row r="133" spans="2:20" ht="12.75">
      <c r="B133" s="356" t="s">
        <v>821</v>
      </c>
      <c r="C133" s="166">
        <v>4620</v>
      </c>
      <c r="D133" s="166">
        <v>4620</v>
      </c>
      <c r="E133" s="166">
        <v>4620</v>
      </c>
      <c r="F133" s="354">
        <v>519.3592089347175</v>
      </c>
      <c r="G133" s="354">
        <v>1053.1853956832308</v>
      </c>
      <c r="H133" s="354">
        <v>763.2613542211898</v>
      </c>
      <c r="I133" s="354">
        <v>3721.9124387563816</v>
      </c>
      <c r="J133" s="355">
        <v>45864478</v>
      </c>
      <c r="K133" s="355">
        <v>60929.06740885034</v>
      </c>
      <c r="L133" s="355">
        <v>50.1113</v>
      </c>
      <c r="M133" s="355">
        <v>0</v>
      </c>
      <c r="N133" s="355">
        <v>0</v>
      </c>
      <c r="O133" s="355">
        <v>0</v>
      </c>
      <c r="P133" s="355">
        <v>0</v>
      </c>
      <c r="Q133" s="355">
        <v>0</v>
      </c>
      <c r="R133" s="355">
        <v>0</v>
      </c>
      <c r="S133" s="355">
        <v>0</v>
      </c>
      <c r="T133" s="355">
        <v>0</v>
      </c>
    </row>
    <row r="134" spans="2:20" ht="12.75">
      <c r="B134" s="356" t="s">
        <v>822</v>
      </c>
      <c r="C134" s="166">
        <v>15177</v>
      </c>
      <c r="D134" s="166">
        <v>15177</v>
      </c>
      <c r="E134" s="166">
        <v>15177</v>
      </c>
      <c r="F134" s="354">
        <v>761.0034226333303</v>
      </c>
      <c r="G134" s="354">
        <v>1269.4403835104863</v>
      </c>
      <c r="H134" s="354">
        <v>789.6055188001858</v>
      </c>
      <c r="I134" s="354">
        <v>3511.0803977723194</v>
      </c>
      <c r="J134" s="355">
        <v>91501900</v>
      </c>
      <c r="K134" s="355">
        <v>82524.53959097789</v>
      </c>
      <c r="L134" s="355">
        <v>738.4722</v>
      </c>
      <c r="M134" s="355">
        <v>0</v>
      </c>
      <c r="N134" s="355">
        <v>0</v>
      </c>
      <c r="O134" s="355">
        <v>0</v>
      </c>
      <c r="P134" s="355">
        <v>0</v>
      </c>
      <c r="Q134" s="355">
        <v>0</v>
      </c>
      <c r="R134" s="355">
        <v>0</v>
      </c>
      <c r="S134" s="355">
        <v>0</v>
      </c>
      <c r="T134" s="355">
        <v>0</v>
      </c>
    </row>
    <row r="135" spans="2:20" ht="12.75">
      <c r="B135" s="356" t="s">
        <v>823</v>
      </c>
      <c r="C135" s="166">
        <v>7292</v>
      </c>
      <c r="D135" s="166">
        <v>7297.63</v>
      </c>
      <c r="E135" s="166">
        <v>5954</v>
      </c>
      <c r="F135" s="354">
        <v>705.7812421282525</v>
      </c>
      <c r="G135" s="354">
        <v>1219.0701386835613</v>
      </c>
      <c r="H135" s="354">
        <v>777.9714444316463</v>
      </c>
      <c r="I135" s="354">
        <v>4491.835915862605</v>
      </c>
      <c r="J135" s="355">
        <v>54234647</v>
      </c>
      <c r="K135" s="355">
        <v>64889.80278516511</v>
      </c>
      <c r="L135" s="355">
        <v>2347.268</v>
      </c>
      <c r="M135" s="355">
        <v>0</v>
      </c>
      <c r="N135" s="355">
        <v>3997107</v>
      </c>
      <c r="O135" s="355">
        <v>0</v>
      </c>
      <c r="P135" s="355">
        <v>0</v>
      </c>
      <c r="Q135" s="355">
        <v>0</v>
      </c>
      <c r="R135" s="355">
        <v>0</v>
      </c>
      <c r="S135" s="355">
        <v>0</v>
      </c>
      <c r="T135" s="355">
        <v>0</v>
      </c>
    </row>
    <row r="136" spans="2:20" ht="12.75">
      <c r="B136" s="356" t="s">
        <v>824</v>
      </c>
      <c r="C136" s="166">
        <v>4691</v>
      </c>
      <c r="D136" s="166">
        <v>4691</v>
      </c>
      <c r="E136" s="166">
        <v>4691</v>
      </c>
      <c r="F136" s="354">
        <v>694.5114849831967</v>
      </c>
      <c r="G136" s="354">
        <v>1400.8696048319293</v>
      </c>
      <c r="H136" s="354">
        <v>889.071006673829</v>
      </c>
      <c r="I136" s="354">
        <v>4474.041062353488</v>
      </c>
      <c r="J136" s="355">
        <v>32935548</v>
      </c>
      <c r="K136" s="355">
        <v>54811.141901145835</v>
      </c>
      <c r="L136" s="355">
        <v>17446.5258</v>
      </c>
      <c r="M136" s="355">
        <v>0</v>
      </c>
      <c r="N136" s="355">
        <v>0</v>
      </c>
      <c r="O136" s="355">
        <v>0</v>
      </c>
      <c r="P136" s="355">
        <v>0</v>
      </c>
      <c r="Q136" s="355">
        <v>0</v>
      </c>
      <c r="R136" s="355">
        <v>0</v>
      </c>
      <c r="S136" s="355">
        <v>0</v>
      </c>
      <c r="T136" s="355">
        <v>0</v>
      </c>
    </row>
    <row r="137" spans="2:20" ht="12.75">
      <c r="B137" s="356" t="s">
        <v>825</v>
      </c>
      <c r="C137" s="166">
        <v>6041</v>
      </c>
      <c r="D137" s="166">
        <v>6041</v>
      </c>
      <c r="E137" s="166">
        <v>6041</v>
      </c>
      <c r="F137" s="354">
        <v>549.6953427624437</v>
      </c>
      <c r="G137" s="354">
        <v>1018.1288999612981</v>
      </c>
      <c r="H137" s="354">
        <v>632.5763140102641</v>
      </c>
      <c r="I137" s="354">
        <v>3402.877923093045</v>
      </c>
      <c r="J137" s="355">
        <v>-7449163</v>
      </c>
      <c r="K137" s="355">
        <v>0</v>
      </c>
      <c r="L137" s="355">
        <v>1609.8842</v>
      </c>
      <c r="M137" s="355">
        <v>0</v>
      </c>
      <c r="N137" s="355">
        <v>0</v>
      </c>
      <c r="O137" s="355">
        <v>0</v>
      </c>
      <c r="P137" s="355">
        <v>0</v>
      </c>
      <c r="Q137" s="355">
        <v>84</v>
      </c>
      <c r="R137" s="355">
        <v>0</v>
      </c>
      <c r="S137" s="355">
        <v>0</v>
      </c>
      <c r="T137" s="355">
        <v>0</v>
      </c>
    </row>
    <row r="138" spans="2:20" ht="12.75">
      <c r="B138" s="356" t="s">
        <v>826</v>
      </c>
      <c r="C138" s="166">
        <v>1591</v>
      </c>
      <c r="D138" s="166">
        <v>1591</v>
      </c>
      <c r="E138" s="166">
        <v>1591</v>
      </c>
      <c r="F138" s="354">
        <v>493.5133759634338</v>
      </c>
      <c r="G138" s="354">
        <v>1041.3693228565355</v>
      </c>
      <c r="H138" s="354">
        <v>662.9252546712789</v>
      </c>
      <c r="I138" s="354">
        <v>3378.487543571585</v>
      </c>
      <c r="J138" s="355">
        <v>6231615</v>
      </c>
      <c r="K138" s="355">
        <v>42174.93203252315</v>
      </c>
      <c r="L138" s="355">
        <v>291.5014</v>
      </c>
      <c r="M138" s="355">
        <v>0</v>
      </c>
      <c r="N138" s="355">
        <v>0</v>
      </c>
      <c r="O138" s="355">
        <v>0</v>
      </c>
      <c r="P138" s="355">
        <v>0</v>
      </c>
      <c r="Q138" s="355">
        <v>0</v>
      </c>
      <c r="R138" s="355">
        <v>0</v>
      </c>
      <c r="S138" s="355">
        <v>0</v>
      </c>
      <c r="T138" s="355">
        <v>0</v>
      </c>
    </row>
    <row r="139" spans="2:20" ht="12.75">
      <c r="B139" s="356" t="s">
        <v>827</v>
      </c>
      <c r="C139" s="166">
        <v>13771</v>
      </c>
      <c r="D139" s="166">
        <v>13776.75</v>
      </c>
      <c r="E139" s="166">
        <v>13771</v>
      </c>
      <c r="F139" s="354">
        <v>704.5831123870662</v>
      </c>
      <c r="G139" s="354">
        <v>1136.4051056788508</v>
      </c>
      <c r="H139" s="354">
        <v>629.1528158178555</v>
      </c>
      <c r="I139" s="354">
        <v>3124.046009171721</v>
      </c>
      <c r="J139" s="355">
        <v>240776958</v>
      </c>
      <c r="K139" s="355">
        <v>153160.98707752695</v>
      </c>
      <c r="L139" s="355">
        <v>12021.8</v>
      </c>
      <c r="M139" s="355">
        <v>0</v>
      </c>
      <c r="N139" s="355">
        <v>0</v>
      </c>
      <c r="O139" s="355">
        <v>0</v>
      </c>
      <c r="P139" s="355">
        <v>0</v>
      </c>
      <c r="Q139" s="355">
        <v>0</v>
      </c>
      <c r="R139" s="355">
        <v>0</v>
      </c>
      <c r="S139" s="355">
        <v>0</v>
      </c>
      <c r="T139" s="355">
        <v>0</v>
      </c>
    </row>
    <row r="140" spans="2:20" ht="12.75">
      <c r="B140" s="356" t="s">
        <v>828</v>
      </c>
      <c r="C140" s="166">
        <v>20910</v>
      </c>
      <c r="D140" s="166">
        <v>20910</v>
      </c>
      <c r="E140" s="166">
        <v>20910</v>
      </c>
      <c r="F140" s="354">
        <v>538.6364161894213</v>
      </c>
      <c r="G140" s="354">
        <v>1056.8476222294187</v>
      </c>
      <c r="H140" s="354">
        <v>623.7866844533833</v>
      </c>
      <c r="I140" s="354">
        <v>3064.1767598557067</v>
      </c>
      <c r="J140" s="355">
        <v>314731372</v>
      </c>
      <c r="K140" s="355">
        <v>188155.96313648456</v>
      </c>
      <c r="L140" s="355">
        <v>2282.1036</v>
      </c>
      <c r="M140" s="355">
        <v>0</v>
      </c>
      <c r="N140" s="355">
        <v>0</v>
      </c>
      <c r="O140" s="355">
        <v>0</v>
      </c>
      <c r="P140" s="355">
        <v>0</v>
      </c>
      <c r="Q140" s="355">
        <v>0</v>
      </c>
      <c r="R140" s="355">
        <v>0</v>
      </c>
      <c r="S140" s="355">
        <v>0</v>
      </c>
      <c r="T140" s="355">
        <v>0</v>
      </c>
    </row>
    <row r="141" spans="2:20" ht="12.75">
      <c r="B141" s="356" t="s">
        <v>829</v>
      </c>
      <c r="C141" s="166">
        <v>3914</v>
      </c>
      <c r="D141" s="166">
        <v>3920</v>
      </c>
      <c r="E141" s="166">
        <v>3914</v>
      </c>
      <c r="F141" s="354">
        <v>542.5066233418254</v>
      </c>
      <c r="G141" s="354">
        <v>1052.9648582785899</v>
      </c>
      <c r="H141" s="354">
        <v>662.5681313130491</v>
      </c>
      <c r="I141" s="354">
        <v>3639.03141272909</v>
      </c>
      <c r="J141" s="355">
        <v>9955907</v>
      </c>
      <c r="K141" s="355">
        <v>43937.25428385716</v>
      </c>
      <c r="L141" s="355">
        <v>306.18</v>
      </c>
      <c r="M141" s="355">
        <v>0</v>
      </c>
      <c r="N141" s="355">
        <v>0</v>
      </c>
      <c r="O141" s="355">
        <v>0</v>
      </c>
      <c r="P141" s="355">
        <v>0</v>
      </c>
      <c r="Q141" s="355">
        <v>0</v>
      </c>
      <c r="R141" s="355">
        <v>0</v>
      </c>
      <c r="S141" s="355">
        <v>0</v>
      </c>
      <c r="T141" s="355">
        <v>0</v>
      </c>
    </row>
    <row r="142" spans="2:20" ht="12.75">
      <c r="B142" s="356" t="s">
        <v>830</v>
      </c>
      <c r="C142" s="166">
        <v>2937</v>
      </c>
      <c r="D142" s="166">
        <v>2988</v>
      </c>
      <c r="E142" s="166">
        <v>2937</v>
      </c>
      <c r="F142" s="354">
        <v>538.5365641533567</v>
      </c>
      <c r="G142" s="354">
        <v>1134.487728714614</v>
      </c>
      <c r="H142" s="354">
        <v>778.1655114929436</v>
      </c>
      <c r="I142" s="354">
        <v>4782.634240793434</v>
      </c>
      <c r="J142" s="355">
        <v>235100</v>
      </c>
      <c r="K142" s="355">
        <v>39337.40162004256</v>
      </c>
      <c r="L142" s="355">
        <v>825.3</v>
      </c>
      <c r="M142" s="355">
        <v>0</v>
      </c>
      <c r="N142" s="355">
        <v>0</v>
      </c>
      <c r="O142" s="355">
        <v>0</v>
      </c>
      <c r="P142" s="355">
        <v>0</v>
      </c>
      <c r="Q142" s="355">
        <v>0</v>
      </c>
      <c r="R142" s="355">
        <v>0</v>
      </c>
      <c r="S142" s="355">
        <v>0</v>
      </c>
      <c r="T142" s="355">
        <v>0</v>
      </c>
    </row>
    <row r="143" spans="2:20" ht="12.75">
      <c r="B143" s="356" t="s">
        <v>831</v>
      </c>
      <c r="C143" s="166">
        <v>0</v>
      </c>
      <c r="D143" s="166">
        <v>0</v>
      </c>
      <c r="E143" s="166">
        <v>0</v>
      </c>
      <c r="F143" s="354">
        <v>0</v>
      </c>
      <c r="G143" s="354">
        <v>0</v>
      </c>
      <c r="H143" s="354">
        <v>0</v>
      </c>
      <c r="I143" s="354">
        <v>0</v>
      </c>
      <c r="J143" s="355">
        <v>0</v>
      </c>
      <c r="K143" s="355">
        <v>0</v>
      </c>
      <c r="L143" s="355">
        <v>0</v>
      </c>
      <c r="M143" s="355">
        <v>0</v>
      </c>
      <c r="N143" s="355">
        <v>0</v>
      </c>
      <c r="O143" s="355">
        <v>0</v>
      </c>
      <c r="P143" s="355">
        <v>0</v>
      </c>
      <c r="Q143" s="355">
        <v>0</v>
      </c>
      <c r="R143" s="355">
        <v>0</v>
      </c>
      <c r="S143" s="355">
        <v>0</v>
      </c>
      <c r="T143" s="355">
        <v>0</v>
      </c>
    </row>
    <row r="144" spans="2:20" ht="12.75">
      <c r="B144" s="356" t="s">
        <v>832</v>
      </c>
      <c r="C144" s="166">
        <v>10522</v>
      </c>
      <c r="D144" s="166">
        <v>10522</v>
      </c>
      <c r="E144" s="166">
        <v>10522</v>
      </c>
      <c r="F144" s="354">
        <v>744.3384490589787</v>
      </c>
      <c r="G144" s="354">
        <v>1163.3515146320167</v>
      </c>
      <c r="H144" s="354">
        <v>668.3827377686283</v>
      </c>
      <c r="I144" s="354">
        <v>3239.683009829131</v>
      </c>
      <c r="J144" s="355">
        <v>111827793</v>
      </c>
      <c r="K144" s="355">
        <v>92142.68272050002</v>
      </c>
      <c r="L144" s="355">
        <v>895.8582</v>
      </c>
      <c r="M144" s="355">
        <v>0</v>
      </c>
      <c r="N144" s="355">
        <v>0</v>
      </c>
      <c r="O144" s="355">
        <v>0</v>
      </c>
      <c r="P144" s="355">
        <v>0</v>
      </c>
      <c r="Q144" s="355">
        <v>0</v>
      </c>
      <c r="R144" s="355">
        <v>0</v>
      </c>
      <c r="S144" s="355">
        <v>0</v>
      </c>
      <c r="T144" s="355">
        <v>0</v>
      </c>
    </row>
    <row r="145" spans="2:20" ht="12.75">
      <c r="B145" s="356" t="s">
        <v>833</v>
      </c>
      <c r="C145" s="166">
        <v>30317</v>
      </c>
      <c r="D145" s="166">
        <v>30317</v>
      </c>
      <c r="E145" s="166">
        <v>29198</v>
      </c>
      <c r="F145" s="354">
        <v>658.4528227437992</v>
      </c>
      <c r="G145" s="354">
        <v>1060.3608086865027</v>
      </c>
      <c r="H145" s="354">
        <v>635.1876835601178</v>
      </c>
      <c r="I145" s="354">
        <v>3478.200236704548</v>
      </c>
      <c r="J145" s="355">
        <v>478021912</v>
      </c>
      <c r="K145" s="355">
        <v>265424.4888252184</v>
      </c>
      <c r="L145" s="355">
        <v>2677.36</v>
      </c>
      <c r="M145" s="355">
        <v>0</v>
      </c>
      <c r="N145" s="355">
        <v>5713405</v>
      </c>
      <c r="O145" s="355">
        <v>0</v>
      </c>
      <c r="P145" s="355">
        <v>0</v>
      </c>
      <c r="Q145" s="355">
        <v>0</v>
      </c>
      <c r="R145" s="355">
        <v>0</v>
      </c>
      <c r="S145" s="355">
        <v>0</v>
      </c>
      <c r="T145" s="355">
        <v>0</v>
      </c>
    </row>
    <row r="146" spans="2:20" ht="12.75">
      <c r="B146" s="356" t="s">
        <v>834</v>
      </c>
      <c r="C146" s="166">
        <v>4094</v>
      </c>
      <c r="D146" s="166">
        <v>4133.2</v>
      </c>
      <c r="E146" s="166">
        <v>4094</v>
      </c>
      <c r="F146" s="354">
        <v>512.060168846607</v>
      </c>
      <c r="G146" s="354">
        <v>1065.6614088005058</v>
      </c>
      <c r="H146" s="354">
        <v>667.79283440022</v>
      </c>
      <c r="I146" s="354">
        <v>3356.082335503273</v>
      </c>
      <c r="J146" s="355">
        <v>8518908</v>
      </c>
      <c r="K146" s="355">
        <v>43257.27126618703</v>
      </c>
      <c r="L146" s="355">
        <v>72.15</v>
      </c>
      <c r="M146" s="355">
        <v>0</v>
      </c>
      <c r="N146" s="355">
        <v>0</v>
      </c>
      <c r="O146" s="355">
        <v>0</v>
      </c>
      <c r="P146" s="355">
        <v>0</v>
      </c>
      <c r="Q146" s="355">
        <v>0</v>
      </c>
      <c r="R146" s="355">
        <v>0</v>
      </c>
      <c r="S146" s="355">
        <v>0</v>
      </c>
      <c r="T146" s="355">
        <v>0</v>
      </c>
    </row>
    <row r="147" spans="2:20" ht="12.75">
      <c r="B147" s="356" t="s">
        <v>835</v>
      </c>
      <c r="C147" s="166">
        <v>3172</v>
      </c>
      <c r="D147" s="166">
        <v>3172</v>
      </c>
      <c r="E147" s="166">
        <v>3172</v>
      </c>
      <c r="F147" s="354">
        <v>458.73271892139485</v>
      </c>
      <c r="G147" s="354">
        <v>985.074243523854</v>
      </c>
      <c r="H147" s="354">
        <v>626.9750492272951</v>
      </c>
      <c r="I147" s="354">
        <v>3343.102908119319</v>
      </c>
      <c r="J147" s="355">
        <v>5334967</v>
      </c>
      <c r="K147" s="355">
        <v>41750.64126208567</v>
      </c>
      <c r="L147" s="355">
        <v>1522.4377000000002</v>
      </c>
      <c r="M147" s="355">
        <v>0</v>
      </c>
      <c r="N147" s="355">
        <v>0</v>
      </c>
      <c r="O147" s="355">
        <v>0</v>
      </c>
      <c r="P147" s="355">
        <v>0</v>
      </c>
      <c r="Q147" s="355">
        <v>0</v>
      </c>
      <c r="R147" s="355">
        <v>0</v>
      </c>
      <c r="S147" s="355">
        <v>0</v>
      </c>
      <c r="T147" s="355">
        <v>0</v>
      </c>
    </row>
    <row r="148" spans="2:20" ht="12.75">
      <c r="B148" s="356" t="s">
        <v>836</v>
      </c>
      <c r="C148" s="166">
        <v>41803</v>
      </c>
      <c r="D148" s="166">
        <v>41803</v>
      </c>
      <c r="E148" s="166">
        <v>41803</v>
      </c>
      <c r="F148" s="354">
        <v>647.0780621110018</v>
      </c>
      <c r="G148" s="354">
        <v>1203.0961914286238</v>
      </c>
      <c r="H148" s="354">
        <v>654.1398316838195</v>
      </c>
      <c r="I148" s="354">
        <v>3096.783044502105</v>
      </c>
      <c r="J148" s="355">
        <v>905370368</v>
      </c>
      <c r="K148" s="355">
        <v>467644.31828059745</v>
      </c>
      <c r="L148" s="355">
        <v>7133.6936000000005</v>
      </c>
      <c r="M148" s="355">
        <v>0</v>
      </c>
      <c r="N148" s="355">
        <v>0</v>
      </c>
      <c r="O148" s="355">
        <v>3986</v>
      </c>
      <c r="P148" s="355">
        <v>0</v>
      </c>
      <c r="Q148" s="355">
        <v>15</v>
      </c>
      <c r="R148" s="355">
        <v>0</v>
      </c>
      <c r="S148" s="355">
        <v>42095</v>
      </c>
      <c r="T148" s="355">
        <v>0</v>
      </c>
    </row>
    <row r="149" spans="2:20" ht="12.75">
      <c r="B149" s="356" t="s">
        <v>837</v>
      </c>
      <c r="C149" s="166">
        <v>3441</v>
      </c>
      <c r="D149" s="166">
        <v>3444</v>
      </c>
      <c r="E149" s="166">
        <v>3441</v>
      </c>
      <c r="F149" s="354">
        <v>542.5118280812469</v>
      </c>
      <c r="G149" s="354">
        <v>1151.8261276471185</v>
      </c>
      <c r="H149" s="354">
        <v>731.6899757476042</v>
      </c>
      <c r="I149" s="354">
        <v>3672.1536015774755</v>
      </c>
      <c r="J149" s="355">
        <v>21324415</v>
      </c>
      <c r="K149" s="355">
        <v>49316.79343193381</v>
      </c>
      <c r="L149" s="355">
        <v>481.1784</v>
      </c>
      <c r="M149" s="355">
        <v>0</v>
      </c>
      <c r="N149" s="355">
        <v>0</v>
      </c>
      <c r="O149" s="355">
        <v>0</v>
      </c>
      <c r="P149" s="355">
        <v>0</v>
      </c>
      <c r="Q149" s="355">
        <v>0</v>
      </c>
      <c r="R149" s="355">
        <v>0</v>
      </c>
      <c r="S149" s="355">
        <v>0</v>
      </c>
      <c r="T149" s="355">
        <v>0</v>
      </c>
    </row>
    <row r="150" spans="2:20" ht="12.75">
      <c r="B150" s="356" t="s">
        <v>838</v>
      </c>
      <c r="C150" s="166">
        <v>4249</v>
      </c>
      <c r="D150" s="166">
        <v>4249</v>
      </c>
      <c r="E150" s="166">
        <v>4249</v>
      </c>
      <c r="F150" s="354">
        <v>486.30730038574933</v>
      </c>
      <c r="G150" s="354">
        <v>945.8272319533313</v>
      </c>
      <c r="H150" s="354">
        <v>610.4133485116479</v>
      </c>
      <c r="I150" s="354">
        <v>3479.1449415245547</v>
      </c>
      <c r="J150" s="355">
        <v>5930277</v>
      </c>
      <c r="K150" s="355">
        <v>42032.339920365324</v>
      </c>
      <c r="L150" s="355">
        <v>0</v>
      </c>
      <c r="M150" s="355">
        <v>0</v>
      </c>
      <c r="N150" s="355">
        <v>0</v>
      </c>
      <c r="O150" s="355">
        <v>0</v>
      </c>
      <c r="P150" s="355">
        <v>0</v>
      </c>
      <c r="Q150" s="355">
        <v>0</v>
      </c>
      <c r="R150" s="355">
        <v>0</v>
      </c>
      <c r="S150" s="355">
        <v>0</v>
      </c>
      <c r="T150" s="355">
        <v>0</v>
      </c>
    </row>
    <row r="151" spans="2:20" ht="12.75">
      <c r="B151" s="356" t="s">
        <v>839</v>
      </c>
      <c r="C151" s="166">
        <v>6485</v>
      </c>
      <c r="D151" s="166">
        <v>6487.57</v>
      </c>
      <c r="E151" s="166">
        <v>6485</v>
      </c>
      <c r="F151" s="354">
        <v>715.2929512863718</v>
      </c>
      <c r="G151" s="354">
        <v>1224.6868466835697</v>
      </c>
      <c r="H151" s="354">
        <v>769.6070879075927</v>
      </c>
      <c r="I151" s="354">
        <v>4408.796200597381</v>
      </c>
      <c r="J151" s="355">
        <v>41562430</v>
      </c>
      <c r="K151" s="355">
        <v>58893.352992068045</v>
      </c>
      <c r="L151" s="355">
        <v>5610.2843</v>
      </c>
      <c r="M151" s="355">
        <v>0</v>
      </c>
      <c r="N151" s="355">
        <v>0</v>
      </c>
      <c r="O151" s="355">
        <v>0</v>
      </c>
      <c r="P151" s="355">
        <v>0</v>
      </c>
      <c r="Q151" s="355">
        <v>0</v>
      </c>
      <c r="R151" s="355">
        <v>0</v>
      </c>
      <c r="S151" s="355">
        <v>0</v>
      </c>
      <c r="T151" s="355">
        <v>0</v>
      </c>
    </row>
    <row r="152" spans="2:20" ht="12.75">
      <c r="B152" s="356" t="s">
        <v>840</v>
      </c>
      <c r="C152" s="166">
        <v>10423</v>
      </c>
      <c r="D152" s="166">
        <v>10423</v>
      </c>
      <c r="E152" s="166">
        <v>10423</v>
      </c>
      <c r="F152" s="354">
        <v>567.1520088454309</v>
      </c>
      <c r="G152" s="354">
        <v>1056.6702117392051</v>
      </c>
      <c r="H152" s="354">
        <v>701.0566255391503</v>
      </c>
      <c r="I152" s="354">
        <v>3517.6077537586434</v>
      </c>
      <c r="J152" s="355">
        <v>109744016</v>
      </c>
      <c r="K152" s="355">
        <v>91156.64656277714</v>
      </c>
      <c r="L152" s="355">
        <v>0</v>
      </c>
      <c r="M152" s="355">
        <v>0</v>
      </c>
      <c r="N152" s="355">
        <v>0</v>
      </c>
      <c r="O152" s="355">
        <v>0</v>
      </c>
      <c r="P152" s="355">
        <v>0</v>
      </c>
      <c r="Q152" s="355">
        <v>0</v>
      </c>
      <c r="R152" s="355">
        <v>0</v>
      </c>
      <c r="S152" s="355">
        <v>0</v>
      </c>
      <c r="T152" s="355">
        <v>0</v>
      </c>
    </row>
    <row r="153" spans="2:20" ht="12.75">
      <c r="B153" s="356" t="s">
        <v>841</v>
      </c>
      <c r="C153" s="166">
        <v>5416</v>
      </c>
      <c r="D153" s="166">
        <v>5534.32</v>
      </c>
      <c r="E153" s="166">
        <v>5416</v>
      </c>
      <c r="F153" s="354">
        <v>410.8916486558442</v>
      </c>
      <c r="G153" s="354">
        <v>957.1264881705845</v>
      </c>
      <c r="H153" s="354">
        <v>612.003798931481</v>
      </c>
      <c r="I153" s="354">
        <v>4342.4447922964</v>
      </c>
      <c r="J153" s="355">
        <v>-217490</v>
      </c>
      <c r="K153" s="355">
        <v>0</v>
      </c>
      <c r="L153" s="355">
        <v>2206.5147</v>
      </c>
      <c r="M153" s="355">
        <v>0</v>
      </c>
      <c r="N153" s="355">
        <v>0</v>
      </c>
      <c r="O153" s="355">
        <v>9290</v>
      </c>
      <c r="P153" s="355">
        <v>0</v>
      </c>
      <c r="Q153" s="355">
        <v>0</v>
      </c>
      <c r="R153" s="355">
        <v>0</v>
      </c>
      <c r="S153" s="355">
        <v>0</v>
      </c>
      <c r="T153" s="355">
        <v>0</v>
      </c>
    </row>
    <row r="154" spans="2:20" ht="12.75">
      <c r="B154" s="356" t="s">
        <v>842</v>
      </c>
      <c r="C154" s="166">
        <v>3057</v>
      </c>
      <c r="D154" s="166">
        <v>3057</v>
      </c>
      <c r="E154" s="166">
        <v>3057</v>
      </c>
      <c r="F154" s="354">
        <v>456.72380423590334</v>
      </c>
      <c r="G154" s="354">
        <v>922.4812996760317</v>
      </c>
      <c r="H154" s="354">
        <v>626.120154220557</v>
      </c>
      <c r="I154" s="354">
        <v>3453.4791633406935</v>
      </c>
      <c r="J154" s="355">
        <v>9429324</v>
      </c>
      <c r="K154" s="355">
        <v>43688.07700718975</v>
      </c>
      <c r="L154" s="355">
        <v>27.0351</v>
      </c>
      <c r="M154" s="355">
        <v>0</v>
      </c>
      <c r="N154" s="355">
        <v>0</v>
      </c>
      <c r="O154" s="355">
        <v>0</v>
      </c>
      <c r="P154" s="355">
        <v>0</v>
      </c>
      <c r="Q154" s="355">
        <v>0</v>
      </c>
      <c r="R154" s="355">
        <v>0</v>
      </c>
      <c r="S154" s="355">
        <v>0</v>
      </c>
      <c r="T154" s="355">
        <v>2248</v>
      </c>
    </row>
    <row r="155" spans="2:20" ht="12.75">
      <c r="B155" s="356" t="s">
        <v>843</v>
      </c>
      <c r="C155" s="166">
        <v>3896</v>
      </c>
      <c r="D155" s="166">
        <v>3901</v>
      </c>
      <c r="E155" s="166">
        <v>3896</v>
      </c>
      <c r="F155" s="354">
        <v>447.01111877944135</v>
      </c>
      <c r="G155" s="354">
        <v>914.9251680936634</v>
      </c>
      <c r="H155" s="354">
        <v>548.1133193499525</v>
      </c>
      <c r="I155" s="354">
        <v>3181.2548982375233</v>
      </c>
      <c r="J155" s="355">
        <v>7244785</v>
      </c>
      <c r="K155" s="355">
        <v>42654.3606152938</v>
      </c>
      <c r="L155" s="355">
        <v>457.8877</v>
      </c>
      <c r="M155" s="355">
        <v>0</v>
      </c>
      <c r="N155" s="355">
        <v>0</v>
      </c>
      <c r="O155" s="355">
        <v>0</v>
      </c>
      <c r="P155" s="355">
        <v>0</v>
      </c>
      <c r="Q155" s="355">
        <v>0</v>
      </c>
      <c r="R155" s="355">
        <v>0</v>
      </c>
      <c r="S155" s="355">
        <v>0</v>
      </c>
      <c r="T155" s="355">
        <v>0</v>
      </c>
    </row>
    <row r="156" spans="2:20" ht="12.75">
      <c r="B156" s="356" t="s">
        <v>844</v>
      </c>
      <c r="C156" s="166">
        <v>6252</v>
      </c>
      <c r="D156" s="166">
        <v>6278.95</v>
      </c>
      <c r="E156" s="166">
        <v>6252</v>
      </c>
      <c r="F156" s="354">
        <v>470.4371969656425</v>
      </c>
      <c r="G156" s="354">
        <v>963.3866309624265</v>
      </c>
      <c r="H156" s="354">
        <v>584.0902305627009</v>
      </c>
      <c r="I156" s="354">
        <v>3426.447691615252</v>
      </c>
      <c r="J156" s="355">
        <v>13519330</v>
      </c>
      <c r="K156" s="355">
        <v>45623.45387395788</v>
      </c>
      <c r="L156" s="355">
        <v>3022.7595</v>
      </c>
      <c r="M156" s="355">
        <v>0</v>
      </c>
      <c r="N156" s="355">
        <v>0</v>
      </c>
      <c r="O156" s="355">
        <v>0</v>
      </c>
      <c r="P156" s="355">
        <v>0</v>
      </c>
      <c r="Q156" s="355">
        <v>0</v>
      </c>
      <c r="R156" s="355">
        <v>0</v>
      </c>
      <c r="S156" s="355">
        <v>0</v>
      </c>
      <c r="T156" s="355">
        <v>0</v>
      </c>
    </row>
    <row r="157" spans="2:20" ht="12.75">
      <c r="B157" s="356" t="s">
        <v>845</v>
      </c>
      <c r="C157" s="166">
        <v>3182</v>
      </c>
      <c r="D157" s="166">
        <v>3184.25</v>
      </c>
      <c r="E157" s="166">
        <v>3182</v>
      </c>
      <c r="F157" s="354">
        <v>473.11642036746275</v>
      </c>
      <c r="G157" s="354">
        <v>1024.4408151233472</v>
      </c>
      <c r="H157" s="354">
        <v>669.9717812270286</v>
      </c>
      <c r="I157" s="354">
        <v>3702.246981103701</v>
      </c>
      <c r="J157" s="355">
        <v>13124173</v>
      </c>
      <c r="K157" s="355">
        <v>45436.46693150804</v>
      </c>
      <c r="L157" s="355">
        <v>0</v>
      </c>
      <c r="M157" s="355">
        <v>0</v>
      </c>
      <c r="N157" s="355">
        <v>0</v>
      </c>
      <c r="O157" s="355">
        <v>0</v>
      </c>
      <c r="P157" s="355">
        <v>0</v>
      </c>
      <c r="Q157" s="355">
        <v>0</v>
      </c>
      <c r="R157" s="355">
        <v>0</v>
      </c>
      <c r="S157" s="355">
        <v>0</v>
      </c>
      <c r="T157" s="355">
        <v>0</v>
      </c>
    </row>
    <row r="158" spans="2:20" ht="12.75">
      <c r="B158" s="356" t="s">
        <v>846</v>
      </c>
      <c r="C158" s="166">
        <v>0</v>
      </c>
      <c r="D158" s="166">
        <v>0</v>
      </c>
      <c r="E158" s="166">
        <v>0</v>
      </c>
      <c r="F158" s="354">
        <v>0</v>
      </c>
      <c r="G158" s="354">
        <v>0</v>
      </c>
      <c r="H158" s="354">
        <v>0</v>
      </c>
      <c r="I158" s="354">
        <v>0</v>
      </c>
      <c r="J158" s="355">
        <v>0</v>
      </c>
      <c r="K158" s="355">
        <v>0</v>
      </c>
      <c r="L158" s="355">
        <v>493.2567</v>
      </c>
      <c r="M158" s="355">
        <v>0</v>
      </c>
      <c r="N158" s="355">
        <v>0</v>
      </c>
      <c r="O158" s="355">
        <v>0</v>
      </c>
      <c r="P158" s="355">
        <v>0</v>
      </c>
      <c r="Q158" s="355">
        <v>0</v>
      </c>
      <c r="R158" s="355">
        <v>0</v>
      </c>
      <c r="S158" s="355">
        <v>0</v>
      </c>
      <c r="T158" s="355">
        <v>0</v>
      </c>
    </row>
    <row r="159" spans="2:20" ht="12.75">
      <c r="B159" s="356" t="s">
        <v>847</v>
      </c>
      <c r="C159" s="166">
        <v>18185</v>
      </c>
      <c r="D159" s="166">
        <v>18187</v>
      </c>
      <c r="E159" s="166">
        <v>18185</v>
      </c>
      <c r="F159" s="354">
        <v>589.0314040078288</v>
      </c>
      <c r="G159" s="354">
        <v>1082.7554854540263</v>
      </c>
      <c r="H159" s="354">
        <v>650.7506871561508</v>
      </c>
      <c r="I159" s="354">
        <v>3099.2768608004426</v>
      </c>
      <c r="J159" s="355">
        <v>203136449</v>
      </c>
      <c r="K159" s="355">
        <v>135349.6268076453</v>
      </c>
      <c r="L159" s="355">
        <v>1946.2872</v>
      </c>
      <c r="M159" s="355">
        <v>0</v>
      </c>
      <c r="N159" s="355">
        <v>0</v>
      </c>
      <c r="O159" s="355">
        <v>0</v>
      </c>
      <c r="P159" s="355">
        <v>0</v>
      </c>
      <c r="Q159" s="355">
        <v>0</v>
      </c>
      <c r="R159" s="355">
        <v>0</v>
      </c>
      <c r="S159" s="355">
        <v>0</v>
      </c>
      <c r="T159" s="355">
        <v>0</v>
      </c>
    </row>
    <row r="160" spans="2:20" ht="12.75">
      <c r="B160" s="356" t="s">
        <v>848</v>
      </c>
      <c r="C160" s="166">
        <v>17012</v>
      </c>
      <c r="D160" s="166">
        <v>17049.89</v>
      </c>
      <c r="E160" s="166">
        <v>17012</v>
      </c>
      <c r="F160" s="354">
        <v>800.7861320091891</v>
      </c>
      <c r="G160" s="354">
        <v>1277.767224181192</v>
      </c>
      <c r="H160" s="354">
        <v>765.2715878220694</v>
      </c>
      <c r="I160" s="354">
        <v>3578.9735543640554</v>
      </c>
      <c r="J160" s="355">
        <v>122010348</v>
      </c>
      <c r="K160" s="355">
        <v>96961.03296047376</v>
      </c>
      <c r="L160" s="355">
        <v>1373.5140000000001</v>
      </c>
      <c r="M160" s="355">
        <v>0</v>
      </c>
      <c r="N160" s="355">
        <v>0</v>
      </c>
      <c r="O160" s="355">
        <v>0</v>
      </c>
      <c r="P160" s="355">
        <v>0</v>
      </c>
      <c r="Q160" s="355">
        <v>0</v>
      </c>
      <c r="R160" s="355">
        <v>0</v>
      </c>
      <c r="S160" s="355">
        <v>0</v>
      </c>
      <c r="T160" s="355">
        <v>0</v>
      </c>
    </row>
    <row r="161" spans="2:20" ht="12.75">
      <c r="B161" s="356" t="s">
        <v>849</v>
      </c>
      <c r="C161" s="166">
        <v>6129</v>
      </c>
      <c r="D161" s="166">
        <v>6136.5</v>
      </c>
      <c r="E161" s="166">
        <v>6129</v>
      </c>
      <c r="F161" s="354">
        <v>651.2642688125455</v>
      </c>
      <c r="G161" s="354">
        <v>1191.1436403207995</v>
      </c>
      <c r="H161" s="354">
        <v>799.2845769285514</v>
      </c>
      <c r="I161" s="354">
        <v>3612.0811483582047</v>
      </c>
      <c r="J161" s="355">
        <v>62300909</v>
      </c>
      <c r="K161" s="355">
        <v>68706.73040729838</v>
      </c>
      <c r="L161" s="355">
        <v>724.5864</v>
      </c>
      <c r="M161" s="355">
        <v>0</v>
      </c>
      <c r="N161" s="355">
        <v>0</v>
      </c>
      <c r="O161" s="355">
        <v>0</v>
      </c>
      <c r="P161" s="355">
        <v>0</v>
      </c>
      <c r="Q161" s="355">
        <v>0</v>
      </c>
      <c r="R161" s="355">
        <v>0</v>
      </c>
      <c r="S161" s="355">
        <v>0</v>
      </c>
      <c r="T161" s="355">
        <v>0</v>
      </c>
    </row>
    <row r="162" spans="2:20" ht="12.75">
      <c r="B162" s="356" t="s">
        <v>850</v>
      </c>
      <c r="C162" s="166">
        <v>39333</v>
      </c>
      <c r="D162" s="166">
        <v>39337</v>
      </c>
      <c r="E162" s="166">
        <v>39333</v>
      </c>
      <c r="F162" s="354">
        <v>1113.897107908107</v>
      </c>
      <c r="G162" s="354">
        <v>1535.4329087277129</v>
      </c>
      <c r="H162" s="354">
        <v>980.9358185197046</v>
      </c>
      <c r="I162" s="354">
        <v>4477.470272901207</v>
      </c>
      <c r="J162" s="355">
        <v>775087140.5</v>
      </c>
      <c r="K162" s="355">
        <v>405994.74010604486</v>
      </c>
      <c r="L162" s="355">
        <v>16543.5561</v>
      </c>
      <c r="M162" s="355">
        <v>0</v>
      </c>
      <c r="N162" s="355">
        <v>0</v>
      </c>
      <c r="O162" s="355">
        <v>0</v>
      </c>
      <c r="P162" s="355">
        <v>0</v>
      </c>
      <c r="Q162" s="355">
        <v>0</v>
      </c>
      <c r="R162" s="355">
        <v>0</v>
      </c>
      <c r="S162" s="355">
        <v>0</v>
      </c>
      <c r="T162" s="355">
        <v>0</v>
      </c>
    </row>
    <row r="163" spans="2:20" ht="12.75">
      <c r="B163" s="356" t="s">
        <v>851</v>
      </c>
      <c r="C163" s="166">
        <v>5154</v>
      </c>
      <c r="D163" s="166">
        <v>5154</v>
      </c>
      <c r="E163" s="166">
        <v>5154</v>
      </c>
      <c r="F163" s="354">
        <v>508.4494991055406</v>
      </c>
      <c r="G163" s="354">
        <v>1106.5492915460916</v>
      </c>
      <c r="H163" s="354">
        <v>759.4196358476622</v>
      </c>
      <c r="I163" s="354">
        <v>4625.142292758185</v>
      </c>
      <c r="J163" s="355">
        <v>10767303</v>
      </c>
      <c r="K163" s="355">
        <v>44321.20409913571</v>
      </c>
      <c r="L163" s="355">
        <v>852.1112</v>
      </c>
      <c r="M163" s="355">
        <v>0</v>
      </c>
      <c r="N163" s="355">
        <v>0</v>
      </c>
      <c r="O163" s="355">
        <v>0</v>
      </c>
      <c r="P163" s="355">
        <v>0</v>
      </c>
      <c r="Q163" s="355">
        <v>0</v>
      </c>
      <c r="R163" s="355">
        <v>0</v>
      </c>
      <c r="S163" s="355">
        <v>0</v>
      </c>
      <c r="T163" s="355">
        <v>0</v>
      </c>
    </row>
    <row r="164" spans="2:20" ht="12.75">
      <c r="B164" s="356" t="s">
        <v>852</v>
      </c>
      <c r="C164" s="166">
        <v>8198</v>
      </c>
      <c r="D164" s="166">
        <v>8297.55</v>
      </c>
      <c r="E164" s="166">
        <v>8198</v>
      </c>
      <c r="F164" s="354">
        <v>555.0839074823718</v>
      </c>
      <c r="G164" s="354">
        <v>1148.139531835846</v>
      </c>
      <c r="H164" s="354">
        <v>799.2114674570201</v>
      </c>
      <c r="I164" s="354">
        <v>4197.993135841724</v>
      </c>
      <c r="J164" s="355">
        <v>-9279512</v>
      </c>
      <c r="K164" s="355">
        <v>0</v>
      </c>
      <c r="L164" s="355">
        <v>6618.5728</v>
      </c>
      <c r="M164" s="355">
        <v>0</v>
      </c>
      <c r="N164" s="355">
        <v>0</v>
      </c>
      <c r="O164" s="355">
        <v>0</v>
      </c>
      <c r="P164" s="355">
        <v>0</v>
      </c>
      <c r="Q164" s="355">
        <v>0</v>
      </c>
      <c r="R164" s="355">
        <v>0</v>
      </c>
      <c r="S164" s="355">
        <v>0</v>
      </c>
      <c r="T164" s="355">
        <v>0</v>
      </c>
    </row>
    <row r="165" spans="2:20" ht="12.75">
      <c r="B165" s="356" t="s">
        <v>853</v>
      </c>
      <c r="C165" s="166">
        <v>11483</v>
      </c>
      <c r="D165" s="166">
        <v>11483</v>
      </c>
      <c r="E165" s="166">
        <v>11483</v>
      </c>
      <c r="F165" s="354">
        <v>573.9766227755582</v>
      </c>
      <c r="G165" s="354">
        <v>1053.3098511172975</v>
      </c>
      <c r="H165" s="354">
        <v>685.3417382396865</v>
      </c>
      <c r="I165" s="354">
        <v>3180.7197995289835</v>
      </c>
      <c r="J165" s="355">
        <v>172890055</v>
      </c>
      <c r="K165" s="355">
        <v>121037.13649571073</v>
      </c>
      <c r="L165" s="355">
        <v>4526.528</v>
      </c>
      <c r="M165" s="355">
        <v>0</v>
      </c>
      <c r="N165" s="355">
        <v>0</v>
      </c>
      <c r="O165" s="355">
        <v>0</v>
      </c>
      <c r="P165" s="355">
        <v>0</v>
      </c>
      <c r="Q165" s="355">
        <v>0</v>
      </c>
      <c r="R165" s="355">
        <v>0</v>
      </c>
      <c r="S165" s="355">
        <v>0</v>
      </c>
      <c r="T165" s="355">
        <v>15880</v>
      </c>
    </row>
    <row r="166" spans="2:20" ht="12.75">
      <c r="B166" s="356" t="s">
        <v>854</v>
      </c>
      <c r="C166" s="166">
        <v>10375</v>
      </c>
      <c r="D166" s="166">
        <v>10377</v>
      </c>
      <c r="E166" s="166">
        <v>10375</v>
      </c>
      <c r="F166" s="354">
        <v>578.5888865464924</v>
      </c>
      <c r="G166" s="354">
        <v>1093.9421439746643</v>
      </c>
      <c r="H166" s="354">
        <v>660.582865954859</v>
      </c>
      <c r="I166" s="354">
        <v>3413.940626859297</v>
      </c>
      <c r="J166" s="355">
        <v>151676501</v>
      </c>
      <c r="K166" s="355">
        <v>110998.9552134494</v>
      </c>
      <c r="L166" s="355">
        <v>2467.3958000000002</v>
      </c>
      <c r="M166" s="355">
        <v>0</v>
      </c>
      <c r="N166" s="355">
        <v>0</v>
      </c>
      <c r="O166" s="355">
        <v>0</v>
      </c>
      <c r="P166" s="355">
        <v>0</v>
      </c>
      <c r="Q166" s="355">
        <v>0</v>
      </c>
      <c r="R166" s="355">
        <v>0</v>
      </c>
      <c r="S166" s="355">
        <v>0</v>
      </c>
      <c r="T166" s="355">
        <v>0</v>
      </c>
    </row>
    <row r="167" spans="2:20" ht="12.75">
      <c r="B167" s="356" t="s">
        <v>855</v>
      </c>
      <c r="C167" s="166">
        <v>19297</v>
      </c>
      <c r="D167" s="166">
        <v>19297</v>
      </c>
      <c r="E167" s="166">
        <v>19297</v>
      </c>
      <c r="F167" s="354">
        <v>670.9319176626561</v>
      </c>
      <c r="G167" s="354">
        <v>1014.4756633467723</v>
      </c>
      <c r="H167" s="354">
        <v>600.7126449578913</v>
      </c>
      <c r="I167" s="354">
        <v>3071.3340151839475</v>
      </c>
      <c r="J167" s="355">
        <v>109554227.3</v>
      </c>
      <c r="K167" s="355">
        <v>91066.83919830041</v>
      </c>
      <c r="L167" s="355">
        <v>3346.0326</v>
      </c>
      <c r="M167" s="355">
        <v>0</v>
      </c>
      <c r="N167" s="355">
        <v>0</v>
      </c>
      <c r="O167" s="355">
        <v>0</v>
      </c>
      <c r="P167" s="355">
        <v>0</v>
      </c>
      <c r="Q167" s="355">
        <v>0</v>
      </c>
      <c r="R167" s="355">
        <v>0</v>
      </c>
      <c r="S167" s="355">
        <v>0</v>
      </c>
      <c r="T167" s="355">
        <v>0</v>
      </c>
    </row>
    <row r="168" spans="2:20" ht="12.75">
      <c r="B168" s="356" t="s">
        <v>856</v>
      </c>
      <c r="C168" s="166">
        <v>5228</v>
      </c>
      <c r="D168" s="166">
        <v>5229</v>
      </c>
      <c r="E168" s="166">
        <v>5228</v>
      </c>
      <c r="F168" s="354">
        <v>489.8689767412291</v>
      </c>
      <c r="G168" s="354">
        <v>1041.5312080517695</v>
      </c>
      <c r="H168" s="354">
        <v>677.1176650151972</v>
      </c>
      <c r="I168" s="354">
        <v>3601.995660607372</v>
      </c>
      <c r="J168" s="355">
        <v>4025163</v>
      </c>
      <c r="K168" s="355">
        <v>41130.84648388722</v>
      </c>
      <c r="L168" s="355">
        <v>151.2416</v>
      </c>
      <c r="M168" s="355">
        <v>0</v>
      </c>
      <c r="N168" s="355">
        <v>0</v>
      </c>
      <c r="O168" s="355">
        <v>0</v>
      </c>
      <c r="P168" s="355">
        <v>0</v>
      </c>
      <c r="Q168" s="355">
        <v>0</v>
      </c>
      <c r="R168" s="355">
        <v>0</v>
      </c>
      <c r="S168" s="355">
        <v>0</v>
      </c>
      <c r="T168" s="355">
        <v>0</v>
      </c>
    </row>
    <row r="169" spans="2:20" ht="12.75">
      <c r="B169" s="356" t="s">
        <v>857</v>
      </c>
      <c r="C169" s="166">
        <v>6463</v>
      </c>
      <c r="D169" s="166">
        <v>6470.5</v>
      </c>
      <c r="E169" s="166">
        <v>6463</v>
      </c>
      <c r="F169" s="354">
        <v>620.1701266532655</v>
      </c>
      <c r="G169" s="354">
        <v>1310.4908933338256</v>
      </c>
      <c r="H169" s="354">
        <v>743.5166211337714</v>
      </c>
      <c r="I169" s="354">
        <v>4524.284105396055</v>
      </c>
      <c r="J169" s="355">
        <v>20244284</v>
      </c>
      <c r="K169" s="355">
        <v>48805.679132717836</v>
      </c>
      <c r="L169" s="355">
        <v>1057.94</v>
      </c>
      <c r="M169" s="355">
        <v>0</v>
      </c>
      <c r="N169" s="355">
        <v>0</v>
      </c>
      <c r="O169" s="355">
        <v>0</v>
      </c>
      <c r="P169" s="355">
        <v>0</v>
      </c>
      <c r="Q169" s="355">
        <v>0</v>
      </c>
      <c r="R169" s="355">
        <v>0</v>
      </c>
      <c r="S169" s="355">
        <v>0</v>
      </c>
      <c r="T169" s="355">
        <v>0</v>
      </c>
    </row>
    <row r="170" spans="2:20" ht="12.75">
      <c r="B170" s="356" t="s">
        <v>858</v>
      </c>
      <c r="C170" s="166">
        <v>10490</v>
      </c>
      <c r="D170" s="166">
        <v>10490</v>
      </c>
      <c r="E170" s="166">
        <v>10490</v>
      </c>
      <c r="F170" s="354">
        <v>548.0855100604656</v>
      </c>
      <c r="G170" s="354">
        <v>1091.6706986976362</v>
      </c>
      <c r="H170" s="354">
        <v>689.2339395720535</v>
      </c>
      <c r="I170" s="354">
        <v>3486.1966922036336</v>
      </c>
      <c r="J170" s="355">
        <v>31147005</v>
      </c>
      <c r="K170" s="355">
        <v>53964.8094636335</v>
      </c>
      <c r="L170" s="355">
        <v>4024.4139</v>
      </c>
      <c r="M170" s="355">
        <v>0</v>
      </c>
      <c r="N170" s="355">
        <v>0</v>
      </c>
      <c r="O170" s="355">
        <v>0</v>
      </c>
      <c r="P170" s="355">
        <v>0</v>
      </c>
      <c r="Q170" s="355">
        <v>0</v>
      </c>
      <c r="R170" s="355">
        <v>0</v>
      </c>
      <c r="S170" s="355">
        <v>0</v>
      </c>
      <c r="T170" s="355">
        <v>0</v>
      </c>
    </row>
    <row r="171" spans="2:20" ht="12.75">
      <c r="B171" s="356" t="s">
        <v>859</v>
      </c>
      <c r="C171" s="166">
        <v>4540</v>
      </c>
      <c r="D171" s="166">
        <v>4540</v>
      </c>
      <c r="E171" s="166">
        <v>4540</v>
      </c>
      <c r="F171" s="354">
        <v>574.49835262122</v>
      </c>
      <c r="G171" s="354">
        <v>1033.819769303456</v>
      </c>
      <c r="H171" s="354">
        <v>620.3940553605905</v>
      </c>
      <c r="I171" s="354">
        <v>3491.1774399142532</v>
      </c>
      <c r="J171" s="355">
        <v>34739361</v>
      </c>
      <c r="K171" s="355">
        <v>55664.700050492225</v>
      </c>
      <c r="L171" s="355">
        <v>2856.124</v>
      </c>
      <c r="M171" s="355">
        <v>0</v>
      </c>
      <c r="N171" s="355">
        <v>0</v>
      </c>
      <c r="O171" s="355">
        <v>0</v>
      </c>
      <c r="P171" s="355">
        <v>0</v>
      </c>
      <c r="Q171" s="355">
        <v>0</v>
      </c>
      <c r="R171" s="355">
        <v>0</v>
      </c>
      <c r="S171" s="355">
        <v>0</v>
      </c>
      <c r="T171" s="355">
        <v>0</v>
      </c>
    </row>
    <row r="172" spans="2:20" ht="12.75">
      <c r="B172" s="356" t="s">
        <v>860</v>
      </c>
      <c r="C172" s="166">
        <v>2675</v>
      </c>
      <c r="D172" s="166">
        <v>2675</v>
      </c>
      <c r="E172" s="166">
        <v>2675</v>
      </c>
      <c r="F172" s="354">
        <v>563.461510835542</v>
      </c>
      <c r="G172" s="354">
        <v>1111.690888735083</v>
      </c>
      <c r="H172" s="354">
        <v>803.3034591953809</v>
      </c>
      <c r="I172" s="354">
        <v>4209.339108664879</v>
      </c>
      <c r="J172" s="355">
        <v>2421672</v>
      </c>
      <c r="K172" s="355">
        <v>40372.0800205933</v>
      </c>
      <c r="L172" s="355">
        <v>0</v>
      </c>
      <c r="M172" s="355">
        <v>0</v>
      </c>
      <c r="N172" s="355">
        <v>0</v>
      </c>
      <c r="O172" s="355">
        <v>0</v>
      </c>
      <c r="P172" s="355">
        <v>0</v>
      </c>
      <c r="Q172" s="355">
        <v>0</v>
      </c>
      <c r="R172" s="355">
        <v>0</v>
      </c>
      <c r="S172" s="355">
        <v>0</v>
      </c>
      <c r="T172" s="355">
        <v>0</v>
      </c>
    </row>
    <row r="173" spans="2:20" ht="12.75">
      <c r="B173" s="356" t="s">
        <v>861</v>
      </c>
      <c r="C173" s="166">
        <v>6084</v>
      </c>
      <c r="D173" s="166">
        <v>6085</v>
      </c>
      <c r="E173" s="166">
        <v>6084</v>
      </c>
      <c r="F173" s="354">
        <v>491.0113936667365</v>
      </c>
      <c r="G173" s="354">
        <v>1013.6239488027603</v>
      </c>
      <c r="H173" s="354">
        <v>643.5122632760185</v>
      </c>
      <c r="I173" s="354">
        <v>3546.3346928180063</v>
      </c>
      <c r="J173" s="355">
        <v>30585299</v>
      </c>
      <c r="K173" s="355">
        <v>53699.0121033546</v>
      </c>
      <c r="L173" s="355">
        <v>0</v>
      </c>
      <c r="M173" s="355">
        <v>0</v>
      </c>
      <c r="N173" s="355">
        <v>0</v>
      </c>
      <c r="O173" s="355">
        <v>0</v>
      </c>
      <c r="P173" s="355">
        <v>0</v>
      </c>
      <c r="Q173" s="355">
        <v>0</v>
      </c>
      <c r="R173" s="355">
        <v>0</v>
      </c>
      <c r="S173" s="355">
        <v>0</v>
      </c>
      <c r="T173" s="355">
        <v>0</v>
      </c>
    </row>
    <row r="174" spans="2:20" ht="12.75">
      <c r="B174" s="356" t="s">
        <v>862</v>
      </c>
      <c r="C174" s="166">
        <v>3221</v>
      </c>
      <c r="D174" s="166">
        <v>3246.48</v>
      </c>
      <c r="E174" s="166">
        <v>3221</v>
      </c>
      <c r="F174" s="354">
        <v>584.276976386825</v>
      </c>
      <c r="G174" s="354">
        <v>1119.6429301705173</v>
      </c>
      <c r="H174" s="354">
        <v>742.5419546055356</v>
      </c>
      <c r="I174" s="354">
        <v>3543.7679328209692</v>
      </c>
      <c r="J174" s="355">
        <v>24305319</v>
      </c>
      <c r="K174" s="355">
        <v>50727.34702125778</v>
      </c>
      <c r="L174" s="355">
        <v>1088.6816000000001</v>
      </c>
      <c r="M174" s="355">
        <v>0</v>
      </c>
      <c r="N174" s="355">
        <v>0</v>
      </c>
      <c r="O174" s="355">
        <v>0</v>
      </c>
      <c r="P174" s="355">
        <v>0</v>
      </c>
      <c r="Q174" s="355">
        <v>0</v>
      </c>
      <c r="R174" s="355">
        <v>0</v>
      </c>
      <c r="S174" s="355">
        <v>0</v>
      </c>
      <c r="T174" s="355">
        <v>0</v>
      </c>
    </row>
    <row r="175" spans="2:20" ht="12.75">
      <c r="B175" s="356" t="s">
        <v>863</v>
      </c>
      <c r="C175" s="166">
        <v>3110</v>
      </c>
      <c r="D175" s="166">
        <v>3120</v>
      </c>
      <c r="E175" s="166">
        <v>3110</v>
      </c>
      <c r="F175" s="354">
        <v>680.7053562905224</v>
      </c>
      <c r="G175" s="354">
        <v>1328.2988684507256</v>
      </c>
      <c r="H175" s="354">
        <v>763.7902146118564</v>
      </c>
      <c r="I175" s="354">
        <v>3532.8279994258255</v>
      </c>
      <c r="J175" s="355">
        <v>28348706</v>
      </c>
      <c r="K175" s="355">
        <v>52640.663936487486</v>
      </c>
      <c r="L175" s="355">
        <v>2898.7436000000002</v>
      </c>
      <c r="M175" s="355">
        <v>0</v>
      </c>
      <c r="N175" s="355">
        <v>0</v>
      </c>
      <c r="O175" s="355">
        <v>4167</v>
      </c>
      <c r="P175" s="355">
        <v>0</v>
      </c>
      <c r="Q175" s="355">
        <v>0</v>
      </c>
      <c r="R175" s="355">
        <v>0</v>
      </c>
      <c r="S175" s="355">
        <v>0</v>
      </c>
      <c r="T175" s="355">
        <v>0</v>
      </c>
    </row>
    <row r="176" spans="2:20" ht="12.75">
      <c r="B176" s="356" t="s">
        <v>864</v>
      </c>
      <c r="C176" s="166">
        <v>10322</v>
      </c>
      <c r="D176" s="166">
        <v>10322</v>
      </c>
      <c r="E176" s="166">
        <v>10322</v>
      </c>
      <c r="F176" s="354">
        <v>565.3513027938025</v>
      </c>
      <c r="G176" s="354">
        <v>1169.3109112534569</v>
      </c>
      <c r="H176" s="354">
        <v>739.4411279112891</v>
      </c>
      <c r="I176" s="354">
        <v>3765.6075108820023</v>
      </c>
      <c r="J176" s="355">
        <v>24174917</v>
      </c>
      <c r="K176" s="355">
        <v>50665.64124034198</v>
      </c>
      <c r="L176" s="355">
        <v>2515.4375999999997</v>
      </c>
      <c r="M176" s="355">
        <v>0</v>
      </c>
      <c r="N176" s="355">
        <v>0</v>
      </c>
      <c r="O176" s="355">
        <v>0</v>
      </c>
      <c r="P176" s="355">
        <v>0</v>
      </c>
      <c r="Q176" s="355">
        <v>0</v>
      </c>
      <c r="R176" s="355">
        <v>0</v>
      </c>
      <c r="S176" s="355">
        <v>0</v>
      </c>
      <c r="T176" s="355">
        <v>0</v>
      </c>
    </row>
    <row r="177" spans="2:20" ht="12.75">
      <c r="B177" s="356" t="s">
        <v>865</v>
      </c>
      <c r="C177" s="166">
        <v>12642</v>
      </c>
      <c r="D177" s="166">
        <v>12642.66</v>
      </c>
      <c r="E177" s="166">
        <v>12642</v>
      </c>
      <c r="F177" s="354">
        <v>1225.507156544276</v>
      </c>
      <c r="G177" s="354">
        <v>1593.8011134841379</v>
      </c>
      <c r="H177" s="354">
        <v>1023.2491248730811</v>
      </c>
      <c r="I177" s="354">
        <v>4662.887090277376</v>
      </c>
      <c r="J177" s="355">
        <v>410555259</v>
      </c>
      <c r="K177" s="355">
        <v>233499.49910772836</v>
      </c>
      <c r="L177" s="355">
        <v>13788.48</v>
      </c>
      <c r="M177" s="355">
        <v>0</v>
      </c>
      <c r="N177" s="355">
        <v>0</v>
      </c>
      <c r="O177" s="355">
        <v>17400</v>
      </c>
      <c r="P177" s="355">
        <v>0</v>
      </c>
      <c r="Q177" s="355">
        <v>0</v>
      </c>
      <c r="R177" s="355">
        <v>0</v>
      </c>
      <c r="S177" s="355">
        <v>0</v>
      </c>
      <c r="T177" s="355">
        <v>0</v>
      </c>
    </row>
    <row r="178" spans="2:20" ht="12.75">
      <c r="B178" s="356" t="s">
        <v>866</v>
      </c>
      <c r="C178" s="166">
        <v>2872</v>
      </c>
      <c r="D178" s="166">
        <v>2872</v>
      </c>
      <c r="E178" s="166">
        <v>2872</v>
      </c>
      <c r="F178" s="354">
        <v>475.79256213429005</v>
      </c>
      <c r="G178" s="354">
        <v>1021.184409524045</v>
      </c>
      <c r="H178" s="354">
        <v>695.9626005979726</v>
      </c>
      <c r="I178" s="354">
        <v>4115.2167911215565</v>
      </c>
      <c r="J178" s="355">
        <v>475894</v>
      </c>
      <c r="K178" s="355">
        <v>39451.34451823307</v>
      </c>
      <c r="L178" s="355">
        <v>41.7855</v>
      </c>
      <c r="M178" s="355">
        <v>0</v>
      </c>
      <c r="N178" s="355">
        <v>0</v>
      </c>
      <c r="O178" s="355">
        <v>0</v>
      </c>
      <c r="P178" s="355">
        <v>0</v>
      </c>
      <c r="Q178" s="355">
        <v>0</v>
      </c>
      <c r="R178" s="355">
        <v>0</v>
      </c>
      <c r="S178" s="355">
        <v>0</v>
      </c>
      <c r="T178" s="355">
        <v>0</v>
      </c>
    </row>
    <row r="179" spans="2:20" ht="12.75">
      <c r="B179" s="356" t="s">
        <v>867</v>
      </c>
      <c r="C179" s="166">
        <v>10488</v>
      </c>
      <c r="D179" s="166">
        <v>10489</v>
      </c>
      <c r="E179" s="166">
        <v>10488</v>
      </c>
      <c r="F179" s="354">
        <v>816.7775122336031</v>
      </c>
      <c r="G179" s="354">
        <v>1389.0643731218777</v>
      </c>
      <c r="H179" s="354">
        <v>819.5014689954486</v>
      </c>
      <c r="I179" s="354">
        <v>4426.29550213583</v>
      </c>
      <c r="J179" s="355">
        <v>312030092</v>
      </c>
      <c r="K179" s="355">
        <v>186877.72666869857</v>
      </c>
      <c r="L179" s="355">
        <v>1494</v>
      </c>
      <c r="M179" s="355">
        <v>0</v>
      </c>
      <c r="N179" s="355">
        <v>0</v>
      </c>
      <c r="O179" s="355">
        <v>0</v>
      </c>
      <c r="P179" s="355">
        <v>0</v>
      </c>
      <c r="Q179" s="355">
        <v>0</v>
      </c>
      <c r="R179" s="355">
        <v>0</v>
      </c>
      <c r="S179" s="355">
        <v>0</v>
      </c>
      <c r="T179" s="355">
        <v>0</v>
      </c>
    </row>
    <row r="180" spans="2:20" ht="12.75">
      <c r="B180" s="356" t="s">
        <v>868</v>
      </c>
      <c r="C180" s="166">
        <v>17138</v>
      </c>
      <c r="D180" s="166">
        <v>17201.8</v>
      </c>
      <c r="E180" s="166">
        <v>17138</v>
      </c>
      <c r="F180" s="354">
        <v>1033.9919881976907</v>
      </c>
      <c r="G180" s="354">
        <v>1521.6720163149453</v>
      </c>
      <c r="H180" s="354">
        <v>993.5300853323702</v>
      </c>
      <c r="I180" s="354">
        <v>5338.5890911449815</v>
      </c>
      <c r="J180" s="355">
        <v>106401545</v>
      </c>
      <c r="K180" s="355">
        <v>89575.0007042519</v>
      </c>
      <c r="L180" s="355">
        <v>17206.5875</v>
      </c>
      <c r="M180" s="355">
        <v>0</v>
      </c>
      <c r="N180" s="355">
        <v>0</v>
      </c>
      <c r="O180" s="355">
        <v>0</v>
      </c>
      <c r="P180" s="355">
        <v>0</v>
      </c>
      <c r="Q180" s="355">
        <v>0</v>
      </c>
      <c r="R180" s="355">
        <v>0</v>
      </c>
      <c r="S180" s="355">
        <v>0</v>
      </c>
      <c r="T180" s="355">
        <v>0</v>
      </c>
    </row>
    <row r="181" spans="2:20" ht="12.75">
      <c r="B181" s="356" t="s">
        <v>869</v>
      </c>
      <c r="C181" s="166">
        <v>8685</v>
      </c>
      <c r="D181" s="166">
        <v>8715.5</v>
      </c>
      <c r="E181" s="166">
        <v>8685</v>
      </c>
      <c r="F181" s="354">
        <v>562.1553173367181</v>
      </c>
      <c r="G181" s="354">
        <v>1004.7663011654448</v>
      </c>
      <c r="H181" s="354">
        <v>592.4224434098427</v>
      </c>
      <c r="I181" s="354">
        <v>3436.2313246714903</v>
      </c>
      <c r="J181" s="355">
        <v>60775363</v>
      </c>
      <c r="K181" s="355">
        <v>67984.84725172585</v>
      </c>
      <c r="L181" s="355">
        <v>198.91150000000002</v>
      </c>
      <c r="M181" s="355">
        <v>0</v>
      </c>
      <c r="N181" s="355">
        <v>0</v>
      </c>
      <c r="O181" s="355">
        <v>0</v>
      </c>
      <c r="P181" s="355">
        <v>0</v>
      </c>
      <c r="Q181" s="355">
        <v>0</v>
      </c>
      <c r="R181" s="355">
        <v>0</v>
      </c>
      <c r="S181" s="355">
        <v>0</v>
      </c>
      <c r="T181" s="355">
        <v>0</v>
      </c>
    </row>
    <row r="182" spans="2:20" ht="12.75">
      <c r="B182" s="356" t="s">
        <v>870</v>
      </c>
      <c r="C182" s="166">
        <v>5621</v>
      </c>
      <c r="D182" s="166">
        <v>5621</v>
      </c>
      <c r="E182" s="166">
        <v>5621</v>
      </c>
      <c r="F182" s="354">
        <v>521.9163607540046</v>
      </c>
      <c r="G182" s="354">
        <v>1051.6799995386384</v>
      </c>
      <c r="H182" s="354">
        <v>666.9261147553054</v>
      </c>
      <c r="I182" s="354">
        <v>3941.4488004259865</v>
      </c>
      <c r="J182" s="355">
        <v>13840498</v>
      </c>
      <c r="K182" s="355">
        <v>45775.42947437171</v>
      </c>
      <c r="L182" s="355">
        <v>830.7646000000001</v>
      </c>
      <c r="M182" s="355">
        <v>0</v>
      </c>
      <c r="N182" s="355">
        <v>0</v>
      </c>
      <c r="O182" s="355">
        <v>0</v>
      </c>
      <c r="P182" s="355">
        <v>0</v>
      </c>
      <c r="Q182" s="355">
        <v>0</v>
      </c>
      <c r="R182" s="355">
        <v>0</v>
      </c>
      <c r="S182" s="355">
        <v>0</v>
      </c>
      <c r="T182" s="355">
        <v>0</v>
      </c>
    </row>
    <row r="183" spans="2:20" ht="12.75">
      <c r="B183" s="356" t="s">
        <v>871</v>
      </c>
      <c r="C183" s="166">
        <v>4595</v>
      </c>
      <c r="D183" s="166">
        <v>4596</v>
      </c>
      <c r="E183" s="166">
        <v>4595</v>
      </c>
      <c r="F183" s="354">
        <v>490.95969520694223</v>
      </c>
      <c r="G183" s="354">
        <v>952.3808341244992</v>
      </c>
      <c r="H183" s="354">
        <v>650.1882473727987</v>
      </c>
      <c r="I183" s="354">
        <v>3404.2816630824314</v>
      </c>
      <c r="J183" s="355">
        <v>18973516</v>
      </c>
      <c r="K183" s="355">
        <v>48204.35605636313</v>
      </c>
      <c r="L183" s="355">
        <v>356.4</v>
      </c>
      <c r="M183" s="355">
        <v>0</v>
      </c>
      <c r="N183" s="355">
        <v>0</v>
      </c>
      <c r="O183" s="355">
        <v>0</v>
      </c>
      <c r="P183" s="355">
        <v>0</v>
      </c>
      <c r="Q183" s="355">
        <v>0</v>
      </c>
      <c r="R183" s="355">
        <v>0</v>
      </c>
      <c r="S183" s="355">
        <v>0</v>
      </c>
      <c r="T183" s="355">
        <v>0</v>
      </c>
    </row>
    <row r="184" spans="2:20" ht="12.75">
      <c r="B184" s="356" t="s">
        <v>872</v>
      </c>
      <c r="C184" s="166">
        <v>4893</v>
      </c>
      <c r="D184" s="166">
        <v>4940.42</v>
      </c>
      <c r="E184" s="166">
        <v>4893</v>
      </c>
      <c r="F184" s="354">
        <v>496.65149752524286</v>
      </c>
      <c r="G184" s="354">
        <v>1061.9332021913467</v>
      </c>
      <c r="H184" s="354">
        <v>757.3043780850442</v>
      </c>
      <c r="I184" s="354">
        <v>4870.367141076414</v>
      </c>
      <c r="J184" s="355">
        <v>3237952</v>
      </c>
      <c r="K184" s="355">
        <v>40758.34092798695</v>
      </c>
      <c r="L184" s="355">
        <v>656.0793</v>
      </c>
      <c r="M184" s="355">
        <v>0</v>
      </c>
      <c r="N184" s="355">
        <v>0</v>
      </c>
      <c r="O184" s="355">
        <v>0</v>
      </c>
      <c r="P184" s="355">
        <v>0</v>
      </c>
      <c r="Q184" s="355">
        <v>0</v>
      </c>
      <c r="R184" s="355">
        <v>0</v>
      </c>
      <c r="S184" s="355">
        <v>0</v>
      </c>
      <c r="T184" s="355">
        <v>0</v>
      </c>
    </row>
    <row r="185" spans="2:20" ht="12.75">
      <c r="B185" s="356" t="s">
        <v>873</v>
      </c>
      <c r="C185" s="166">
        <v>3051</v>
      </c>
      <c r="D185" s="166">
        <v>3106</v>
      </c>
      <c r="E185" s="166">
        <v>3051</v>
      </c>
      <c r="F185" s="354">
        <v>570.7963994196497</v>
      </c>
      <c r="G185" s="354">
        <v>1055.3158719644068</v>
      </c>
      <c r="H185" s="354">
        <v>778.1013763006896</v>
      </c>
      <c r="I185" s="354">
        <v>3682.6179150177977</v>
      </c>
      <c r="J185" s="355">
        <v>16448089</v>
      </c>
      <c r="K185" s="355">
        <v>47009.33262742155</v>
      </c>
      <c r="L185" s="355">
        <v>0</v>
      </c>
      <c r="M185" s="355">
        <v>0</v>
      </c>
      <c r="N185" s="355">
        <v>0</v>
      </c>
      <c r="O185" s="355">
        <v>0</v>
      </c>
      <c r="P185" s="355">
        <v>0</v>
      </c>
      <c r="Q185" s="355">
        <v>0</v>
      </c>
      <c r="R185" s="355">
        <v>0</v>
      </c>
      <c r="S185" s="355">
        <v>0</v>
      </c>
      <c r="T185" s="355">
        <v>0</v>
      </c>
    </row>
    <row r="186" spans="2:20" ht="12.75">
      <c r="B186" s="356" t="s">
        <v>874</v>
      </c>
      <c r="C186" s="166">
        <v>9327</v>
      </c>
      <c r="D186" s="166">
        <v>9335.42</v>
      </c>
      <c r="E186" s="166">
        <v>9327</v>
      </c>
      <c r="F186" s="354">
        <v>518.3734081926294</v>
      </c>
      <c r="G186" s="354">
        <v>1134.1717103062613</v>
      </c>
      <c r="H186" s="354">
        <v>732.867221107578</v>
      </c>
      <c r="I186" s="354">
        <v>4327.200678285172</v>
      </c>
      <c r="J186" s="355">
        <v>-859768</v>
      </c>
      <c r="K186" s="355">
        <v>0</v>
      </c>
      <c r="L186" s="355">
        <v>117.06200000000001</v>
      </c>
      <c r="M186" s="355">
        <v>0</v>
      </c>
      <c r="N186" s="355">
        <v>0</v>
      </c>
      <c r="O186" s="355">
        <v>0</v>
      </c>
      <c r="P186" s="355">
        <v>0</v>
      </c>
      <c r="Q186" s="355">
        <v>0</v>
      </c>
      <c r="R186" s="355">
        <v>0</v>
      </c>
      <c r="S186" s="355">
        <v>0</v>
      </c>
      <c r="T186" s="355">
        <v>0</v>
      </c>
    </row>
    <row r="187" spans="2:20" ht="12.75">
      <c r="B187" s="356" t="s">
        <v>875</v>
      </c>
      <c r="C187" s="166">
        <v>6318</v>
      </c>
      <c r="D187" s="166">
        <v>6318</v>
      </c>
      <c r="E187" s="166">
        <v>6318</v>
      </c>
      <c r="F187" s="354">
        <v>515.6051424126971</v>
      </c>
      <c r="G187" s="354">
        <v>1027.317904248544</v>
      </c>
      <c r="H187" s="354">
        <v>642.8397197627868</v>
      </c>
      <c r="I187" s="354">
        <v>3266.2205857095464</v>
      </c>
      <c r="J187" s="355">
        <v>3602665</v>
      </c>
      <c r="K187" s="355">
        <v>40930.92187364073</v>
      </c>
      <c r="L187" s="355">
        <v>1146.9885000000002</v>
      </c>
      <c r="M187" s="355">
        <v>0</v>
      </c>
      <c r="N187" s="355">
        <v>0</v>
      </c>
      <c r="O187" s="355">
        <v>0</v>
      </c>
      <c r="P187" s="355">
        <v>0</v>
      </c>
      <c r="Q187" s="355">
        <v>0</v>
      </c>
      <c r="R187" s="355">
        <v>0</v>
      </c>
      <c r="S187" s="355">
        <v>0</v>
      </c>
      <c r="T187" s="355">
        <v>0</v>
      </c>
    </row>
    <row r="188" spans="2:20" ht="12.75">
      <c r="B188" s="356" t="s">
        <v>876</v>
      </c>
      <c r="C188" s="166">
        <v>12273</v>
      </c>
      <c r="D188" s="166">
        <v>12306.8</v>
      </c>
      <c r="E188" s="166">
        <v>12273</v>
      </c>
      <c r="F188" s="354">
        <v>1204.1490127058782</v>
      </c>
      <c r="G188" s="354">
        <v>1634.25</v>
      </c>
      <c r="H188" s="354">
        <v>1049.6191526331786</v>
      </c>
      <c r="I188" s="354">
        <v>5292.713342968198</v>
      </c>
      <c r="J188" s="355">
        <v>257093347.4</v>
      </c>
      <c r="K188" s="355">
        <v>160881.8468009456</v>
      </c>
      <c r="L188" s="355">
        <v>9631.4724</v>
      </c>
      <c r="M188" s="355">
        <v>0</v>
      </c>
      <c r="N188" s="355">
        <v>0</v>
      </c>
      <c r="O188" s="355">
        <v>73324</v>
      </c>
      <c r="P188" s="355">
        <v>0</v>
      </c>
      <c r="Q188" s="355">
        <v>0</v>
      </c>
      <c r="R188" s="355">
        <v>0</v>
      </c>
      <c r="S188" s="355">
        <v>0</v>
      </c>
      <c r="T188" s="355">
        <v>0</v>
      </c>
    </row>
    <row r="189" spans="2:20" ht="12.75">
      <c r="B189" s="356" t="s">
        <v>877</v>
      </c>
      <c r="C189" s="166">
        <v>22794</v>
      </c>
      <c r="D189" s="166">
        <v>22794</v>
      </c>
      <c r="E189" s="166">
        <v>22794</v>
      </c>
      <c r="F189" s="354">
        <v>579.0652239105966</v>
      </c>
      <c r="G189" s="354">
        <v>1029.3533870529147</v>
      </c>
      <c r="H189" s="354">
        <v>609.6902004551141</v>
      </c>
      <c r="I189" s="354">
        <v>3288.5341910029065</v>
      </c>
      <c r="J189" s="355">
        <v>254542575</v>
      </c>
      <c r="K189" s="355">
        <v>159674.83001530994</v>
      </c>
      <c r="L189" s="355">
        <v>2076.858</v>
      </c>
      <c r="M189" s="355">
        <v>0</v>
      </c>
      <c r="N189" s="355">
        <v>0</v>
      </c>
      <c r="O189" s="355">
        <v>0</v>
      </c>
      <c r="P189" s="355">
        <v>0</v>
      </c>
      <c r="Q189" s="355">
        <v>0</v>
      </c>
      <c r="R189" s="355">
        <v>0</v>
      </c>
      <c r="S189" s="355">
        <v>0</v>
      </c>
      <c r="T189" s="355">
        <v>0</v>
      </c>
    </row>
    <row r="190" spans="2:20" ht="12.75">
      <c r="B190" s="356" t="s">
        <v>878</v>
      </c>
      <c r="C190" s="166">
        <v>5372</v>
      </c>
      <c r="D190" s="166">
        <v>5381.75</v>
      </c>
      <c r="E190" s="166">
        <v>5372</v>
      </c>
      <c r="F190" s="354">
        <v>481.7186415722968</v>
      </c>
      <c r="G190" s="354">
        <v>1020.9411805690349</v>
      </c>
      <c r="H190" s="354">
        <v>678.6756482851534</v>
      </c>
      <c r="I190" s="354">
        <v>3850.9540656956165</v>
      </c>
      <c r="J190" s="355">
        <v>3812804</v>
      </c>
      <c r="K190" s="355">
        <v>41030.358930555994</v>
      </c>
      <c r="L190" s="355">
        <v>40824.903</v>
      </c>
      <c r="M190" s="355">
        <v>0</v>
      </c>
      <c r="N190" s="355">
        <v>0</v>
      </c>
      <c r="O190" s="355">
        <v>0</v>
      </c>
      <c r="P190" s="355">
        <v>0</v>
      </c>
      <c r="Q190" s="355">
        <v>0</v>
      </c>
      <c r="R190" s="355">
        <v>0</v>
      </c>
      <c r="S190" s="355">
        <v>0</v>
      </c>
      <c r="T190" s="355">
        <v>0</v>
      </c>
    </row>
    <row r="191" spans="2:20" ht="12.75">
      <c r="B191" s="356" t="s">
        <v>879</v>
      </c>
      <c r="C191" s="166">
        <v>5054</v>
      </c>
      <c r="D191" s="166">
        <v>5054.5</v>
      </c>
      <c r="E191" s="166">
        <v>5054</v>
      </c>
      <c r="F191" s="354">
        <v>511.867560934856</v>
      </c>
      <c r="G191" s="354">
        <v>1001.0194623437268</v>
      </c>
      <c r="H191" s="354">
        <v>702.5437021214038</v>
      </c>
      <c r="I191" s="354">
        <v>4364.053940355044</v>
      </c>
      <c r="J191" s="355">
        <v>9764216</v>
      </c>
      <c r="K191" s="355">
        <v>43846.54675751914</v>
      </c>
      <c r="L191" s="355">
        <v>415.7892</v>
      </c>
      <c r="M191" s="355">
        <v>0</v>
      </c>
      <c r="N191" s="355">
        <v>0</v>
      </c>
      <c r="O191" s="355">
        <v>0</v>
      </c>
      <c r="P191" s="355">
        <v>0</v>
      </c>
      <c r="Q191" s="355">
        <v>0</v>
      </c>
      <c r="R191" s="355">
        <v>0</v>
      </c>
      <c r="S191" s="355">
        <v>0</v>
      </c>
      <c r="T191" s="355">
        <v>0</v>
      </c>
    </row>
    <row r="192" spans="2:20" ht="12.75">
      <c r="B192" s="356" t="s">
        <v>880</v>
      </c>
      <c r="C192" s="166">
        <v>3394</v>
      </c>
      <c r="D192" s="166">
        <v>3464.23</v>
      </c>
      <c r="E192" s="166">
        <v>3394</v>
      </c>
      <c r="F192" s="354">
        <v>612.6902921497926</v>
      </c>
      <c r="G192" s="354">
        <v>1162.3345568952793</v>
      </c>
      <c r="H192" s="354">
        <v>792.4064974823144</v>
      </c>
      <c r="I192" s="354">
        <v>4471.044807106915</v>
      </c>
      <c r="J192" s="355">
        <v>4189820</v>
      </c>
      <c r="K192" s="355">
        <v>41208.761613779796</v>
      </c>
      <c r="L192" s="355">
        <v>1509.5051</v>
      </c>
      <c r="M192" s="355">
        <v>0</v>
      </c>
      <c r="N192" s="355">
        <v>0</v>
      </c>
      <c r="O192" s="355">
        <v>0</v>
      </c>
      <c r="P192" s="355">
        <v>0</v>
      </c>
      <c r="Q192" s="355">
        <v>0</v>
      </c>
      <c r="R192" s="355">
        <v>0</v>
      </c>
      <c r="S192" s="355">
        <v>0</v>
      </c>
      <c r="T192" s="355">
        <v>0</v>
      </c>
    </row>
    <row r="193" spans="2:20" ht="12.75">
      <c r="B193" s="356" t="s">
        <v>881</v>
      </c>
      <c r="C193" s="166">
        <v>2724</v>
      </c>
      <c r="D193" s="166">
        <v>2771</v>
      </c>
      <c r="E193" s="166">
        <v>2724</v>
      </c>
      <c r="F193" s="354">
        <v>528.7391970277617</v>
      </c>
      <c r="G193" s="354">
        <v>1072.7006590142357</v>
      </c>
      <c r="H193" s="354">
        <v>729.690167262186</v>
      </c>
      <c r="I193" s="354">
        <v>4603.845602022271</v>
      </c>
      <c r="J193" s="355">
        <v>6846241</v>
      </c>
      <c r="K193" s="355">
        <v>42465.77095601476</v>
      </c>
      <c r="L193" s="355">
        <v>0</v>
      </c>
      <c r="M193" s="355">
        <v>0</v>
      </c>
      <c r="N193" s="355">
        <v>0</v>
      </c>
      <c r="O193" s="355">
        <v>0</v>
      </c>
      <c r="P193" s="355">
        <v>0</v>
      </c>
      <c r="Q193" s="355">
        <v>0</v>
      </c>
      <c r="R193" s="355">
        <v>0</v>
      </c>
      <c r="S193" s="355">
        <v>0</v>
      </c>
      <c r="T193" s="355">
        <v>0</v>
      </c>
    </row>
    <row r="194" spans="2:20" ht="12.75">
      <c r="B194" s="356" t="s">
        <v>882</v>
      </c>
      <c r="C194" s="166">
        <v>23539</v>
      </c>
      <c r="D194" s="166">
        <v>23539</v>
      </c>
      <c r="E194" s="166">
        <v>23539</v>
      </c>
      <c r="F194" s="354">
        <v>668.2507985557812</v>
      </c>
      <c r="G194" s="354">
        <v>1058.9666255718748</v>
      </c>
      <c r="H194" s="354">
        <v>634.9791340662349</v>
      </c>
      <c r="I194" s="354">
        <v>3362.055539651058</v>
      </c>
      <c r="J194" s="355">
        <v>381875382</v>
      </c>
      <c r="K194" s="355">
        <v>219928.27928859968</v>
      </c>
      <c r="L194" s="355">
        <v>6012.9552</v>
      </c>
      <c r="M194" s="355">
        <v>0</v>
      </c>
      <c r="N194" s="355">
        <v>0</v>
      </c>
      <c r="O194" s="355">
        <v>0</v>
      </c>
      <c r="P194" s="355">
        <v>0</v>
      </c>
      <c r="Q194" s="355">
        <v>0</v>
      </c>
      <c r="R194" s="355">
        <v>0</v>
      </c>
      <c r="S194" s="355">
        <v>0</v>
      </c>
      <c r="T194" s="355">
        <v>0</v>
      </c>
    </row>
    <row r="195" spans="2:20" ht="13.5" thickBot="1">
      <c r="B195" s="357" t="s">
        <v>883</v>
      </c>
      <c r="C195" s="166">
        <v>6124</v>
      </c>
      <c r="D195" s="166">
        <v>6128.25</v>
      </c>
      <c r="E195" s="166">
        <v>6124</v>
      </c>
      <c r="F195" s="354">
        <v>572.002108730637</v>
      </c>
      <c r="G195" s="354">
        <v>1084.8535455219048</v>
      </c>
      <c r="H195" s="354">
        <v>721.9724141293501</v>
      </c>
      <c r="I195" s="354">
        <v>4535.1815495561705</v>
      </c>
      <c r="J195" s="355">
        <v>-6869673</v>
      </c>
      <c r="K195" s="355">
        <v>0</v>
      </c>
      <c r="L195" s="355">
        <v>116.52990000000001</v>
      </c>
      <c r="M195" s="355">
        <v>0</v>
      </c>
      <c r="N195" s="355">
        <v>0</v>
      </c>
      <c r="O195" s="355">
        <v>0</v>
      </c>
      <c r="P195" s="355">
        <v>0</v>
      </c>
      <c r="Q195" s="355">
        <v>0</v>
      </c>
      <c r="R195" s="355">
        <v>0</v>
      </c>
      <c r="S195" s="355">
        <v>0</v>
      </c>
      <c r="T195" s="355">
        <v>0</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tabColor indexed="43"/>
  </sheetPr>
  <dimension ref="B1:FH196"/>
  <sheetViews>
    <sheetView zoomScale="85" zoomScaleNormal="85" workbookViewId="0" topLeftCell="A1">
      <pane xSplit="2" ySplit="14" topLeftCell="C15" activePane="bottomRight" state="frozen"/>
      <selection pane="topLeft" activeCell="I15" sqref="I15"/>
      <selection pane="topRight" activeCell="I15" sqref="I15"/>
      <selection pane="bottomLeft" activeCell="I15" sqref="I15"/>
      <selection pane="bottomRight" activeCell="A1" sqref="A1"/>
    </sheetView>
  </sheetViews>
  <sheetFormatPr defaultColWidth="9.140625" defaultRowHeight="12.75"/>
  <cols>
    <col min="1" max="1" width="9.140625" style="1" customWidth="1"/>
    <col min="2" max="2" width="15.8515625" style="1" bestFit="1" customWidth="1"/>
    <col min="3" max="164" width="19.00390625" style="1" customWidth="1"/>
    <col min="165" max="16384" width="9.140625" style="1" customWidth="1"/>
  </cols>
  <sheetData>
    <row r="1" spans="14:107" ht="16.5" thickBot="1">
      <c r="N1" s="358" t="s">
        <v>520</v>
      </c>
      <c r="P1" s="359"/>
      <c r="Q1" s="360"/>
      <c r="R1" s="361" t="s">
        <v>521</v>
      </c>
      <c r="S1" s="362">
        <v>0</v>
      </c>
      <c r="DC1" s="363" t="s">
        <v>339</v>
      </c>
    </row>
    <row r="2" spans="2:107" ht="12.75">
      <c r="B2" s="508" t="s">
        <v>522</v>
      </c>
      <c r="C2" s="509"/>
      <c r="D2" s="510"/>
      <c r="H2" s="364"/>
      <c r="I2" s="365"/>
      <c r="J2" s="366" t="s">
        <v>523</v>
      </c>
      <c r="K2" s="367">
        <v>550141962.0581343</v>
      </c>
      <c r="M2" s="368" t="s">
        <v>524</v>
      </c>
      <c r="N2" s="369">
        <v>0.0223</v>
      </c>
      <c r="AV2" s="370"/>
      <c r="AW2" s="371"/>
      <c r="AX2" s="372" t="s">
        <v>525</v>
      </c>
      <c r="AY2" s="373">
        <v>2879678549.6821156</v>
      </c>
      <c r="CH2" s="370"/>
      <c r="CI2" s="371"/>
      <c r="CJ2" s="374" t="s">
        <v>526</v>
      </c>
      <c r="CK2" s="367">
        <v>0.9762635900324241</v>
      </c>
      <c r="DB2" s="375" t="s">
        <v>524</v>
      </c>
      <c r="DC2" s="376">
        <v>0.033</v>
      </c>
    </row>
    <row r="3" spans="2:107" ht="13.5" thickBot="1">
      <c r="B3" s="511"/>
      <c r="C3" s="512"/>
      <c r="D3" s="513"/>
      <c r="H3" s="377"/>
      <c r="I3" s="378"/>
      <c r="J3" s="379" t="s">
        <v>527</v>
      </c>
      <c r="K3" s="380">
        <v>1226137455.971261</v>
      </c>
      <c r="M3" s="381" t="s">
        <v>528</v>
      </c>
      <c r="N3" s="382">
        <v>0.0322</v>
      </c>
      <c r="AV3" s="383"/>
      <c r="AW3" s="384"/>
      <c r="AX3" s="385" t="s">
        <v>529</v>
      </c>
      <c r="AY3" s="386">
        <v>2107169644.8128028</v>
      </c>
      <c r="CH3" s="383"/>
      <c r="CI3" s="384"/>
      <c r="CJ3" s="387" t="s">
        <v>259</v>
      </c>
      <c r="CK3" s="380">
        <v>1273949777.9008846</v>
      </c>
      <c r="DB3" s="388" t="s">
        <v>528</v>
      </c>
      <c r="DC3" s="389">
        <v>0.017</v>
      </c>
    </row>
    <row r="4" spans="8:107" ht="13.5" thickBot="1">
      <c r="H4" s="390"/>
      <c r="I4" s="391"/>
      <c r="J4" s="392" t="s">
        <v>530</v>
      </c>
      <c r="K4" s="393">
        <v>2.2287655560469557</v>
      </c>
      <c r="M4" s="381" t="s">
        <v>531</v>
      </c>
      <c r="N4" s="382">
        <v>0.0285</v>
      </c>
      <c r="AV4" s="394"/>
      <c r="AW4" s="395"/>
      <c r="AX4" s="396" t="s">
        <v>532</v>
      </c>
      <c r="AY4" s="397">
        <v>0.7317377993614638</v>
      </c>
      <c r="CH4" s="394"/>
      <c r="CI4" s="395"/>
      <c r="CJ4" s="398" t="s">
        <v>533</v>
      </c>
      <c r="CK4" s="399">
        <v>1304923988.6725404</v>
      </c>
      <c r="DB4" s="388" t="s">
        <v>531</v>
      </c>
      <c r="DC4" s="389">
        <v>0.017</v>
      </c>
    </row>
    <row r="5" spans="13:107" ht="12.75">
      <c r="M5" s="381" t="s">
        <v>534</v>
      </c>
      <c r="N5" s="382">
        <v>0.0272</v>
      </c>
      <c r="DB5" s="388" t="s">
        <v>534</v>
      </c>
      <c r="DC5" s="389">
        <v>0.028000000000000025</v>
      </c>
    </row>
    <row r="6" spans="13:107" ht="12.75">
      <c r="M6" s="381" t="s">
        <v>535</v>
      </c>
      <c r="N6" s="382">
        <v>0.0205</v>
      </c>
      <c r="DB6" s="388" t="s">
        <v>535</v>
      </c>
      <c r="DC6" s="389">
        <v>0.031</v>
      </c>
    </row>
    <row r="7" spans="13:107" ht="13.5" thickBot="1">
      <c r="M7" s="381" t="s">
        <v>536</v>
      </c>
      <c r="N7" s="382">
        <v>0.0269</v>
      </c>
      <c r="DB7" s="388" t="s">
        <v>536</v>
      </c>
      <c r="DC7" s="389">
        <v>0.027</v>
      </c>
    </row>
    <row r="8" spans="4:161" ht="23.25" thickBot="1">
      <c r="D8" s="495" t="s">
        <v>537</v>
      </c>
      <c r="E8" s="496"/>
      <c r="F8" s="497"/>
      <c r="M8" s="381" t="s">
        <v>538</v>
      </c>
      <c r="N8" s="382">
        <v>0.0306</v>
      </c>
      <c r="AR8" s="126"/>
      <c r="AT8" s="495" t="s">
        <v>539</v>
      </c>
      <c r="AU8" s="496"/>
      <c r="AV8" s="497"/>
      <c r="CH8" s="400" t="s">
        <v>240</v>
      </c>
      <c r="DB8" s="388" t="s">
        <v>538</v>
      </c>
      <c r="DC8" s="389">
        <v>0.03600000000000003</v>
      </c>
      <c r="DE8" s="495" t="s">
        <v>540</v>
      </c>
      <c r="DF8" s="496"/>
      <c r="DG8" s="497"/>
      <c r="DR8" s="495" t="s">
        <v>541</v>
      </c>
      <c r="DS8" s="496"/>
      <c r="DT8" s="497"/>
      <c r="EG8" s="495" t="s">
        <v>542</v>
      </c>
      <c r="EH8" s="496"/>
      <c r="EI8" s="497"/>
      <c r="ER8" s="495" t="s">
        <v>543</v>
      </c>
      <c r="ES8" s="496"/>
      <c r="ET8" s="497"/>
      <c r="FB8" s="401" t="s">
        <v>544</v>
      </c>
      <c r="FC8" s="402">
        <v>39226.1531032</v>
      </c>
      <c r="FE8" s="403" t="s">
        <v>545</v>
      </c>
    </row>
    <row r="9" spans="13:161" ht="13.5" thickBot="1">
      <c r="M9" s="381" t="s">
        <v>546</v>
      </c>
      <c r="N9" s="382">
        <v>0.03</v>
      </c>
      <c r="AR9" s="126"/>
      <c r="DB9" s="388" t="s">
        <v>546</v>
      </c>
      <c r="DC9" s="389">
        <v>0.039</v>
      </c>
      <c r="FB9" s="404" t="s">
        <v>547</v>
      </c>
      <c r="FC9" s="405">
        <v>473.1965837625</v>
      </c>
      <c r="FE9" s="406">
        <v>0.00725</v>
      </c>
    </row>
    <row r="10" spans="8:107" ht="12.75">
      <c r="H10" s="498" t="s">
        <v>548</v>
      </c>
      <c r="M10" s="381" t="s">
        <v>549</v>
      </c>
      <c r="N10" s="382">
        <v>0.0275</v>
      </c>
      <c r="X10" s="498" t="s">
        <v>548</v>
      </c>
      <c r="AB10" s="498" t="s">
        <v>548</v>
      </c>
      <c r="AI10" s="498" t="s">
        <v>550</v>
      </c>
      <c r="AN10" s="498" t="s">
        <v>551</v>
      </c>
      <c r="AR10" s="407"/>
      <c r="BK10" s="502" t="s">
        <v>550</v>
      </c>
      <c r="BZ10" s="504" t="s">
        <v>552</v>
      </c>
      <c r="CC10" s="504" t="s">
        <v>551</v>
      </c>
      <c r="CH10" s="506" t="s">
        <v>553</v>
      </c>
      <c r="DB10" s="388" t="s">
        <v>549</v>
      </c>
      <c r="DC10" s="389">
        <v>0.05</v>
      </c>
    </row>
    <row r="11" spans="8:107" ht="13.5" thickBot="1">
      <c r="H11" s="499"/>
      <c r="M11" s="381" t="s">
        <v>554</v>
      </c>
      <c r="N11" s="382">
        <v>0.0225</v>
      </c>
      <c r="X11" s="499"/>
      <c r="AB11" s="500"/>
      <c r="AI11" s="501"/>
      <c r="AN11" s="499"/>
      <c r="BK11" s="503"/>
      <c r="BZ11" s="505"/>
      <c r="CC11" s="505"/>
      <c r="CH11" s="507"/>
      <c r="DB11" s="388" t="s">
        <v>554</v>
      </c>
      <c r="DC11" s="389">
        <v>-0.014</v>
      </c>
    </row>
    <row r="12" spans="8:132" ht="16.5" thickBot="1">
      <c r="H12" s="408">
        <v>0.49061767739539186</v>
      </c>
      <c r="M12" s="409" t="s">
        <v>555</v>
      </c>
      <c r="N12" s="410">
        <v>0.019</v>
      </c>
      <c r="O12" s="1">
        <v>1.2530040009978596</v>
      </c>
      <c r="X12" s="411">
        <v>18.671475500071836</v>
      </c>
      <c r="AB12" s="412">
        <v>0.08204038565895708</v>
      </c>
      <c r="AI12" s="413">
        <v>0.8421099185943604</v>
      </c>
      <c r="AN12" s="414">
        <v>0.9877876547553164</v>
      </c>
      <c r="BK12" s="411">
        <v>41.130180745022635</v>
      </c>
      <c r="BZ12" s="415">
        <v>0.7317377993614638</v>
      </c>
      <c r="CC12" s="414">
        <v>0.9928931528936824</v>
      </c>
      <c r="CH12" s="416">
        <v>416.82705630450357</v>
      </c>
      <c r="CI12" s="416">
        <v>479.94658197347127</v>
      </c>
      <c r="CJ12" s="416">
        <v>491.8559264393142</v>
      </c>
      <c r="CK12" s="416">
        <v>681.2145034462172</v>
      </c>
      <c r="CL12" s="416">
        <v>781.2529969592981</v>
      </c>
      <c r="CM12" s="416">
        <v>771.7255213866237</v>
      </c>
      <c r="CN12" s="416">
        <v>572.8394688070463</v>
      </c>
      <c r="CO12" s="416">
        <v>626.4315189033396</v>
      </c>
      <c r="CP12" s="416">
        <v>546.6389109821919</v>
      </c>
      <c r="CQ12" s="416">
        <v>813.408227017074</v>
      </c>
      <c r="CR12" s="416">
        <v>825.3175714829171</v>
      </c>
      <c r="CS12" s="416">
        <v>992.0483940047184</v>
      </c>
      <c r="CT12" s="416">
        <v>625.2405844567554</v>
      </c>
      <c r="CU12" s="416">
        <v>546.6389109821919</v>
      </c>
      <c r="CV12" s="416">
        <v>813.408227017074</v>
      </c>
      <c r="DB12" s="417" t="s">
        <v>555</v>
      </c>
      <c r="DC12" s="418">
        <v>0.046</v>
      </c>
      <c r="DR12" s="42" t="s">
        <v>371</v>
      </c>
      <c r="DS12" s="419">
        <v>10</v>
      </c>
      <c r="DT12" s="419">
        <v>9</v>
      </c>
      <c r="DU12" s="419">
        <v>8</v>
      </c>
      <c r="DV12" s="419">
        <v>7</v>
      </c>
      <c r="DW12" s="419">
        <v>6</v>
      </c>
      <c r="DX12" s="419">
        <v>5</v>
      </c>
      <c r="DY12" s="419">
        <v>9</v>
      </c>
      <c r="DZ12" s="419">
        <v>15</v>
      </c>
      <c r="EA12" s="420">
        <v>3.07</v>
      </c>
      <c r="EB12" s="419">
        <v>5</v>
      </c>
    </row>
    <row r="13" spans="2:164" ht="13.5" thickBot="1">
      <c r="B13" s="1">
        <v>1</v>
      </c>
      <c r="C13" s="1">
        <v>2</v>
      </c>
      <c r="D13" s="1">
        <v>3</v>
      </c>
      <c r="E13" s="1">
        <v>4</v>
      </c>
      <c r="F13" s="1">
        <v>5</v>
      </c>
      <c r="G13" s="1">
        <v>6</v>
      </c>
      <c r="H13" s="1">
        <v>7</v>
      </c>
      <c r="I13" s="1">
        <v>8</v>
      </c>
      <c r="J13" s="1">
        <v>9</v>
      </c>
      <c r="K13" s="1">
        <v>10</v>
      </c>
      <c r="L13" s="1">
        <v>11</v>
      </c>
      <c r="M13" s="1">
        <v>12</v>
      </c>
      <c r="N13" s="1">
        <v>13</v>
      </c>
      <c r="O13" s="1">
        <v>14</v>
      </c>
      <c r="P13" s="1">
        <v>15</v>
      </c>
      <c r="Q13" s="1">
        <v>16</v>
      </c>
      <c r="R13" s="1">
        <v>17</v>
      </c>
      <c r="S13" s="1">
        <v>18</v>
      </c>
      <c r="T13" s="1">
        <v>19</v>
      </c>
      <c r="U13" s="1">
        <v>20</v>
      </c>
      <c r="V13" s="1">
        <v>21</v>
      </c>
      <c r="W13" s="1">
        <v>22</v>
      </c>
      <c r="X13" s="1">
        <v>23</v>
      </c>
      <c r="Y13" s="1">
        <v>24</v>
      </c>
      <c r="Z13" s="1">
        <v>25</v>
      </c>
      <c r="AA13" s="1">
        <v>26</v>
      </c>
      <c r="AB13" s="1">
        <v>27</v>
      </c>
      <c r="AC13" s="1">
        <v>28</v>
      </c>
      <c r="AD13" s="1">
        <v>29</v>
      </c>
      <c r="AE13" s="1">
        <v>30</v>
      </c>
      <c r="AF13" s="1">
        <v>31</v>
      </c>
      <c r="AG13" s="1">
        <v>32</v>
      </c>
      <c r="AH13" s="1">
        <v>33</v>
      </c>
      <c r="AI13" s="1">
        <v>34</v>
      </c>
      <c r="AJ13" s="1">
        <v>35</v>
      </c>
      <c r="AK13" s="1">
        <v>36</v>
      </c>
      <c r="AL13" s="1">
        <v>37</v>
      </c>
      <c r="AM13" s="1">
        <v>38</v>
      </c>
      <c r="AN13" s="1">
        <v>39</v>
      </c>
      <c r="AO13" s="1">
        <v>40</v>
      </c>
      <c r="AP13" s="1">
        <v>41</v>
      </c>
      <c r="AQ13" s="1">
        <v>42</v>
      </c>
      <c r="AR13" s="1">
        <v>43</v>
      </c>
      <c r="AS13" s="1">
        <v>44</v>
      </c>
      <c r="AT13" s="1">
        <v>45</v>
      </c>
      <c r="AU13" s="1">
        <v>46</v>
      </c>
      <c r="AV13" s="1">
        <v>47</v>
      </c>
      <c r="AW13" s="1">
        <v>48</v>
      </c>
      <c r="AX13" s="1">
        <v>49</v>
      </c>
      <c r="AY13" s="1">
        <v>50</v>
      </c>
      <c r="AZ13" s="1">
        <v>51</v>
      </c>
      <c r="BA13" s="1">
        <v>52</v>
      </c>
      <c r="BB13" s="1">
        <v>53</v>
      </c>
      <c r="BC13" s="1">
        <v>54</v>
      </c>
      <c r="BD13" s="1">
        <v>55</v>
      </c>
      <c r="BE13" s="1">
        <v>56</v>
      </c>
      <c r="BF13" s="1">
        <v>57</v>
      </c>
      <c r="BG13" s="1">
        <v>58</v>
      </c>
      <c r="BH13" s="1">
        <v>59</v>
      </c>
      <c r="BI13" s="1">
        <v>60</v>
      </c>
      <c r="BJ13" s="1">
        <v>61</v>
      </c>
      <c r="BK13" s="1">
        <v>62</v>
      </c>
      <c r="BL13" s="1">
        <v>63</v>
      </c>
      <c r="BM13" s="1">
        <v>64</v>
      </c>
      <c r="BN13" s="1">
        <v>65</v>
      </c>
      <c r="BO13" s="1">
        <v>66</v>
      </c>
      <c r="BP13" s="1">
        <v>67</v>
      </c>
      <c r="BQ13" s="1">
        <v>68</v>
      </c>
      <c r="BR13" s="1">
        <v>69</v>
      </c>
      <c r="BS13" s="1">
        <v>70</v>
      </c>
      <c r="BT13" s="1">
        <v>71</v>
      </c>
      <c r="BU13" s="1">
        <v>72</v>
      </c>
      <c r="BV13" s="1">
        <v>73</v>
      </c>
      <c r="BW13" s="1">
        <v>74</v>
      </c>
      <c r="BX13" s="1">
        <v>75</v>
      </c>
      <c r="BY13" s="1">
        <v>76</v>
      </c>
      <c r="BZ13" s="1">
        <v>77</v>
      </c>
      <c r="CA13" s="1">
        <v>78</v>
      </c>
      <c r="CB13" s="1">
        <v>79</v>
      </c>
      <c r="CC13" s="1">
        <v>80</v>
      </c>
      <c r="CD13" s="1">
        <v>81</v>
      </c>
      <c r="CE13" s="1">
        <v>82</v>
      </c>
      <c r="CF13" s="1">
        <v>83</v>
      </c>
      <c r="CG13" s="1">
        <v>84</v>
      </c>
      <c r="CH13" s="1">
        <v>85</v>
      </c>
      <c r="CI13" s="1">
        <v>86</v>
      </c>
      <c r="CJ13" s="1">
        <v>87</v>
      </c>
      <c r="CK13" s="1">
        <v>88</v>
      </c>
      <c r="CL13" s="1">
        <v>89</v>
      </c>
      <c r="CM13" s="1">
        <v>90</v>
      </c>
      <c r="CN13" s="1">
        <v>91</v>
      </c>
      <c r="CO13" s="1">
        <v>92</v>
      </c>
      <c r="CP13" s="1">
        <v>93</v>
      </c>
      <c r="CQ13" s="1">
        <v>94</v>
      </c>
      <c r="CR13" s="1">
        <v>95</v>
      </c>
      <c r="CS13" s="1">
        <v>96</v>
      </c>
      <c r="CT13" s="1">
        <v>97</v>
      </c>
      <c r="CU13" s="1">
        <v>98</v>
      </c>
      <c r="CV13" s="1">
        <v>99</v>
      </c>
      <c r="CW13" s="1">
        <v>100</v>
      </c>
      <c r="CX13" s="1">
        <v>101</v>
      </c>
      <c r="CY13" s="1">
        <v>102</v>
      </c>
      <c r="CZ13" s="1">
        <v>103</v>
      </c>
      <c r="DA13" s="1">
        <v>104</v>
      </c>
      <c r="DB13" s="1">
        <v>105</v>
      </c>
      <c r="DC13" s="1">
        <v>106</v>
      </c>
      <c r="DD13" s="1">
        <v>107</v>
      </c>
      <c r="DE13" s="1">
        <v>108</v>
      </c>
      <c r="DF13" s="1">
        <v>109</v>
      </c>
      <c r="DG13" s="1">
        <v>110</v>
      </c>
      <c r="DH13" s="1">
        <v>111</v>
      </c>
      <c r="DI13" s="1">
        <v>112</v>
      </c>
      <c r="DJ13" s="1">
        <v>113</v>
      </c>
      <c r="DK13" s="1">
        <v>114</v>
      </c>
      <c r="DL13" s="1">
        <v>115</v>
      </c>
      <c r="DM13" s="1">
        <v>116</v>
      </c>
      <c r="DN13" s="1">
        <v>117</v>
      </c>
      <c r="DO13" s="1">
        <v>118</v>
      </c>
      <c r="DP13" s="1">
        <v>119</v>
      </c>
      <c r="DQ13" s="1">
        <v>120</v>
      </c>
      <c r="DR13" s="1">
        <v>121</v>
      </c>
      <c r="DS13" s="1">
        <v>122</v>
      </c>
      <c r="DT13" s="1">
        <v>123</v>
      </c>
      <c r="DU13" s="1">
        <v>124</v>
      </c>
      <c r="DV13" s="1">
        <v>125</v>
      </c>
      <c r="DW13" s="1">
        <v>126</v>
      </c>
      <c r="DX13" s="1">
        <v>127</v>
      </c>
      <c r="DY13" s="1">
        <v>128</v>
      </c>
      <c r="DZ13" s="1">
        <v>129</v>
      </c>
      <c r="EA13" s="1">
        <v>130</v>
      </c>
      <c r="EB13" s="1">
        <v>131</v>
      </c>
      <c r="EC13" s="1">
        <v>132</v>
      </c>
      <c r="ED13" s="1">
        <v>133</v>
      </c>
      <c r="EE13" s="1">
        <v>134</v>
      </c>
      <c r="EF13" s="1">
        <v>135</v>
      </c>
      <c r="EG13" s="1">
        <v>136</v>
      </c>
      <c r="EH13" s="1">
        <v>137</v>
      </c>
      <c r="EI13" s="1">
        <v>138</v>
      </c>
      <c r="EJ13" s="1">
        <v>139</v>
      </c>
      <c r="EK13" s="1">
        <v>140</v>
      </c>
      <c r="EL13" s="1">
        <v>141</v>
      </c>
      <c r="EM13" s="1">
        <v>142</v>
      </c>
      <c r="EN13" s="1">
        <v>143</v>
      </c>
      <c r="EO13" s="1">
        <v>144</v>
      </c>
      <c r="EP13" s="1">
        <v>145</v>
      </c>
      <c r="EQ13" s="1">
        <v>146</v>
      </c>
      <c r="ER13" s="1">
        <v>147</v>
      </c>
      <c r="ES13" s="1">
        <v>148</v>
      </c>
      <c r="ET13" s="1">
        <v>149</v>
      </c>
      <c r="EU13" s="1">
        <v>150</v>
      </c>
      <c r="EV13" s="1">
        <v>151</v>
      </c>
      <c r="EW13" s="1">
        <v>152</v>
      </c>
      <c r="EX13" s="1">
        <v>153</v>
      </c>
      <c r="EY13" s="1">
        <v>154</v>
      </c>
      <c r="EZ13" s="1">
        <v>155</v>
      </c>
      <c r="FA13" s="1">
        <v>156</v>
      </c>
      <c r="FB13" s="1">
        <v>157</v>
      </c>
      <c r="FC13" s="1">
        <v>158</v>
      </c>
      <c r="FD13" s="1">
        <v>159</v>
      </c>
      <c r="FE13" s="1">
        <v>160</v>
      </c>
      <c r="FF13" s="1">
        <v>161</v>
      </c>
      <c r="FG13" s="1">
        <v>162</v>
      </c>
      <c r="FH13" s="1">
        <v>163</v>
      </c>
    </row>
    <row r="14" spans="2:164" ht="115.5" thickBot="1">
      <c r="B14" s="421" t="s">
        <v>2</v>
      </c>
      <c r="C14" s="421" t="s">
        <v>48</v>
      </c>
      <c r="D14" s="422" t="s">
        <v>556</v>
      </c>
      <c r="E14" s="422" t="s">
        <v>557</v>
      </c>
      <c r="F14" s="422" t="s">
        <v>558</v>
      </c>
      <c r="G14" s="422" t="s">
        <v>559</v>
      </c>
      <c r="H14" s="423" t="s">
        <v>560</v>
      </c>
      <c r="I14" s="424" t="s">
        <v>561</v>
      </c>
      <c r="J14" s="424" t="s">
        <v>562</v>
      </c>
      <c r="K14" s="422" t="s">
        <v>563</v>
      </c>
      <c r="L14" s="422" t="s">
        <v>564</v>
      </c>
      <c r="M14" s="422" t="s">
        <v>565</v>
      </c>
      <c r="N14" s="422" t="s">
        <v>566</v>
      </c>
      <c r="O14" s="423" t="s">
        <v>567</v>
      </c>
      <c r="P14" s="423" t="s">
        <v>568</v>
      </c>
      <c r="Q14" s="423" t="s">
        <v>569</v>
      </c>
      <c r="R14" s="422" t="s">
        <v>570</v>
      </c>
      <c r="S14" s="422" t="s">
        <v>571</v>
      </c>
      <c r="T14" s="422" t="s">
        <v>572</v>
      </c>
      <c r="U14" s="422" t="s">
        <v>573</v>
      </c>
      <c r="V14" s="422" t="s">
        <v>574</v>
      </c>
      <c r="W14" s="423" t="s">
        <v>575</v>
      </c>
      <c r="X14" s="425" t="s">
        <v>576</v>
      </c>
      <c r="Y14" s="421" t="s">
        <v>577</v>
      </c>
      <c r="Z14" s="421" t="s">
        <v>578</v>
      </c>
      <c r="AA14" s="421" t="s">
        <v>579</v>
      </c>
      <c r="AB14" s="426" t="s">
        <v>580</v>
      </c>
      <c r="AC14" s="421" t="s">
        <v>581</v>
      </c>
      <c r="AD14" s="421" t="s">
        <v>582</v>
      </c>
      <c r="AE14" s="421" t="s">
        <v>583</v>
      </c>
      <c r="AF14" s="421" t="s">
        <v>584</v>
      </c>
      <c r="AG14" s="425" t="s">
        <v>585</v>
      </c>
      <c r="AH14" s="421" t="s">
        <v>586</v>
      </c>
      <c r="AI14" s="421" t="s">
        <v>587</v>
      </c>
      <c r="AJ14" s="421" t="s">
        <v>588</v>
      </c>
      <c r="AK14" s="421" t="s">
        <v>589</v>
      </c>
      <c r="AL14" s="421" t="s">
        <v>590</v>
      </c>
      <c r="AM14" s="421" t="s">
        <v>591</v>
      </c>
      <c r="AN14" s="421" t="s">
        <v>592</v>
      </c>
      <c r="AO14" s="421" t="s">
        <v>593</v>
      </c>
      <c r="AP14" s="421" t="s">
        <v>594</v>
      </c>
      <c r="AQ14" s="421" t="s">
        <v>595</v>
      </c>
      <c r="AR14" s="421" t="s">
        <v>596</v>
      </c>
      <c r="AS14" s="421" t="s">
        <v>597</v>
      </c>
      <c r="AT14" s="421" t="s">
        <v>48</v>
      </c>
      <c r="AU14" s="421" t="s">
        <v>505</v>
      </c>
      <c r="AV14" s="421" t="s">
        <v>598</v>
      </c>
      <c r="AW14" s="421" t="s">
        <v>506</v>
      </c>
      <c r="AX14" s="421" t="s">
        <v>599</v>
      </c>
      <c r="AY14" s="421" t="s">
        <v>600</v>
      </c>
      <c r="AZ14" s="421" t="s">
        <v>601</v>
      </c>
      <c r="BA14" s="421" t="s">
        <v>602</v>
      </c>
      <c r="BB14" s="421" t="s">
        <v>603</v>
      </c>
      <c r="BC14" s="421" t="s">
        <v>604</v>
      </c>
      <c r="BD14" s="421" t="s">
        <v>605</v>
      </c>
      <c r="BE14" s="421" t="s">
        <v>606</v>
      </c>
      <c r="BF14" s="421" t="s">
        <v>607</v>
      </c>
      <c r="BG14" s="421" t="s">
        <v>608</v>
      </c>
      <c r="BH14" s="421" t="s">
        <v>609</v>
      </c>
      <c r="BI14" s="421" t="s">
        <v>610</v>
      </c>
      <c r="BJ14" s="425" t="s">
        <v>611</v>
      </c>
      <c r="BK14" s="425" t="s">
        <v>612</v>
      </c>
      <c r="BL14" s="425" t="s">
        <v>613</v>
      </c>
      <c r="BM14" s="425" t="s">
        <v>614</v>
      </c>
      <c r="BN14" s="421" t="s">
        <v>615</v>
      </c>
      <c r="BO14" s="421" t="s">
        <v>616</v>
      </c>
      <c r="BP14" s="421" t="s">
        <v>617</v>
      </c>
      <c r="BQ14" s="421" t="s">
        <v>618</v>
      </c>
      <c r="BR14" s="421" t="s">
        <v>619</v>
      </c>
      <c r="BS14" s="426" t="s">
        <v>580</v>
      </c>
      <c r="BT14" s="421" t="s">
        <v>581</v>
      </c>
      <c r="BU14" s="421" t="s">
        <v>582</v>
      </c>
      <c r="BV14" s="421" t="s">
        <v>620</v>
      </c>
      <c r="BW14" s="426" t="s">
        <v>621</v>
      </c>
      <c r="BX14" s="421" t="s">
        <v>622</v>
      </c>
      <c r="BY14" s="421" t="s">
        <v>588</v>
      </c>
      <c r="BZ14" s="425" t="s">
        <v>623</v>
      </c>
      <c r="CA14" s="421" t="s">
        <v>590</v>
      </c>
      <c r="CB14" s="421" t="s">
        <v>591</v>
      </c>
      <c r="CC14" s="427" t="s">
        <v>592</v>
      </c>
      <c r="CD14" s="427" t="s">
        <v>624</v>
      </c>
      <c r="CE14" s="421" t="s">
        <v>625</v>
      </c>
      <c r="CF14" s="421" t="s">
        <v>626</v>
      </c>
      <c r="CG14" s="421" t="s">
        <v>627</v>
      </c>
      <c r="CH14" s="421" t="s">
        <v>628</v>
      </c>
      <c r="CI14" s="421" t="s">
        <v>629</v>
      </c>
      <c r="CJ14" s="421" t="s">
        <v>630</v>
      </c>
      <c r="CK14" s="421" t="s">
        <v>631</v>
      </c>
      <c r="CL14" s="421" t="s">
        <v>632</v>
      </c>
      <c r="CM14" s="421" t="s">
        <v>633</v>
      </c>
      <c r="CN14" s="421" t="s">
        <v>634</v>
      </c>
      <c r="CO14" s="421" t="s">
        <v>635</v>
      </c>
      <c r="CP14" s="421" t="s">
        <v>636</v>
      </c>
      <c r="CQ14" s="421" t="s">
        <v>637</v>
      </c>
      <c r="CR14" s="421" t="s">
        <v>638</v>
      </c>
      <c r="CS14" s="421" t="s">
        <v>639</v>
      </c>
      <c r="CT14" s="421" t="s">
        <v>640</v>
      </c>
      <c r="CU14" s="421" t="s">
        <v>641</v>
      </c>
      <c r="CV14" s="421" t="s">
        <v>642</v>
      </c>
      <c r="CW14" s="421" t="s">
        <v>259</v>
      </c>
      <c r="CX14" s="421" t="s">
        <v>643</v>
      </c>
      <c r="CY14" s="421" t="s">
        <v>644</v>
      </c>
      <c r="CZ14" s="421" t="s">
        <v>645</v>
      </c>
      <c r="DA14" s="428" t="s">
        <v>646</v>
      </c>
      <c r="DB14" s="429" t="s">
        <v>48</v>
      </c>
      <c r="DC14" s="421" t="s">
        <v>647</v>
      </c>
      <c r="DD14" s="421" t="s">
        <v>648</v>
      </c>
      <c r="DE14" s="421" t="s">
        <v>649</v>
      </c>
      <c r="DF14" s="421" t="s">
        <v>650</v>
      </c>
      <c r="DG14" s="421" t="s">
        <v>651</v>
      </c>
      <c r="DH14" s="421" t="s">
        <v>652</v>
      </c>
      <c r="DI14" s="421" t="s">
        <v>653</v>
      </c>
      <c r="DJ14" s="421" t="s">
        <v>654</v>
      </c>
      <c r="DK14" s="421" t="s">
        <v>655</v>
      </c>
      <c r="DL14" s="421" t="s">
        <v>656</v>
      </c>
      <c r="DM14" s="421" t="s">
        <v>657</v>
      </c>
      <c r="DN14" s="421" t="s">
        <v>658</v>
      </c>
      <c r="DO14" s="421" t="s">
        <v>659</v>
      </c>
      <c r="DP14" s="421" t="s">
        <v>660</v>
      </c>
      <c r="DQ14" s="428" t="s">
        <v>661</v>
      </c>
      <c r="DR14" s="429" t="s">
        <v>662</v>
      </c>
      <c r="DS14" s="421" t="s">
        <v>663</v>
      </c>
      <c r="DT14" s="421" t="s">
        <v>664</v>
      </c>
      <c r="DU14" s="421" t="s">
        <v>665</v>
      </c>
      <c r="DV14" s="421" t="s">
        <v>666</v>
      </c>
      <c r="DW14" s="421" t="s">
        <v>667</v>
      </c>
      <c r="DX14" s="421" t="s">
        <v>668</v>
      </c>
      <c r="DY14" s="421" t="s">
        <v>669</v>
      </c>
      <c r="DZ14" s="421" t="s">
        <v>670</v>
      </c>
      <c r="EA14" s="421" t="s">
        <v>671</v>
      </c>
      <c r="EB14" s="421" t="s">
        <v>672</v>
      </c>
      <c r="EC14" s="421" t="s">
        <v>673</v>
      </c>
      <c r="ED14" s="421" t="s">
        <v>674</v>
      </c>
      <c r="EE14" s="421" t="s">
        <v>675</v>
      </c>
      <c r="EF14" s="421" t="s">
        <v>380</v>
      </c>
      <c r="EG14" s="421" t="s">
        <v>676</v>
      </c>
      <c r="EH14" s="421" t="s">
        <v>677</v>
      </c>
      <c r="EI14" s="421" t="s">
        <v>678</v>
      </c>
      <c r="EJ14" s="421" t="s">
        <v>679</v>
      </c>
      <c r="EK14" s="421" t="s">
        <v>680</v>
      </c>
      <c r="EL14" s="421" t="s">
        <v>681</v>
      </c>
      <c r="EM14" s="421" t="s">
        <v>682</v>
      </c>
      <c r="EN14" s="421" t="s">
        <v>683</v>
      </c>
      <c r="EO14" s="421" t="s">
        <v>684</v>
      </c>
      <c r="EP14" s="421" t="s">
        <v>685</v>
      </c>
      <c r="EQ14" s="421" t="s">
        <v>686</v>
      </c>
      <c r="ER14" s="421" t="s">
        <v>687</v>
      </c>
      <c r="ES14" s="421" t="s">
        <v>688</v>
      </c>
      <c r="ET14" s="421" t="s">
        <v>689</v>
      </c>
      <c r="EU14" s="421" t="s">
        <v>690</v>
      </c>
      <c r="EV14" s="421" t="s">
        <v>691</v>
      </c>
      <c r="EW14" s="421" t="s">
        <v>692</v>
      </c>
      <c r="EX14" s="421" t="s">
        <v>693</v>
      </c>
      <c r="EY14" s="421" t="s">
        <v>694</v>
      </c>
      <c r="EZ14" s="421" t="s">
        <v>695</v>
      </c>
      <c r="FA14" s="421" t="s">
        <v>696</v>
      </c>
      <c r="FB14" s="421" t="s">
        <v>14</v>
      </c>
      <c r="FC14" s="421" t="s">
        <v>697</v>
      </c>
      <c r="FD14" s="421" t="s">
        <v>698</v>
      </c>
      <c r="FE14" s="421" t="s">
        <v>699</v>
      </c>
      <c r="FF14" s="421" t="s">
        <v>700</v>
      </c>
      <c r="FG14" s="421" t="s">
        <v>701</v>
      </c>
      <c r="FH14" s="421" t="s">
        <v>702</v>
      </c>
    </row>
    <row r="15" spans="2:164" ht="12.75">
      <c r="B15" s="353" t="s">
        <v>704</v>
      </c>
      <c r="C15" s="430">
        <v>2660</v>
      </c>
      <c r="D15" s="431">
        <v>650580</v>
      </c>
      <c r="E15" s="431">
        <v>558197.64</v>
      </c>
      <c r="F15" s="431">
        <v>102003.75254654462</v>
      </c>
      <c r="G15" s="431">
        <v>92382.36</v>
      </c>
      <c r="H15" s="432">
        <v>0.5417142857142857</v>
      </c>
      <c r="I15" s="433">
        <v>1282.49</v>
      </c>
      <c r="J15" s="433">
        <v>158.47</v>
      </c>
      <c r="K15" s="431">
        <v>660201.3925465447</v>
      </c>
      <c r="L15" s="431">
        <v>528161.1140372357</v>
      </c>
      <c r="M15" s="431">
        <v>181922.71304840833</v>
      </c>
      <c r="N15" s="431">
        <v>132040.2785093089</v>
      </c>
      <c r="O15" s="434">
        <v>1.3777819548872179</v>
      </c>
      <c r="P15" s="435">
        <v>0.7093984962406015</v>
      </c>
      <c r="Q15" s="436">
        <v>0.29060150375939847</v>
      </c>
      <c r="R15" s="431">
        <v>710083.827085644</v>
      </c>
      <c r="S15" s="431">
        <v>480016.6671098954</v>
      </c>
      <c r="T15" s="431">
        <v>73407.32300923437</v>
      </c>
      <c r="U15" s="431">
        <v>97092.63833268291</v>
      </c>
      <c r="V15" s="431">
        <v>161899.11257552684</v>
      </c>
      <c r="W15" s="434">
        <v>0.5997107506527477</v>
      </c>
      <c r="X15" s="436">
        <v>11.197484587942467</v>
      </c>
      <c r="Y15" s="431">
        <v>73407.32300923437</v>
      </c>
      <c r="Z15" s="431">
        <v>68168.04740022183</v>
      </c>
      <c r="AA15" s="432">
        <v>1.076858232101797</v>
      </c>
      <c r="AB15" s="432">
        <v>0.08834586466165413</v>
      </c>
      <c r="AC15" s="433">
        <v>224</v>
      </c>
      <c r="AD15" s="433">
        <v>246</v>
      </c>
      <c r="AE15" s="431">
        <v>650516.6284518127</v>
      </c>
      <c r="AF15" s="431">
        <v>0</v>
      </c>
      <c r="AG15" s="435">
        <v>0</v>
      </c>
      <c r="AH15" s="434">
        <v>0.12768480513523958</v>
      </c>
      <c r="AI15" s="436">
        <v>0.10752464085817337</v>
      </c>
      <c r="AJ15" s="431">
        <v>650516.6284518127</v>
      </c>
      <c r="AK15" s="437">
        <v>1</v>
      </c>
      <c r="AL15" s="431">
        <v>650516.6284518127</v>
      </c>
      <c r="AM15" s="431">
        <v>1449849.055129195</v>
      </c>
      <c r="AN15" s="431">
        <v>1432142.9979152791</v>
      </c>
      <c r="AO15" s="431">
        <v>1365628.7277735486</v>
      </c>
      <c r="AP15" s="431">
        <v>1432142.9979152791</v>
      </c>
      <c r="AQ15" s="431">
        <v>10640</v>
      </c>
      <c r="AR15" s="431">
        <v>1442782.9979152791</v>
      </c>
      <c r="AS15" s="438">
        <v>542.3996232764207</v>
      </c>
      <c r="AT15" s="434">
        <v>2660</v>
      </c>
      <c r="AU15" s="434">
        <v>74</v>
      </c>
      <c r="AV15" s="434">
        <v>174</v>
      </c>
      <c r="AW15" s="434">
        <v>59</v>
      </c>
      <c r="AX15" s="434">
        <v>59</v>
      </c>
      <c r="AY15" s="434">
        <v>303</v>
      </c>
      <c r="AZ15" s="434">
        <v>159</v>
      </c>
      <c r="BA15" s="434">
        <v>163</v>
      </c>
      <c r="BB15" s="434">
        <v>56</v>
      </c>
      <c r="BC15" s="434">
        <v>85</v>
      </c>
      <c r="BD15" s="434">
        <v>584</v>
      </c>
      <c r="BE15" s="434">
        <v>745</v>
      </c>
      <c r="BF15" s="434">
        <v>28</v>
      </c>
      <c r="BG15" s="434">
        <v>171</v>
      </c>
      <c r="BH15" s="434">
        <v>0</v>
      </c>
      <c r="BI15" s="434">
        <v>0</v>
      </c>
      <c r="BJ15" s="436">
        <v>1.40654493825785</v>
      </c>
      <c r="BK15" s="436">
        <v>10.037862025836073</v>
      </c>
      <c r="BL15" s="436">
        <v>7.5174407927638285</v>
      </c>
      <c r="BM15" s="436">
        <v>5.040842466144491</v>
      </c>
      <c r="BN15" s="433">
        <v>1887</v>
      </c>
      <c r="BO15" s="433">
        <v>773</v>
      </c>
      <c r="BP15" s="431">
        <v>728179.566895595</v>
      </c>
      <c r="BQ15" s="431">
        <v>2927543</v>
      </c>
      <c r="BR15" s="431">
        <v>3549263</v>
      </c>
      <c r="BS15" s="432">
        <v>0.08834586466165413</v>
      </c>
      <c r="BT15" s="433">
        <v>224</v>
      </c>
      <c r="BU15" s="433">
        <v>246</v>
      </c>
      <c r="BV15" s="431">
        <v>313562.70864661655</v>
      </c>
      <c r="BW15" s="432">
        <v>0.004429003192408579</v>
      </c>
      <c r="BX15" s="431">
        <v>1523.8566106448707</v>
      </c>
      <c r="BY15" s="431">
        <v>3970809.1321528563</v>
      </c>
      <c r="BZ15" s="439">
        <v>1.0633333333333335</v>
      </c>
      <c r="CA15" s="431">
        <v>4222293.710522538</v>
      </c>
      <c r="CB15" s="431">
        <v>3089611.9079955113</v>
      </c>
      <c r="CC15" s="431">
        <v>3089611.9079955113</v>
      </c>
      <c r="CD15" s="431">
        <v>2972584.4748536064</v>
      </c>
      <c r="CE15" s="431">
        <v>3067654.508547529</v>
      </c>
      <c r="CF15" s="438">
        <v>1153.2535746419283</v>
      </c>
      <c r="CG15" s="434">
        <v>2660</v>
      </c>
      <c r="CH15" s="434">
        <v>74</v>
      </c>
      <c r="CI15" s="434">
        <v>174</v>
      </c>
      <c r="CJ15" s="434">
        <v>59</v>
      </c>
      <c r="CK15" s="434">
        <v>59</v>
      </c>
      <c r="CL15" s="434">
        <v>303</v>
      </c>
      <c r="CM15" s="434">
        <v>159</v>
      </c>
      <c r="CN15" s="434">
        <v>163</v>
      </c>
      <c r="CO15" s="434">
        <v>56</v>
      </c>
      <c r="CP15" s="434">
        <v>85</v>
      </c>
      <c r="CQ15" s="434">
        <v>584</v>
      </c>
      <c r="CR15" s="434">
        <v>745</v>
      </c>
      <c r="CS15" s="434">
        <v>28</v>
      </c>
      <c r="CT15" s="434">
        <v>171</v>
      </c>
      <c r="CU15" s="434">
        <v>0</v>
      </c>
      <c r="CV15" s="434">
        <v>0</v>
      </c>
      <c r="CW15" s="431">
        <v>1942493.8749869075</v>
      </c>
      <c r="CX15" s="436">
        <v>1.0380936174011444</v>
      </c>
      <c r="CY15" s="436">
        <v>1.0633333333333335</v>
      </c>
      <c r="CZ15" s="431">
        <v>2016490.493464725</v>
      </c>
      <c r="DA15" s="438">
        <v>758.0791328814756</v>
      </c>
      <c r="DB15" s="433">
        <v>2660</v>
      </c>
      <c r="DC15" s="436">
        <v>0.9934586466165415</v>
      </c>
      <c r="DD15" s="438">
        <v>332.5</v>
      </c>
      <c r="DE15" s="431">
        <v>52551</v>
      </c>
      <c r="DF15" s="438">
        <v>57.22526336091964</v>
      </c>
      <c r="DG15" s="438">
        <v>59.685949685439184</v>
      </c>
      <c r="DH15" s="438">
        <v>60.99904057851883</v>
      </c>
      <c r="DI15" s="438">
        <v>62.341019471246234</v>
      </c>
      <c r="DJ15" s="438">
        <v>64.39827311379736</v>
      </c>
      <c r="DK15" s="438">
        <v>66.71661094589405</v>
      </c>
      <c r="DL15" s="438">
        <v>68.85154249616264</v>
      </c>
      <c r="DM15" s="438">
        <v>71.6744557385053</v>
      </c>
      <c r="DN15" s="438">
        <v>74.82813179099952</v>
      </c>
      <c r="DO15" s="438">
        <v>78.94367903950449</v>
      </c>
      <c r="DP15" s="438">
        <v>78.23318592814894</v>
      </c>
      <c r="DQ15" s="438">
        <v>82.22307841048453</v>
      </c>
      <c r="DR15" s="438">
        <v>45.42</v>
      </c>
      <c r="DS15" s="438">
        <v>47.87722005785188</v>
      </c>
      <c r="DT15" s="438">
        <v>50.42057451824924</v>
      </c>
      <c r="DU15" s="438">
        <v>53.623680931907195</v>
      </c>
      <c r="DV15" s="438">
        <v>57.14877308837559</v>
      </c>
      <c r="DW15" s="438">
        <v>60.62320193869677</v>
      </c>
      <c r="DX15" s="438">
        <v>64.82189372224774</v>
      </c>
      <c r="DY15" s="438">
        <v>68.46895423991249</v>
      </c>
      <c r="DZ15" s="438">
        <v>70.55947129609685</v>
      </c>
      <c r="EA15" s="438">
        <v>72.63086923805314</v>
      </c>
      <c r="EB15" s="438">
        <v>77.51265053745198</v>
      </c>
      <c r="EC15" s="438">
        <v>0</v>
      </c>
      <c r="ED15" s="438">
        <v>77.51265053745198</v>
      </c>
      <c r="EE15" s="438">
        <v>4030.6578279475025</v>
      </c>
      <c r="EF15" s="431">
        <v>10507118.82589355</v>
      </c>
      <c r="EG15" s="438">
        <v>49.51</v>
      </c>
      <c r="EH15" s="438">
        <v>51.639202057851875</v>
      </c>
      <c r="EI15" s="438">
        <v>53.83812616624923</v>
      </c>
      <c r="EJ15" s="438">
        <v>56.712720427743186</v>
      </c>
      <c r="EK15" s="438">
        <v>59.89184016067795</v>
      </c>
      <c r="EL15" s="438">
        <v>62.982239620876804</v>
      </c>
      <c r="EM15" s="438">
        <v>66.78650030396726</v>
      </c>
      <c r="EN15" s="438">
        <v>70.29210914774822</v>
      </c>
      <c r="EO15" s="438">
        <v>72.29815335986952</v>
      </c>
      <c r="EP15" s="438">
        <v>73.79265432768223</v>
      </c>
      <c r="EQ15" s="438">
        <v>78.48947944081212</v>
      </c>
      <c r="ER15" s="431">
        <v>12769156</v>
      </c>
      <c r="ES15" s="431">
        <v>236000</v>
      </c>
      <c r="ET15" s="431">
        <v>0</v>
      </c>
      <c r="EU15" s="431">
        <v>0</v>
      </c>
      <c r="EV15" s="431">
        <v>0</v>
      </c>
      <c r="EW15" s="431">
        <v>0</v>
      </c>
      <c r="EX15" s="431">
        <v>0</v>
      </c>
      <c r="EY15" s="431">
        <v>0</v>
      </c>
      <c r="EZ15" s="431">
        <v>0</v>
      </c>
      <c r="FA15" s="431">
        <v>12887156</v>
      </c>
      <c r="FB15" s="431">
        <v>45324.311296814405</v>
      </c>
      <c r="FC15" s="431">
        <v>0</v>
      </c>
      <c r="FD15" s="431">
        <v>0</v>
      </c>
      <c r="FE15" s="431">
        <v>9000</v>
      </c>
      <c r="FF15" s="440">
        <v>0.0583</v>
      </c>
      <c r="FG15" s="431">
        <v>524.7</v>
      </c>
      <c r="FH15" s="441">
        <v>524.7</v>
      </c>
    </row>
    <row r="16" spans="2:164" ht="12.75">
      <c r="B16" s="356" t="s">
        <v>705</v>
      </c>
      <c r="C16" s="442">
        <v>3454</v>
      </c>
      <c r="D16" s="443">
        <v>835582</v>
      </c>
      <c r="E16" s="443">
        <v>716929.356</v>
      </c>
      <c r="F16" s="443">
        <v>125149.40493019468</v>
      </c>
      <c r="G16" s="443">
        <v>118652.64400000001</v>
      </c>
      <c r="H16" s="444">
        <v>0.517481181239143</v>
      </c>
      <c r="I16" s="445">
        <v>1567.29</v>
      </c>
      <c r="J16" s="445">
        <v>220.09</v>
      </c>
      <c r="K16" s="443">
        <v>842078.7609301948</v>
      </c>
      <c r="L16" s="443">
        <v>673663.0087441559</v>
      </c>
      <c r="M16" s="443">
        <v>208096.33676305064</v>
      </c>
      <c r="N16" s="443">
        <v>168415.7521860389</v>
      </c>
      <c r="O16" s="446">
        <v>1.2356108859293573</v>
      </c>
      <c r="P16" s="447">
        <v>0.8187608569774175</v>
      </c>
      <c r="Q16" s="448">
        <v>0.1812391430225825</v>
      </c>
      <c r="R16" s="443">
        <v>881759.3455072065</v>
      </c>
      <c r="S16" s="443">
        <v>596069.3175628716</v>
      </c>
      <c r="T16" s="443">
        <v>91857.87575558119</v>
      </c>
      <c r="U16" s="443">
        <v>147290.30427439098</v>
      </c>
      <c r="V16" s="443">
        <v>201041.1307756431</v>
      </c>
      <c r="W16" s="446">
        <v>0.732637663278781</v>
      </c>
      <c r="X16" s="448">
        <v>13.679426180339638</v>
      </c>
      <c r="Y16" s="443">
        <v>91857.87575558119</v>
      </c>
      <c r="Z16" s="443">
        <v>84648.89716869182</v>
      </c>
      <c r="AA16" s="444">
        <v>1.0851632901078796</v>
      </c>
      <c r="AB16" s="444">
        <v>0.08902721482339317</v>
      </c>
      <c r="AC16" s="445">
        <v>314</v>
      </c>
      <c r="AD16" s="445">
        <v>301</v>
      </c>
      <c r="AE16" s="443">
        <v>835217.4975928437</v>
      </c>
      <c r="AF16" s="443">
        <v>0</v>
      </c>
      <c r="AG16" s="447">
        <v>0</v>
      </c>
      <c r="AH16" s="446">
        <v>0.07978501952823631</v>
      </c>
      <c r="AI16" s="448">
        <v>0.06718775629997253</v>
      </c>
      <c r="AJ16" s="443">
        <v>835217.4975928437</v>
      </c>
      <c r="AK16" s="449">
        <v>1</v>
      </c>
      <c r="AL16" s="443">
        <v>835217.4975928437</v>
      </c>
      <c r="AM16" s="443">
        <v>1861503.990442661</v>
      </c>
      <c r="AN16" s="443">
        <v>1838770.661037019</v>
      </c>
      <c r="AO16" s="443">
        <v>1807805.5300553646</v>
      </c>
      <c r="AP16" s="443">
        <v>1838770.661037019</v>
      </c>
      <c r="AQ16" s="443">
        <v>13816</v>
      </c>
      <c r="AR16" s="443">
        <v>1852586.661037019</v>
      </c>
      <c r="AS16" s="450">
        <v>536.3597744751069</v>
      </c>
      <c r="AT16" s="446">
        <v>3413</v>
      </c>
      <c r="AU16" s="446">
        <v>17</v>
      </c>
      <c r="AV16" s="446">
        <v>148</v>
      </c>
      <c r="AW16" s="446">
        <v>324</v>
      </c>
      <c r="AX16" s="446">
        <v>21</v>
      </c>
      <c r="AY16" s="446">
        <v>421</v>
      </c>
      <c r="AZ16" s="446">
        <v>167</v>
      </c>
      <c r="BA16" s="446">
        <v>198</v>
      </c>
      <c r="BB16" s="446">
        <v>0</v>
      </c>
      <c r="BC16" s="446">
        <v>16</v>
      </c>
      <c r="BD16" s="446">
        <v>1118</v>
      </c>
      <c r="BE16" s="446">
        <v>614</v>
      </c>
      <c r="BF16" s="446">
        <v>0</v>
      </c>
      <c r="BG16" s="446">
        <v>363</v>
      </c>
      <c r="BH16" s="446">
        <v>6</v>
      </c>
      <c r="BI16" s="446">
        <v>0</v>
      </c>
      <c r="BJ16" s="448">
        <v>1.3427147747306587</v>
      </c>
      <c r="BK16" s="448">
        <v>10.035791610299682</v>
      </c>
      <c r="BL16" s="448">
        <v>7.187859314432248</v>
      </c>
      <c r="BM16" s="448">
        <v>5.69586459173487</v>
      </c>
      <c r="BN16" s="445">
        <v>2799</v>
      </c>
      <c r="BO16" s="445">
        <v>614</v>
      </c>
      <c r="BP16" s="443">
        <v>884843.6656884052</v>
      </c>
      <c r="BQ16" s="443">
        <v>3676805</v>
      </c>
      <c r="BR16" s="443">
        <v>4513417</v>
      </c>
      <c r="BS16" s="444">
        <v>0.09009668912979783</v>
      </c>
      <c r="BT16" s="445">
        <v>314</v>
      </c>
      <c r="BU16" s="445">
        <v>301</v>
      </c>
      <c r="BV16" s="443">
        <v>406643.92836214474</v>
      </c>
      <c r="BW16" s="444">
        <v>0.00821423176792997</v>
      </c>
      <c r="BX16" s="443">
        <v>3625.518513150694</v>
      </c>
      <c r="BY16" s="443">
        <v>4971918.1125637</v>
      </c>
      <c r="BZ16" s="451">
        <v>1.0633333333333335</v>
      </c>
      <c r="CA16" s="443">
        <v>5286806.259692735</v>
      </c>
      <c r="CB16" s="443">
        <v>3868555.978117973</v>
      </c>
      <c r="CC16" s="443">
        <v>3868555.978117973</v>
      </c>
      <c r="CD16" s="443">
        <v>3788148.6725263693</v>
      </c>
      <c r="CE16" s="443">
        <v>3841062.742259258</v>
      </c>
      <c r="CF16" s="450">
        <v>1125.4212546906704</v>
      </c>
      <c r="CG16" s="446">
        <v>3413</v>
      </c>
      <c r="CH16" s="446">
        <v>17</v>
      </c>
      <c r="CI16" s="446">
        <v>148</v>
      </c>
      <c r="CJ16" s="446">
        <v>324</v>
      </c>
      <c r="CK16" s="446">
        <v>21</v>
      </c>
      <c r="CL16" s="446">
        <v>421</v>
      </c>
      <c r="CM16" s="446">
        <v>167</v>
      </c>
      <c r="CN16" s="446">
        <v>198</v>
      </c>
      <c r="CO16" s="446">
        <v>0</v>
      </c>
      <c r="CP16" s="446">
        <v>16</v>
      </c>
      <c r="CQ16" s="446">
        <v>1118</v>
      </c>
      <c r="CR16" s="446">
        <v>614</v>
      </c>
      <c r="CS16" s="446">
        <v>0</v>
      </c>
      <c r="CT16" s="446">
        <v>363</v>
      </c>
      <c r="CU16" s="446">
        <v>6</v>
      </c>
      <c r="CV16" s="446">
        <v>0</v>
      </c>
      <c r="CW16" s="443">
        <v>2478116.642338195</v>
      </c>
      <c r="CX16" s="448">
        <v>1.0380936174011444</v>
      </c>
      <c r="CY16" s="448">
        <v>1.0633333333333335</v>
      </c>
      <c r="CZ16" s="443">
        <v>2572517.0695868344</v>
      </c>
      <c r="DA16" s="450">
        <v>753.7407177224829</v>
      </c>
      <c r="DB16" s="445">
        <v>3454</v>
      </c>
      <c r="DC16" s="448">
        <v>0.987463810075275</v>
      </c>
      <c r="DD16" s="450">
        <v>332.5</v>
      </c>
      <c r="DE16" s="443">
        <v>49990</v>
      </c>
      <c r="DF16" s="450">
        <v>56.14088515159166</v>
      </c>
      <c r="DG16" s="450">
        <v>58.5549432131101</v>
      </c>
      <c r="DH16" s="450">
        <v>59.84315196379851</v>
      </c>
      <c r="DI16" s="450">
        <v>61.15970130700207</v>
      </c>
      <c r="DJ16" s="450">
        <v>63.17797145013313</v>
      </c>
      <c r="DK16" s="450">
        <v>65.45237842233792</v>
      </c>
      <c r="DL16" s="450">
        <v>67.54685453185272</v>
      </c>
      <c r="DM16" s="450">
        <v>70.31627556765868</v>
      </c>
      <c r="DN16" s="450">
        <v>73.41019169263565</v>
      </c>
      <c r="DO16" s="450">
        <v>77.4477522357306</v>
      </c>
      <c r="DP16" s="450">
        <v>76.75072246560903</v>
      </c>
      <c r="DQ16" s="450">
        <v>80.66500931135509</v>
      </c>
      <c r="DR16" s="450">
        <v>44.63</v>
      </c>
      <c r="DS16" s="450">
        <v>47.03498919637985</v>
      </c>
      <c r="DT16" s="450">
        <v>49.5241969974004</v>
      </c>
      <c r="DU16" s="450">
        <v>52.660929992291926</v>
      </c>
      <c r="DV16" s="450">
        <v>56.11324560777492</v>
      </c>
      <c r="DW16" s="450">
        <v>59.51520031132854</v>
      </c>
      <c r="DX16" s="450">
        <v>63.627513932806146</v>
      </c>
      <c r="DY16" s="450">
        <v>67.2030208954925</v>
      </c>
      <c r="DZ16" s="450">
        <v>69.25246440971672</v>
      </c>
      <c r="EA16" s="450">
        <v>71.274641818166</v>
      </c>
      <c r="EB16" s="450">
        <v>76.060720702985</v>
      </c>
      <c r="EC16" s="450">
        <v>-0.37</v>
      </c>
      <c r="ED16" s="450">
        <v>75.69072070298499</v>
      </c>
      <c r="EE16" s="450">
        <v>3935.9174765552193</v>
      </c>
      <c r="EF16" s="443">
        <v>13322765.784741292</v>
      </c>
      <c r="EG16" s="450">
        <v>59.51</v>
      </c>
      <c r="EH16" s="450">
        <v>60.72161319637984</v>
      </c>
      <c r="EI16" s="450">
        <v>61.9577345334004</v>
      </c>
      <c r="EJ16" s="450">
        <v>63.89929373264392</v>
      </c>
      <c r="EK16" s="450">
        <v>66.09291260920749</v>
      </c>
      <c r="EL16" s="450">
        <v>68.09771393256055</v>
      </c>
      <c r="EM16" s="450">
        <v>70.77503127656816</v>
      </c>
      <c r="EN16" s="450">
        <v>73.83591699050365</v>
      </c>
      <c r="EO16" s="450">
        <v>75.57803631899236</v>
      </c>
      <c r="EP16" s="450">
        <v>75.50138072615648</v>
      </c>
      <c r="EQ16" s="450">
        <v>79.61456277682339</v>
      </c>
      <c r="ER16" s="443">
        <v>10881682</v>
      </c>
      <c r="ES16" s="443">
        <v>29000</v>
      </c>
      <c r="ET16" s="443">
        <v>0</v>
      </c>
      <c r="EU16" s="443">
        <v>0</v>
      </c>
      <c r="EV16" s="443">
        <v>0</v>
      </c>
      <c r="EW16" s="443">
        <v>0</v>
      </c>
      <c r="EX16" s="443">
        <v>93886</v>
      </c>
      <c r="EY16" s="443">
        <v>0</v>
      </c>
      <c r="EZ16" s="443">
        <v>0</v>
      </c>
      <c r="FA16" s="443">
        <v>10802296</v>
      </c>
      <c r="FB16" s="443">
        <v>44337.76266719132</v>
      </c>
      <c r="FC16" s="443">
        <v>0</v>
      </c>
      <c r="FD16" s="443">
        <v>0</v>
      </c>
      <c r="FE16" s="443">
        <v>2992</v>
      </c>
      <c r="FF16" s="452">
        <v>0.0313</v>
      </c>
      <c r="FG16" s="443">
        <v>93.6496</v>
      </c>
      <c r="FH16" s="453">
        <v>93.6496</v>
      </c>
    </row>
    <row r="17" spans="2:164" ht="12.75">
      <c r="B17" s="356" t="s">
        <v>706</v>
      </c>
      <c r="C17" s="442">
        <v>6973</v>
      </c>
      <c r="D17" s="443">
        <v>1655509</v>
      </c>
      <c r="E17" s="443">
        <v>1420426.722</v>
      </c>
      <c r="F17" s="443">
        <v>177809.8656974817</v>
      </c>
      <c r="G17" s="443">
        <v>235082.27800000002</v>
      </c>
      <c r="H17" s="444">
        <v>0.3710899182561308</v>
      </c>
      <c r="I17" s="445">
        <v>1968.68</v>
      </c>
      <c r="J17" s="445">
        <v>618.93</v>
      </c>
      <c r="K17" s="443">
        <v>1598236.5876974817</v>
      </c>
      <c r="L17" s="443">
        <v>1278589.2701579854</v>
      </c>
      <c r="M17" s="443">
        <v>348073.14596431225</v>
      </c>
      <c r="N17" s="443">
        <v>319647.3175394963</v>
      </c>
      <c r="O17" s="446">
        <v>1.0889287250824609</v>
      </c>
      <c r="P17" s="447">
        <v>0.931593288398107</v>
      </c>
      <c r="Q17" s="448">
        <v>0.06840671160189302</v>
      </c>
      <c r="R17" s="443">
        <v>1626662.4161222978</v>
      </c>
      <c r="S17" s="443">
        <v>1099623.7932986734</v>
      </c>
      <c r="T17" s="443">
        <v>205139.97202683432</v>
      </c>
      <c r="U17" s="443">
        <v>327200.9769360463</v>
      </c>
      <c r="V17" s="443">
        <v>370879.0308758839</v>
      </c>
      <c r="W17" s="446">
        <v>0.8822309963529468</v>
      </c>
      <c r="X17" s="448">
        <v>16.47255443380801</v>
      </c>
      <c r="Y17" s="443">
        <v>205139.97202683432</v>
      </c>
      <c r="Z17" s="443">
        <v>156159.59194774058</v>
      </c>
      <c r="AA17" s="444">
        <v>1.3136559174378812</v>
      </c>
      <c r="AB17" s="444">
        <v>0.10777283808977485</v>
      </c>
      <c r="AC17" s="445">
        <v>742</v>
      </c>
      <c r="AD17" s="445">
        <v>761</v>
      </c>
      <c r="AE17" s="443">
        <v>1631964.7422615539</v>
      </c>
      <c r="AF17" s="443">
        <v>98343.36406964657</v>
      </c>
      <c r="AG17" s="447">
        <v>0.5</v>
      </c>
      <c r="AH17" s="446">
        <v>0.2576065630162525</v>
      </c>
      <c r="AI17" s="448">
        <v>0.21693304181098938</v>
      </c>
      <c r="AJ17" s="443">
        <v>1730308.1063312003</v>
      </c>
      <c r="AK17" s="449">
        <v>1</v>
      </c>
      <c r="AL17" s="443">
        <v>1730308.1063312003</v>
      </c>
      <c r="AM17" s="443">
        <v>3856451.108739813</v>
      </c>
      <c r="AN17" s="443">
        <v>3809354.7963806395</v>
      </c>
      <c r="AO17" s="443">
        <v>3776190.5670921793</v>
      </c>
      <c r="AP17" s="443">
        <v>3809354.7963806395</v>
      </c>
      <c r="AQ17" s="443">
        <v>27892</v>
      </c>
      <c r="AR17" s="443">
        <v>3837246.7963806395</v>
      </c>
      <c r="AS17" s="450">
        <v>550.300702191401</v>
      </c>
      <c r="AT17" s="446">
        <v>6973</v>
      </c>
      <c r="AU17" s="446">
        <v>94</v>
      </c>
      <c r="AV17" s="446">
        <v>1041</v>
      </c>
      <c r="AW17" s="446">
        <v>73</v>
      </c>
      <c r="AX17" s="446">
        <v>0</v>
      </c>
      <c r="AY17" s="446">
        <v>1242</v>
      </c>
      <c r="AZ17" s="446">
        <v>224</v>
      </c>
      <c r="BA17" s="446">
        <v>215</v>
      </c>
      <c r="BB17" s="446">
        <v>531</v>
      </c>
      <c r="BC17" s="446">
        <v>18</v>
      </c>
      <c r="BD17" s="446">
        <v>1717</v>
      </c>
      <c r="BE17" s="446">
        <v>477</v>
      </c>
      <c r="BF17" s="446">
        <v>0</v>
      </c>
      <c r="BG17" s="446">
        <v>1327</v>
      </c>
      <c r="BH17" s="446">
        <v>0</v>
      </c>
      <c r="BI17" s="446">
        <v>14</v>
      </c>
      <c r="BJ17" s="448">
        <v>1.8158022077715654</v>
      </c>
      <c r="BK17" s="448">
        <v>29.39628625197185</v>
      </c>
      <c r="BL17" s="448">
        <v>19.71683000662242</v>
      </c>
      <c r="BM17" s="448">
        <v>19.35891249069886</v>
      </c>
      <c r="BN17" s="445">
        <v>6496</v>
      </c>
      <c r="BO17" s="445">
        <v>477</v>
      </c>
      <c r="BP17" s="443">
        <v>2706151.7675170284</v>
      </c>
      <c r="BQ17" s="443">
        <v>7138726</v>
      </c>
      <c r="BR17" s="443">
        <v>9493129</v>
      </c>
      <c r="BS17" s="444">
        <v>0.10777283808977485</v>
      </c>
      <c r="BT17" s="445">
        <v>742</v>
      </c>
      <c r="BU17" s="445">
        <v>761</v>
      </c>
      <c r="BV17" s="443">
        <v>1023101.4546823462</v>
      </c>
      <c r="BW17" s="444">
        <v>0.017342838507815313</v>
      </c>
      <c r="BX17" s="443">
        <v>45808.65754191477</v>
      </c>
      <c r="BY17" s="443">
        <v>10913787.879741289</v>
      </c>
      <c r="BZ17" s="451">
        <v>0.9066666666666667</v>
      </c>
      <c r="CA17" s="443">
        <v>9895167.677632103</v>
      </c>
      <c r="CB17" s="443">
        <v>7240668.220743201</v>
      </c>
      <c r="CC17" s="443">
        <v>7240668.220743201</v>
      </c>
      <c r="CD17" s="443">
        <v>7017983.420751775</v>
      </c>
      <c r="CE17" s="443">
        <v>7189209.898750806</v>
      </c>
      <c r="CF17" s="450">
        <v>1031.0067257637754</v>
      </c>
      <c r="CG17" s="446">
        <v>6973</v>
      </c>
      <c r="CH17" s="446">
        <v>94</v>
      </c>
      <c r="CI17" s="446">
        <v>1041</v>
      </c>
      <c r="CJ17" s="446">
        <v>73</v>
      </c>
      <c r="CK17" s="446">
        <v>0</v>
      </c>
      <c r="CL17" s="446">
        <v>1242</v>
      </c>
      <c r="CM17" s="446">
        <v>224</v>
      </c>
      <c r="CN17" s="446">
        <v>215</v>
      </c>
      <c r="CO17" s="446">
        <v>531</v>
      </c>
      <c r="CP17" s="446">
        <v>18</v>
      </c>
      <c r="CQ17" s="446">
        <v>1717</v>
      </c>
      <c r="CR17" s="446">
        <v>477</v>
      </c>
      <c r="CS17" s="446">
        <v>0</v>
      </c>
      <c r="CT17" s="446">
        <v>1327</v>
      </c>
      <c r="CU17" s="446">
        <v>0</v>
      </c>
      <c r="CV17" s="446">
        <v>14</v>
      </c>
      <c r="CW17" s="443">
        <v>4814909.857638017</v>
      </c>
      <c r="CX17" s="448">
        <v>0.8851456549627312</v>
      </c>
      <c r="CY17" s="448">
        <v>0.9066666666666667</v>
      </c>
      <c r="CZ17" s="443">
        <v>4261896.539525514</v>
      </c>
      <c r="DA17" s="450">
        <v>611.199847917039</v>
      </c>
      <c r="DB17" s="445">
        <v>6973</v>
      </c>
      <c r="DC17" s="448">
        <v>1.0105406568191597</v>
      </c>
      <c r="DD17" s="450">
        <v>298</v>
      </c>
      <c r="DE17" s="443">
        <v>17758</v>
      </c>
      <c r="DF17" s="450">
        <v>42.23900186352422</v>
      </c>
      <c r="DG17" s="450">
        <v>44.055278943655765</v>
      </c>
      <c r="DH17" s="450">
        <v>45.02449508041618</v>
      </c>
      <c r="DI17" s="450">
        <v>46.01503397218533</v>
      </c>
      <c r="DJ17" s="450">
        <v>47.53353009326744</v>
      </c>
      <c r="DK17" s="450">
        <v>49.24473717662506</v>
      </c>
      <c r="DL17" s="450">
        <v>50.82056876627705</v>
      </c>
      <c r="DM17" s="450">
        <v>52.904212085694404</v>
      </c>
      <c r="DN17" s="450">
        <v>55.231997417464946</v>
      </c>
      <c r="DO17" s="450">
        <v>58.26975727542551</v>
      </c>
      <c r="DP17" s="450">
        <v>57.74532945994668</v>
      </c>
      <c r="DQ17" s="450">
        <v>60.69034126240396</v>
      </c>
      <c r="DR17" s="450">
        <v>34.4</v>
      </c>
      <c r="DS17" s="450">
        <v>36.14356950804161</v>
      </c>
      <c r="DT17" s="450">
        <v>37.94720647443705</v>
      </c>
      <c r="DU17" s="450">
        <v>40.24122251374022</v>
      </c>
      <c r="DV17" s="450">
        <v>42.769168046004886</v>
      </c>
      <c r="DW17" s="450">
        <v>45.25157931394371</v>
      </c>
      <c r="DX17" s="450">
        <v>48.2663576697912</v>
      </c>
      <c r="DY17" s="450">
        <v>50.92806851950677</v>
      </c>
      <c r="DZ17" s="450">
        <v>52.45305182979799</v>
      </c>
      <c r="EA17" s="450">
        <v>53.85861445994768</v>
      </c>
      <c r="EB17" s="450">
        <v>57.4223912904048</v>
      </c>
      <c r="EC17" s="450">
        <v>0</v>
      </c>
      <c r="ED17" s="450">
        <v>57.4223912904048</v>
      </c>
      <c r="EE17" s="450">
        <v>2985.96434710105</v>
      </c>
      <c r="EF17" s="443">
        <v>20404706.80448891</v>
      </c>
      <c r="EG17" s="450">
        <v>35.59</v>
      </c>
      <c r="EH17" s="450">
        <v>37.23813150804162</v>
      </c>
      <c r="EI17" s="450">
        <v>38.94155524243706</v>
      </c>
      <c r="EJ17" s="450">
        <v>41.13998950641623</v>
      </c>
      <c r="EK17" s="450">
        <v>43.56727313550118</v>
      </c>
      <c r="EL17" s="450">
        <v>45.93794969091052</v>
      </c>
      <c r="EM17" s="450">
        <v>48.83796691972916</v>
      </c>
      <c r="EN17" s="450">
        <v>51.4585219034492</v>
      </c>
      <c r="EO17" s="450">
        <v>52.95892754028443</v>
      </c>
      <c r="EP17" s="450">
        <v>54.19663995057327</v>
      </c>
      <c r="EQ17" s="450">
        <v>57.7066031229228</v>
      </c>
      <c r="ER17" s="443">
        <v>34113939</v>
      </c>
      <c r="ES17" s="443">
        <v>0</v>
      </c>
      <c r="ET17" s="443">
        <v>0</v>
      </c>
      <c r="EU17" s="443">
        <v>0</v>
      </c>
      <c r="EV17" s="443">
        <v>0</v>
      </c>
      <c r="EW17" s="443">
        <v>0</v>
      </c>
      <c r="EX17" s="443">
        <v>0</v>
      </c>
      <c r="EY17" s="443">
        <v>0</v>
      </c>
      <c r="EZ17" s="443">
        <v>55320000</v>
      </c>
      <c r="FA17" s="443">
        <v>89433939</v>
      </c>
      <c r="FB17" s="443">
        <v>81545.98751042382</v>
      </c>
      <c r="FC17" s="443">
        <v>0</v>
      </c>
      <c r="FD17" s="443">
        <v>0</v>
      </c>
      <c r="FE17" s="443">
        <v>4541</v>
      </c>
      <c r="FF17" s="452">
        <v>0.0507</v>
      </c>
      <c r="FG17" s="443">
        <v>230.2287</v>
      </c>
      <c r="FH17" s="453">
        <v>230.2287</v>
      </c>
    </row>
    <row r="18" spans="2:164" ht="12.75">
      <c r="B18" s="356" t="s">
        <v>707</v>
      </c>
      <c r="C18" s="442">
        <v>5013</v>
      </c>
      <c r="D18" s="443">
        <v>1198829</v>
      </c>
      <c r="E18" s="443">
        <v>1028595.282</v>
      </c>
      <c r="F18" s="443">
        <v>122592.79177490412</v>
      </c>
      <c r="G18" s="443">
        <v>170233.71800000002</v>
      </c>
      <c r="H18" s="444">
        <v>0.3533153800119689</v>
      </c>
      <c r="I18" s="445">
        <v>1310.97</v>
      </c>
      <c r="J18" s="445">
        <v>460.2</v>
      </c>
      <c r="K18" s="443">
        <v>1151188.073774904</v>
      </c>
      <c r="L18" s="443">
        <v>920950.4590199232</v>
      </c>
      <c r="M18" s="443">
        <v>257045.85248338338</v>
      </c>
      <c r="N18" s="443">
        <v>230237.61475498075</v>
      </c>
      <c r="O18" s="446">
        <v>1.1164372631158987</v>
      </c>
      <c r="P18" s="447">
        <v>0.9104328745262318</v>
      </c>
      <c r="Q18" s="448">
        <v>0.0895671254737682</v>
      </c>
      <c r="R18" s="443">
        <v>1177996.3115033065</v>
      </c>
      <c r="S18" s="443">
        <v>796325.5065762353</v>
      </c>
      <c r="T18" s="443">
        <v>78779.71259637333</v>
      </c>
      <c r="U18" s="443">
        <v>168719.59392684902</v>
      </c>
      <c r="V18" s="443">
        <v>268583.1590227539</v>
      </c>
      <c r="W18" s="446">
        <v>0.6281838166649734</v>
      </c>
      <c r="X18" s="448">
        <v>11.729118742401669</v>
      </c>
      <c r="Y18" s="443">
        <v>78779.71259637333</v>
      </c>
      <c r="Z18" s="443">
        <v>113087.64590431743</v>
      </c>
      <c r="AA18" s="444">
        <v>0.6966252764959687</v>
      </c>
      <c r="AB18" s="444">
        <v>0.057151406343506884</v>
      </c>
      <c r="AC18" s="445">
        <v>299</v>
      </c>
      <c r="AD18" s="445">
        <v>274</v>
      </c>
      <c r="AE18" s="443">
        <v>1043824.8130994575</v>
      </c>
      <c r="AF18" s="443">
        <v>0</v>
      </c>
      <c r="AG18" s="447">
        <v>0</v>
      </c>
      <c r="AH18" s="446">
        <v>0.05919336050582308</v>
      </c>
      <c r="AI18" s="448">
        <v>0.0498473159968853</v>
      </c>
      <c r="AJ18" s="443">
        <v>1043824.8130994575</v>
      </c>
      <c r="AK18" s="449">
        <v>1.0108730912711368</v>
      </c>
      <c r="AL18" s="443">
        <v>1055174.4155633652</v>
      </c>
      <c r="AM18" s="443">
        <v>2351736.393029605</v>
      </c>
      <c r="AN18" s="443">
        <v>2323016.1762734405</v>
      </c>
      <c r="AO18" s="443">
        <v>2295232.624053012</v>
      </c>
      <c r="AP18" s="443">
        <v>2323016.1762734405</v>
      </c>
      <c r="AQ18" s="443">
        <v>20052</v>
      </c>
      <c r="AR18" s="443">
        <v>2343068.1762734405</v>
      </c>
      <c r="AS18" s="450">
        <v>467.39839941620596</v>
      </c>
      <c r="AT18" s="446">
        <v>5013</v>
      </c>
      <c r="AU18" s="446">
        <v>67</v>
      </c>
      <c r="AV18" s="446">
        <v>255</v>
      </c>
      <c r="AW18" s="446">
        <v>152</v>
      </c>
      <c r="AX18" s="446">
        <v>12</v>
      </c>
      <c r="AY18" s="446">
        <v>694</v>
      </c>
      <c r="AZ18" s="446">
        <v>245</v>
      </c>
      <c r="BA18" s="446">
        <v>379</v>
      </c>
      <c r="BB18" s="446">
        <v>651</v>
      </c>
      <c r="BC18" s="446">
        <v>40</v>
      </c>
      <c r="BD18" s="446">
        <v>984</v>
      </c>
      <c r="BE18" s="446">
        <v>354</v>
      </c>
      <c r="BF18" s="446">
        <v>95</v>
      </c>
      <c r="BG18" s="446">
        <v>1085</v>
      </c>
      <c r="BH18" s="446">
        <v>0</v>
      </c>
      <c r="BI18" s="446">
        <v>0</v>
      </c>
      <c r="BJ18" s="448">
        <v>1.319060403275548</v>
      </c>
      <c r="BK18" s="448">
        <v>11.014982206965133</v>
      </c>
      <c r="BL18" s="448">
        <v>7.795335498641353</v>
      </c>
      <c r="BM18" s="448">
        <v>6.439293416647561</v>
      </c>
      <c r="BN18" s="445">
        <v>4564</v>
      </c>
      <c r="BO18" s="445">
        <v>449</v>
      </c>
      <c r="BP18" s="443">
        <v>1378106.8231677746</v>
      </c>
      <c r="BQ18" s="443">
        <v>5199289</v>
      </c>
      <c r="BR18" s="443">
        <v>6848647</v>
      </c>
      <c r="BS18" s="444">
        <v>0.057151406343506884</v>
      </c>
      <c r="BT18" s="445">
        <v>299</v>
      </c>
      <c r="BU18" s="445">
        <v>274</v>
      </c>
      <c r="BV18" s="443">
        <v>391409.8076002394</v>
      </c>
      <c r="BW18" s="444">
        <v>0.006751966699329406</v>
      </c>
      <c r="BX18" s="443">
        <v>4804.2660294939</v>
      </c>
      <c r="BY18" s="443">
        <v>6973609.896797508</v>
      </c>
      <c r="BZ18" s="451">
        <v>1.0633333333333335</v>
      </c>
      <c r="CA18" s="443">
        <v>7415271.856928018</v>
      </c>
      <c r="CB18" s="443">
        <v>5426034.710255503</v>
      </c>
      <c r="CC18" s="443">
        <v>5426034.710255503</v>
      </c>
      <c r="CD18" s="443">
        <v>5388585.789942269</v>
      </c>
      <c r="CE18" s="443">
        <v>5388585.789942269</v>
      </c>
      <c r="CF18" s="450">
        <v>1074.9223598528365</v>
      </c>
      <c r="CG18" s="446">
        <v>4676</v>
      </c>
      <c r="CH18" s="446">
        <v>67</v>
      </c>
      <c r="CI18" s="446">
        <v>255</v>
      </c>
      <c r="CJ18" s="446">
        <v>152</v>
      </c>
      <c r="CK18" s="446">
        <v>12</v>
      </c>
      <c r="CL18" s="446">
        <v>694</v>
      </c>
      <c r="CM18" s="446">
        <v>245</v>
      </c>
      <c r="CN18" s="446">
        <v>379</v>
      </c>
      <c r="CO18" s="446">
        <v>330</v>
      </c>
      <c r="CP18" s="446">
        <v>40</v>
      </c>
      <c r="CQ18" s="446">
        <v>984</v>
      </c>
      <c r="CR18" s="446">
        <v>341</v>
      </c>
      <c r="CS18" s="446">
        <v>95</v>
      </c>
      <c r="CT18" s="446">
        <v>1082</v>
      </c>
      <c r="CU18" s="446">
        <v>0</v>
      </c>
      <c r="CV18" s="446">
        <v>0</v>
      </c>
      <c r="CW18" s="443">
        <v>3262788.812093636</v>
      </c>
      <c r="CX18" s="448">
        <v>1.0380936174011444</v>
      </c>
      <c r="CY18" s="448">
        <v>1.0633333333333335</v>
      </c>
      <c r="CZ18" s="443">
        <v>3387080.2407622654</v>
      </c>
      <c r="DA18" s="450">
        <v>724.354200334103</v>
      </c>
      <c r="DB18" s="445">
        <v>5013</v>
      </c>
      <c r="DC18" s="448">
        <v>1.0133652503490924</v>
      </c>
      <c r="DD18" s="450">
        <v>316.4</v>
      </c>
      <c r="DE18" s="443">
        <v>49112</v>
      </c>
      <c r="DF18" s="450">
        <v>54.920870941646186</v>
      </c>
      <c r="DG18" s="450">
        <v>57.28246839213697</v>
      </c>
      <c r="DH18" s="450">
        <v>58.54268269676397</v>
      </c>
      <c r="DI18" s="450">
        <v>59.830621716092764</v>
      </c>
      <c r="DJ18" s="450">
        <v>61.80503223272382</v>
      </c>
      <c r="DK18" s="450">
        <v>64.03001339310187</v>
      </c>
      <c r="DL18" s="450">
        <v>66.07897382168112</v>
      </c>
      <c r="DM18" s="450">
        <v>68.78821174837003</v>
      </c>
      <c r="DN18" s="450">
        <v>71.8148930652983</v>
      </c>
      <c r="DO18" s="450">
        <v>75.76471218388971</v>
      </c>
      <c r="DP18" s="450">
        <v>75.08282977423471</v>
      </c>
      <c r="DQ18" s="450">
        <v>78.91205409272068</v>
      </c>
      <c r="DR18" s="450">
        <v>45.36</v>
      </c>
      <c r="DS18" s="450">
        <v>47.576396269676394</v>
      </c>
      <c r="DT18" s="450">
        <v>49.86835973521855</v>
      </c>
      <c r="DU18" s="450">
        <v>52.800392684761135</v>
      </c>
      <c r="DV18" s="450">
        <v>56.033893474511004</v>
      </c>
      <c r="DW18" s="450">
        <v>59.20231069169297</v>
      </c>
      <c r="DX18" s="450">
        <v>63.06132669371591</v>
      </c>
      <c r="DY18" s="450">
        <v>66.50034373457929</v>
      </c>
      <c r="DZ18" s="450">
        <v>68.4701419538031</v>
      </c>
      <c r="EA18" s="450">
        <v>70.20860745081686</v>
      </c>
      <c r="EB18" s="450">
        <v>74.81380796319095</v>
      </c>
      <c r="EC18" s="450">
        <v>0</v>
      </c>
      <c r="ED18" s="450">
        <v>74.81380796319095</v>
      </c>
      <c r="EE18" s="450">
        <v>3890.3180140859295</v>
      </c>
      <c r="EF18" s="443">
        <v>19112120.92052051</v>
      </c>
      <c r="EG18" s="450">
        <v>55.57</v>
      </c>
      <c r="EH18" s="450">
        <v>56.967554269676384</v>
      </c>
      <c r="EI18" s="450">
        <v>58.39970504721853</v>
      </c>
      <c r="EJ18" s="450">
        <v>60.511662428645124</v>
      </c>
      <c r="EK18" s="450">
        <v>62.88150100707998</v>
      </c>
      <c r="EL18" s="450">
        <v>65.0912531697023</v>
      </c>
      <c r="EM18" s="450">
        <v>67.96563798940208</v>
      </c>
      <c r="EN18" s="450">
        <v>71.05154461697605</v>
      </c>
      <c r="EO18" s="450">
        <v>72.8104705286488</v>
      </c>
      <c r="EP18" s="450">
        <v>73.10880934937752</v>
      </c>
      <c r="EQ18" s="450">
        <v>77.25229771950075</v>
      </c>
      <c r="ER18" s="443">
        <v>5806650</v>
      </c>
      <c r="ES18" s="443">
        <v>289000</v>
      </c>
      <c r="ET18" s="443">
        <v>0</v>
      </c>
      <c r="EU18" s="443">
        <v>0</v>
      </c>
      <c r="EV18" s="443">
        <v>0</v>
      </c>
      <c r="EW18" s="443">
        <v>0</v>
      </c>
      <c r="EX18" s="443">
        <v>0</v>
      </c>
      <c r="EY18" s="443">
        <v>0</v>
      </c>
      <c r="EZ18" s="443">
        <v>0</v>
      </c>
      <c r="FA18" s="443">
        <v>5951150</v>
      </c>
      <c r="FB18" s="443">
        <v>42042.2169526582</v>
      </c>
      <c r="FC18" s="443">
        <v>0</v>
      </c>
      <c r="FD18" s="443">
        <v>0</v>
      </c>
      <c r="FE18" s="443">
        <v>25182</v>
      </c>
      <c r="FF18" s="452">
        <v>0.0313</v>
      </c>
      <c r="FG18" s="443">
        <v>788.1966</v>
      </c>
      <c r="FH18" s="453">
        <v>788.1966</v>
      </c>
    </row>
    <row r="19" spans="2:164" ht="12.75">
      <c r="B19" s="356" t="s">
        <v>708</v>
      </c>
      <c r="C19" s="442">
        <v>3503</v>
      </c>
      <c r="D19" s="443">
        <v>846999</v>
      </c>
      <c r="E19" s="443">
        <v>726725.142</v>
      </c>
      <c r="F19" s="443">
        <v>65802.21188955536</v>
      </c>
      <c r="G19" s="443">
        <v>120273.85800000001</v>
      </c>
      <c r="H19" s="444">
        <v>0.2684184984299172</v>
      </c>
      <c r="I19" s="445">
        <v>567.82</v>
      </c>
      <c r="J19" s="445">
        <v>372.45</v>
      </c>
      <c r="K19" s="443">
        <v>792527.3538895553</v>
      </c>
      <c r="L19" s="443">
        <v>634021.8831116443</v>
      </c>
      <c r="M19" s="443">
        <v>165505.4126361305</v>
      </c>
      <c r="N19" s="443">
        <v>158505.47077791102</v>
      </c>
      <c r="O19" s="446">
        <v>1.044162146731373</v>
      </c>
      <c r="P19" s="447">
        <v>0.9660291178989437</v>
      </c>
      <c r="Q19" s="448">
        <v>0.03397088210105624</v>
      </c>
      <c r="R19" s="443">
        <v>799527.2957477748</v>
      </c>
      <c r="S19" s="443">
        <v>540480.4519254958</v>
      </c>
      <c r="T19" s="443">
        <v>84529.91103812034</v>
      </c>
      <c r="U19" s="443">
        <v>79575.17968912158</v>
      </c>
      <c r="V19" s="443">
        <v>182292.22343049265</v>
      </c>
      <c r="W19" s="446">
        <v>0.4365253667524841</v>
      </c>
      <c r="X19" s="448">
        <v>8.15057269047888</v>
      </c>
      <c r="Y19" s="443">
        <v>84529.91103812034</v>
      </c>
      <c r="Z19" s="443">
        <v>76754.62039178637</v>
      </c>
      <c r="AA19" s="444">
        <v>1.1013006201665223</v>
      </c>
      <c r="AB19" s="444">
        <v>0.09035112760491008</v>
      </c>
      <c r="AC19" s="445">
        <v>311</v>
      </c>
      <c r="AD19" s="445">
        <v>322</v>
      </c>
      <c r="AE19" s="443">
        <v>704585.5426527376</v>
      </c>
      <c r="AF19" s="443">
        <v>0</v>
      </c>
      <c r="AG19" s="447">
        <v>0</v>
      </c>
      <c r="AH19" s="446">
        <v>0.0017278407116304484</v>
      </c>
      <c r="AI19" s="448">
        <v>0.0014550318010151386</v>
      </c>
      <c r="AJ19" s="443">
        <v>704585.5426527376</v>
      </c>
      <c r="AK19" s="449">
        <v>1</v>
      </c>
      <c r="AL19" s="443">
        <v>704585.5426527376</v>
      </c>
      <c r="AM19" s="443">
        <v>1570355.9887530748</v>
      </c>
      <c r="AN19" s="443">
        <v>1551178.2592613657</v>
      </c>
      <c r="AO19" s="443">
        <v>1495180.6953358487</v>
      </c>
      <c r="AP19" s="443">
        <v>1551178.2592613657</v>
      </c>
      <c r="AQ19" s="443">
        <v>14012</v>
      </c>
      <c r="AR19" s="443">
        <v>1565190.2592613657</v>
      </c>
      <c r="AS19" s="450">
        <v>446.8142333032731</v>
      </c>
      <c r="AT19" s="446">
        <v>3501</v>
      </c>
      <c r="AU19" s="446">
        <v>68</v>
      </c>
      <c r="AV19" s="446">
        <v>223</v>
      </c>
      <c r="AW19" s="446">
        <v>81</v>
      </c>
      <c r="AX19" s="446">
        <v>26</v>
      </c>
      <c r="AY19" s="446">
        <v>615</v>
      </c>
      <c r="AZ19" s="446">
        <v>536</v>
      </c>
      <c r="BA19" s="446">
        <v>162</v>
      </c>
      <c r="BB19" s="446">
        <v>173</v>
      </c>
      <c r="BC19" s="446">
        <v>11</v>
      </c>
      <c r="BD19" s="446">
        <v>508</v>
      </c>
      <c r="BE19" s="446">
        <v>119</v>
      </c>
      <c r="BF19" s="446">
        <v>0</v>
      </c>
      <c r="BG19" s="446">
        <v>977</v>
      </c>
      <c r="BH19" s="446">
        <v>2</v>
      </c>
      <c r="BI19" s="446">
        <v>0</v>
      </c>
      <c r="BJ19" s="448">
        <v>1.1878476736910009</v>
      </c>
      <c r="BK19" s="448">
        <v>7.287383792538859</v>
      </c>
      <c r="BL19" s="448">
        <v>5.463396042746297</v>
      </c>
      <c r="BM19" s="448">
        <v>3.6479754995851237</v>
      </c>
      <c r="BN19" s="445">
        <v>3382</v>
      </c>
      <c r="BO19" s="445">
        <v>119</v>
      </c>
      <c r="BP19" s="443">
        <v>879569.1304809964</v>
      </c>
      <c r="BQ19" s="443">
        <v>3469565</v>
      </c>
      <c r="BR19" s="443">
        <v>4830890</v>
      </c>
      <c r="BS19" s="444">
        <v>0.09040274207369323</v>
      </c>
      <c r="BT19" s="445">
        <v>311</v>
      </c>
      <c r="BU19" s="445">
        <v>322</v>
      </c>
      <c r="BV19" s="443">
        <v>436725.70265638386</v>
      </c>
      <c r="BW19" s="444">
        <v>0.01166802534171635</v>
      </c>
      <c r="BX19" s="443">
        <v>3835.980302640884</v>
      </c>
      <c r="BY19" s="443">
        <v>4789695.813440021</v>
      </c>
      <c r="BZ19" s="451">
        <v>0.95</v>
      </c>
      <c r="CA19" s="443">
        <v>4550211.02276802</v>
      </c>
      <c r="CB19" s="443">
        <v>3329561.400430546</v>
      </c>
      <c r="CC19" s="443">
        <v>3329561.400430546</v>
      </c>
      <c r="CD19" s="443">
        <v>3275464.540843108</v>
      </c>
      <c r="CE19" s="443">
        <v>3305898.7166265897</v>
      </c>
      <c r="CF19" s="450">
        <v>944.2726982652356</v>
      </c>
      <c r="CG19" s="446">
        <v>3501</v>
      </c>
      <c r="CH19" s="446">
        <v>68</v>
      </c>
      <c r="CI19" s="446">
        <v>223</v>
      </c>
      <c r="CJ19" s="446">
        <v>81</v>
      </c>
      <c r="CK19" s="446">
        <v>26</v>
      </c>
      <c r="CL19" s="446">
        <v>615</v>
      </c>
      <c r="CM19" s="446">
        <v>536</v>
      </c>
      <c r="CN19" s="446">
        <v>162</v>
      </c>
      <c r="CO19" s="446">
        <v>173</v>
      </c>
      <c r="CP19" s="446">
        <v>11</v>
      </c>
      <c r="CQ19" s="446">
        <v>508</v>
      </c>
      <c r="CR19" s="446">
        <v>119</v>
      </c>
      <c r="CS19" s="446">
        <v>0</v>
      </c>
      <c r="CT19" s="446">
        <v>977</v>
      </c>
      <c r="CU19" s="446">
        <v>2</v>
      </c>
      <c r="CV19" s="446">
        <v>0</v>
      </c>
      <c r="CW19" s="443">
        <v>2417602.8812383534</v>
      </c>
      <c r="CX19" s="448">
        <v>0.9274504105308028</v>
      </c>
      <c r="CY19" s="448">
        <v>0.95</v>
      </c>
      <c r="CZ19" s="443">
        <v>2242206.7847049627</v>
      </c>
      <c r="DA19" s="450">
        <v>640.447524908587</v>
      </c>
      <c r="DB19" s="445">
        <v>3503</v>
      </c>
      <c r="DC19" s="448">
        <v>1.0220953468455611</v>
      </c>
      <c r="DD19" s="450">
        <v>304.3</v>
      </c>
      <c r="DE19" s="443">
        <v>53096</v>
      </c>
      <c r="DF19" s="450">
        <v>55.07237514205514</v>
      </c>
      <c r="DG19" s="450">
        <v>57.440487273163505</v>
      </c>
      <c r="DH19" s="450">
        <v>58.70417799317309</v>
      </c>
      <c r="DI19" s="450">
        <v>59.99566990902289</v>
      </c>
      <c r="DJ19" s="450">
        <v>61.975527016020635</v>
      </c>
      <c r="DK19" s="450">
        <v>64.20664598859737</v>
      </c>
      <c r="DL19" s="450">
        <v>66.26125866023247</v>
      </c>
      <c r="DM19" s="450">
        <v>68.97797026530199</v>
      </c>
      <c r="DN19" s="450">
        <v>72.01300095697526</v>
      </c>
      <c r="DO19" s="450">
        <v>75.97371600960889</v>
      </c>
      <c r="DP19" s="450">
        <v>75.28995256552241</v>
      </c>
      <c r="DQ19" s="450">
        <v>79.12974014636406</v>
      </c>
      <c r="DR19" s="450">
        <v>43.35</v>
      </c>
      <c r="DS19" s="450">
        <v>45.743747799317305</v>
      </c>
      <c r="DT19" s="450">
        <v>48.22183910180456</v>
      </c>
      <c r="DU19" s="450">
        <v>51.33345569514617</v>
      </c>
      <c r="DV19" s="450">
        <v>54.756486655660844</v>
      </c>
      <c r="DW19" s="450">
        <v>58.13412163390706</v>
      </c>
      <c r="DX19" s="450">
        <v>62.20969054977819</v>
      </c>
      <c r="DY19" s="450">
        <v>65.73203738096917</v>
      </c>
      <c r="DZ19" s="450">
        <v>67.75136738295821</v>
      </c>
      <c r="EA19" s="450">
        <v>69.79578992635224</v>
      </c>
      <c r="EB19" s="450">
        <v>74.51024819934977</v>
      </c>
      <c r="EC19" s="450">
        <v>-1.32</v>
      </c>
      <c r="ED19" s="450">
        <v>73.19024819934978</v>
      </c>
      <c r="EE19" s="450">
        <v>3805.8929063661885</v>
      </c>
      <c r="EF19" s="443">
        <v>13065401.993980743</v>
      </c>
      <c r="EG19" s="450">
        <v>47.1</v>
      </c>
      <c r="EH19" s="450">
        <v>49.192997799317304</v>
      </c>
      <c r="EI19" s="450">
        <v>51.35529110180457</v>
      </c>
      <c r="EJ19" s="450">
        <v>54.165704621646185</v>
      </c>
      <c r="EK19" s="450">
        <v>57.271523702392855</v>
      </c>
      <c r="EL19" s="450">
        <v>60.29705349409659</v>
      </c>
      <c r="EM19" s="450">
        <v>64.01098020294404</v>
      </c>
      <c r="EN19" s="450">
        <v>67.40363417910709</v>
      </c>
      <c r="EO19" s="450">
        <v>69.34551352944906</v>
      </c>
      <c r="EP19" s="450">
        <v>70.86099630437405</v>
      </c>
      <c r="EQ19" s="450">
        <v>75.40587372199052</v>
      </c>
      <c r="ER19" s="443">
        <v>9309522</v>
      </c>
      <c r="ES19" s="443">
        <v>550000</v>
      </c>
      <c r="ET19" s="443">
        <v>0</v>
      </c>
      <c r="EU19" s="443">
        <v>0</v>
      </c>
      <c r="EV19" s="443">
        <v>0</v>
      </c>
      <c r="EW19" s="443">
        <v>0</v>
      </c>
      <c r="EX19" s="443">
        <v>0</v>
      </c>
      <c r="EY19" s="443">
        <v>0</v>
      </c>
      <c r="EZ19" s="443">
        <v>0</v>
      </c>
      <c r="FA19" s="443">
        <v>9584522</v>
      </c>
      <c r="FB19" s="443">
        <v>43761.51617059652</v>
      </c>
      <c r="FC19" s="443">
        <v>0</v>
      </c>
      <c r="FD19" s="443">
        <v>0</v>
      </c>
      <c r="FE19" s="443">
        <v>11052</v>
      </c>
      <c r="FF19" s="452">
        <v>0.0313</v>
      </c>
      <c r="FG19" s="443">
        <v>345.92760000000004</v>
      </c>
      <c r="FH19" s="453">
        <v>345.92760000000004</v>
      </c>
    </row>
    <row r="20" spans="2:164" ht="12.75">
      <c r="B20" s="356" t="s">
        <v>709</v>
      </c>
      <c r="C20" s="442">
        <v>19199</v>
      </c>
      <c r="D20" s="443">
        <v>4504167</v>
      </c>
      <c r="E20" s="443">
        <v>3864575.286</v>
      </c>
      <c r="F20" s="443">
        <v>657402.4277895034</v>
      </c>
      <c r="G20" s="443">
        <v>639591.714</v>
      </c>
      <c r="H20" s="444">
        <v>0.5042799104120006</v>
      </c>
      <c r="I20" s="445">
        <v>8414.95</v>
      </c>
      <c r="J20" s="445">
        <v>1266.72</v>
      </c>
      <c r="K20" s="443">
        <v>4521977.713789503</v>
      </c>
      <c r="L20" s="443">
        <v>3617582.1710316027</v>
      </c>
      <c r="M20" s="443">
        <v>1345617.5257383615</v>
      </c>
      <c r="N20" s="443">
        <v>904395.5427579004</v>
      </c>
      <c r="O20" s="446">
        <v>1.4878639512474607</v>
      </c>
      <c r="P20" s="447">
        <v>0.6247200375019533</v>
      </c>
      <c r="Q20" s="448">
        <v>0.3752799624980468</v>
      </c>
      <c r="R20" s="443">
        <v>4963199.696769964</v>
      </c>
      <c r="S20" s="443">
        <v>3355122.9950164957</v>
      </c>
      <c r="T20" s="443">
        <v>497008.989772984</v>
      </c>
      <c r="U20" s="443">
        <v>1857317.6835240915</v>
      </c>
      <c r="V20" s="443">
        <v>1131609.530863552</v>
      </c>
      <c r="W20" s="446">
        <v>1.641306150988971</v>
      </c>
      <c r="X20" s="448">
        <v>30.64560758630778</v>
      </c>
      <c r="Y20" s="443">
        <v>497008.989772984</v>
      </c>
      <c r="Z20" s="443">
        <v>476467.17088991654</v>
      </c>
      <c r="AA20" s="444">
        <v>1.0431127685978883</v>
      </c>
      <c r="AB20" s="444">
        <v>0.08557737382155321</v>
      </c>
      <c r="AC20" s="445">
        <v>1672</v>
      </c>
      <c r="AD20" s="445">
        <v>1614</v>
      </c>
      <c r="AE20" s="443">
        <v>5709449.668313571</v>
      </c>
      <c r="AF20" s="443">
        <v>992237.8598101784</v>
      </c>
      <c r="AG20" s="447">
        <v>1</v>
      </c>
      <c r="AH20" s="446">
        <v>0.5644672804719052</v>
      </c>
      <c r="AI20" s="448">
        <v>0.4753434956073761</v>
      </c>
      <c r="AJ20" s="443">
        <v>6701687.528123749</v>
      </c>
      <c r="AK20" s="449">
        <v>1.0879518101672272</v>
      </c>
      <c r="AL20" s="443">
        <v>7291113.077397363</v>
      </c>
      <c r="AM20" s="443">
        <v>16250181.692146765</v>
      </c>
      <c r="AN20" s="443">
        <v>16051728.863033433</v>
      </c>
      <c r="AO20" s="443">
        <v>14793305.918933442</v>
      </c>
      <c r="AP20" s="443">
        <v>16051728.863033433</v>
      </c>
      <c r="AQ20" s="443">
        <v>76796</v>
      </c>
      <c r="AR20" s="443">
        <v>16128524.863033433</v>
      </c>
      <c r="AS20" s="450">
        <v>840.0710903189454</v>
      </c>
      <c r="AT20" s="446">
        <v>19198</v>
      </c>
      <c r="AU20" s="446">
        <v>3139</v>
      </c>
      <c r="AV20" s="446">
        <v>810</v>
      </c>
      <c r="AW20" s="446">
        <v>3023</v>
      </c>
      <c r="AX20" s="446">
        <v>163</v>
      </c>
      <c r="AY20" s="446">
        <v>723</v>
      </c>
      <c r="AZ20" s="446">
        <v>62</v>
      </c>
      <c r="BA20" s="446">
        <v>78</v>
      </c>
      <c r="BB20" s="446">
        <v>1574</v>
      </c>
      <c r="BC20" s="446">
        <v>1041</v>
      </c>
      <c r="BD20" s="446">
        <v>1209</v>
      </c>
      <c r="BE20" s="446">
        <v>4614</v>
      </c>
      <c r="BF20" s="446">
        <v>2591</v>
      </c>
      <c r="BG20" s="446">
        <v>169</v>
      </c>
      <c r="BH20" s="446">
        <v>2</v>
      </c>
      <c r="BI20" s="446">
        <v>0</v>
      </c>
      <c r="BJ20" s="448">
        <v>1.9514048083264983</v>
      </c>
      <c r="BK20" s="448">
        <v>20.974062374422125</v>
      </c>
      <c r="BL20" s="448">
        <v>11.017550651113027</v>
      </c>
      <c r="BM20" s="448">
        <v>19.913023446618194</v>
      </c>
      <c r="BN20" s="445">
        <v>11993</v>
      </c>
      <c r="BO20" s="445">
        <v>7205</v>
      </c>
      <c r="BP20" s="443">
        <v>7330188.722829367</v>
      </c>
      <c r="BQ20" s="443">
        <v>22520174</v>
      </c>
      <c r="BR20" s="443">
        <v>27193881</v>
      </c>
      <c r="BS20" s="444">
        <v>0.08558183144077508</v>
      </c>
      <c r="BT20" s="445">
        <v>1672</v>
      </c>
      <c r="BU20" s="445">
        <v>1614</v>
      </c>
      <c r="BV20" s="443">
        <v>2327302.1399624962</v>
      </c>
      <c r="BW20" s="444">
        <v>0.012899998970348844</v>
      </c>
      <c r="BX20" s="443">
        <v>66933.4899235013</v>
      </c>
      <c r="BY20" s="443">
        <v>32244598.352715366</v>
      </c>
      <c r="BZ20" s="451">
        <v>1.1533333333333333</v>
      </c>
      <c r="CA20" s="443">
        <v>37188770.10013172</v>
      </c>
      <c r="CB20" s="443">
        <v>27212428.794029787</v>
      </c>
      <c r="CC20" s="443">
        <v>27212428.794029787</v>
      </c>
      <c r="CD20" s="443">
        <v>25247289.799999997</v>
      </c>
      <c r="CE20" s="443">
        <v>27019034.223199062</v>
      </c>
      <c r="CF20" s="450">
        <v>1407.3879687050246</v>
      </c>
      <c r="CG20" s="446">
        <v>19198</v>
      </c>
      <c r="CH20" s="446">
        <v>3139</v>
      </c>
      <c r="CI20" s="446">
        <v>810</v>
      </c>
      <c r="CJ20" s="446">
        <v>3023</v>
      </c>
      <c r="CK20" s="446">
        <v>163</v>
      </c>
      <c r="CL20" s="446">
        <v>723</v>
      </c>
      <c r="CM20" s="446">
        <v>62</v>
      </c>
      <c r="CN20" s="446">
        <v>78</v>
      </c>
      <c r="CO20" s="446">
        <v>1574</v>
      </c>
      <c r="CP20" s="446">
        <v>1041</v>
      </c>
      <c r="CQ20" s="446">
        <v>1209</v>
      </c>
      <c r="CR20" s="446">
        <v>4614</v>
      </c>
      <c r="CS20" s="446">
        <v>2591</v>
      </c>
      <c r="CT20" s="446">
        <v>169</v>
      </c>
      <c r="CU20" s="446">
        <v>2</v>
      </c>
      <c r="CV20" s="446">
        <v>0</v>
      </c>
      <c r="CW20" s="443">
        <v>12976106.13235414</v>
      </c>
      <c r="CX20" s="448">
        <v>1.1259573405040626</v>
      </c>
      <c r="CY20" s="448">
        <v>1.1533333333333333</v>
      </c>
      <c r="CZ20" s="443">
        <v>14610541.950883925</v>
      </c>
      <c r="DA20" s="450">
        <v>761.045002129593</v>
      </c>
      <c r="DB20" s="445">
        <v>19199</v>
      </c>
      <c r="DC20" s="448">
        <v>1.00575550809938</v>
      </c>
      <c r="DD20" s="450">
        <v>354.1</v>
      </c>
      <c r="DE20" s="443">
        <v>52628</v>
      </c>
      <c r="DF20" s="450">
        <v>60.369888873369035</v>
      </c>
      <c r="DG20" s="450">
        <v>62.9657940949239</v>
      </c>
      <c r="DH20" s="450">
        <v>64.35104156501221</v>
      </c>
      <c r="DI20" s="450">
        <v>65.76676447944247</v>
      </c>
      <c r="DJ20" s="450">
        <v>67.93706770726406</v>
      </c>
      <c r="DK20" s="450">
        <v>70.38280214472556</v>
      </c>
      <c r="DL20" s="450">
        <v>72.63505181335677</v>
      </c>
      <c r="DM20" s="450">
        <v>75.61308893770439</v>
      </c>
      <c r="DN20" s="450">
        <v>78.94006485096337</v>
      </c>
      <c r="DO20" s="450">
        <v>83.28176841776634</v>
      </c>
      <c r="DP20" s="450">
        <v>82.53223250200645</v>
      </c>
      <c r="DQ20" s="450">
        <v>86.74137635960878</v>
      </c>
      <c r="DR20" s="450">
        <v>44.3</v>
      </c>
      <c r="DS20" s="450">
        <v>47.182244156501206</v>
      </c>
      <c r="DT20" s="450">
        <v>50.169865855888474</v>
      </c>
      <c r="DU20" s="450">
        <v>53.8394209638992</v>
      </c>
      <c r="DV20" s="450">
        <v>57.86409183661756</v>
      </c>
      <c r="DW20" s="450">
        <v>61.86896094838389</v>
      </c>
      <c r="DX20" s="450">
        <v>66.64708846535498</v>
      </c>
      <c r="DY20" s="450">
        <v>70.61961641262312</v>
      </c>
      <c r="DZ20" s="450">
        <v>72.89969208002266</v>
      </c>
      <c r="EA20" s="450">
        <v>75.59494262026142</v>
      </c>
      <c r="EB20" s="450">
        <v>80.90850302703755</v>
      </c>
      <c r="EC20" s="450">
        <v>-2.06</v>
      </c>
      <c r="ED20" s="450">
        <v>78.84850302703755</v>
      </c>
      <c r="EE20" s="450">
        <v>4100.122157405953</v>
      </c>
      <c r="EF20" s="443">
        <v>77143880.39403616</v>
      </c>
      <c r="EG20" s="450">
        <v>44.75</v>
      </c>
      <c r="EH20" s="450">
        <v>47.596154156501214</v>
      </c>
      <c r="EI20" s="450">
        <v>50.54588009588848</v>
      </c>
      <c r="EJ20" s="450">
        <v>54.1792908350792</v>
      </c>
      <c r="EK20" s="450">
        <v>58.165896282225404</v>
      </c>
      <c r="EL20" s="450">
        <v>62.12851277160664</v>
      </c>
      <c r="EM20" s="450">
        <v>66.86324322373488</v>
      </c>
      <c r="EN20" s="450">
        <v>70.82020802839968</v>
      </c>
      <c r="EO20" s="450">
        <v>73.09098961760158</v>
      </c>
      <c r="EP20" s="450">
        <v>75.72276738562404</v>
      </c>
      <c r="EQ20" s="450">
        <v>81.01597808975444</v>
      </c>
      <c r="ER20" s="443">
        <v>-19007670</v>
      </c>
      <c r="ES20" s="443">
        <v>0</v>
      </c>
      <c r="ET20" s="443">
        <v>0</v>
      </c>
      <c r="EU20" s="443">
        <v>0</v>
      </c>
      <c r="EV20" s="443">
        <v>0</v>
      </c>
      <c r="EW20" s="443">
        <v>0</v>
      </c>
      <c r="EX20" s="443">
        <v>0</v>
      </c>
      <c r="EY20" s="443">
        <v>0</v>
      </c>
      <c r="EZ20" s="443">
        <v>0</v>
      </c>
      <c r="FA20" s="443">
        <v>-19007670</v>
      </c>
      <c r="FB20" s="443">
        <v>0</v>
      </c>
      <c r="FC20" s="443">
        <v>19007670</v>
      </c>
      <c r="FD20" s="443">
        <v>137805.6075</v>
      </c>
      <c r="FE20" s="443">
        <v>391532</v>
      </c>
      <c r="FF20" s="452">
        <v>0.01</v>
      </c>
      <c r="FG20" s="443">
        <v>3915.32</v>
      </c>
      <c r="FH20" s="453">
        <v>141720.92750000002</v>
      </c>
    </row>
    <row r="21" spans="2:164" ht="12.75">
      <c r="B21" s="356" t="s">
        <v>710</v>
      </c>
      <c r="C21" s="442">
        <v>10993</v>
      </c>
      <c r="D21" s="443">
        <v>2592169</v>
      </c>
      <c r="E21" s="443">
        <v>2224081.002</v>
      </c>
      <c r="F21" s="443">
        <v>472232.9432748518</v>
      </c>
      <c r="G21" s="443">
        <v>368087.998</v>
      </c>
      <c r="H21" s="444">
        <v>0.6294305467115437</v>
      </c>
      <c r="I21" s="445">
        <v>6429.36</v>
      </c>
      <c r="J21" s="445">
        <v>489.97</v>
      </c>
      <c r="K21" s="443">
        <v>2696313.9452748518</v>
      </c>
      <c r="L21" s="443">
        <v>2157051.1562198815</v>
      </c>
      <c r="M21" s="443">
        <v>878719.2226019081</v>
      </c>
      <c r="N21" s="443">
        <v>539262.7890549703</v>
      </c>
      <c r="O21" s="446">
        <v>1.629482397889566</v>
      </c>
      <c r="P21" s="447">
        <v>0.5157827708541799</v>
      </c>
      <c r="Q21" s="448">
        <v>0.48421722914582005</v>
      </c>
      <c r="R21" s="443">
        <v>3035770.3788217898</v>
      </c>
      <c r="S21" s="443">
        <v>2052180.77608353</v>
      </c>
      <c r="T21" s="443">
        <v>233633.18427708928</v>
      </c>
      <c r="U21" s="443">
        <v>569325.2899809778</v>
      </c>
      <c r="V21" s="443">
        <v>692155.6463713681</v>
      </c>
      <c r="W21" s="446">
        <v>0.8225393998671694</v>
      </c>
      <c r="X21" s="448">
        <v>15.358024252463645</v>
      </c>
      <c r="Y21" s="443">
        <v>233633.18427708928</v>
      </c>
      <c r="Z21" s="443">
        <v>291433.9563668918</v>
      </c>
      <c r="AA21" s="444">
        <v>0.8016676820698408</v>
      </c>
      <c r="AB21" s="444">
        <v>0.06576912580733194</v>
      </c>
      <c r="AC21" s="445">
        <v>635</v>
      </c>
      <c r="AD21" s="445">
        <v>811</v>
      </c>
      <c r="AE21" s="443">
        <v>2855139.250341597</v>
      </c>
      <c r="AF21" s="443">
        <v>159765.48014536226</v>
      </c>
      <c r="AG21" s="447">
        <v>0.75</v>
      </c>
      <c r="AH21" s="446">
        <v>0.142194040525868</v>
      </c>
      <c r="AI21" s="448">
        <v>0.11974301189184189</v>
      </c>
      <c r="AJ21" s="443">
        <v>3014904.730486959</v>
      </c>
      <c r="AK21" s="449">
        <v>1.141284291320443</v>
      </c>
      <c r="AL21" s="443">
        <v>3440863.408732461</v>
      </c>
      <c r="AM21" s="443">
        <v>7668877.848445226</v>
      </c>
      <c r="AN21" s="443">
        <v>7575222.864520707</v>
      </c>
      <c r="AO21" s="443">
        <v>7355828.842078433</v>
      </c>
      <c r="AP21" s="443">
        <v>7575222.864520707</v>
      </c>
      <c r="AQ21" s="443">
        <v>43972</v>
      </c>
      <c r="AR21" s="443">
        <v>7619194.864520707</v>
      </c>
      <c r="AS21" s="450">
        <v>693.0951391358781</v>
      </c>
      <c r="AT21" s="446">
        <v>10983</v>
      </c>
      <c r="AU21" s="446">
        <v>447</v>
      </c>
      <c r="AV21" s="446">
        <v>329</v>
      </c>
      <c r="AW21" s="446">
        <v>1141</v>
      </c>
      <c r="AX21" s="446">
        <v>41</v>
      </c>
      <c r="AY21" s="446">
        <v>722</v>
      </c>
      <c r="AZ21" s="446">
        <v>75</v>
      </c>
      <c r="BA21" s="446">
        <v>331</v>
      </c>
      <c r="BB21" s="446">
        <v>469</v>
      </c>
      <c r="BC21" s="446">
        <v>366</v>
      </c>
      <c r="BD21" s="446">
        <v>1532</v>
      </c>
      <c r="BE21" s="446">
        <v>4013</v>
      </c>
      <c r="BF21" s="446">
        <v>1310</v>
      </c>
      <c r="BG21" s="446">
        <v>180</v>
      </c>
      <c r="BH21" s="446">
        <v>23</v>
      </c>
      <c r="BI21" s="446">
        <v>4</v>
      </c>
      <c r="BJ21" s="448">
        <v>1.784264492108541</v>
      </c>
      <c r="BK21" s="448">
        <v>15.188362643749443</v>
      </c>
      <c r="BL21" s="448">
        <v>4.763196256279159</v>
      </c>
      <c r="BM21" s="448">
        <v>20.85033277494057</v>
      </c>
      <c r="BN21" s="445">
        <v>5660</v>
      </c>
      <c r="BO21" s="445">
        <v>5323</v>
      </c>
      <c r="BP21" s="443">
        <v>3729723.006963152</v>
      </c>
      <c r="BQ21" s="443">
        <v>13155701</v>
      </c>
      <c r="BR21" s="443">
        <v>14732534</v>
      </c>
      <c r="BS21" s="444">
        <v>0.06582900846763179</v>
      </c>
      <c r="BT21" s="445">
        <v>635</v>
      </c>
      <c r="BU21" s="445">
        <v>811</v>
      </c>
      <c r="BV21" s="443">
        <v>969828.1054356733</v>
      </c>
      <c r="BW21" s="444">
        <v>0.019638812735347625</v>
      </c>
      <c r="BX21" s="443">
        <v>42214.575080843024</v>
      </c>
      <c r="BY21" s="443">
        <v>17897466.687479667</v>
      </c>
      <c r="BZ21" s="451">
        <v>1.1533333333333333</v>
      </c>
      <c r="CA21" s="443">
        <v>20641744.912893217</v>
      </c>
      <c r="CB21" s="443">
        <v>15104344.997541172</v>
      </c>
      <c r="CC21" s="443">
        <v>15104344.997541172</v>
      </c>
      <c r="CD21" s="443">
        <v>14223345.521914493</v>
      </c>
      <c r="CE21" s="443">
        <v>14997000.727002574</v>
      </c>
      <c r="CF21" s="450">
        <v>1365.4739804245264</v>
      </c>
      <c r="CG21" s="446">
        <v>10983</v>
      </c>
      <c r="CH21" s="446">
        <v>447</v>
      </c>
      <c r="CI21" s="446">
        <v>329</v>
      </c>
      <c r="CJ21" s="446">
        <v>1141</v>
      </c>
      <c r="CK21" s="446">
        <v>41</v>
      </c>
      <c r="CL21" s="446">
        <v>722</v>
      </c>
      <c r="CM21" s="446">
        <v>75</v>
      </c>
      <c r="CN21" s="446">
        <v>331</v>
      </c>
      <c r="CO21" s="446">
        <v>469</v>
      </c>
      <c r="CP21" s="446">
        <v>366</v>
      </c>
      <c r="CQ21" s="446">
        <v>1532</v>
      </c>
      <c r="CR21" s="446">
        <v>4013</v>
      </c>
      <c r="CS21" s="446">
        <v>1310</v>
      </c>
      <c r="CT21" s="446">
        <v>180</v>
      </c>
      <c r="CU21" s="446">
        <v>23</v>
      </c>
      <c r="CV21" s="446">
        <v>4</v>
      </c>
      <c r="CW21" s="443">
        <v>8224875.539574987</v>
      </c>
      <c r="CX21" s="448">
        <v>1.1259573405040626</v>
      </c>
      <c r="CY21" s="448">
        <v>1.1533333333333333</v>
      </c>
      <c r="CZ21" s="443">
        <v>9260858.98851677</v>
      </c>
      <c r="DA21" s="450">
        <v>843.1993980257462</v>
      </c>
      <c r="DB21" s="445">
        <v>10993</v>
      </c>
      <c r="DC21" s="448">
        <v>1.0010188301646503</v>
      </c>
      <c r="DD21" s="450">
        <v>354.1</v>
      </c>
      <c r="DE21" s="443">
        <v>70312</v>
      </c>
      <c r="DF21" s="450">
        <v>65.99173096617321</v>
      </c>
      <c r="DG21" s="450">
        <v>68.82937539771865</v>
      </c>
      <c r="DH21" s="450">
        <v>70.34362165646844</v>
      </c>
      <c r="DI21" s="450">
        <v>71.89118133291073</v>
      </c>
      <c r="DJ21" s="450">
        <v>74.26359031689678</v>
      </c>
      <c r="DK21" s="450">
        <v>76.93707956830505</v>
      </c>
      <c r="DL21" s="450">
        <v>79.3990661144908</v>
      </c>
      <c r="DM21" s="450">
        <v>82.65442782518491</v>
      </c>
      <c r="DN21" s="450">
        <v>86.29122264949304</v>
      </c>
      <c r="DO21" s="450">
        <v>91.03723989521515</v>
      </c>
      <c r="DP21" s="450">
        <v>90.21790473615822</v>
      </c>
      <c r="DQ21" s="450">
        <v>94.81901787770228</v>
      </c>
      <c r="DR21" s="450">
        <v>53.35</v>
      </c>
      <c r="DS21" s="450">
        <v>56.105692165646836</v>
      </c>
      <c r="DT21" s="450">
        <v>58.956813386582134</v>
      </c>
      <c r="DU21" s="450">
        <v>62.57253848940902</v>
      </c>
      <c r="DV21" s="450">
        <v>66.55542554549592</v>
      </c>
      <c r="DW21" s="450">
        <v>70.47084365487494</v>
      </c>
      <c r="DX21" s="450">
        <v>75.21900416081684</v>
      </c>
      <c r="DY21" s="450">
        <v>79.39114948895946</v>
      </c>
      <c r="DZ21" s="450">
        <v>81.78184222231869</v>
      </c>
      <c r="EA21" s="450">
        <v>84.03346007027886</v>
      </c>
      <c r="EB21" s="450">
        <v>89.61913680263092</v>
      </c>
      <c r="EC21" s="450">
        <v>-1.81</v>
      </c>
      <c r="ED21" s="450">
        <v>87.80913680263092</v>
      </c>
      <c r="EE21" s="450">
        <v>4566.075113736808</v>
      </c>
      <c r="EF21" s="443">
        <v>49190966.45080256</v>
      </c>
      <c r="EG21" s="450">
        <v>57.99</v>
      </c>
      <c r="EH21" s="450">
        <v>60.37356416564684</v>
      </c>
      <c r="EI21" s="450">
        <v>62.83393799458213</v>
      </c>
      <c r="EJ21" s="450">
        <v>66.07697449446502</v>
      </c>
      <c r="EK21" s="450">
        <v>69.66736471798565</v>
      </c>
      <c r="EL21" s="450">
        <v>73.14711134321611</v>
      </c>
      <c r="EM21" s="450">
        <v>77.44779989166736</v>
      </c>
      <c r="EN21" s="450">
        <v>81.45947192718874</v>
      </c>
      <c r="EO21" s="450">
        <v>83.75433238757668</v>
      </c>
      <c r="EP21" s="450">
        <v>85.3514754286845</v>
      </c>
      <c r="EQ21" s="450">
        <v>90.72732411597838</v>
      </c>
      <c r="ER21" s="443">
        <v>134550481.2</v>
      </c>
      <c r="ES21" s="443">
        <v>2319000</v>
      </c>
      <c r="ET21" s="443">
        <v>0</v>
      </c>
      <c r="EU21" s="443">
        <v>0</v>
      </c>
      <c r="EV21" s="443">
        <v>8328000</v>
      </c>
      <c r="EW21" s="443">
        <v>0</v>
      </c>
      <c r="EX21" s="443">
        <v>0</v>
      </c>
      <c r="EY21" s="443">
        <v>0</v>
      </c>
      <c r="EZ21" s="443">
        <v>0</v>
      </c>
      <c r="FA21" s="443">
        <v>139873981.2</v>
      </c>
      <c r="FB21" s="443">
        <v>105414.04316430012</v>
      </c>
      <c r="FC21" s="443">
        <v>0</v>
      </c>
      <c r="FD21" s="443">
        <v>0</v>
      </c>
      <c r="FE21" s="443">
        <v>496997</v>
      </c>
      <c r="FF21" s="452">
        <v>0.0313</v>
      </c>
      <c r="FG21" s="443">
        <v>15556.0061</v>
      </c>
      <c r="FH21" s="453">
        <v>15556.0061</v>
      </c>
    </row>
    <row r="22" spans="2:164" ht="12.75">
      <c r="B22" s="356" t="s">
        <v>711</v>
      </c>
      <c r="C22" s="442">
        <v>19095</v>
      </c>
      <c r="D22" s="443">
        <v>4479935</v>
      </c>
      <c r="E22" s="443">
        <v>3843784.23</v>
      </c>
      <c r="F22" s="443">
        <v>332621.68718006863</v>
      </c>
      <c r="G22" s="443">
        <v>636150.77</v>
      </c>
      <c r="H22" s="444">
        <v>0.2565273631840796</v>
      </c>
      <c r="I22" s="445">
        <v>2829.31</v>
      </c>
      <c r="J22" s="445">
        <v>2069.08</v>
      </c>
      <c r="K22" s="443">
        <v>4176405.917180069</v>
      </c>
      <c r="L22" s="443">
        <v>3341124.733744055</v>
      </c>
      <c r="M22" s="443">
        <v>853307.8593037266</v>
      </c>
      <c r="N22" s="443">
        <v>835281.1834360135</v>
      </c>
      <c r="O22" s="446">
        <v>1.0215815658549359</v>
      </c>
      <c r="P22" s="447">
        <v>0.9833987954962032</v>
      </c>
      <c r="Q22" s="448">
        <v>0.016601204503796804</v>
      </c>
      <c r="R22" s="443">
        <v>4194432.593047782</v>
      </c>
      <c r="S22" s="443">
        <v>2835436.4329003007</v>
      </c>
      <c r="T22" s="443">
        <v>345458.8836155322</v>
      </c>
      <c r="U22" s="443">
        <v>709372.4117491833</v>
      </c>
      <c r="V22" s="443">
        <v>956330.6312148942</v>
      </c>
      <c r="W22" s="446">
        <v>0.7417648129162374</v>
      </c>
      <c r="X22" s="448">
        <v>13.849843531180895</v>
      </c>
      <c r="Y22" s="443">
        <v>345458.8836155322</v>
      </c>
      <c r="Z22" s="443">
        <v>402665.52893258707</v>
      </c>
      <c r="AA22" s="444">
        <v>0.8579301151784656</v>
      </c>
      <c r="AB22" s="444">
        <v>0.07038491751767478</v>
      </c>
      <c r="AC22" s="445">
        <v>1332</v>
      </c>
      <c r="AD22" s="445">
        <v>1356</v>
      </c>
      <c r="AE22" s="443">
        <v>3890267.7282650163</v>
      </c>
      <c r="AF22" s="443">
        <v>796448.7290573998</v>
      </c>
      <c r="AG22" s="447">
        <v>1</v>
      </c>
      <c r="AH22" s="446">
        <v>0.4341150998070534</v>
      </c>
      <c r="AI22" s="448">
        <v>0.36557263135910034</v>
      </c>
      <c r="AJ22" s="443">
        <v>4686716.457322416</v>
      </c>
      <c r="AK22" s="449">
        <v>1</v>
      </c>
      <c r="AL22" s="443">
        <v>4686716.457322416</v>
      </c>
      <c r="AM22" s="443">
        <v>10445592.211038612</v>
      </c>
      <c r="AN22" s="443">
        <v>10318027.03267223</v>
      </c>
      <c r="AO22" s="443">
        <v>10457981.211890303</v>
      </c>
      <c r="AP22" s="443">
        <v>10457981.211890303</v>
      </c>
      <c r="AQ22" s="443">
        <v>76380</v>
      </c>
      <c r="AR22" s="443">
        <v>10534361.211890303</v>
      </c>
      <c r="AS22" s="450">
        <v>551.6816555061692</v>
      </c>
      <c r="AT22" s="446">
        <v>19095</v>
      </c>
      <c r="AU22" s="446">
        <v>240</v>
      </c>
      <c r="AV22" s="446">
        <v>4120</v>
      </c>
      <c r="AW22" s="446">
        <v>945</v>
      </c>
      <c r="AX22" s="446">
        <v>34</v>
      </c>
      <c r="AY22" s="446">
        <v>3395</v>
      </c>
      <c r="AZ22" s="446">
        <v>586</v>
      </c>
      <c r="BA22" s="446">
        <v>298</v>
      </c>
      <c r="BB22" s="446">
        <v>1663</v>
      </c>
      <c r="BC22" s="446">
        <v>135</v>
      </c>
      <c r="BD22" s="446">
        <v>2727</v>
      </c>
      <c r="BE22" s="446">
        <v>185</v>
      </c>
      <c r="BF22" s="446">
        <v>132</v>
      </c>
      <c r="BG22" s="446">
        <v>4627</v>
      </c>
      <c r="BH22" s="446">
        <v>2</v>
      </c>
      <c r="BI22" s="446">
        <v>6</v>
      </c>
      <c r="BJ22" s="448">
        <v>1.4887139243386645</v>
      </c>
      <c r="BK22" s="448">
        <v>19.722634732888054</v>
      </c>
      <c r="BL22" s="448">
        <v>15.256649358774325</v>
      </c>
      <c r="BM22" s="448">
        <v>8.93197074822746</v>
      </c>
      <c r="BN22" s="445">
        <v>18778</v>
      </c>
      <c r="BO22" s="445">
        <v>317</v>
      </c>
      <c r="BP22" s="443">
        <v>6576633.443707868</v>
      </c>
      <c r="BQ22" s="443">
        <v>19305229</v>
      </c>
      <c r="BR22" s="443">
        <v>26871395</v>
      </c>
      <c r="BS22" s="444">
        <v>0.07038491751767478</v>
      </c>
      <c r="BT22" s="445">
        <v>1332</v>
      </c>
      <c r="BU22" s="445">
        <v>1356</v>
      </c>
      <c r="BV22" s="443">
        <v>1891340.9206598585</v>
      </c>
      <c r="BW22" s="444">
        <v>0.009940105315573102</v>
      </c>
      <c r="BX22" s="443">
        <v>48238.17088208762</v>
      </c>
      <c r="BY22" s="443">
        <v>27821441.535249814</v>
      </c>
      <c r="BZ22" s="451">
        <v>0.95</v>
      </c>
      <c r="CA22" s="443">
        <v>26430369.458487324</v>
      </c>
      <c r="CB22" s="443">
        <v>19340100.38386396</v>
      </c>
      <c r="CC22" s="443">
        <v>19340100.38386396</v>
      </c>
      <c r="CD22" s="443">
        <v>19794598.27942507</v>
      </c>
      <c r="CE22" s="443">
        <v>19794598.27942507</v>
      </c>
      <c r="CF22" s="450">
        <v>1036.6377732089588</v>
      </c>
      <c r="CG22" s="446">
        <v>19095</v>
      </c>
      <c r="CH22" s="446">
        <v>240</v>
      </c>
      <c r="CI22" s="446">
        <v>4120</v>
      </c>
      <c r="CJ22" s="446">
        <v>945</v>
      </c>
      <c r="CK22" s="446">
        <v>34</v>
      </c>
      <c r="CL22" s="446">
        <v>3395</v>
      </c>
      <c r="CM22" s="446">
        <v>586</v>
      </c>
      <c r="CN22" s="446">
        <v>298</v>
      </c>
      <c r="CO22" s="446">
        <v>1663</v>
      </c>
      <c r="CP22" s="446">
        <v>135</v>
      </c>
      <c r="CQ22" s="446">
        <v>2727</v>
      </c>
      <c r="CR22" s="446">
        <v>185</v>
      </c>
      <c r="CS22" s="446">
        <v>132</v>
      </c>
      <c r="CT22" s="446">
        <v>4627</v>
      </c>
      <c r="CU22" s="446">
        <v>2</v>
      </c>
      <c r="CV22" s="446">
        <v>6</v>
      </c>
      <c r="CW22" s="443">
        <v>12356986.950952832</v>
      </c>
      <c r="CX22" s="448">
        <v>0.927450410530803</v>
      </c>
      <c r="CY22" s="448">
        <v>0.95</v>
      </c>
      <c r="CZ22" s="443">
        <v>11460492.62058498</v>
      </c>
      <c r="DA22" s="450">
        <v>600.1829075980612</v>
      </c>
      <c r="DB22" s="445">
        <v>19095</v>
      </c>
      <c r="DC22" s="448">
        <v>1.0216653574234096</v>
      </c>
      <c r="DD22" s="450">
        <v>299.1</v>
      </c>
      <c r="DE22" s="443">
        <v>28055</v>
      </c>
      <c r="DF22" s="450">
        <v>46.166903172264576</v>
      </c>
      <c r="DG22" s="450">
        <v>48.15208000867195</v>
      </c>
      <c r="DH22" s="450">
        <v>49.211425768862725</v>
      </c>
      <c r="DI22" s="450">
        <v>50.2940771357777</v>
      </c>
      <c r="DJ22" s="450">
        <v>51.953781681258356</v>
      </c>
      <c r="DK22" s="450">
        <v>53.824117821783645</v>
      </c>
      <c r="DL22" s="450">
        <v>55.54648959208071</v>
      </c>
      <c r="DM22" s="450">
        <v>57.82389566535602</v>
      </c>
      <c r="DN22" s="450">
        <v>60.36814707463167</v>
      </c>
      <c r="DO22" s="450">
        <v>63.68839516373641</v>
      </c>
      <c r="DP22" s="450">
        <v>63.11519960726278</v>
      </c>
      <c r="DQ22" s="450">
        <v>66.33407478723318</v>
      </c>
      <c r="DR22" s="450">
        <v>35.61</v>
      </c>
      <c r="DS22" s="450">
        <v>37.67522057688627</v>
      </c>
      <c r="DT22" s="450">
        <v>39.81407561915553</v>
      </c>
      <c r="DU22" s="450">
        <v>42.4811703104215</v>
      </c>
      <c r="DV22" s="450">
        <v>45.41243892448052</v>
      </c>
      <c r="DW22" s="450">
        <v>48.31244574040002</v>
      </c>
      <c r="DX22" s="450">
        <v>51.79938394567634</v>
      </c>
      <c r="DY22" s="450">
        <v>54.77740019876893</v>
      </c>
      <c r="DZ22" s="450">
        <v>56.485273667141726</v>
      </c>
      <c r="EA22" s="450">
        <v>58.3020832084128</v>
      </c>
      <c r="EB22" s="450">
        <v>62.287206519080115</v>
      </c>
      <c r="EC22" s="450">
        <v>-2.61</v>
      </c>
      <c r="ED22" s="450">
        <v>59.677206519080116</v>
      </c>
      <c r="EE22" s="450">
        <v>3103.214738992166</v>
      </c>
      <c r="EF22" s="443">
        <v>58070767.7322343</v>
      </c>
      <c r="EG22" s="450">
        <v>36.17</v>
      </c>
      <c r="EH22" s="450">
        <v>38.19030857688627</v>
      </c>
      <c r="EI22" s="450">
        <v>40.28200445115553</v>
      </c>
      <c r="EJ22" s="450">
        <v>42.9041194834455</v>
      </c>
      <c r="EK22" s="450">
        <v>45.78801779012583</v>
      </c>
      <c r="EL22" s="450">
        <v>48.63544356485499</v>
      </c>
      <c r="EM22" s="450">
        <v>52.068376533882436</v>
      </c>
      <c r="EN22" s="450">
        <v>55.02702532062419</v>
      </c>
      <c r="EO22" s="450">
        <v>56.7233328250177</v>
      </c>
      <c r="EP22" s="450">
        <v>58.46115402753073</v>
      </c>
      <c r="EQ22" s="450">
        <v>62.42095326379447</v>
      </c>
      <c r="ER22" s="443">
        <v>133152900</v>
      </c>
      <c r="ES22" s="443">
        <v>473000</v>
      </c>
      <c r="ET22" s="443">
        <v>0</v>
      </c>
      <c r="EU22" s="443">
        <v>190000</v>
      </c>
      <c r="EV22" s="443">
        <v>0</v>
      </c>
      <c r="EW22" s="443">
        <v>0</v>
      </c>
      <c r="EX22" s="443">
        <v>0</v>
      </c>
      <c r="EY22" s="443">
        <v>0</v>
      </c>
      <c r="EZ22" s="443">
        <v>141600000</v>
      </c>
      <c r="FA22" s="443">
        <v>275179400</v>
      </c>
      <c r="FB22" s="443">
        <v>169440.1051050145</v>
      </c>
      <c r="FC22" s="443">
        <v>0</v>
      </c>
      <c r="FD22" s="443">
        <v>0</v>
      </c>
      <c r="FE22" s="443">
        <v>14227</v>
      </c>
      <c r="FF22" s="452">
        <v>0.0663</v>
      </c>
      <c r="FG22" s="443">
        <v>943.2501</v>
      </c>
      <c r="FH22" s="453">
        <v>943.2501</v>
      </c>
    </row>
    <row r="23" spans="2:164" ht="12.75">
      <c r="B23" s="356" t="s">
        <v>712</v>
      </c>
      <c r="C23" s="442">
        <v>2717</v>
      </c>
      <c r="D23" s="443">
        <v>663861</v>
      </c>
      <c r="E23" s="443">
        <v>569592.738</v>
      </c>
      <c r="F23" s="443">
        <v>92859.67589079513</v>
      </c>
      <c r="G23" s="443">
        <v>94268.26200000002</v>
      </c>
      <c r="H23" s="444">
        <v>0.48328671328671324</v>
      </c>
      <c r="I23" s="445">
        <v>1124.07</v>
      </c>
      <c r="J23" s="445">
        <v>189.02</v>
      </c>
      <c r="K23" s="443">
        <v>662452.4138907951</v>
      </c>
      <c r="L23" s="443">
        <v>529961.9311126361</v>
      </c>
      <c r="M23" s="443">
        <v>152776.10693558046</v>
      </c>
      <c r="N23" s="443">
        <v>132490.482778159</v>
      </c>
      <c r="O23" s="446">
        <v>1.1531100478468899</v>
      </c>
      <c r="P23" s="447">
        <v>0.882223040117777</v>
      </c>
      <c r="Q23" s="448">
        <v>0.11777695988222305</v>
      </c>
      <c r="R23" s="443">
        <v>682738.0380482166</v>
      </c>
      <c r="S23" s="443">
        <v>461530.9137205945</v>
      </c>
      <c r="T23" s="443">
        <v>84095.74731964618</v>
      </c>
      <c r="U23" s="443">
        <v>168327.74330300814</v>
      </c>
      <c r="V23" s="443">
        <v>155664.27267499338</v>
      </c>
      <c r="W23" s="446">
        <v>1.0813511694777544</v>
      </c>
      <c r="X23" s="448">
        <v>20.19042186787792</v>
      </c>
      <c r="Y23" s="443">
        <v>84095.74731964618</v>
      </c>
      <c r="Z23" s="443">
        <v>65542.8516526288</v>
      </c>
      <c r="AA23" s="444">
        <v>1.2830651276106517</v>
      </c>
      <c r="AB23" s="444">
        <v>0.10526315789473684</v>
      </c>
      <c r="AC23" s="445">
        <v>291</v>
      </c>
      <c r="AD23" s="445">
        <v>281</v>
      </c>
      <c r="AE23" s="443">
        <v>713954.4043432488</v>
      </c>
      <c r="AF23" s="443">
        <v>122263.10204850067</v>
      </c>
      <c r="AG23" s="447">
        <v>1</v>
      </c>
      <c r="AH23" s="446">
        <v>0.4771150516765688</v>
      </c>
      <c r="AI23" s="448">
        <v>0.4017833173274994</v>
      </c>
      <c r="AJ23" s="443">
        <v>836217.5063917495</v>
      </c>
      <c r="AK23" s="449">
        <v>1</v>
      </c>
      <c r="AL23" s="443">
        <v>836217.5063917495</v>
      </c>
      <c r="AM23" s="443">
        <v>1863732.7756094062</v>
      </c>
      <c r="AN23" s="443">
        <v>1840972.2275098315</v>
      </c>
      <c r="AO23" s="443">
        <v>1872943.7870276102</v>
      </c>
      <c r="AP23" s="443">
        <v>1872943.7870276102</v>
      </c>
      <c r="AQ23" s="443">
        <v>10868</v>
      </c>
      <c r="AR23" s="443">
        <v>1883811.7870276102</v>
      </c>
      <c r="AS23" s="450">
        <v>693.3425789575305</v>
      </c>
      <c r="AT23" s="446">
        <v>2717</v>
      </c>
      <c r="AU23" s="446">
        <v>0</v>
      </c>
      <c r="AV23" s="446">
        <v>96</v>
      </c>
      <c r="AW23" s="446">
        <v>335</v>
      </c>
      <c r="AX23" s="446">
        <v>1</v>
      </c>
      <c r="AY23" s="446">
        <v>661</v>
      </c>
      <c r="AZ23" s="446">
        <v>54</v>
      </c>
      <c r="BA23" s="446">
        <v>151</v>
      </c>
      <c r="BB23" s="446">
        <v>0</v>
      </c>
      <c r="BC23" s="446">
        <v>56</v>
      </c>
      <c r="BD23" s="446">
        <v>887</v>
      </c>
      <c r="BE23" s="446">
        <v>320</v>
      </c>
      <c r="BF23" s="446">
        <v>0</v>
      </c>
      <c r="BG23" s="446">
        <v>156</v>
      </c>
      <c r="BH23" s="446">
        <v>0</v>
      </c>
      <c r="BI23" s="446">
        <v>0</v>
      </c>
      <c r="BJ23" s="448">
        <v>1.4662739840978833</v>
      </c>
      <c r="BK23" s="448">
        <v>15.245342003556013</v>
      </c>
      <c r="BL23" s="448">
        <v>13.290809187943367</v>
      </c>
      <c r="BM23" s="448">
        <v>3.9090656312252925</v>
      </c>
      <c r="BN23" s="445">
        <v>2397</v>
      </c>
      <c r="BO23" s="445">
        <v>320</v>
      </c>
      <c r="BP23" s="443">
        <v>784308.4878199737</v>
      </c>
      <c r="BQ23" s="443">
        <v>2876195</v>
      </c>
      <c r="BR23" s="443">
        <v>3729878</v>
      </c>
      <c r="BS23" s="444">
        <v>0.10526315789473684</v>
      </c>
      <c r="BT23" s="445">
        <v>291</v>
      </c>
      <c r="BU23" s="445">
        <v>281</v>
      </c>
      <c r="BV23" s="443">
        <v>392618.7368421052</v>
      </c>
      <c r="BW23" s="444">
        <v>0.011778962449137944</v>
      </c>
      <c r="BX23" s="443">
        <v>6287.081624157011</v>
      </c>
      <c r="BY23" s="443">
        <v>4059409.3062862363</v>
      </c>
      <c r="BZ23" s="451">
        <v>0.99</v>
      </c>
      <c r="CA23" s="443">
        <v>4018815.2132233735</v>
      </c>
      <c r="CB23" s="443">
        <v>2940719.000164443</v>
      </c>
      <c r="CC23" s="443">
        <v>2940719.000164443</v>
      </c>
      <c r="CD23" s="443">
        <v>3062047.6075856076</v>
      </c>
      <c r="CE23" s="443">
        <v>3062047.6075856076</v>
      </c>
      <c r="CF23" s="450">
        <v>1126.9958069877098</v>
      </c>
      <c r="CG23" s="446">
        <v>2717</v>
      </c>
      <c r="CH23" s="446">
        <v>0</v>
      </c>
      <c r="CI23" s="446">
        <v>96</v>
      </c>
      <c r="CJ23" s="446">
        <v>335</v>
      </c>
      <c r="CK23" s="446">
        <v>1</v>
      </c>
      <c r="CL23" s="446">
        <v>661</v>
      </c>
      <c r="CM23" s="446">
        <v>54</v>
      </c>
      <c r="CN23" s="446">
        <v>151</v>
      </c>
      <c r="CO23" s="446">
        <v>0</v>
      </c>
      <c r="CP23" s="446">
        <v>56</v>
      </c>
      <c r="CQ23" s="446">
        <v>887</v>
      </c>
      <c r="CR23" s="446">
        <v>320</v>
      </c>
      <c r="CS23" s="446">
        <v>0</v>
      </c>
      <c r="CT23" s="446">
        <v>156</v>
      </c>
      <c r="CU23" s="446">
        <v>0</v>
      </c>
      <c r="CV23" s="446">
        <v>0</v>
      </c>
      <c r="CW23" s="443">
        <v>1969852.0210938423</v>
      </c>
      <c r="CX23" s="448">
        <v>0.9665009541320998</v>
      </c>
      <c r="CY23" s="448">
        <v>0.99</v>
      </c>
      <c r="CZ23" s="443">
        <v>1903863.8578862438</v>
      </c>
      <c r="DA23" s="450">
        <v>700.7228037858829</v>
      </c>
      <c r="DB23" s="445">
        <v>2717</v>
      </c>
      <c r="DC23" s="448">
        <v>0.9971659919028341</v>
      </c>
      <c r="DD23" s="450">
        <v>323.7</v>
      </c>
      <c r="DE23" s="443">
        <v>22096</v>
      </c>
      <c r="DF23" s="450">
        <v>46.28297128651642</v>
      </c>
      <c r="DG23" s="450">
        <v>48.27313905183662</v>
      </c>
      <c r="DH23" s="450">
        <v>49.335148110977016</v>
      </c>
      <c r="DI23" s="450">
        <v>50.4205213694185</v>
      </c>
      <c r="DJ23" s="450">
        <v>52.08439857460931</v>
      </c>
      <c r="DK23" s="450">
        <v>53.959436923295236</v>
      </c>
      <c r="DL23" s="450">
        <v>55.686138904840675</v>
      </c>
      <c r="DM23" s="450">
        <v>57.969270599939136</v>
      </c>
      <c r="DN23" s="450">
        <v>60.519918506336445</v>
      </c>
      <c r="DO23" s="450">
        <v>63.848514024184944</v>
      </c>
      <c r="DP23" s="450">
        <v>63.273877397967276</v>
      </c>
      <c r="DQ23" s="450">
        <v>66.5008451452636</v>
      </c>
      <c r="DR23" s="450">
        <v>39.03</v>
      </c>
      <c r="DS23" s="450">
        <v>40.833308811097695</v>
      </c>
      <c r="DT23" s="450">
        <v>42.69707268988369</v>
      </c>
      <c r="DU23" s="450">
        <v>45.10336639939478</v>
      </c>
      <c r="DV23" s="450">
        <v>47.760280351704736</v>
      </c>
      <c r="DW23" s="450">
        <v>50.35486425327285</v>
      </c>
      <c r="DX23" s="450">
        <v>53.529385070113456</v>
      </c>
      <c r="DY23" s="450">
        <v>56.399704734658215</v>
      </c>
      <c r="DZ23" s="450">
        <v>58.04308601689805</v>
      </c>
      <c r="EA23" s="450">
        <v>59.394697967573755</v>
      </c>
      <c r="EB23" s="450">
        <v>63.23923108018873</v>
      </c>
      <c r="EC23" s="450">
        <v>0</v>
      </c>
      <c r="ED23" s="450">
        <v>63.23923108018873</v>
      </c>
      <c r="EE23" s="450">
        <v>3288.440016169814</v>
      </c>
      <c r="EF23" s="443">
        <v>8755997.693454716</v>
      </c>
      <c r="EG23" s="450">
        <v>46.43</v>
      </c>
      <c r="EH23" s="450">
        <v>47.63982881109769</v>
      </c>
      <c r="EI23" s="450">
        <v>48.88041796988369</v>
      </c>
      <c r="EJ23" s="450">
        <v>50.69233761435478</v>
      </c>
      <c r="EK23" s="450">
        <v>52.72328679058921</v>
      </c>
      <c r="EL23" s="450">
        <v>54.623049790713495</v>
      </c>
      <c r="EM23" s="450">
        <v>57.08392998569402</v>
      </c>
      <c r="EN23" s="450">
        <v>59.69832241631698</v>
      </c>
      <c r="EO23" s="450">
        <v>61.18886774597329</v>
      </c>
      <c r="EP23" s="450">
        <v>61.49670522020342</v>
      </c>
      <c r="EQ23" s="450">
        <v>65.00659877819974</v>
      </c>
      <c r="ER23" s="443">
        <v>18874650</v>
      </c>
      <c r="ES23" s="443">
        <v>154000</v>
      </c>
      <c r="ET23" s="443">
        <v>0</v>
      </c>
      <c r="EU23" s="443">
        <v>0</v>
      </c>
      <c r="EV23" s="443">
        <v>0</v>
      </c>
      <c r="EW23" s="443">
        <v>0</v>
      </c>
      <c r="EX23" s="443">
        <v>0</v>
      </c>
      <c r="EY23" s="443">
        <v>0</v>
      </c>
      <c r="EZ23" s="443">
        <v>0</v>
      </c>
      <c r="FA23" s="443">
        <v>18951650</v>
      </c>
      <c r="FB23" s="443">
        <v>48194.00913986258</v>
      </c>
      <c r="FC23" s="443">
        <v>0</v>
      </c>
      <c r="FD23" s="443">
        <v>0</v>
      </c>
      <c r="FE23" s="443">
        <v>3143</v>
      </c>
      <c r="FF23" s="452">
        <v>0.0463</v>
      </c>
      <c r="FG23" s="443">
        <v>145.5209</v>
      </c>
      <c r="FH23" s="453">
        <v>145.5209</v>
      </c>
    </row>
    <row r="24" spans="2:164" ht="12.75">
      <c r="B24" s="356" t="s">
        <v>713</v>
      </c>
      <c r="C24" s="442">
        <v>11395.45</v>
      </c>
      <c r="D24" s="443">
        <v>2685939.85</v>
      </c>
      <c r="E24" s="443">
        <v>2304536.3913000003</v>
      </c>
      <c r="F24" s="443">
        <v>351685.6365048685</v>
      </c>
      <c r="G24" s="443">
        <v>381403.4587000001</v>
      </c>
      <c r="H24" s="444">
        <v>0.45239020837264</v>
      </c>
      <c r="I24" s="445">
        <v>4302.26</v>
      </c>
      <c r="J24" s="445">
        <v>852.93</v>
      </c>
      <c r="K24" s="443">
        <v>2656222.0278048688</v>
      </c>
      <c r="L24" s="443">
        <v>2124977.622243895</v>
      </c>
      <c r="M24" s="443">
        <v>659826.5815345419</v>
      </c>
      <c r="N24" s="443">
        <v>531244.4055609737</v>
      </c>
      <c r="O24" s="446">
        <v>1.2420395859751039</v>
      </c>
      <c r="P24" s="447">
        <v>0.8137458371543027</v>
      </c>
      <c r="Q24" s="448">
        <v>0.18621467340034836</v>
      </c>
      <c r="R24" s="443">
        <v>2784804.2037784373</v>
      </c>
      <c r="S24" s="443">
        <v>1882527.6417542237</v>
      </c>
      <c r="T24" s="443">
        <v>200172.66249607658</v>
      </c>
      <c r="U24" s="443">
        <v>501947.18287668895</v>
      </c>
      <c r="V24" s="443">
        <v>634935.3584614837</v>
      </c>
      <c r="W24" s="446">
        <v>0.7905484805460522</v>
      </c>
      <c r="X24" s="448">
        <v>14.76070658613463</v>
      </c>
      <c r="Y24" s="443">
        <v>200172.66249607658</v>
      </c>
      <c r="Z24" s="443">
        <v>267341.20356273</v>
      </c>
      <c r="AA24" s="444">
        <v>0.7487535023725113</v>
      </c>
      <c r="AB24" s="444">
        <v>0.061428026098135656</v>
      </c>
      <c r="AC24" s="445">
        <v>669</v>
      </c>
      <c r="AD24" s="445">
        <v>731</v>
      </c>
      <c r="AE24" s="443">
        <v>2584647.4871269893</v>
      </c>
      <c r="AF24" s="443">
        <v>68980.28461615695</v>
      </c>
      <c r="AG24" s="447">
        <v>0.25</v>
      </c>
      <c r="AH24" s="446">
        <v>0.20540225760284705</v>
      </c>
      <c r="AI24" s="448">
        <v>0.17297127842903137</v>
      </c>
      <c r="AJ24" s="443">
        <v>2653627.7717431462</v>
      </c>
      <c r="AK24" s="449">
        <v>1.0752460753535806</v>
      </c>
      <c r="AL24" s="443">
        <v>2853302.8470160854</v>
      </c>
      <c r="AM24" s="443">
        <v>6359343.106400168</v>
      </c>
      <c r="AN24" s="443">
        <v>6281680.61285541</v>
      </c>
      <c r="AO24" s="443">
        <v>6058824.988768539</v>
      </c>
      <c r="AP24" s="443">
        <v>6281680.61285541</v>
      </c>
      <c r="AQ24" s="443">
        <v>45581.8</v>
      </c>
      <c r="AR24" s="443">
        <v>6327262.41285541</v>
      </c>
      <c r="AS24" s="450">
        <v>555.2446294666213</v>
      </c>
      <c r="AT24" s="446">
        <v>11271</v>
      </c>
      <c r="AU24" s="446">
        <v>0</v>
      </c>
      <c r="AV24" s="446">
        <v>4</v>
      </c>
      <c r="AW24" s="446">
        <v>1</v>
      </c>
      <c r="AX24" s="446">
        <v>214</v>
      </c>
      <c r="AY24" s="446">
        <v>2169</v>
      </c>
      <c r="AZ24" s="446">
        <v>591</v>
      </c>
      <c r="BA24" s="446">
        <v>703</v>
      </c>
      <c r="BB24" s="446">
        <v>1651</v>
      </c>
      <c r="BC24" s="446">
        <v>0</v>
      </c>
      <c r="BD24" s="446">
        <v>2646</v>
      </c>
      <c r="BE24" s="446">
        <v>2028</v>
      </c>
      <c r="BF24" s="446">
        <v>94</v>
      </c>
      <c r="BG24" s="446">
        <v>1170</v>
      </c>
      <c r="BH24" s="446">
        <v>0</v>
      </c>
      <c r="BI24" s="446">
        <v>0</v>
      </c>
      <c r="BJ24" s="448">
        <v>1.6168288162847106</v>
      </c>
      <c r="BK24" s="448">
        <v>17.81221751008807</v>
      </c>
      <c r="BL24" s="448">
        <v>10.542849381843524</v>
      </c>
      <c r="BM24" s="448">
        <v>14.538736256489095</v>
      </c>
      <c r="BN24" s="445">
        <v>9149</v>
      </c>
      <c r="BO24" s="445">
        <v>2122</v>
      </c>
      <c r="BP24" s="443">
        <v>3585930.678232718</v>
      </c>
      <c r="BQ24" s="443">
        <v>12176438</v>
      </c>
      <c r="BR24" s="443">
        <v>15403731</v>
      </c>
      <c r="BS24" s="444">
        <v>0.0621062904799929</v>
      </c>
      <c r="BT24" s="445">
        <v>669</v>
      </c>
      <c r="BU24" s="445">
        <v>731</v>
      </c>
      <c r="BV24" s="443">
        <v>956668.5919616715</v>
      </c>
      <c r="BW24" s="444">
        <v>0.010279011462992402</v>
      </c>
      <c r="BX24" s="443">
        <v>26591.757494639976</v>
      </c>
      <c r="BY24" s="443">
        <v>16745629.02768903</v>
      </c>
      <c r="BZ24" s="451">
        <v>1.04</v>
      </c>
      <c r="CA24" s="443">
        <v>17415454.18879659</v>
      </c>
      <c r="CB24" s="443">
        <v>12743546.122990403</v>
      </c>
      <c r="CC24" s="443">
        <v>12743546.122990403</v>
      </c>
      <c r="CD24" s="443">
        <v>12328659.794794677</v>
      </c>
      <c r="CE24" s="443">
        <v>12652979.689102003</v>
      </c>
      <c r="CF24" s="450">
        <v>1122.613760012599</v>
      </c>
      <c r="CG24" s="446">
        <v>11271</v>
      </c>
      <c r="CH24" s="446">
        <v>0</v>
      </c>
      <c r="CI24" s="446">
        <v>4</v>
      </c>
      <c r="CJ24" s="446">
        <v>1</v>
      </c>
      <c r="CK24" s="446">
        <v>214</v>
      </c>
      <c r="CL24" s="446">
        <v>2169</v>
      </c>
      <c r="CM24" s="446">
        <v>591</v>
      </c>
      <c r="CN24" s="446">
        <v>703</v>
      </c>
      <c r="CO24" s="446">
        <v>1651</v>
      </c>
      <c r="CP24" s="446">
        <v>0</v>
      </c>
      <c r="CQ24" s="446">
        <v>2646</v>
      </c>
      <c r="CR24" s="446">
        <v>2028</v>
      </c>
      <c r="CS24" s="446">
        <v>94</v>
      </c>
      <c r="CT24" s="446">
        <v>1170</v>
      </c>
      <c r="CU24" s="446">
        <v>0</v>
      </c>
      <c r="CV24" s="446">
        <v>0</v>
      </c>
      <c r="CW24" s="443">
        <v>8386569.900322184</v>
      </c>
      <c r="CX24" s="448">
        <v>1.015314133633721</v>
      </c>
      <c r="CY24" s="448">
        <v>1.04</v>
      </c>
      <c r="CZ24" s="443">
        <v>8515002.95250426</v>
      </c>
      <c r="DA24" s="450">
        <v>755.4789240088954</v>
      </c>
      <c r="DB24" s="445">
        <v>11395.45</v>
      </c>
      <c r="DC24" s="448">
        <v>0.9998380932740699</v>
      </c>
      <c r="DD24" s="450">
        <v>325.9</v>
      </c>
      <c r="DE24" s="443">
        <v>43129</v>
      </c>
      <c r="DF24" s="450">
        <v>53.580872708087114</v>
      </c>
      <c r="DG24" s="450">
        <v>55.88485023453485</v>
      </c>
      <c r="DH24" s="450">
        <v>57.11431693969461</v>
      </c>
      <c r="DI24" s="450">
        <v>58.37083191236788</v>
      </c>
      <c r="DJ24" s="450">
        <v>60.29706936547602</v>
      </c>
      <c r="DK24" s="450">
        <v>62.46776386263314</v>
      </c>
      <c r="DL24" s="450">
        <v>64.46673230623739</v>
      </c>
      <c r="DM24" s="450">
        <v>67.10986833079312</v>
      </c>
      <c r="DN24" s="450">
        <v>70.062702537348</v>
      </c>
      <c r="DO24" s="450">
        <v>73.91615117690213</v>
      </c>
      <c r="DP24" s="450">
        <v>73.25090581631001</v>
      </c>
      <c r="DQ24" s="450">
        <v>76.98670201294182</v>
      </c>
      <c r="DR24" s="450">
        <v>44.91</v>
      </c>
      <c r="DS24" s="450">
        <v>47.01964969396945</v>
      </c>
      <c r="DT24" s="450">
        <v>49.200387534473556</v>
      </c>
      <c r="DU24" s="450">
        <v>52.008133953406784</v>
      </c>
      <c r="DV24" s="450">
        <v>55.10718921671567</v>
      </c>
      <c r="DW24" s="450">
        <v>58.136638110748365</v>
      </c>
      <c r="DX24" s="450">
        <v>61.83816588478986</v>
      </c>
      <c r="DY24" s="450">
        <v>65.17056266745698</v>
      </c>
      <c r="DZ24" s="450">
        <v>67.07873667565828</v>
      </c>
      <c r="EA24" s="450">
        <v>68.68215435526226</v>
      </c>
      <c r="EB24" s="450">
        <v>73.14529578449286</v>
      </c>
      <c r="EC24" s="450">
        <v>-0.23</v>
      </c>
      <c r="ED24" s="450">
        <v>72.91529578449286</v>
      </c>
      <c r="EE24" s="450">
        <v>3791.5953807936285</v>
      </c>
      <c r="EF24" s="443">
        <v>42342796.87042346</v>
      </c>
      <c r="EG24" s="450">
        <v>45.72</v>
      </c>
      <c r="EH24" s="450">
        <v>47.76468769396945</v>
      </c>
      <c r="EI24" s="450">
        <v>49.87721316647356</v>
      </c>
      <c r="EJ24" s="450">
        <v>52.619899721530786</v>
      </c>
      <c r="EK24" s="450">
        <v>55.65043721880978</v>
      </c>
      <c r="EL24" s="450">
        <v>58.603831392549296</v>
      </c>
      <c r="EM24" s="450">
        <v>62.22724444987367</v>
      </c>
      <c r="EN24" s="450">
        <v>65.53162757585476</v>
      </c>
      <c r="EO24" s="450">
        <v>67.4230722433003</v>
      </c>
      <c r="EP24" s="450">
        <v>68.91223893291496</v>
      </c>
      <c r="EQ24" s="450">
        <v>73.33875089738326</v>
      </c>
      <c r="ER24" s="443">
        <v>151665657</v>
      </c>
      <c r="ES24" s="443">
        <v>1149000</v>
      </c>
      <c r="ET24" s="443">
        <v>0</v>
      </c>
      <c r="EU24" s="443">
        <v>0</v>
      </c>
      <c r="EV24" s="443">
        <v>10000000</v>
      </c>
      <c r="EW24" s="443">
        <v>0</v>
      </c>
      <c r="EX24" s="443">
        <v>0</v>
      </c>
      <c r="EY24" s="443">
        <v>0</v>
      </c>
      <c r="EZ24" s="443">
        <v>0</v>
      </c>
      <c r="FA24" s="443">
        <v>157240157</v>
      </c>
      <c r="FB24" s="443">
        <v>113631.65822587916</v>
      </c>
      <c r="FC24" s="443">
        <v>0</v>
      </c>
      <c r="FD24" s="443">
        <v>0</v>
      </c>
      <c r="FE24" s="443">
        <v>9002</v>
      </c>
      <c r="FF24" s="452">
        <v>0.07519999999999999</v>
      </c>
      <c r="FG24" s="443">
        <v>676.9504</v>
      </c>
      <c r="FH24" s="453">
        <v>676.9504</v>
      </c>
    </row>
    <row r="25" spans="2:164" ht="12.75">
      <c r="B25" s="356" t="s">
        <v>714</v>
      </c>
      <c r="C25" s="442">
        <v>6946</v>
      </c>
      <c r="D25" s="443">
        <v>1649218</v>
      </c>
      <c r="E25" s="443">
        <v>1415029.044</v>
      </c>
      <c r="F25" s="443">
        <v>144730.20562513525</v>
      </c>
      <c r="G25" s="443">
        <v>234188.95600000003</v>
      </c>
      <c r="H25" s="444">
        <v>0.3032047221422402</v>
      </c>
      <c r="I25" s="445">
        <v>1408.87</v>
      </c>
      <c r="J25" s="445">
        <v>697.19</v>
      </c>
      <c r="K25" s="443">
        <v>1559759.2496251352</v>
      </c>
      <c r="L25" s="443">
        <v>1247807.3997001082</v>
      </c>
      <c r="M25" s="443">
        <v>344238.37237119774</v>
      </c>
      <c r="N25" s="443">
        <v>311951.849925027</v>
      </c>
      <c r="O25" s="446">
        <v>1.1034984163547366</v>
      </c>
      <c r="P25" s="447">
        <v>0.9203858335732796</v>
      </c>
      <c r="Q25" s="448">
        <v>0.07961416642672041</v>
      </c>
      <c r="R25" s="443">
        <v>1592045.772071306</v>
      </c>
      <c r="S25" s="443">
        <v>1076222.941920203</v>
      </c>
      <c r="T25" s="443">
        <v>171113.78160679984</v>
      </c>
      <c r="U25" s="443">
        <v>321671.4490007747</v>
      </c>
      <c r="V25" s="443">
        <v>362986.43603225774</v>
      </c>
      <c r="W25" s="446">
        <v>0.8861803557094584</v>
      </c>
      <c r="X25" s="448">
        <v>16.546294800274097</v>
      </c>
      <c r="Y25" s="443">
        <v>171113.78160679984</v>
      </c>
      <c r="Z25" s="443">
        <v>152836.39411884538</v>
      </c>
      <c r="AA25" s="444">
        <v>1.1195879266409674</v>
      </c>
      <c r="AB25" s="444">
        <v>0.09185142528073711</v>
      </c>
      <c r="AC25" s="445">
        <v>657</v>
      </c>
      <c r="AD25" s="445">
        <v>619</v>
      </c>
      <c r="AE25" s="443">
        <v>1569008.1725277775</v>
      </c>
      <c r="AF25" s="443">
        <v>100458.98230262431</v>
      </c>
      <c r="AG25" s="447">
        <v>0.5</v>
      </c>
      <c r="AH25" s="446">
        <v>0.26700271300216727</v>
      </c>
      <c r="AI25" s="448">
        <v>0.22484563291072845</v>
      </c>
      <c r="AJ25" s="443">
        <v>1669467.1548304018</v>
      </c>
      <c r="AK25" s="449">
        <v>1</v>
      </c>
      <c r="AL25" s="443">
        <v>1669467.1548304018</v>
      </c>
      <c r="AM25" s="443">
        <v>3720850.8916377095</v>
      </c>
      <c r="AN25" s="443">
        <v>3675410.5759450407</v>
      </c>
      <c r="AO25" s="443">
        <v>3627161.8555447157</v>
      </c>
      <c r="AP25" s="443">
        <v>3675410.5759450407</v>
      </c>
      <c r="AQ25" s="443">
        <v>27784</v>
      </c>
      <c r="AR25" s="443">
        <v>3703194.5759450407</v>
      </c>
      <c r="AS25" s="450">
        <v>533.1405954427067</v>
      </c>
      <c r="AT25" s="446">
        <v>6946</v>
      </c>
      <c r="AU25" s="446">
        <v>81</v>
      </c>
      <c r="AV25" s="446">
        <v>571</v>
      </c>
      <c r="AW25" s="446">
        <v>145</v>
      </c>
      <c r="AX25" s="446">
        <v>66</v>
      </c>
      <c r="AY25" s="446">
        <v>984</v>
      </c>
      <c r="AZ25" s="446">
        <v>269</v>
      </c>
      <c r="BA25" s="446">
        <v>178</v>
      </c>
      <c r="BB25" s="446">
        <v>618</v>
      </c>
      <c r="BC25" s="446">
        <v>20</v>
      </c>
      <c r="BD25" s="446">
        <v>1010</v>
      </c>
      <c r="BE25" s="446">
        <v>553</v>
      </c>
      <c r="BF25" s="446">
        <v>0</v>
      </c>
      <c r="BG25" s="446">
        <v>2451</v>
      </c>
      <c r="BH25" s="446">
        <v>0</v>
      </c>
      <c r="BI25" s="446">
        <v>0</v>
      </c>
      <c r="BJ25" s="448">
        <v>1.630167297624384</v>
      </c>
      <c r="BK25" s="448">
        <v>22.192935498597834</v>
      </c>
      <c r="BL25" s="448">
        <v>15.865718678699281</v>
      </c>
      <c r="BM25" s="448">
        <v>12.654433639797103</v>
      </c>
      <c r="BN25" s="445">
        <v>6393</v>
      </c>
      <c r="BO25" s="445">
        <v>553</v>
      </c>
      <c r="BP25" s="443">
        <v>2460458.7771561136</v>
      </c>
      <c r="BQ25" s="443">
        <v>7040331</v>
      </c>
      <c r="BR25" s="443">
        <v>9163925</v>
      </c>
      <c r="BS25" s="444">
        <v>0.09185142528073711</v>
      </c>
      <c r="BT25" s="445">
        <v>657</v>
      </c>
      <c r="BU25" s="445">
        <v>619</v>
      </c>
      <c r="BV25" s="443">
        <v>841719.5724157789</v>
      </c>
      <c r="BW25" s="444">
        <v>0.01081474743049054</v>
      </c>
      <c r="BX25" s="443">
        <v>21482.319073431157</v>
      </c>
      <c r="BY25" s="443">
        <v>10363991.668645322</v>
      </c>
      <c r="BZ25" s="451">
        <v>0.9066666666666667</v>
      </c>
      <c r="CA25" s="443">
        <v>9396685.77957176</v>
      </c>
      <c r="CB25" s="443">
        <v>6875910.173635</v>
      </c>
      <c r="CC25" s="443">
        <v>6875910.173635</v>
      </c>
      <c r="CD25" s="443">
        <v>6793227.02155943</v>
      </c>
      <c r="CE25" s="443">
        <v>6827044.131314203</v>
      </c>
      <c r="CF25" s="450">
        <v>982.874191090441</v>
      </c>
      <c r="CG25" s="446">
        <v>6946</v>
      </c>
      <c r="CH25" s="446">
        <v>81</v>
      </c>
      <c r="CI25" s="446">
        <v>571</v>
      </c>
      <c r="CJ25" s="446">
        <v>145</v>
      </c>
      <c r="CK25" s="446">
        <v>66</v>
      </c>
      <c r="CL25" s="446">
        <v>984</v>
      </c>
      <c r="CM25" s="446">
        <v>269</v>
      </c>
      <c r="CN25" s="446">
        <v>178</v>
      </c>
      <c r="CO25" s="446">
        <v>618</v>
      </c>
      <c r="CP25" s="446">
        <v>20</v>
      </c>
      <c r="CQ25" s="446">
        <v>1010</v>
      </c>
      <c r="CR25" s="446">
        <v>553</v>
      </c>
      <c r="CS25" s="446">
        <v>0</v>
      </c>
      <c r="CT25" s="446">
        <v>2451</v>
      </c>
      <c r="CU25" s="446">
        <v>0</v>
      </c>
      <c r="CV25" s="446">
        <v>0</v>
      </c>
      <c r="CW25" s="443">
        <v>4710879.351859986</v>
      </c>
      <c r="CX25" s="448">
        <v>0.8851456549627312</v>
      </c>
      <c r="CY25" s="448">
        <v>0.9066666666666667</v>
      </c>
      <c r="CZ25" s="443">
        <v>4169814.389352514</v>
      </c>
      <c r="DA25" s="450">
        <v>600.3188006554152</v>
      </c>
      <c r="DB25" s="445">
        <v>6946</v>
      </c>
      <c r="DC25" s="448">
        <v>1.0084077166714656</v>
      </c>
      <c r="DD25" s="450">
        <v>298</v>
      </c>
      <c r="DE25" s="443">
        <v>25447</v>
      </c>
      <c r="DF25" s="450">
        <v>44.69469514421087</v>
      </c>
      <c r="DG25" s="450">
        <v>46.61656703541193</v>
      </c>
      <c r="DH25" s="450">
        <v>47.642131510190985</v>
      </c>
      <c r="DI25" s="450">
        <v>48.69025840341518</v>
      </c>
      <c r="DJ25" s="450">
        <v>50.29703693072788</v>
      </c>
      <c r="DK25" s="450">
        <v>52.10773026023407</v>
      </c>
      <c r="DL25" s="450">
        <v>53.77517762856155</v>
      </c>
      <c r="DM25" s="450">
        <v>55.97995991133257</v>
      </c>
      <c r="DN25" s="450">
        <v>58.443078147431194</v>
      </c>
      <c r="DO25" s="450">
        <v>61.65744744553991</v>
      </c>
      <c r="DP25" s="450">
        <v>61.10253041853005</v>
      </c>
      <c r="DQ25" s="450">
        <v>64.21875946987508</v>
      </c>
      <c r="DR25" s="450">
        <v>35.46</v>
      </c>
      <c r="DS25" s="450">
        <v>37.38032115101909</v>
      </c>
      <c r="DT25" s="450">
        <v>39.36797379268302</v>
      </c>
      <c r="DU25" s="450">
        <v>41.87085692820234</v>
      </c>
      <c r="DV25" s="450">
        <v>44.6252824179914</v>
      </c>
      <c r="DW25" s="450">
        <v>47.340272484232855</v>
      </c>
      <c r="DX25" s="450">
        <v>50.62097090713563</v>
      </c>
      <c r="DY25" s="450">
        <v>53.46993635153643</v>
      </c>
      <c r="DZ25" s="450">
        <v>55.10299246361791</v>
      </c>
      <c r="EA25" s="450">
        <v>56.722852139616265</v>
      </c>
      <c r="EB25" s="450">
        <v>60.53632597296437</v>
      </c>
      <c r="EC25" s="450">
        <v>0</v>
      </c>
      <c r="ED25" s="450">
        <v>60.53632597296437</v>
      </c>
      <c r="EE25" s="450">
        <v>3147.8889505941474</v>
      </c>
      <c r="EF25" s="443">
        <v>21427931.91781041</v>
      </c>
      <c r="EG25" s="450">
        <v>40.65</v>
      </c>
      <c r="EH25" s="450">
        <v>42.154083151019094</v>
      </c>
      <c r="EI25" s="450">
        <v>43.70467136068303</v>
      </c>
      <c r="EJ25" s="450">
        <v>45.79068944247835</v>
      </c>
      <c r="EK25" s="450">
        <v>48.106093690668494</v>
      </c>
      <c r="EL25" s="450">
        <v>50.33377017873515</v>
      </c>
      <c r="EM25" s="450">
        <v>53.11395578711715</v>
      </c>
      <c r="EN25" s="450">
        <v>55.78342632015928</v>
      </c>
      <c r="EO25" s="450">
        <v>57.30929073036123</v>
      </c>
      <c r="EP25" s="450">
        <v>58.19709776679842</v>
      </c>
      <c r="EQ25" s="450">
        <v>61.77587169629913</v>
      </c>
      <c r="ER25" s="443">
        <v>68677791</v>
      </c>
      <c r="ES25" s="443">
        <v>440000</v>
      </c>
      <c r="ET25" s="443">
        <v>0</v>
      </c>
      <c r="EU25" s="443">
        <v>0</v>
      </c>
      <c r="EV25" s="443">
        <v>10500000</v>
      </c>
      <c r="EW25" s="443">
        <v>0</v>
      </c>
      <c r="EX25" s="443">
        <v>0</v>
      </c>
      <c r="EY25" s="443">
        <v>0</v>
      </c>
      <c r="EZ25" s="443">
        <v>0</v>
      </c>
      <c r="FA25" s="443">
        <v>74147791</v>
      </c>
      <c r="FB25" s="443">
        <v>74312.63449793584</v>
      </c>
      <c r="FC25" s="443">
        <v>0</v>
      </c>
      <c r="FD25" s="443">
        <v>0</v>
      </c>
      <c r="FE25" s="443">
        <v>10300</v>
      </c>
      <c r="FF25" s="452">
        <v>0.0507</v>
      </c>
      <c r="FG25" s="443">
        <v>522.21</v>
      </c>
      <c r="FH25" s="453">
        <v>522.21</v>
      </c>
    </row>
    <row r="26" spans="2:164" ht="12.75">
      <c r="B26" s="356" t="s">
        <v>715</v>
      </c>
      <c r="C26" s="442">
        <v>64720</v>
      </c>
      <c r="D26" s="443">
        <v>15110560</v>
      </c>
      <c r="E26" s="443">
        <v>12964860.48</v>
      </c>
      <c r="F26" s="443">
        <v>2191538.7315894063</v>
      </c>
      <c r="G26" s="443">
        <v>2145699.52</v>
      </c>
      <c r="H26" s="444">
        <v>0.5010988875154512</v>
      </c>
      <c r="I26" s="445">
        <v>28125.78</v>
      </c>
      <c r="J26" s="445">
        <v>4305.34</v>
      </c>
      <c r="K26" s="443">
        <v>15156399.211589407</v>
      </c>
      <c r="L26" s="443">
        <v>12125119.369271526</v>
      </c>
      <c r="M26" s="443">
        <v>4066069.4158075294</v>
      </c>
      <c r="N26" s="443">
        <v>3031279.8423178806</v>
      </c>
      <c r="O26" s="446">
        <v>1.341370519159456</v>
      </c>
      <c r="P26" s="447">
        <v>0.7374072929542645</v>
      </c>
      <c r="Q26" s="448">
        <v>0.26259270704573545</v>
      </c>
      <c r="R26" s="443">
        <v>16191188.785079055</v>
      </c>
      <c r="S26" s="443">
        <v>10945243.618713442</v>
      </c>
      <c r="T26" s="443">
        <v>1753958.5727006113</v>
      </c>
      <c r="U26" s="443">
        <v>4369356.764632266</v>
      </c>
      <c r="V26" s="443">
        <v>3691591.0429980247</v>
      </c>
      <c r="W26" s="446">
        <v>1.1835971844497197</v>
      </c>
      <c r="X26" s="448">
        <v>22.099505831406947</v>
      </c>
      <c r="Y26" s="443">
        <v>1753958.5727006113</v>
      </c>
      <c r="Z26" s="443">
        <v>1554354.1233675892</v>
      </c>
      <c r="AA26" s="444">
        <v>1.1284163282563748</v>
      </c>
      <c r="AB26" s="444">
        <v>0.0925757107540173</v>
      </c>
      <c r="AC26" s="445">
        <v>6026</v>
      </c>
      <c r="AD26" s="445">
        <v>5957</v>
      </c>
      <c r="AE26" s="443">
        <v>17068558.95604632</v>
      </c>
      <c r="AF26" s="443">
        <v>3809764.8047615206</v>
      </c>
      <c r="AG26" s="447">
        <v>1</v>
      </c>
      <c r="AH26" s="446">
        <v>0.6583704575085679</v>
      </c>
      <c r="AI26" s="448">
        <v>0.5544202923774719</v>
      </c>
      <c r="AJ26" s="443">
        <v>20878323.760807842</v>
      </c>
      <c r="AK26" s="449">
        <v>1.011974155871452</v>
      </c>
      <c r="AL26" s="443">
        <v>21128324.063854393</v>
      </c>
      <c r="AM26" s="443">
        <v>47090080.93051671</v>
      </c>
      <c r="AN26" s="443">
        <v>46515000.60459315</v>
      </c>
      <c r="AO26" s="443">
        <v>45641208.085017234</v>
      </c>
      <c r="AP26" s="443">
        <v>46515000.60459315</v>
      </c>
      <c r="AQ26" s="443">
        <v>258880</v>
      </c>
      <c r="AR26" s="443">
        <v>46773880.60459315</v>
      </c>
      <c r="AS26" s="450">
        <v>722.711381405951</v>
      </c>
      <c r="AT26" s="446">
        <v>64666</v>
      </c>
      <c r="AU26" s="446">
        <v>11099</v>
      </c>
      <c r="AV26" s="446">
        <v>3410</v>
      </c>
      <c r="AW26" s="446">
        <v>17</v>
      </c>
      <c r="AX26" s="446">
        <v>1966</v>
      </c>
      <c r="AY26" s="446">
        <v>1064</v>
      </c>
      <c r="AZ26" s="446">
        <v>2143</v>
      </c>
      <c r="BA26" s="446">
        <v>3872</v>
      </c>
      <c r="BB26" s="446">
        <v>5341</v>
      </c>
      <c r="BC26" s="446">
        <v>3528</v>
      </c>
      <c r="BD26" s="446">
        <v>11065</v>
      </c>
      <c r="BE26" s="446">
        <v>6054</v>
      </c>
      <c r="BF26" s="446">
        <v>10941</v>
      </c>
      <c r="BG26" s="446">
        <v>4084</v>
      </c>
      <c r="BH26" s="446">
        <v>13</v>
      </c>
      <c r="BI26" s="446">
        <v>69</v>
      </c>
      <c r="BJ26" s="448">
        <v>1.8077474437434393</v>
      </c>
      <c r="BK26" s="448">
        <v>20.761182921772054</v>
      </c>
      <c r="BL26" s="448">
        <v>11.783946104781181</v>
      </c>
      <c r="BM26" s="448">
        <v>17.95447363398175</v>
      </c>
      <c r="BN26" s="445">
        <v>47671</v>
      </c>
      <c r="BO26" s="445">
        <v>16995</v>
      </c>
      <c r="BP26" s="443">
        <v>21475989.014743634</v>
      </c>
      <c r="BQ26" s="443">
        <v>69791149</v>
      </c>
      <c r="BR26" s="443">
        <v>89324056</v>
      </c>
      <c r="BS26" s="444">
        <v>0.0926530170414128</v>
      </c>
      <c r="BT26" s="445">
        <v>6026</v>
      </c>
      <c r="BU26" s="445">
        <v>5957</v>
      </c>
      <c r="BV26" s="443">
        <v>8276143.282776111</v>
      </c>
      <c r="BW26" s="444">
        <v>0.017006642900137287</v>
      </c>
      <c r="BX26" s="443">
        <v>294213.05329622194</v>
      </c>
      <c r="BY26" s="443">
        <v>99837494.35081595</v>
      </c>
      <c r="BZ26" s="451">
        <v>0.9366666666666665</v>
      </c>
      <c r="CA26" s="443">
        <v>93514453.04193093</v>
      </c>
      <c r="CB26" s="443">
        <v>68428060.07739347</v>
      </c>
      <c r="CC26" s="443">
        <v>68428060.07739347</v>
      </c>
      <c r="CD26" s="443">
        <v>67598013.12628692</v>
      </c>
      <c r="CE26" s="443">
        <v>67941752.31664152</v>
      </c>
      <c r="CF26" s="450">
        <v>1050.6564858912184</v>
      </c>
      <c r="CG26" s="446">
        <v>64666</v>
      </c>
      <c r="CH26" s="446">
        <v>11099</v>
      </c>
      <c r="CI26" s="446">
        <v>3410</v>
      </c>
      <c r="CJ26" s="446">
        <v>17</v>
      </c>
      <c r="CK26" s="446">
        <v>1966</v>
      </c>
      <c r="CL26" s="446">
        <v>1064</v>
      </c>
      <c r="CM26" s="446">
        <v>2143</v>
      </c>
      <c r="CN26" s="446">
        <v>3872</v>
      </c>
      <c r="CO26" s="446">
        <v>5341</v>
      </c>
      <c r="CP26" s="446">
        <v>3528</v>
      </c>
      <c r="CQ26" s="446">
        <v>11065</v>
      </c>
      <c r="CR26" s="446">
        <v>6054</v>
      </c>
      <c r="CS26" s="446">
        <v>10941</v>
      </c>
      <c r="CT26" s="446">
        <v>4084</v>
      </c>
      <c r="CU26" s="446">
        <v>13</v>
      </c>
      <c r="CV26" s="446">
        <v>69</v>
      </c>
      <c r="CW26" s="443">
        <v>45055568.94063844</v>
      </c>
      <c r="CX26" s="448">
        <v>0.9144335626637038</v>
      </c>
      <c r="CY26" s="448">
        <v>0.9366666666666665</v>
      </c>
      <c r="CZ26" s="443">
        <v>41200324.424228124</v>
      </c>
      <c r="DA26" s="450">
        <v>637.1249872302002</v>
      </c>
      <c r="DB26" s="445">
        <v>64720</v>
      </c>
      <c r="DC26" s="448">
        <v>1.0095829728059333</v>
      </c>
      <c r="DD26" s="450">
        <v>320.6</v>
      </c>
      <c r="DE26" s="443">
        <v>36616</v>
      </c>
      <c r="DF26" s="450">
        <v>51.17288601123014</v>
      </c>
      <c r="DG26" s="450">
        <v>53.373320109713035</v>
      </c>
      <c r="DH26" s="450">
        <v>54.54753315212671</v>
      </c>
      <c r="DI26" s="450">
        <v>55.74757888147349</v>
      </c>
      <c r="DJ26" s="450">
        <v>57.58724898456211</v>
      </c>
      <c r="DK26" s="450">
        <v>59.66038994800633</v>
      </c>
      <c r="DL26" s="450">
        <v>61.56952242634252</v>
      </c>
      <c r="DM26" s="450">
        <v>64.09387284582256</v>
      </c>
      <c r="DN26" s="450">
        <v>66.91400325103874</v>
      </c>
      <c r="DO26" s="450">
        <v>70.59427342984586</v>
      </c>
      <c r="DP26" s="450">
        <v>69.95892496897724</v>
      </c>
      <c r="DQ26" s="450">
        <v>73.52683014239508</v>
      </c>
      <c r="DR26" s="450">
        <v>37.79</v>
      </c>
      <c r="DS26" s="450">
        <v>40.213995315212664</v>
      </c>
      <c r="DT26" s="450">
        <v>42.726356064294684</v>
      </c>
      <c r="DU26" s="450">
        <v>45.817691210684615</v>
      </c>
      <c r="DV26" s="450">
        <v>49.20902264480312</v>
      </c>
      <c r="DW26" s="450">
        <v>52.58134654558776</v>
      </c>
      <c r="DX26" s="450">
        <v>56.60851997233</v>
      </c>
      <c r="DY26" s="450">
        <v>59.96759578443765</v>
      </c>
      <c r="DZ26" s="450">
        <v>61.89538207508176</v>
      </c>
      <c r="EA26" s="450">
        <v>64.14633709978428</v>
      </c>
      <c r="EB26" s="450">
        <v>68.63960626197763</v>
      </c>
      <c r="EC26" s="450">
        <v>-0.69</v>
      </c>
      <c r="ED26" s="450">
        <v>67.94960626197764</v>
      </c>
      <c r="EE26" s="450">
        <v>3533.379525622837</v>
      </c>
      <c r="EF26" s="443">
        <v>224106716.4403438</v>
      </c>
      <c r="EG26" s="450">
        <v>44.48</v>
      </c>
      <c r="EH26" s="450">
        <v>46.367457315212654</v>
      </c>
      <c r="EI26" s="450">
        <v>48.31643443229468</v>
      </c>
      <c r="EJ26" s="450">
        <v>50.87042329556061</v>
      </c>
      <c r="EK26" s="450">
        <v>53.695848736173005</v>
      </c>
      <c r="EL26" s="450">
        <v>56.440016984165865</v>
      </c>
      <c r="EM26" s="450">
        <v>59.82202071357784</v>
      </c>
      <c r="EN26" s="450">
        <v>62.949724472315644</v>
      </c>
      <c r="EO26" s="450">
        <v>64.73933880042141</v>
      </c>
      <c r="EP26" s="450">
        <v>66.04666527817514</v>
      </c>
      <c r="EQ26" s="450">
        <v>70.23740219436867</v>
      </c>
      <c r="ER26" s="443">
        <v>682542361</v>
      </c>
      <c r="ES26" s="443">
        <v>0</v>
      </c>
      <c r="ET26" s="443">
        <v>0</v>
      </c>
      <c r="EU26" s="443">
        <v>0</v>
      </c>
      <c r="EV26" s="443">
        <v>0</v>
      </c>
      <c r="EW26" s="443">
        <v>0</v>
      </c>
      <c r="EX26" s="443">
        <v>0</v>
      </c>
      <c r="EY26" s="443">
        <v>0</v>
      </c>
      <c r="EZ26" s="443">
        <v>0</v>
      </c>
      <c r="FA26" s="443">
        <v>682542361</v>
      </c>
      <c r="FB26" s="443">
        <v>362202.86660159106</v>
      </c>
      <c r="FC26" s="443">
        <v>0</v>
      </c>
      <c r="FD26" s="443">
        <v>0</v>
      </c>
      <c r="FE26" s="443">
        <v>375701</v>
      </c>
      <c r="FF26" s="452">
        <v>0.060700000000000004</v>
      </c>
      <c r="FG26" s="443">
        <v>22805.0507</v>
      </c>
      <c r="FH26" s="453">
        <v>22805.0507</v>
      </c>
    </row>
    <row r="27" spans="2:164" ht="12.75">
      <c r="B27" s="356" t="s">
        <v>716</v>
      </c>
      <c r="C27" s="442">
        <v>0</v>
      </c>
      <c r="D27" s="443">
        <v>0</v>
      </c>
      <c r="E27" s="443">
        <v>0</v>
      </c>
      <c r="F27" s="443">
        <v>0</v>
      </c>
      <c r="G27" s="443">
        <v>0</v>
      </c>
      <c r="H27" s="444">
        <v>0</v>
      </c>
      <c r="I27" s="445">
        <v>0</v>
      </c>
      <c r="J27" s="445">
        <v>0</v>
      </c>
      <c r="K27" s="443">
        <v>0</v>
      </c>
      <c r="L27" s="443">
        <v>0</v>
      </c>
      <c r="M27" s="443">
        <v>0</v>
      </c>
      <c r="N27" s="443">
        <v>0</v>
      </c>
      <c r="O27" s="446">
        <v>0</v>
      </c>
      <c r="P27" s="447">
        <v>0</v>
      </c>
      <c r="Q27" s="448">
        <v>0</v>
      </c>
      <c r="R27" s="443">
        <v>0</v>
      </c>
      <c r="S27" s="443">
        <v>0</v>
      </c>
      <c r="T27" s="443">
        <v>0</v>
      </c>
      <c r="U27" s="443">
        <v>0</v>
      </c>
      <c r="V27" s="443">
        <v>0</v>
      </c>
      <c r="W27" s="446">
        <v>0.5108603646993986</v>
      </c>
      <c r="X27" s="448">
        <v>9.538516783442583</v>
      </c>
      <c r="Y27" s="443">
        <v>0</v>
      </c>
      <c r="Z27" s="443">
        <v>0</v>
      </c>
      <c r="AA27" s="444">
        <v>0</v>
      </c>
      <c r="AB27" s="444">
        <v>0</v>
      </c>
      <c r="AC27" s="445">
        <v>0</v>
      </c>
      <c r="AD27" s="445">
        <v>0</v>
      </c>
      <c r="AE27" s="443">
        <v>0</v>
      </c>
      <c r="AF27" s="443">
        <v>0</v>
      </c>
      <c r="AG27" s="447">
        <v>0</v>
      </c>
      <c r="AH27" s="446">
        <v>0</v>
      </c>
      <c r="AI27" s="448">
        <v>0</v>
      </c>
      <c r="AJ27" s="443">
        <v>0</v>
      </c>
      <c r="AK27" s="449">
        <v>1</v>
      </c>
      <c r="AL27" s="443">
        <v>0</v>
      </c>
      <c r="AM27" s="443">
        <v>0</v>
      </c>
      <c r="AN27" s="443">
        <v>0</v>
      </c>
      <c r="AO27" s="443">
        <v>0</v>
      </c>
      <c r="AP27" s="443">
        <v>0</v>
      </c>
      <c r="AQ27" s="443">
        <v>0</v>
      </c>
      <c r="AR27" s="443">
        <v>0</v>
      </c>
      <c r="AS27" s="450">
        <v>0</v>
      </c>
      <c r="AT27" s="446">
        <v>0</v>
      </c>
      <c r="AU27" s="446">
        <v>0</v>
      </c>
      <c r="AV27" s="446">
        <v>0</v>
      </c>
      <c r="AW27" s="446">
        <v>0</v>
      </c>
      <c r="AX27" s="446">
        <v>0</v>
      </c>
      <c r="AY27" s="446">
        <v>0</v>
      </c>
      <c r="AZ27" s="446">
        <v>0</v>
      </c>
      <c r="BA27" s="446">
        <v>0</v>
      </c>
      <c r="BB27" s="446">
        <v>0</v>
      </c>
      <c r="BC27" s="446">
        <v>0</v>
      </c>
      <c r="BD27" s="446">
        <v>0</v>
      </c>
      <c r="BE27" s="446">
        <v>0</v>
      </c>
      <c r="BF27" s="446">
        <v>0</v>
      </c>
      <c r="BG27" s="446">
        <v>0</v>
      </c>
      <c r="BH27" s="446">
        <v>0</v>
      </c>
      <c r="BI27" s="446">
        <v>0</v>
      </c>
      <c r="BJ27" s="448">
        <v>1</v>
      </c>
      <c r="BK27" s="448">
        <v>10.183496102627034</v>
      </c>
      <c r="BL27" s="448">
        <v>5.38118457034209</v>
      </c>
      <c r="BM27" s="448">
        <v>9.604623064569887</v>
      </c>
      <c r="BN27" s="445">
        <v>0</v>
      </c>
      <c r="BO27" s="445">
        <v>0</v>
      </c>
      <c r="BP27" s="443">
        <v>0</v>
      </c>
      <c r="BQ27" s="443">
        <v>0</v>
      </c>
      <c r="BR27" s="443">
        <v>0</v>
      </c>
      <c r="BS27" s="444">
        <v>0</v>
      </c>
      <c r="BT27" s="445">
        <v>0</v>
      </c>
      <c r="BU27" s="445">
        <v>0</v>
      </c>
      <c r="BV27" s="443">
        <v>0</v>
      </c>
      <c r="BW27" s="444">
        <v>0</v>
      </c>
      <c r="BX27" s="443">
        <v>0</v>
      </c>
      <c r="BY27" s="443">
        <v>0</v>
      </c>
      <c r="BZ27" s="451">
        <v>0.9166666666666666</v>
      </c>
      <c r="CA27" s="443">
        <v>0</v>
      </c>
      <c r="CB27" s="443">
        <v>0</v>
      </c>
      <c r="CC27" s="443">
        <v>0</v>
      </c>
      <c r="CD27" s="443">
        <v>0</v>
      </c>
      <c r="CE27" s="443">
        <v>0</v>
      </c>
      <c r="CF27" s="450">
        <v>0</v>
      </c>
      <c r="CG27" s="446">
        <v>0</v>
      </c>
      <c r="CH27" s="446">
        <v>0</v>
      </c>
      <c r="CI27" s="446">
        <v>0</v>
      </c>
      <c r="CJ27" s="446">
        <v>0</v>
      </c>
      <c r="CK27" s="446">
        <v>0</v>
      </c>
      <c r="CL27" s="446">
        <v>0</v>
      </c>
      <c r="CM27" s="446">
        <v>0</v>
      </c>
      <c r="CN27" s="446">
        <v>0</v>
      </c>
      <c r="CO27" s="446">
        <v>0</v>
      </c>
      <c r="CP27" s="446">
        <v>0</v>
      </c>
      <c r="CQ27" s="446">
        <v>0</v>
      </c>
      <c r="CR27" s="446">
        <v>0</v>
      </c>
      <c r="CS27" s="446">
        <v>0</v>
      </c>
      <c r="CT27" s="446">
        <v>0</v>
      </c>
      <c r="CU27" s="446">
        <v>0</v>
      </c>
      <c r="CV27" s="446">
        <v>0</v>
      </c>
      <c r="CW27" s="443">
        <v>0</v>
      </c>
      <c r="CX27" s="448">
        <v>0.8949082908630555</v>
      </c>
      <c r="CY27" s="448">
        <v>0.9166666666666666</v>
      </c>
      <c r="CZ27" s="443">
        <v>0</v>
      </c>
      <c r="DA27" s="450">
        <v>0</v>
      </c>
      <c r="DB27" s="445">
        <v>0</v>
      </c>
      <c r="DC27" s="448">
        <v>0</v>
      </c>
      <c r="DD27" s="450">
        <v>303.1</v>
      </c>
      <c r="DE27" s="443">
        <v>0</v>
      </c>
      <c r="DF27" s="450">
        <v>0</v>
      </c>
      <c r="DG27" s="450">
        <v>0</v>
      </c>
      <c r="DH27" s="450">
        <v>0</v>
      </c>
      <c r="DI27" s="450">
        <v>0</v>
      </c>
      <c r="DJ27" s="450">
        <v>0</v>
      </c>
      <c r="DK27" s="450">
        <v>0</v>
      </c>
      <c r="DL27" s="450">
        <v>0</v>
      </c>
      <c r="DM27" s="450">
        <v>0</v>
      </c>
      <c r="DN27" s="450">
        <v>0</v>
      </c>
      <c r="DO27" s="450">
        <v>0</v>
      </c>
      <c r="DP27" s="450">
        <v>0</v>
      </c>
      <c r="DQ27" s="450">
        <v>0</v>
      </c>
      <c r="DR27" s="450">
        <v>0</v>
      </c>
      <c r="DS27" s="450">
        <v>0</v>
      </c>
      <c r="DT27" s="450">
        <v>0</v>
      </c>
      <c r="DU27" s="450">
        <v>0</v>
      </c>
      <c r="DV27" s="450">
        <v>0</v>
      </c>
      <c r="DW27" s="450">
        <v>0</v>
      </c>
      <c r="DX27" s="450">
        <v>0</v>
      </c>
      <c r="DY27" s="450">
        <v>0</v>
      </c>
      <c r="DZ27" s="450">
        <v>0</v>
      </c>
      <c r="EA27" s="450">
        <v>0</v>
      </c>
      <c r="EB27" s="450">
        <v>0</v>
      </c>
      <c r="EC27" s="450">
        <v>0</v>
      </c>
      <c r="ED27" s="450">
        <v>0</v>
      </c>
      <c r="EE27" s="450">
        <v>0</v>
      </c>
      <c r="EF27" s="443">
        <v>0</v>
      </c>
      <c r="EG27" s="450">
        <v>0</v>
      </c>
      <c r="EH27" s="450">
        <v>0</v>
      </c>
      <c r="EI27" s="450">
        <v>0</v>
      </c>
      <c r="EJ27" s="450">
        <v>0</v>
      </c>
      <c r="EK27" s="450">
        <v>0</v>
      </c>
      <c r="EL27" s="450">
        <v>0</v>
      </c>
      <c r="EM27" s="450">
        <v>0</v>
      </c>
      <c r="EN27" s="450">
        <v>0</v>
      </c>
      <c r="EO27" s="450">
        <v>0</v>
      </c>
      <c r="EP27" s="450">
        <v>0</v>
      </c>
      <c r="EQ27" s="450">
        <v>0</v>
      </c>
      <c r="ER27" s="443">
        <v>0</v>
      </c>
      <c r="ES27" s="443">
        <v>0</v>
      </c>
      <c r="ET27" s="443">
        <v>0</v>
      </c>
      <c r="EU27" s="443">
        <v>0</v>
      </c>
      <c r="EV27" s="443">
        <v>0</v>
      </c>
      <c r="EW27" s="443">
        <v>0</v>
      </c>
      <c r="EX27" s="443">
        <v>0</v>
      </c>
      <c r="EY27" s="443">
        <v>0</v>
      </c>
      <c r="EZ27" s="443">
        <v>0</v>
      </c>
      <c r="FA27" s="443">
        <v>0</v>
      </c>
      <c r="FB27" s="443">
        <v>0</v>
      </c>
      <c r="FC27" s="443">
        <v>0</v>
      </c>
      <c r="FD27" s="443">
        <v>0</v>
      </c>
      <c r="FE27" s="443">
        <v>0</v>
      </c>
      <c r="FF27" s="452">
        <v>0</v>
      </c>
      <c r="FG27" s="443">
        <v>0</v>
      </c>
      <c r="FH27" s="453">
        <v>0</v>
      </c>
    </row>
    <row r="28" spans="2:164" ht="12.75">
      <c r="B28" s="356" t="s">
        <v>717</v>
      </c>
      <c r="C28" s="442">
        <v>5363</v>
      </c>
      <c r="D28" s="443">
        <v>1280379</v>
      </c>
      <c r="E28" s="443">
        <v>1098565.182</v>
      </c>
      <c r="F28" s="443">
        <v>240120.62047012488</v>
      </c>
      <c r="G28" s="443">
        <v>181813.81800000003</v>
      </c>
      <c r="H28" s="444">
        <v>0.6479563677046429</v>
      </c>
      <c r="I28" s="445">
        <v>3252.95</v>
      </c>
      <c r="J28" s="445">
        <v>222.04</v>
      </c>
      <c r="K28" s="443">
        <v>1338685.8024701248</v>
      </c>
      <c r="L28" s="443">
        <v>1070948.6419761</v>
      </c>
      <c r="M28" s="443">
        <v>351328.2665039439</v>
      </c>
      <c r="N28" s="443">
        <v>267737.1604940249</v>
      </c>
      <c r="O28" s="446">
        <v>1.312213313443968</v>
      </c>
      <c r="P28" s="447">
        <v>0.7598359127354093</v>
      </c>
      <c r="Q28" s="448">
        <v>0.2401640872645907</v>
      </c>
      <c r="R28" s="443">
        <v>1422276.9084800438</v>
      </c>
      <c r="S28" s="443">
        <v>961459.1901325097</v>
      </c>
      <c r="T28" s="443">
        <v>299155.4614245898</v>
      </c>
      <c r="U28" s="443">
        <v>562180.0931058597</v>
      </c>
      <c r="V28" s="443">
        <v>324279.13513345</v>
      </c>
      <c r="W28" s="446">
        <v>1.7336301728894978</v>
      </c>
      <c r="X28" s="448">
        <v>32.36943329929156</v>
      </c>
      <c r="Y28" s="443">
        <v>299155.4614245898</v>
      </c>
      <c r="Z28" s="443">
        <v>136538.5832140842</v>
      </c>
      <c r="AA28" s="444">
        <v>2.1909957931490487</v>
      </c>
      <c r="AB28" s="444">
        <v>0.1797501398471005</v>
      </c>
      <c r="AC28" s="445">
        <v>956</v>
      </c>
      <c r="AD28" s="445">
        <v>972</v>
      </c>
      <c r="AE28" s="443">
        <v>1822794.7446629594</v>
      </c>
      <c r="AF28" s="443">
        <v>268234.00391969713</v>
      </c>
      <c r="AG28" s="447">
        <v>1</v>
      </c>
      <c r="AH28" s="446">
        <v>0.5426884131520796</v>
      </c>
      <c r="AI28" s="448">
        <v>0.45700329542160034</v>
      </c>
      <c r="AJ28" s="443">
        <v>2091028.7485826565</v>
      </c>
      <c r="AK28" s="449">
        <v>1</v>
      </c>
      <c r="AL28" s="443">
        <v>2091028.7485826565</v>
      </c>
      <c r="AM28" s="443">
        <v>4660412.851544994</v>
      </c>
      <c r="AN28" s="443">
        <v>4603498.280819166</v>
      </c>
      <c r="AO28" s="443">
        <v>4338756.738616825</v>
      </c>
      <c r="AP28" s="443">
        <v>4603498.280819166</v>
      </c>
      <c r="AQ28" s="443">
        <v>21452</v>
      </c>
      <c r="AR28" s="443">
        <v>4624950.280819166</v>
      </c>
      <c r="AS28" s="450">
        <v>862.3811823269003</v>
      </c>
      <c r="AT28" s="446">
        <v>5363</v>
      </c>
      <c r="AU28" s="446">
        <v>81</v>
      </c>
      <c r="AV28" s="446">
        <v>188</v>
      </c>
      <c r="AW28" s="446">
        <v>208</v>
      </c>
      <c r="AX28" s="446">
        <v>161</v>
      </c>
      <c r="AY28" s="446">
        <v>768</v>
      </c>
      <c r="AZ28" s="446">
        <v>95</v>
      </c>
      <c r="BA28" s="446">
        <v>34</v>
      </c>
      <c r="BB28" s="446">
        <v>51</v>
      </c>
      <c r="BC28" s="446">
        <v>166</v>
      </c>
      <c r="BD28" s="446">
        <v>2201</v>
      </c>
      <c r="BE28" s="446">
        <v>905</v>
      </c>
      <c r="BF28" s="446">
        <v>383</v>
      </c>
      <c r="BG28" s="446">
        <v>80</v>
      </c>
      <c r="BH28" s="446">
        <v>2</v>
      </c>
      <c r="BI28" s="446">
        <v>40</v>
      </c>
      <c r="BJ28" s="448">
        <v>1.922171210866767</v>
      </c>
      <c r="BK28" s="448">
        <v>24.521192995516238</v>
      </c>
      <c r="BL28" s="448">
        <v>18.896014012573733</v>
      </c>
      <c r="BM28" s="448">
        <v>11.250357965885007</v>
      </c>
      <c r="BN28" s="445">
        <v>4075</v>
      </c>
      <c r="BO28" s="445">
        <v>1288</v>
      </c>
      <c r="BP28" s="443">
        <v>1781254.9172269134</v>
      </c>
      <c r="BQ28" s="443">
        <v>5802423</v>
      </c>
      <c r="BR28" s="443">
        <v>6976042</v>
      </c>
      <c r="BS28" s="444">
        <v>0.1797501398471005</v>
      </c>
      <c r="BT28" s="445">
        <v>956</v>
      </c>
      <c r="BU28" s="445">
        <v>972</v>
      </c>
      <c r="BV28" s="443">
        <v>1253944.5250792466</v>
      </c>
      <c r="BW28" s="444">
        <v>0.03598370489398051</v>
      </c>
      <c r="BX28" s="443">
        <v>60977.62714978336</v>
      </c>
      <c r="BY28" s="443">
        <v>8898600.069455944</v>
      </c>
      <c r="BZ28" s="451">
        <v>0.91</v>
      </c>
      <c r="CA28" s="443">
        <v>8097726.06320491</v>
      </c>
      <c r="CB28" s="443">
        <v>5925412.24932153</v>
      </c>
      <c r="CC28" s="443">
        <v>5925412.24932153</v>
      </c>
      <c r="CD28" s="443">
        <v>5768054.884023046</v>
      </c>
      <c r="CE28" s="443">
        <v>5883301.250423701</v>
      </c>
      <c r="CF28" s="450">
        <v>1097.016828346765</v>
      </c>
      <c r="CG28" s="446">
        <v>5363</v>
      </c>
      <c r="CH28" s="446">
        <v>81</v>
      </c>
      <c r="CI28" s="446">
        <v>188</v>
      </c>
      <c r="CJ28" s="446">
        <v>208</v>
      </c>
      <c r="CK28" s="446">
        <v>161</v>
      </c>
      <c r="CL28" s="446">
        <v>768</v>
      </c>
      <c r="CM28" s="446">
        <v>95</v>
      </c>
      <c r="CN28" s="446">
        <v>34</v>
      </c>
      <c r="CO28" s="446">
        <v>51</v>
      </c>
      <c r="CP28" s="446">
        <v>166</v>
      </c>
      <c r="CQ28" s="446">
        <v>2201</v>
      </c>
      <c r="CR28" s="446">
        <v>905</v>
      </c>
      <c r="CS28" s="446">
        <v>383</v>
      </c>
      <c r="CT28" s="446">
        <v>80</v>
      </c>
      <c r="CU28" s="446">
        <v>2</v>
      </c>
      <c r="CV28" s="446">
        <v>40</v>
      </c>
      <c r="CW28" s="443">
        <v>4152284.6499685347</v>
      </c>
      <c r="CX28" s="448">
        <v>0.888399866929506</v>
      </c>
      <c r="CY28" s="448">
        <v>0.91</v>
      </c>
      <c r="CZ28" s="443">
        <v>3688889.1304854765</v>
      </c>
      <c r="DA28" s="450">
        <v>687.8405986361134</v>
      </c>
      <c r="DB28" s="445">
        <v>5363</v>
      </c>
      <c r="DC28" s="448">
        <v>0.9622039903039342</v>
      </c>
      <c r="DD28" s="450">
        <v>302.7</v>
      </c>
      <c r="DE28" s="443">
        <v>25678</v>
      </c>
      <c r="DF28" s="450">
        <v>43.65344319701253</v>
      </c>
      <c r="DG28" s="450">
        <v>45.53054125448406</v>
      </c>
      <c r="DH28" s="450">
        <v>46.532213162082705</v>
      </c>
      <c r="DI28" s="450">
        <v>47.55592185164851</v>
      </c>
      <c r="DJ28" s="450">
        <v>49.12526727275291</v>
      </c>
      <c r="DK28" s="450">
        <v>50.893776894572</v>
      </c>
      <c r="DL28" s="450">
        <v>52.52237775519829</v>
      </c>
      <c r="DM28" s="450">
        <v>54.67579524316142</v>
      </c>
      <c r="DN28" s="450">
        <v>57.08153023386051</v>
      </c>
      <c r="DO28" s="450">
        <v>60.221014396722836</v>
      </c>
      <c r="DP28" s="450">
        <v>59.67902526715233</v>
      </c>
      <c r="DQ28" s="450">
        <v>62.722655555777095</v>
      </c>
      <c r="DR28" s="450">
        <v>35.11</v>
      </c>
      <c r="DS28" s="450">
        <v>36.94739931620826</v>
      </c>
      <c r="DT28" s="450">
        <v>38.848650962329685</v>
      </c>
      <c r="DU28" s="450">
        <v>41.254982797669854</v>
      </c>
      <c r="DV28" s="450">
        <v>43.90496428069825</v>
      </c>
      <c r="DW28" s="450">
        <v>46.51199890726687</v>
      </c>
      <c r="DX28" s="450">
        <v>49.67035173860413</v>
      </c>
      <c r="DY28" s="450">
        <v>52.43647866163135</v>
      </c>
      <c r="DZ28" s="450">
        <v>54.02165611009062</v>
      </c>
      <c r="EA28" s="450">
        <v>55.53662213736447</v>
      </c>
      <c r="EB28" s="450">
        <v>59.23972300425146</v>
      </c>
      <c r="EC28" s="450">
        <v>0</v>
      </c>
      <c r="ED28" s="450">
        <v>59.23972300425146</v>
      </c>
      <c r="EE28" s="450">
        <v>3080.465596221076</v>
      </c>
      <c r="EF28" s="443">
        <v>16190126.252682958</v>
      </c>
      <c r="EG28" s="450">
        <v>38.06</v>
      </c>
      <c r="EH28" s="450">
        <v>39.660809316208265</v>
      </c>
      <c r="EI28" s="450">
        <v>41.31363320232969</v>
      </c>
      <c r="EJ28" s="450">
        <v>43.48301861984986</v>
      </c>
      <c r="EK28" s="450">
        <v>45.883460090794095</v>
      </c>
      <c r="EL28" s="450">
        <v>48.2135053039493</v>
      </c>
      <c r="EM28" s="450">
        <v>51.087366265761254</v>
      </c>
      <c r="EN28" s="450">
        <v>53.75146814283316</v>
      </c>
      <c r="EO28" s="450">
        <v>55.275717745330084</v>
      </c>
      <c r="EP28" s="450">
        <v>56.37458448807495</v>
      </c>
      <c r="EQ28" s="450">
        <v>59.94428174872884</v>
      </c>
      <c r="ER28" s="443">
        <v>59612983</v>
      </c>
      <c r="ES28" s="443">
        <v>306000</v>
      </c>
      <c r="ET28" s="443">
        <v>0</v>
      </c>
      <c r="EU28" s="443">
        <v>0</v>
      </c>
      <c r="EV28" s="443">
        <v>13000000</v>
      </c>
      <c r="EW28" s="443">
        <v>0</v>
      </c>
      <c r="EX28" s="443">
        <v>0</v>
      </c>
      <c r="EY28" s="443">
        <v>0</v>
      </c>
      <c r="EZ28" s="443">
        <v>0</v>
      </c>
      <c r="FA28" s="443">
        <v>66265983</v>
      </c>
      <c r="FB28" s="443">
        <v>70582.98987846391</v>
      </c>
      <c r="FC28" s="443">
        <v>0</v>
      </c>
      <c r="FD28" s="443">
        <v>0</v>
      </c>
      <c r="FE28" s="443">
        <v>48719</v>
      </c>
      <c r="FF28" s="452">
        <v>0.0525</v>
      </c>
      <c r="FG28" s="443">
        <v>2557.7475</v>
      </c>
      <c r="FH28" s="453">
        <v>2557.7475</v>
      </c>
    </row>
    <row r="29" spans="2:164" ht="12.75">
      <c r="B29" s="356" t="s">
        <v>718</v>
      </c>
      <c r="C29" s="442">
        <v>5376</v>
      </c>
      <c r="D29" s="443">
        <v>1283408</v>
      </c>
      <c r="E29" s="443">
        <v>1101164.064</v>
      </c>
      <c r="F29" s="443">
        <v>97756.50931417191</v>
      </c>
      <c r="G29" s="443">
        <v>182243.93600000002</v>
      </c>
      <c r="H29" s="444">
        <v>0.2631696428571429</v>
      </c>
      <c r="I29" s="445">
        <v>838.38</v>
      </c>
      <c r="J29" s="445">
        <v>576.42</v>
      </c>
      <c r="K29" s="443">
        <v>1198920.573314172</v>
      </c>
      <c r="L29" s="443">
        <v>959136.4586513377</v>
      </c>
      <c r="M29" s="443">
        <v>239784.11466283436</v>
      </c>
      <c r="N29" s="443">
        <v>239784.11466283436</v>
      </c>
      <c r="O29" s="446">
        <v>1</v>
      </c>
      <c r="P29" s="447">
        <v>1</v>
      </c>
      <c r="Q29" s="448">
        <v>0</v>
      </c>
      <c r="R29" s="443">
        <v>1198920.573314172</v>
      </c>
      <c r="S29" s="443">
        <v>810470.3075603803</v>
      </c>
      <c r="T29" s="443">
        <v>118345.56403245722</v>
      </c>
      <c r="U29" s="443">
        <v>225882.1300523127</v>
      </c>
      <c r="V29" s="443">
        <v>273353.89071563125</v>
      </c>
      <c r="W29" s="446">
        <v>0.8263358881081259</v>
      </c>
      <c r="X29" s="448">
        <v>15.428910289640973</v>
      </c>
      <c r="Y29" s="443">
        <v>118345.56403245722</v>
      </c>
      <c r="Z29" s="443">
        <v>115096.3750381605</v>
      </c>
      <c r="AA29" s="444">
        <v>1.0282301592315086</v>
      </c>
      <c r="AB29" s="444">
        <v>0.08435639880952381</v>
      </c>
      <c r="AC29" s="445">
        <v>458</v>
      </c>
      <c r="AD29" s="445">
        <v>449</v>
      </c>
      <c r="AE29" s="443">
        <v>1154698.0016451504</v>
      </c>
      <c r="AF29" s="443">
        <v>151512.51441748667</v>
      </c>
      <c r="AG29" s="447">
        <v>0.75</v>
      </c>
      <c r="AH29" s="446">
        <v>0.3800981507984706</v>
      </c>
      <c r="AI29" s="448">
        <v>0.32008442282676697</v>
      </c>
      <c r="AJ29" s="443">
        <v>1306210.516062637</v>
      </c>
      <c r="AK29" s="449">
        <v>1</v>
      </c>
      <c r="AL29" s="443">
        <v>1306210.516062637</v>
      </c>
      <c r="AM29" s="443">
        <v>2911237.0071467245</v>
      </c>
      <c r="AN29" s="443">
        <v>2875683.9757263493</v>
      </c>
      <c r="AO29" s="443">
        <v>2919599.3983894926</v>
      </c>
      <c r="AP29" s="443">
        <v>2919599.3983894926</v>
      </c>
      <c r="AQ29" s="443">
        <v>21504</v>
      </c>
      <c r="AR29" s="443">
        <v>2941103.3983894926</v>
      </c>
      <c r="AS29" s="450">
        <v>547.0802452361407</v>
      </c>
      <c r="AT29" s="446">
        <v>5376</v>
      </c>
      <c r="AU29" s="446">
        <v>64</v>
      </c>
      <c r="AV29" s="446">
        <v>680</v>
      </c>
      <c r="AW29" s="446">
        <v>340</v>
      </c>
      <c r="AX29" s="446">
        <v>2</v>
      </c>
      <c r="AY29" s="446">
        <v>964</v>
      </c>
      <c r="AZ29" s="446">
        <v>276</v>
      </c>
      <c r="BA29" s="446">
        <v>73</v>
      </c>
      <c r="BB29" s="446">
        <v>34</v>
      </c>
      <c r="BC29" s="446">
        <v>7</v>
      </c>
      <c r="BD29" s="446">
        <v>935</v>
      </c>
      <c r="BE29" s="446">
        <v>0</v>
      </c>
      <c r="BF29" s="446">
        <v>0</v>
      </c>
      <c r="BG29" s="446">
        <v>2001</v>
      </c>
      <c r="BH29" s="446">
        <v>0</v>
      </c>
      <c r="BI29" s="446">
        <v>0</v>
      </c>
      <c r="BJ29" s="448">
        <v>1.3308973901903736</v>
      </c>
      <c r="BK29" s="448">
        <v>13.887621904679943</v>
      </c>
      <c r="BL29" s="448">
        <v>8.198743818999425</v>
      </c>
      <c r="BM29" s="448">
        <v>11.377756171361037</v>
      </c>
      <c r="BN29" s="445">
        <v>5376</v>
      </c>
      <c r="BO29" s="445">
        <v>0</v>
      </c>
      <c r="BP29" s="443">
        <v>1589195.293883741</v>
      </c>
      <c r="BQ29" s="443">
        <v>5255945</v>
      </c>
      <c r="BR29" s="443">
        <v>7167173</v>
      </c>
      <c r="BS29" s="444">
        <v>0.08435639880952381</v>
      </c>
      <c r="BT29" s="445">
        <v>458</v>
      </c>
      <c r="BU29" s="445">
        <v>449</v>
      </c>
      <c r="BV29" s="443">
        <v>604596.9039248512</v>
      </c>
      <c r="BW29" s="444">
        <v>0.026123312224138797</v>
      </c>
      <c r="BX29" s="443">
        <v>25132.207510989418</v>
      </c>
      <c r="BY29" s="443">
        <v>7474869.405319582</v>
      </c>
      <c r="BZ29" s="451">
        <v>0.92</v>
      </c>
      <c r="CA29" s="443">
        <v>6876879.852894016</v>
      </c>
      <c r="CB29" s="443">
        <v>5032072.930029853</v>
      </c>
      <c r="CC29" s="443">
        <v>5032072.930029853</v>
      </c>
      <c r="CD29" s="443">
        <v>5039896.756860628</v>
      </c>
      <c r="CE29" s="443">
        <v>5039896.756860628</v>
      </c>
      <c r="CF29" s="450">
        <v>937.4807955469918</v>
      </c>
      <c r="CG29" s="446">
        <v>5376</v>
      </c>
      <c r="CH29" s="446">
        <v>64</v>
      </c>
      <c r="CI29" s="446">
        <v>680</v>
      </c>
      <c r="CJ29" s="446">
        <v>340</v>
      </c>
      <c r="CK29" s="446">
        <v>2</v>
      </c>
      <c r="CL29" s="446">
        <v>964</v>
      </c>
      <c r="CM29" s="446">
        <v>276</v>
      </c>
      <c r="CN29" s="446">
        <v>73</v>
      </c>
      <c r="CO29" s="446">
        <v>34</v>
      </c>
      <c r="CP29" s="446">
        <v>7</v>
      </c>
      <c r="CQ29" s="446">
        <v>935</v>
      </c>
      <c r="CR29" s="446">
        <v>0</v>
      </c>
      <c r="CS29" s="446">
        <v>0</v>
      </c>
      <c r="CT29" s="446">
        <v>2001</v>
      </c>
      <c r="CU29" s="446">
        <v>0</v>
      </c>
      <c r="CV29" s="446">
        <v>0</v>
      </c>
      <c r="CW29" s="443">
        <v>3566343.711314615</v>
      </c>
      <c r="CX29" s="448">
        <v>0.8981625028298302</v>
      </c>
      <c r="CY29" s="448">
        <v>0.92</v>
      </c>
      <c r="CZ29" s="443">
        <v>3203156.19370576</v>
      </c>
      <c r="DA29" s="450">
        <v>595.8251848411012</v>
      </c>
      <c r="DB29" s="445">
        <v>5376</v>
      </c>
      <c r="DC29" s="448">
        <v>1.0239955357142858</v>
      </c>
      <c r="DD29" s="450">
        <v>321.1</v>
      </c>
      <c r="DE29" s="443">
        <v>32466</v>
      </c>
      <c r="DF29" s="450">
        <v>50.426248574485996</v>
      </c>
      <c r="DG29" s="450">
        <v>52.59457726318889</v>
      </c>
      <c r="DH29" s="450">
        <v>53.75165796297903</v>
      </c>
      <c r="DI29" s="450">
        <v>54.93419443816456</v>
      </c>
      <c r="DJ29" s="450">
        <v>56.747022854623985</v>
      </c>
      <c r="DK29" s="450">
        <v>58.78991567739044</v>
      </c>
      <c r="DL29" s="450">
        <v>60.67119297906692</v>
      </c>
      <c r="DM29" s="450">
        <v>63.15871189120866</v>
      </c>
      <c r="DN29" s="450">
        <v>65.93769521442184</v>
      </c>
      <c r="DO29" s="450">
        <v>69.56426845121503</v>
      </c>
      <c r="DP29" s="450">
        <v>68.9381900351541</v>
      </c>
      <c r="DQ29" s="450">
        <v>72.45403772694695</v>
      </c>
      <c r="DR29" s="450">
        <v>34.81</v>
      </c>
      <c r="DS29" s="450">
        <v>37.393403796297896</v>
      </c>
      <c r="DT29" s="450">
        <v>40.0736293196329</v>
      </c>
      <c r="DU29" s="450">
        <v>43.31492955811118</v>
      </c>
      <c r="DV29" s="450">
        <v>46.86221683008707</v>
      </c>
      <c r="DW29" s="450">
        <v>50.413371970386024</v>
      </c>
      <c r="DX29" s="450">
        <v>54.61599855517921</v>
      </c>
      <c r="DY29" s="450">
        <v>58.010057238586505</v>
      </c>
      <c r="DZ29" s="450">
        <v>59.959875816613</v>
      </c>
      <c r="EA29" s="450">
        <v>62.520547390579644</v>
      </c>
      <c r="EB29" s="450">
        <v>67.05808379138875</v>
      </c>
      <c r="EC29" s="450">
        <v>-3.3</v>
      </c>
      <c r="ED29" s="450">
        <v>63.758083791388756</v>
      </c>
      <c r="EE29" s="450">
        <v>3315.4203571522153</v>
      </c>
      <c r="EF29" s="443">
        <v>17467225.843249302</v>
      </c>
      <c r="EG29" s="450">
        <v>34.96</v>
      </c>
      <c r="EH29" s="450">
        <v>37.5313737962979</v>
      </c>
      <c r="EI29" s="450">
        <v>40.198967399632906</v>
      </c>
      <c r="EJ29" s="450">
        <v>43.428219515171186</v>
      </c>
      <c r="EK29" s="450">
        <v>46.962818311956354</v>
      </c>
      <c r="EL29" s="450">
        <v>50.499889244793614</v>
      </c>
      <c r="EM29" s="450">
        <v>54.68805014130585</v>
      </c>
      <c r="EN29" s="450">
        <v>58.076921110512025</v>
      </c>
      <c r="EO29" s="450">
        <v>60.02364166247264</v>
      </c>
      <c r="EP29" s="450">
        <v>62.56315564570052</v>
      </c>
      <c r="EQ29" s="450">
        <v>67.09390881229439</v>
      </c>
      <c r="ER29" s="443">
        <v>17844261</v>
      </c>
      <c r="ES29" s="443">
        <v>239000</v>
      </c>
      <c r="ET29" s="443">
        <v>0</v>
      </c>
      <c r="EU29" s="443">
        <v>0</v>
      </c>
      <c r="EV29" s="443">
        <v>0</v>
      </c>
      <c r="EW29" s="443">
        <v>0</v>
      </c>
      <c r="EX29" s="443">
        <v>0</v>
      </c>
      <c r="EY29" s="443">
        <v>0</v>
      </c>
      <c r="EZ29" s="443">
        <v>0</v>
      </c>
      <c r="FA29" s="443">
        <v>17963761</v>
      </c>
      <c r="FB29" s="443">
        <v>47726.54343992603</v>
      </c>
      <c r="FC29" s="443">
        <v>0</v>
      </c>
      <c r="FD29" s="443">
        <v>0</v>
      </c>
      <c r="FE29" s="443">
        <v>12412</v>
      </c>
      <c r="FF29" s="452">
        <v>0.052000000000000005</v>
      </c>
      <c r="FG29" s="443">
        <v>645.4240000000001</v>
      </c>
      <c r="FH29" s="453">
        <v>645.4240000000001</v>
      </c>
    </row>
    <row r="30" spans="2:164" ht="12.75">
      <c r="B30" s="356" t="s">
        <v>719</v>
      </c>
      <c r="C30" s="442">
        <v>18145</v>
      </c>
      <c r="D30" s="443">
        <v>4258585</v>
      </c>
      <c r="E30" s="443">
        <v>3653865.93</v>
      </c>
      <c r="F30" s="443">
        <v>473012.8856881604</v>
      </c>
      <c r="G30" s="443">
        <v>604719.07</v>
      </c>
      <c r="H30" s="444">
        <v>0.3837624689997245</v>
      </c>
      <c r="I30" s="445">
        <v>5395.18</v>
      </c>
      <c r="J30" s="445">
        <v>1568.19</v>
      </c>
      <c r="K30" s="443">
        <v>4126878.8156881607</v>
      </c>
      <c r="L30" s="443">
        <v>3301503.0525505287</v>
      </c>
      <c r="M30" s="443">
        <v>903883.1221676257</v>
      </c>
      <c r="N30" s="443">
        <v>825375.7631376319</v>
      </c>
      <c r="O30" s="446">
        <v>1.095117112152108</v>
      </c>
      <c r="P30" s="447">
        <v>0.924882887847892</v>
      </c>
      <c r="Q30" s="448">
        <v>0.07401488013226784</v>
      </c>
      <c r="R30" s="443">
        <v>4205386.174718155</v>
      </c>
      <c r="S30" s="443">
        <v>2842841.054109473</v>
      </c>
      <c r="T30" s="443">
        <v>469178.98673722794</v>
      </c>
      <c r="U30" s="443">
        <v>822822.9802598152</v>
      </c>
      <c r="V30" s="443">
        <v>958828.0478357393</v>
      </c>
      <c r="W30" s="446">
        <v>0.858154892440919</v>
      </c>
      <c r="X30" s="448">
        <v>16.0230180494774</v>
      </c>
      <c r="Y30" s="443">
        <v>469178.98673722794</v>
      </c>
      <c r="Z30" s="443">
        <v>403717.07277294283</v>
      </c>
      <c r="AA30" s="444">
        <v>1.1621479951656688</v>
      </c>
      <c r="AB30" s="444">
        <v>0.09534306971617526</v>
      </c>
      <c r="AC30" s="445">
        <v>1720</v>
      </c>
      <c r="AD30" s="445">
        <v>1740</v>
      </c>
      <c r="AE30" s="443">
        <v>4134843.021106516</v>
      </c>
      <c r="AF30" s="443">
        <v>765715.0478713409</v>
      </c>
      <c r="AG30" s="447">
        <v>1</v>
      </c>
      <c r="AH30" s="446">
        <v>0.44052002865179435</v>
      </c>
      <c r="AI30" s="448">
        <v>0.3709662854671478</v>
      </c>
      <c r="AJ30" s="443">
        <v>4900558.068977857</v>
      </c>
      <c r="AK30" s="449">
        <v>1.0220191686347762</v>
      </c>
      <c r="AL30" s="443">
        <v>5008464.283503193</v>
      </c>
      <c r="AM30" s="443">
        <v>11162692.683763312</v>
      </c>
      <c r="AN30" s="443">
        <v>11026370.02684889</v>
      </c>
      <c r="AO30" s="443">
        <v>10573496.655048432</v>
      </c>
      <c r="AP30" s="443">
        <v>11026370.02684889</v>
      </c>
      <c r="AQ30" s="443">
        <v>72580</v>
      </c>
      <c r="AR30" s="443">
        <v>11098950.02684889</v>
      </c>
      <c r="AS30" s="450">
        <v>611.6809053099415</v>
      </c>
      <c r="AT30" s="446">
        <v>18144</v>
      </c>
      <c r="AU30" s="446">
        <v>1435</v>
      </c>
      <c r="AV30" s="446">
        <v>2884</v>
      </c>
      <c r="AW30" s="446">
        <v>706</v>
      </c>
      <c r="AX30" s="446">
        <v>736</v>
      </c>
      <c r="AY30" s="446">
        <v>2008</v>
      </c>
      <c r="AZ30" s="446">
        <v>1010</v>
      </c>
      <c r="BA30" s="446">
        <v>1042</v>
      </c>
      <c r="BB30" s="446">
        <v>554</v>
      </c>
      <c r="BC30" s="446">
        <v>191</v>
      </c>
      <c r="BD30" s="446">
        <v>4528</v>
      </c>
      <c r="BE30" s="446">
        <v>1062</v>
      </c>
      <c r="BF30" s="446">
        <v>281</v>
      </c>
      <c r="BG30" s="446">
        <v>1686</v>
      </c>
      <c r="BH30" s="446">
        <v>7</v>
      </c>
      <c r="BI30" s="446">
        <v>14</v>
      </c>
      <c r="BJ30" s="448">
        <v>1.6449510183766463</v>
      </c>
      <c r="BK30" s="448">
        <v>22.973328511699158</v>
      </c>
      <c r="BL30" s="448">
        <v>14.834414892404071</v>
      </c>
      <c r="BM30" s="448">
        <v>16.277827238590174</v>
      </c>
      <c r="BN30" s="445">
        <v>16801</v>
      </c>
      <c r="BO30" s="445">
        <v>1343</v>
      </c>
      <c r="BP30" s="443">
        <v>6184966.480565638</v>
      </c>
      <c r="BQ30" s="443">
        <v>18680886</v>
      </c>
      <c r="BR30" s="443">
        <v>25454671</v>
      </c>
      <c r="BS30" s="444">
        <v>0.09534832451499119</v>
      </c>
      <c r="BT30" s="445">
        <v>1720</v>
      </c>
      <c r="BU30" s="445">
        <v>1740</v>
      </c>
      <c r="BV30" s="443">
        <v>2427060.2309303354</v>
      </c>
      <c r="BW30" s="444">
        <v>0.014258374878998658</v>
      </c>
      <c r="BX30" s="443">
        <v>76584.73970931229</v>
      </c>
      <c r="BY30" s="443">
        <v>27369497.451205283</v>
      </c>
      <c r="BZ30" s="451">
        <v>0.9166666666666666</v>
      </c>
      <c r="CA30" s="443">
        <v>25088705.996938176</v>
      </c>
      <c r="CB30" s="443">
        <v>18358354.5150263</v>
      </c>
      <c r="CC30" s="443">
        <v>18358354.5150263</v>
      </c>
      <c r="CD30" s="443">
        <v>18444899.34379161</v>
      </c>
      <c r="CE30" s="443">
        <v>18444899.34379161</v>
      </c>
      <c r="CF30" s="450">
        <v>1016.5839585423066</v>
      </c>
      <c r="CG30" s="446">
        <v>18144</v>
      </c>
      <c r="CH30" s="446">
        <v>1435</v>
      </c>
      <c r="CI30" s="446">
        <v>2884</v>
      </c>
      <c r="CJ30" s="446">
        <v>706</v>
      </c>
      <c r="CK30" s="446">
        <v>736</v>
      </c>
      <c r="CL30" s="446">
        <v>2008</v>
      </c>
      <c r="CM30" s="446">
        <v>1010</v>
      </c>
      <c r="CN30" s="446">
        <v>1042</v>
      </c>
      <c r="CO30" s="446">
        <v>554</v>
      </c>
      <c r="CP30" s="446">
        <v>191</v>
      </c>
      <c r="CQ30" s="446">
        <v>4528</v>
      </c>
      <c r="CR30" s="446">
        <v>1062</v>
      </c>
      <c r="CS30" s="446">
        <v>281</v>
      </c>
      <c r="CT30" s="446">
        <v>1686</v>
      </c>
      <c r="CU30" s="446">
        <v>7</v>
      </c>
      <c r="CV30" s="446">
        <v>14</v>
      </c>
      <c r="CW30" s="443">
        <v>12135220.665785475</v>
      </c>
      <c r="CX30" s="448">
        <v>0.8949082908630555</v>
      </c>
      <c r="CY30" s="448">
        <v>0.9166666666666666</v>
      </c>
      <c r="CZ30" s="443">
        <v>10859909.58526411</v>
      </c>
      <c r="DA30" s="450">
        <v>598.5399903694946</v>
      </c>
      <c r="DB30" s="445">
        <v>18145</v>
      </c>
      <c r="DC30" s="448">
        <v>1.0056544502617801</v>
      </c>
      <c r="DD30" s="450">
        <v>307.3</v>
      </c>
      <c r="DE30" s="443">
        <v>25588</v>
      </c>
      <c r="DF30" s="450">
        <v>45.77216244286251</v>
      </c>
      <c r="DG30" s="450">
        <v>47.740365427905594</v>
      </c>
      <c r="DH30" s="450">
        <v>48.79065346731951</v>
      </c>
      <c r="DI30" s="450">
        <v>49.86404784360053</v>
      </c>
      <c r="DJ30" s="450">
        <v>51.50956142243935</v>
      </c>
      <c r="DK30" s="450">
        <v>53.36390563364716</v>
      </c>
      <c r="DL30" s="450">
        <v>55.071550613923854</v>
      </c>
      <c r="DM30" s="450">
        <v>57.32948418909473</v>
      </c>
      <c r="DN30" s="450">
        <v>59.85198149341488</v>
      </c>
      <c r="DO30" s="450">
        <v>63.1438404755527</v>
      </c>
      <c r="DP30" s="450">
        <v>62.57554591127273</v>
      </c>
      <c r="DQ30" s="450">
        <v>65.76689875274764</v>
      </c>
      <c r="DR30" s="450">
        <v>34.84</v>
      </c>
      <c r="DS30" s="450">
        <v>36.924897346731946</v>
      </c>
      <c r="DT30" s="450">
        <v>39.0846676167201</v>
      </c>
      <c r="DU30" s="450">
        <v>41.7663491198678</v>
      </c>
      <c r="DV30" s="450">
        <v>44.71193310896362</v>
      </c>
      <c r="DW30" s="450">
        <v>47.63085424269602</v>
      </c>
      <c r="DX30" s="450">
        <v>51.132872251136185</v>
      </c>
      <c r="DY30" s="450">
        <v>54.101525614989356</v>
      </c>
      <c r="DZ30" s="450">
        <v>55.80441095986503</v>
      </c>
      <c r="EA30" s="450">
        <v>57.67134867166484</v>
      </c>
      <c r="EB30" s="450">
        <v>61.64344971368532</v>
      </c>
      <c r="EC30" s="450">
        <v>-0.61</v>
      </c>
      <c r="ED30" s="450">
        <v>61.03344971368532</v>
      </c>
      <c r="EE30" s="450">
        <v>3173.7393851116367</v>
      </c>
      <c r="EF30" s="443">
        <v>56435751.119993635</v>
      </c>
      <c r="EG30" s="450">
        <v>37.76</v>
      </c>
      <c r="EH30" s="450">
        <v>39.61071334673194</v>
      </c>
      <c r="EI30" s="450">
        <v>41.52458224072009</v>
      </c>
      <c r="EJ30" s="450">
        <v>43.97172695063579</v>
      </c>
      <c r="EK30" s="450">
        <v>46.670308622685596</v>
      </c>
      <c r="EL30" s="450">
        <v>49.315057184496915</v>
      </c>
      <c r="EM30" s="450">
        <v>52.53547646106797</v>
      </c>
      <c r="EN30" s="450">
        <v>55.40314232180606</v>
      </c>
      <c r="EO30" s="450">
        <v>57.04571942593255</v>
      </c>
      <c r="EP30" s="450">
        <v>58.50078937135114</v>
      </c>
      <c r="EQ30" s="450">
        <v>62.34084345398156</v>
      </c>
      <c r="ER30" s="443">
        <v>131156102</v>
      </c>
      <c r="ES30" s="443">
        <v>0</v>
      </c>
      <c r="ET30" s="443">
        <v>0</v>
      </c>
      <c r="EU30" s="443">
        <v>0</v>
      </c>
      <c r="EV30" s="443">
        <v>0</v>
      </c>
      <c r="EW30" s="443">
        <v>0</v>
      </c>
      <c r="EX30" s="443">
        <v>0</v>
      </c>
      <c r="EY30" s="443">
        <v>0</v>
      </c>
      <c r="EZ30" s="443">
        <v>157560000</v>
      </c>
      <c r="FA30" s="443">
        <v>288716102</v>
      </c>
      <c r="FB30" s="443">
        <v>175845.62624682547</v>
      </c>
      <c r="FC30" s="443">
        <v>0</v>
      </c>
      <c r="FD30" s="443">
        <v>0</v>
      </c>
      <c r="FE30" s="443">
        <v>6430</v>
      </c>
      <c r="FF30" s="452">
        <v>0.0433</v>
      </c>
      <c r="FG30" s="443">
        <v>278.419</v>
      </c>
      <c r="FH30" s="453">
        <v>278.419</v>
      </c>
    </row>
    <row r="31" spans="2:164" ht="12.75">
      <c r="B31" s="356" t="s">
        <v>720</v>
      </c>
      <c r="C31" s="442">
        <v>5118.13</v>
      </c>
      <c r="D31" s="443">
        <v>1223324.29</v>
      </c>
      <c r="E31" s="443">
        <v>1049612.24082</v>
      </c>
      <c r="F31" s="443">
        <v>195869.79241850492</v>
      </c>
      <c r="G31" s="443">
        <v>173712.04918000003</v>
      </c>
      <c r="H31" s="444">
        <v>0.5531981407271797</v>
      </c>
      <c r="I31" s="445">
        <v>2536.5</v>
      </c>
      <c r="J31" s="445">
        <v>294.84</v>
      </c>
      <c r="K31" s="443">
        <v>1245482.0332385048</v>
      </c>
      <c r="L31" s="443">
        <v>996385.6265908038</v>
      </c>
      <c r="M31" s="443">
        <v>356459.68194016686</v>
      </c>
      <c r="N31" s="443">
        <v>249096.4066477009</v>
      </c>
      <c r="O31" s="446">
        <v>1.4310109356346947</v>
      </c>
      <c r="P31" s="447">
        <v>0.6684081881468427</v>
      </c>
      <c r="Q31" s="448">
        <v>0.33156641195124</v>
      </c>
      <c r="R31" s="443">
        <v>1352845.3085309707</v>
      </c>
      <c r="S31" s="443">
        <v>914523.4285669363</v>
      </c>
      <c r="T31" s="443">
        <v>131297.9851304045</v>
      </c>
      <c r="U31" s="443">
        <v>431633.0764667233</v>
      </c>
      <c r="V31" s="443">
        <v>308448.73034506134</v>
      </c>
      <c r="W31" s="446">
        <v>1.399367330784133</v>
      </c>
      <c r="X31" s="448">
        <v>26.12825283233686</v>
      </c>
      <c r="Y31" s="443">
        <v>131297.9851304045</v>
      </c>
      <c r="Z31" s="443">
        <v>129873.14961897318</v>
      </c>
      <c r="AA31" s="444">
        <v>1.0109709783401077</v>
      </c>
      <c r="AB31" s="444">
        <v>0.08294044895303558</v>
      </c>
      <c r="AC31" s="445">
        <v>397</v>
      </c>
      <c r="AD31" s="445">
        <v>452</v>
      </c>
      <c r="AE31" s="443">
        <v>1477454.490164064</v>
      </c>
      <c r="AF31" s="443">
        <v>32250.20922656585</v>
      </c>
      <c r="AG31" s="447">
        <v>0.25</v>
      </c>
      <c r="AH31" s="446">
        <v>0.21836185064544394</v>
      </c>
      <c r="AI31" s="448">
        <v>0.18388468027114868</v>
      </c>
      <c r="AJ31" s="443">
        <v>1509704.69939063</v>
      </c>
      <c r="AK31" s="449">
        <v>1</v>
      </c>
      <c r="AL31" s="443">
        <v>1509704.69939063</v>
      </c>
      <c r="AM31" s="443">
        <v>3364777.83380406</v>
      </c>
      <c r="AN31" s="443">
        <v>3323686.005225986</v>
      </c>
      <c r="AO31" s="443">
        <v>3246175.667478425</v>
      </c>
      <c r="AP31" s="443">
        <v>3323686.005225986</v>
      </c>
      <c r="AQ31" s="443">
        <v>20472.52</v>
      </c>
      <c r="AR31" s="443">
        <v>3344158.525225986</v>
      </c>
      <c r="AS31" s="450">
        <v>653.3946041280674</v>
      </c>
      <c r="AT31" s="446">
        <v>5107</v>
      </c>
      <c r="AU31" s="446">
        <v>0</v>
      </c>
      <c r="AV31" s="446">
        <v>282</v>
      </c>
      <c r="AW31" s="446">
        <v>16</v>
      </c>
      <c r="AX31" s="446">
        <v>0</v>
      </c>
      <c r="AY31" s="446">
        <v>863</v>
      </c>
      <c r="AZ31" s="446">
        <v>77</v>
      </c>
      <c r="BA31" s="446">
        <v>424</v>
      </c>
      <c r="BB31" s="446">
        <v>163</v>
      </c>
      <c r="BC31" s="446">
        <v>77</v>
      </c>
      <c r="BD31" s="446">
        <v>1076</v>
      </c>
      <c r="BE31" s="446">
        <v>1697</v>
      </c>
      <c r="BF31" s="446">
        <v>0</v>
      </c>
      <c r="BG31" s="446">
        <v>422</v>
      </c>
      <c r="BH31" s="446">
        <v>0</v>
      </c>
      <c r="BI31" s="446">
        <v>10</v>
      </c>
      <c r="BJ31" s="448">
        <v>1.6272995576036222</v>
      </c>
      <c r="BK31" s="448">
        <v>14.624710254345626</v>
      </c>
      <c r="BL31" s="448">
        <v>9.15638952945419</v>
      </c>
      <c r="BM31" s="448">
        <v>10.936641449782874</v>
      </c>
      <c r="BN31" s="445">
        <v>3410</v>
      </c>
      <c r="BO31" s="445">
        <v>1697</v>
      </c>
      <c r="BP31" s="443">
        <v>1667947.873253003</v>
      </c>
      <c r="BQ31" s="443">
        <v>5713874</v>
      </c>
      <c r="BR31" s="443">
        <v>6737774</v>
      </c>
      <c r="BS31" s="444">
        <v>0.08312120618758567</v>
      </c>
      <c r="BT31" s="445">
        <v>397</v>
      </c>
      <c r="BU31" s="445">
        <v>452</v>
      </c>
      <c r="BV31" s="443">
        <v>560051.9018993538</v>
      </c>
      <c r="BW31" s="444">
        <v>0.004643148580289067</v>
      </c>
      <c r="BX31" s="443">
        <v>4468.6975450377795</v>
      </c>
      <c r="BY31" s="443">
        <v>7946342.472697394</v>
      </c>
      <c r="BZ31" s="451">
        <v>1.0233333333333334</v>
      </c>
      <c r="CA31" s="443">
        <v>8131757.130393667</v>
      </c>
      <c r="CB31" s="443">
        <v>5950314.067536154</v>
      </c>
      <c r="CC31" s="443">
        <v>5950314.067536154</v>
      </c>
      <c r="CD31" s="443">
        <v>5706160.4083438935</v>
      </c>
      <c r="CE31" s="443">
        <v>5908026.095223604</v>
      </c>
      <c r="CF31" s="450">
        <v>1156.8486577684753</v>
      </c>
      <c r="CG31" s="446">
        <v>5107</v>
      </c>
      <c r="CH31" s="446">
        <v>0</v>
      </c>
      <c r="CI31" s="446">
        <v>282</v>
      </c>
      <c r="CJ31" s="446">
        <v>16</v>
      </c>
      <c r="CK31" s="446">
        <v>0</v>
      </c>
      <c r="CL31" s="446">
        <v>863</v>
      </c>
      <c r="CM31" s="446">
        <v>77</v>
      </c>
      <c r="CN31" s="446">
        <v>424</v>
      </c>
      <c r="CO31" s="446">
        <v>163</v>
      </c>
      <c r="CP31" s="446">
        <v>77</v>
      </c>
      <c r="CQ31" s="446">
        <v>1076</v>
      </c>
      <c r="CR31" s="446">
        <v>1697</v>
      </c>
      <c r="CS31" s="446">
        <v>0</v>
      </c>
      <c r="CT31" s="446">
        <v>422</v>
      </c>
      <c r="CU31" s="446">
        <v>0</v>
      </c>
      <c r="CV31" s="446">
        <v>10</v>
      </c>
      <c r="CW31" s="443">
        <v>3811719.080951056</v>
      </c>
      <c r="CX31" s="448">
        <v>0.9990430737998475</v>
      </c>
      <c r="CY31" s="448">
        <v>1.0233333333333334</v>
      </c>
      <c r="CZ31" s="443">
        <v>3808071.5470948727</v>
      </c>
      <c r="DA31" s="450">
        <v>745.6572443890489</v>
      </c>
      <c r="DB31" s="445">
        <v>5118.13</v>
      </c>
      <c r="DC31" s="448">
        <v>0.9726513394540584</v>
      </c>
      <c r="DD31" s="450">
        <v>293.9</v>
      </c>
      <c r="DE31" s="443">
        <v>48617</v>
      </c>
      <c r="DF31" s="450">
        <v>50.55662146916808</v>
      </c>
      <c r="DG31" s="450">
        <v>52.730556192342306</v>
      </c>
      <c r="DH31" s="450">
        <v>53.89062842857383</v>
      </c>
      <c r="DI31" s="450">
        <v>55.07622225400244</v>
      </c>
      <c r="DJ31" s="450">
        <v>56.89373758838451</v>
      </c>
      <c r="DK31" s="450">
        <v>58.94191214156634</v>
      </c>
      <c r="DL31" s="450">
        <v>60.82805333009645</v>
      </c>
      <c r="DM31" s="450">
        <v>63.3220035166304</v>
      </c>
      <c r="DN31" s="450">
        <v>66.10817167136213</v>
      </c>
      <c r="DO31" s="450">
        <v>69.74412111328704</v>
      </c>
      <c r="DP31" s="450">
        <v>69.11642402326746</v>
      </c>
      <c r="DQ31" s="450">
        <v>72.6413616484541</v>
      </c>
      <c r="DR31" s="450">
        <v>43.51</v>
      </c>
      <c r="DS31" s="450">
        <v>45.409560842857374</v>
      </c>
      <c r="DT31" s="450">
        <v>47.371643522800476</v>
      </c>
      <c r="DU31" s="450">
        <v>49.92976148771935</v>
      </c>
      <c r="DV31" s="450">
        <v>52.75790136417568</v>
      </c>
      <c r="DW31" s="450">
        <v>55.509804061540486</v>
      </c>
      <c r="DX31" s="450">
        <v>58.892965525776994</v>
      </c>
      <c r="DY31" s="450">
        <v>61.99802441585016</v>
      </c>
      <c r="DZ31" s="450">
        <v>63.77505735880157</v>
      </c>
      <c r="EA31" s="450">
        <v>65.12790339980204</v>
      </c>
      <c r="EB31" s="450">
        <v>69.28781350824437</v>
      </c>
      <c r="EC31" s="450">
        <v>-0.3</v>
      </c>
      <c r="ED31" s="450">
        <v>68.98781350824437</v>
      </c>
      <c r="EE31" s="450">
        <v>3587.3663024287075</v>
      </c>
      <c r="EF31" s="443">
        <v>17993394.95158045</v>
      </c>
      <c r="EG31" s="450">
        <v>48.94</v>
      </c>
      <c r="EH31" s="450">
        <v>50.40407484285737</v>
      </c>
      <c r="EI31" s="450">
        <v>51.90888201880046</v>
      </c>
      <c r="EJ31" s="450">
        <v>54.03085793329133</v>
      </c>
      <c r="EK31" s="450">
        <v>56.3996750078436</v>
      </c>
      <c r="EL31" s="450">
        <v>58.64172939509489</v>
      </c>
      <c r="EM31" s="450">
        <v>61.5012329435611</v>
      </c>
      <c r="EN31" s="450">
        <v>64.41849657955382</v>
      </c>
      <c r="EO31" s="450">
        <v>66.08338097892029</v>
      </c>
      <c r="EP31" s="450">
        <v>66.67032223517758</v>
      </c>
      <c r="EQ31" s="450">
        <v>70.58467926502813</v>
      </c>
      <c r="ER31" s="443">
        <v>23608497</v>
      </c>
      <c r="ES31" s="443">
        <v>0</v>
      </c>
      <c r="ET31" s="443">
        <v>0</v>
      </c>
      <c r="EU31" s="443">
        <v>0</v>
      </c>
      <c r="EV31" s="443">
        <v>0</v>
      </c>
      <c r="EW31" s="443">
        <v>0</v>
      </c>
      <c r="EX31" s="443">
        <v>0</v>
      </c>
      <c r="EY31" s="443">
        <v>0</v>
      </c>
      <c r="EZ31" s="443">
        <v>0</v>
      </c>
      <c r="FA31" s="443">
        <v>23608497</v>
      </c>
      <c r="FB31" s="443">
        <v>50397.61323136723</v>
      </c>
      <c r="FC31" s="443">
        <v>0</v>
      </c>
      <c r="FD31" s="443">
        <v>0</v>
      </c>
      <c r="FE31" s="443">
        <v>14765</v>
      </c>
      <c r="FF31" s="452">
        <v>0.0313</v>
      </c>
      <c r="FG31" s="443">
        <v>462.1445</v>
      </c>
      <c r="FH31" s="453">
        <v>462.1445</v>
      </c>
    </row>
    <row r="32" spans="2:164" ht="12.75">
      <c r="B32" s="356" t="s">
        <v>721</v>
      </c>
      <c r="C32" s="442">
        <v>0</v>
      </c>
      <c r="D32" s="443">
        <v>0</v>
      </c>
      <c r="E32" s="443">
        <v>0</v>
      </c>
      <c r="F32" s="443">
        <v>0</v>
      </c>
      <c r="G32" s="443">
        <v>0</v>
      </c>
      <c r="H32" s="444">
        <v>0</v>
      </c>
      <c r="I32" s="445">
        <v>0</v>
      </c>
      <c r="J32" s="445">
        <v>0</v>
      </c>
      <c r="K32" s="443">
        <v>0</v>
      </c>
      <c r="L32" s="443">
        <v>0</v>
      </c>
      <c r="M32" s="443">
        <v>0</v>
      </c>
      <c r="N32" s="443">
        <v>0</v>
      </c>
      <c r="O32" s="446">
        <v>0</v>
      </c>
      <c r="P32" s="447">
        <v>0</v>
      </c>
      <c r="Q32" s="448">
        <v>0</v>
      </c>
      <c r="R32" s="443">
        <v>0</v>
      </c>
      <c r="S32" s="443">
        <v>0</v>
      </c>
      <c r="T32" s="443">
        <v>0</v>
      </c>
      <c r="U32" s="443">
        <v>0</v>
      </c>
      <c r="V32" s="443">
        <v>0</v>
      </c>
      <c r="W32" s="446">
        <v>0.5293827950076158</v>
      </c>
      <c r="X32" s="448">
        <v>9.88435788714425</v>
      </c>
      <c r="Y32" s="443">
        <v>0</v>
      </c>
      <c r="Z32" s="443">
        <v>0</v>
      </c>
      <c r="AA32" s="444">
        <v>0</v>
      </c>
      <c r="AB32" s="444">
        <v>0</v>
      </c>
      <c r="AC32" s="445">
        <v>0</v>
      </c>
      <c r="AD32" s="445">
        <v>0</v>
      </c>
      <c r="AE32" s="443">
        <v>0</v>
      </c>
      <c r="AF32" s="443">
        <v>0</v>
      </c>
      <c r="AG32" s="447">
        <v>0</v>
      </c>
      <c r="AH32" s="446">
        <v>0.01318179175991948</v>
      </c>
      <c r="AI32" s="448">
        <v>0.011100517585873604</v>
      </c>
      <c r="AJ32" s="443">
        <v>0</v>
      </c>
      <c r="AK32" s="449">
        <v>1.015630059694977</v>
      </c>
      <c r="AL32" s="443">
        <v>0</v>
      </c>
      <c r="AM32" s="443">
        <v>0</v>
      </c>
      <c r="AN32" s="443">
        <v>0</v>
      </c>
      <c r="AO32" s="443">
        <v>0</v>
      </c>
      <c r="AP32" s="443">
        <v>0</v>
      </c>
      <c r="AQ32" s="443">
        <v>0</v>
      </c>
      <c r="AR32" s="443">
        <v>0</v>
      </c>
      <c r="AS32" s="450">
        <v>0</v>
      </c>
      <c r="AT32" s="446">
        <v>0</v>
      </c>
      <c r="AU32" s="446">
        <v>0</v>
      </c>
      <c r="AV32" s="446">
        <v>0</v>
      </c>
      <c r="AW32" s="446">
        <v>0</v>
      </c>
      <c r="AX32" s="446">
        <v>0</v>
      </c>
      <c r="AY32" s="446">
        <v>0</v>
      </c>
      <c r="AZ32" s="446">
        <v>0</v>
      </c>
      <c r="BA32" s="446">
        <v>0</v>
      </c>
      <c r="BB32" s="446">
        <v>0</v>
      </c>
      <c r="BC32" s="446">
        <v>0</v>
      </c>
      <c r="BD32" s="446">
        <v>0</v>
      </c>
      <c r="BE32" s="446">
        <v>0</v>
      </c>
      <c r="BF32" s="446">
        <v>0</v>
      </c>
      <c r="BG32" s="446">
        <v>0</v>
      </c>
      <c r="BH32" s="446">
        <v>0</v>
      </c>
      <c r="BI32" s="446">
        <v>0</v>
      </c>
      <c r="BJ32" s="448">
        <v>1</v>
      </c>
      <c r="BK32" s="448">
        <v>7.601728448613024</v>
      </c>
      <c r="BL32" s="448">
        <v>5.333001902025579</v>
      </c>
      <c r="BM32" s="448">
        <v>4.537453093174888</v>
      </c>
      <c r="BN32" s="445">
        <v>0</v>
      </c>
      <c r="BO32" s="445">
        <v>0</v>
      </c>
      <c r="BP32" s="443">
        <v>0</v>
      </c>
      <c r="BQ32" s="443">
        <v>0</v>
      </c>
      <c r="BR32" s="443">
        <v>0</v>
      </c>
      <c r="BS32" s="444">
        <v>0</v>
      </c>
      <c r="BT32" s="445">
        <v>0</v>
      </c>
      <c r="BU32" s="445">
        <v>0</v>
      </c>
      <c r="BV32" s="443">
        <v>0</v>
      </c>
      <c r="BW32" s="444">
        <v>0</v>
      </c>
      <c r="BX32" s="443">
        <v>0</v>
      </c>
      <c r="BY32" s="443">
        <v>0</v>
      </c>
      <c r="BZ32" s="451">
        <v>1.04</v>
      </c>
      <c r="CA32" s="443">
        <v>0</v>
      </c>
      <c r="CB32" s="443">
        <v>0</v>
      </c>
      <c r="CC32" s="443">
        <v>0</v>
      </c>
      <c r="CD32" s="443">
        <v>0</v>
      </c>
      <c r="CE32" s="443">
        <v>0</v>
      </c>
      <c r="CF32" s="450">
        <v>0</v>
      </c>
      <c r="CG32" s="446">
        <v>0</v>
      </c>
      <c r="CH32" s="446">
        <v>0</v>
      </c>
      <c r="CI32" s="446">
        <v>0</v>
      </c>
      <c r="CJ32" s="446">
        <v>0</v>
      </c>
      <c r="CK32" s="446">
        <v>0</v>
      </c>
      <c r="CL32" s="446">
        <v>0</v>
      </c>
      <c r="CM32" s="446">
        <v>0</v>
      </c>
      <c r="CN32" s="446">
        <v>0</v>
      </c>
      <c r="CO32" s="446">
        <v>0</v>
      </c>
      <c r="CP32" s="446">
        <v>0</v>
      </c>
      <c r="CQ32" s="446">
        <v>0</v>
      </c>
      <c r="CR32" s="446">
        <v>0</v>
      </c>
      <c r="CS32" s="446">
        <v>0</v>
      </c>
      <c r="CT32" s="446">
        <v>0</v>
      </c>
      <c r="CU32" s="446">
        <v>0</v>
      </c>
      <c r="CV32" s="446">
        <v>0</v>
      </c>
      <c r="CW32" s="443">
        <v>0</v>
      </c>
      <c r="CX32" s="448">
        <v>1.015314133633721</v>
      </c>
      <c r="CY32" s="448">
        <v>1.04</v>
      </c>
      <c r="CZ32" s="443">
        <v>0</v>
      </c>
      <c r="DA32" s="450">
        <v>0</v>
      </c>
      <c r="DB32" s="445">
        <v>0</v>
      </c>
      <c r="DC32" s="448">
        <v>0</v>
      </c>
      <c r="DD32" s="450">
        <v>325.9</v>
      </c>
      <c r="DE32" s="443">
        <v>0</v>
      </c>
      <c r="DF32" s="450">
        <v>0</v>
      </c>
      <c r="DG32" s="450">
        <v>0</v>
      </c>
      <c r="DH32" s="450">
        <v>0</v>
      </c>
      <c r="DI32" s="450">
        <v>0</v>
      </c>
      <c r="DJ32" s="450">
        <v>0</v>
      </c>
      <c r="DK32" s="450">
        <v>0</v>
      </c>
      <c r="DL32" s="450">
        <v>0</v>
      </c>
      <c r="DM32" s="450">
        <v>0</v>
      </c>
      <c r="DN32" s="450">
        <v>0</v>
      </c>
      <c r="DO32" s="450">
        <v>0</v>
      </c>
      <c r="DP32" s="450">
        <v>0</v>
      </c>
      <c r="DQ32" s="450">
        <v>0</v>
      </c>
      <c r="DR32" s="450">
        <v>0</v>
      </c>
      <c r="DS32" s="450">
        <v>0</v>
      </c>
      <c r="DT32" s="450">
        <v>0</v>
      </c>
      <c r="DU32" s="450">
        <v>0</v>
      </c>
      <c r="DV32" s="450">
        <v>0</v>
      </c>
      <c r="DW32" s="450">
        <v>0</v>
      </c>
      <c r="DX32" s="450">
        <v>0</v>
      </c>
      <c r="DY32" s="450">
        <v>0</v>
      </c>
      <c r="DZ32" s="450">
        <v>0</v>
      </c>
      <c r="EA32" s="450">
        <v>0</v>
      </c>
      <c r="EB32" s="450">
        <v>0</v>
      </c>
      <c r="EC32" s="450">
        <v>0</v>
      </c>
      <c r="ED32" s="450">
        <v>0</v>
      </c>
      <c r="EE32" s="450">
        <v>0</v>
      </c>
      <c r="EF32" s="443">
        <v>0</v>
      </c>
      <c r="EG32" s="450">
        <v>0</v>
      </c>
      <c r="EH32" s="450">
        <v>0</v>
      </c>
      <c r="EI32" s="450">
        <v>0</v>
      </c>
      <c r="EJ32" s="450">
        <v>0</v>
      </c>
      <c r="EK32" s="450">
        <v>0</v>
      </c>
      <c r="EL32" s="450">
        <v>0</v>
      </c>
      <c r="EM32" s="450">
        <v>0</v>
      </c>
      <c r="EN32" s="450">
        <v>0</v>
      </c>
      <c r="EO32" s="450">
        <v>0</v>
      </c>
      <c r="EP32" s="450">
        <v>0</v>
      </c>
      <c r="EQ32" s="450">
        <v>0</v>
      </c>
      <c r="ER32" s="443">
        <v>0</v>
      </c>
      <c r="ES32" s="443">
        <v>0</v>
      </c>
      <c r="ET32" s="443">
        <v>0</v>
      </c>
      <c r="EU32" s="443">
        <v>0</v>
      </c>
      <c r="EV32" s="443">
        <v>0</v>
      </c>
      <c r="EW32" s="443">
        <v>0</v>
      </c>
      <c r="EX32" s="443">
        <v>0</v>
      </c>
      <c r="EY32" s="443">
        <v>0</v>
      </c>
      <c r="EZ32" s="443">
        <v>0</v>
      </c>
      <c r="FA32" s="443">
        <v>0</v>
      </c>
      <c r="FB32" s="443">
        <v>0</v>
      </c>
      <c r="FC32" s="443">
        <v>0</v>
      </c>
      <c r="FD32" s="443">
        <v>0</v>
      </c>
      <c r="FE32" s="443">
        <v>18000</v>
      </c>
      <c r="FF32" s="452">
        <v>0.0495</v>
      </c>
      <c r="FG32" s="443">
        <v>891</v>
      </c>
      <c r="FH32" s="453">
        <v>891</v>
      </c>
    </row>
    <row r="33" spans="2:164" ht="12.75">
      <c r="B33" s="356" t="s">
        <v>722</v>
      </c>
      <c r="C33" s="442">
        <v>9225</v>
      </c>
      <c r="D33" s="443">
        <v>2180225</v>
      </c>
      <c r="E33" s="443">
        <v>1870633.05</v>
      </c>
      <c r="F33" s="443">
        <v>450256.24398179667</v>
      </c>
      <c r="G33" s="443">
        <v>309591.95</v>
      </c>
      <c r="H33" s="444">
        <v>0.7135317073170732</v>
      </c>
      <c r="I33" s="445">
        <v>6303.87</v>
      </c>
      <c r="J33" s="445">
        <v>278.46</v>
      </c>
      <c r="K33" s="443">
        <v>2320889.2939817966</v>
      </c>
      <c r="L33" s="443">
        <v>1856711.4351854373</v>
      </c>
      <c r="M33" s="443">
        <v>838861.2200691189</v>
      </c>
      <c r="N33" s="443">
        <v>464177.8587963592</v>
      </c>
      <c r="O33" s="446">
        <v>1.8071978319783195</v>
      </c>
      <c r="P33" s="447">
        <v>0.37907859078590783</v>
      </c>
      <c r="Q33" s="448">
        <v>0.6209214092140921</v>
      </c>
      <c r="R33" s="443">
        <v>2695572.6552545563</v>
      </c>
      <c r="S33" s="443">
        <v>1822207.1149520802</v>
      </c>
      <c r="T33" s="443">
        <v>140188.3950614644</v>
      </c>
      <c r="U33" s="443">
        <v>806001.7038126125</v>
      </c>
      <c r="V33" s="443">
        <v>614590.5653980388</v>
      </c>
      <c r="W33" s="446">
        <v>1.3114449670905808</v>
      </c>
      <c r="X33" s="448">
        <v>24.486612572724294</v>
      </c>
      <c r="Y33" s="443">
        <v>140188.3950614644</v>
      </c>
      <c r="Z33" s="443">
        <v>258774.9749044374</v>
      </c>
      <c r="AA33" s="444">
        <v>0.5417386094356085</v>
      </c>
      <c r="AB33" s="444">
        <v>0.044444444444444446</v>
      </c>
      <c r="AC33" s="445">
        <v>325</v>
      </c>
      <c r="AD33" s="445">
        <v>495</v>
      </c>
      <c r="AE33" s="443">
        <v>2768397.213826157</v>
      </c>
      <c r="AF33" s="443">
        <v>303486.91302087094</v>
      </c>
      <c r="AG33" s="447">
        <v>1</v>
      </c>
      <c r="AH33" s="446">
        <v>0.3189321614975942</v>
      </c>
      <c r="AI33" s="448">
        <v>0.2685759365558624</v>
      </c>
      <c r="AJ33" s="443">
        <v>3071884.1268470283</v>
      </c>
      <c r="AK33" s="449">
        <v>1.141284291320443</v>
      </c>
      <c r="AL33" s="443">
        <v>3505893.0987271285</v>
      </c>
      <c r="AM33" s="443">
        <v>7813813.781625753</v>
      </c>
      <c r="AN33" s="443">
        <v>7718388.790046873</v>
      </c>
      <c r="AO33" s="443">
        <v>7337068.4859068515</v>
      </c>
      <c r="AP33" s="443">
        <v>7718388.790046873</v>
      </c>
      <c r="AQ33" s="443">
        <v>36900</v>
      </c>
      <c r="AR33" s="443">
        <v>7755288.790046873</v>
      </c>
      <c r="AS33" s="450">
        <v>840.6817116581975</v>
      </c>
      <c r="AT33" s="446">
        <v>9211</v>
      </c>
      <c r="AU33" s="446">
        <v>33</v>
      </c>
      <c r="AV33" s="446">
        <v>532</v>
      </c>
      <c r="AW33" s="446">
        <v>363</v>
      </c>
      <c r="AX33" s="446">
        <v>3</v>
      </c>
      <c r="AY33" s="446">
        <v>161</v>
      </c>
      <c r="AZ33" s="446">
        <v>124</v>
      </c>
      <c r="BA33" s="446">
        <v>481</v>
      </c>
      <c r="BB33" s="446">
        <v>308</v>
      </c>
      <c r="BC33" s="446">
        <v>988</v>
      </c>
      <c r="BD33" s="446">
        <v>365</v>
      </c>
      <c r="BE33" s="446">
        <v>3627</v>
      </c>
      <c r="BF33" s="446">
        <v>2100</v>
      </c>
      <c r="BG33" s="446">
        <v>126</v>
      </c>
      <c r="BH33" s="446">
        <v>0</v>
      </c>
      <c r="BI33" s="446">
        <v>0</v>
      </c>
      <c r="BJ33" s="448">
        <v>2.157696614248036</v>
      </c>
      <c r="BK33" s="448">
        <v>19.456292430147407</v>
      </c>
      <c r="BL33" s="448">
        <v>6.653909194994938</v>
      </c>
      <c r="BM33" s="448">
        <v>25.60476647030494</v>
      </c>
      <c r="BN33" s="445">
        <v>3484</v>
      </c>
      <c r="BO33" s="445">
        <v>5727</v>
      </c>
      <c r="BP33" s="443">
        <v>3670677.7955519874</v>
      </c>
      <c r="BQ33" s="443">
        <v>11078635</v>
      </c>
      <c r="BR33" s="443">
        <v>12179833</v>
      </c>
      <c r="BS33" s="444">
        <v>0.04451199652589295</v>
      </c>
      <c r="BT33" s="445">
        <v>325</v>
      </c>
      <c r="BU33" s="445">
        <v>495</v>
      </c>
      <c r="BV33" s="443">
        <v>542148.6841819563</v>
      </c>
      <c r="BW33" s="444">
        <v>0.01672405395890651</v>
      </c>
      <c r="BX33" s="443">
        <v>38621.01462960289</v>
      </c>
      <c r="BY33" s="443">
        <v>15330082.494363546</v>
      </c>
      <c r="BZ33" s="451">
        <v>1.1533333333333333</v>
      </c>
      <c r="CA33" s="443">
        <v>17680695.14349929</v>
      </c>
      <c r="CB33" s="443">
        <v>12937632.955485089</v>
      </c>
      <c r="CC33" s="443">
        <v>12937632.955485089</v>
      </c>
      <c r="CD33" s="443">
        <v>12082363.48466816</v>
      </c>
      <c r="CE33" s="443">
        <v>12845687.176152801</v>
      </c>
      <c r="CF33" s="450">
        <v>1394.6028852624906</v>
      </c>
      <c r="CG33" s="446">
        <v>9211</v>
      </c>
      <c r="CH33" s="446">
        <v>33</v>
      </c>
      <c r="CI33" s="446">
        <v>532</v>
      </c>
      <c r="CJ33" s="446">
        <v>363</v>
      </c>
      <c r="CK33" s="446">
        <v>3</v>
      </c>
      <c r="CL33" s="446">
        <v>161</v>
      </c>
      <c r="CM33" s="446">
        <v>124</v>
      </c>
      <c r="CN33" s="446">
        <v>481</v>
      </c>
      <c r="CO33" s="446">
        <v>308</v>
      </c>
      <c r="CP33" s="446">
        <v>988</v>
      </c>
      <c r="CQ33" s="446">
        <v>365</v>
      </c>
      <c r="CR33" s="446">
        <v>3627</v>
      </c>
      <c r="CS33" s="446">
        <v>2100</v>
      </c>
      <c r="CT33" s="446">
        <v>126</v>
      </c>
      <c r="CU33" s="446">
        <v>0</v>
      </c>
      <c r="CV33" s="446">
        <v>0</v>
      </c>
      <c r="CW33" s="443">
        <v>7132108.62848819</v>
      </c>
      <c r="CX33" s="448">
        <v>1.1259573405040626</v>
      </c>
      <c r="CY33" s="448">
        <v>1.1533333333333333</v>
      </c>
      <c r="CZ33" s="443">
        <v>8030450.06351864</v>
      </c>
      <c r="DA33" s="450">
        <v>871.8325983626794</v>
      </c>
      <c r="DB33" s="445">
        <v>9225</v>
      </c>
      <c r="DC33" s="448">
        <v>0.9932682926829268</v>
      </c>
      <c r="DD33" s="450">
        <v>354.1</v>
      </c>
      <c r="DE33" s="443">
        <v>84494</v>
      </c>
      <c r="DF33" s="450">
        <v>70.33116827585587</v>
      </c>
      <c r="DG33" s="450">
        <v>73.35540851171767</v>
      </c>
      <c r="DH33" s="450">
        <v>74.96922749897544</v>
      </c>
      <c r="DI33" s="450">
        <v>76.61855050395289</v>
      </c>
      <c r="DJ33" s="450">
        <v>79.14696267058333</v>
      </c>
      <c r="DK33" s="450">
        <v>81.99625332672431</v>
      </c>
      <c r="DL33" s="450">
        <v>84.62013343317948</v>
      </c>
      <c r="DM33" s="450">
        <v>88.08955890393983</v>
      </c>
      <c r="DN33" s="450">
        <v>91.96549949571317</v>
      </c>
      <c r="DO33" s="450">
        <v>97.0236019679774</v>
      </c>
      <c r="DP33" s="450">
        <v>96.1503895502656</v>
      </c>
      <c r="DQ33" s="450">
        <v>101.05405941732914</v>
      </c>
      <c r="DR33" s="450">
        <v>52.11</v>
      </c>
      <c r="DS33" s="450">
        <v>55.42770074989754</v>
      </c>
      <c r="DT33" s="450">
        <v>58.86615909279056</v>
      </c>
      <c r="DU33" s="450">
        <v>63.101019883818985</v>
      </c>
      <c r="DV33" s="450">
        <v>67.74745613207757</v>
      </c>
      <c r="DW33" s="450">
        <v>72.36616784578328</v>
      </c>
      <c r="DX33" s="450">
        <v>77.88445636275628</v>
      </c>
      <c r="DY33" s="450">
        <v>82.49516433749483</v>
      </c>
      <c r="DZ33" s="450">
        <v>85.14112852105606</v>
      </c>
      <c r="EA33" s="450">
        <v>88.21053627508286</v>
      </c>
      <c r="EB33" s="450">
        <v>94.3782307835555</v>
      </c>
      <c r="EC33" s="450">
        <v>-1.27</v>
      </c>
      <c r="ED33" s="450">
        <v>93.1082307835555</v>
      </c>
      <c r="EE33" s="450">
        <v>4841.628000744886</v>
      </c>
      <c r="EF33" s="443">
        <v>43770737.94073414</v>
      </c>
      <c r="EG33" s="450">
        <v>65.84</v>
      </c>
      <c r="EH33" s="450">
        <v>68.05655474989754</v>
      </c>
      <c r="EI33" s="450">
        <v>70.33877134879057</v>
      </c>
      <c r="EJ33" s="450">
        <v>73.470827286711</v>
      </c>
      <c r="EK33" s="450">
        <v>76.95584510584568</v>
      </c>
      <c r="EL33" s="450">
        <v>80.28538236322385</v>
      </c>
      <c r="EM33" s="450">
        <v>84.47957821288078</v>
      </c>
      <c r="EN33" s="450">
        <v>88.61543741441037</v>
      </c>
      <c r="EO33" s="450">
        <v>90.97782894540785</v>
      </c>
      <c r="EP33" s="450">
        <v>92.11061189381333</v>
      </c>
      <c r="EQ33" s="450">
        <v>97.65741436378407</v>
      </c>
      <c r="ER33" s="443">
        <v>343290867.4</v>
      </c>
      <c r="ES33" s="443">
        <v>0</v>
      </c>
      <c r="ET33" s="443">
        <v>0</v>
      </c>
      <c r="EU33" s="443">
        <v>0</v>
      </c>
      <c r="EV33" s="443">
        <v>0</v>
      </c>
      <c r="EW33" s="443">
        <v>0</v>
      </c>
      <c r="EX33" s="443">
        <v>0</v>
      </c>
      <c r="EY33" s="443">
        <v>0</v>
      </c>
      <c r="EZ33" s="443">
        <v>67997000</v>
      </c>
      <c r="FA33" s="443">
        <v>411287867.4</v>
      </c>
      <c r="FB33" s="443">
        <v>233846.16689984407</v>
      </c>
      <c r="FC33" s="443">
        <v>0</v>
      </c>
      <c r="FD33" s="443">
        <v>0</v>
      </c>
      <c r="FE33" s="443">
        <v>150774</v>
      </c>
      <c r="FF33" s="452">
        <v>0.051699999999999996</v>
      </c>
      <c r="FG33" s="443">
        <v>7795.015799999999</v>
      </c>
      <c r="FH33" s="453">
        <v>7795.015799999999</v>
      </c>
    </row>
    <row r="34" spans="2:164" ht="12.75">
      <c r="B34" s="356" t="s">
        <v>723</v>
      </c>
      <c r="C34" s="442">
        <v>2543.7</v>
      </c>
      <c r="D34" s="443">
        <v>623482.1</v>
      </c>
      <c r="E34" s="443">
        <v>534947.6418</v>
      </c>
      <c r="F34" s="443">
        <v>87298.35209899649</v>
      </c>
      <c r="G34" s="443">
        <v>88534.45820000001</v>
      </c>
      <c r="H34" s="444">
        <v>0.4837677399064355</v>
      </c>
      <c r="I34" s="445">
        <v>1053.76</v>
      </c>
      <c r="J34" s="445">
        <v>176.8</v>
      </c>
      <c r="K34" s="443">
        <v>622245.9938989965</v>
      </c>
      <c r="L34" s="443">
        <v>497796.7951191972</v>
      </c>
      <c r="M34" s="443">
        <v>161352.93374838936</v>
      </c>
      <c r="N34" s="443">
        <v>124449.19877979928</v>
      </c>
      <c r="O34" s="446">
        <v>1.2965365412587964</v>
      </c>
      <c r="P34" s="447">
        <v>0.7721036285725519</v>
      </c>
      <c r="Q34" s="448">
        <v>0.22801430986358456</v>
      </c>
      <c r="R34" s="443">
        <v>659149.7288675866</v>
      </c>
      <c r="S34" s="443">
        <v>445585.2167144886</v>
      </c>
      <c r="T34" s="443">
        <v>65496.105770178634</v>
      </c>
      <c r="U34" s="443">
        <v>93809.93224298001</v>
      </c>
      <c r="V34" s="443">
        <v>150286.13818180974</v>
      </c>
      <c r="W34" s="446">
        <v>0.6242088151170188</v>
      </c>
      <c r="X34" s="448">
        <v>11.654899598386285</v>
      </c>
      <c r="Y34" s="443">
        <v>65496.105770178634</v>
      </c>
      <c r="Z34" s="443">
        <v>63278.37397128831</v>
      </c>
      <c r="AA34" s="444">
        <v>1.035047231142453</v>
      </c>
      <c r="AB34" s="444">
        <v>0.08491567401816252</v>
      </c>
      <c r="AC34" s="445">
        <v>228</v>
      </c>
      <c r="AD34" s="445">
        <v>204</v>
      </c>
      <c r="AE34" s="443">
        <v>604891.2547276472</v>
      </c>
      <c r="AF34" s="443">
        <v>0</v>
      </c>
      <c r="AG34" s="447">
        <v>0</v>
      </c>
      <c r="AH34" s="446">
        <v>0.003956767101893651</v>
      </c>
      <c r="AI34" s="448">
        <v>0.003332032822072506</v>
      </c>
      <c r="AJ34" s="443">
        <v>604891.2547276472</v>
      </c>
      <c r="AK34" s="449">
        <v>1.0752460753535806</v>
      </c>
      <c r="AL34" s="443">
        <v>650406.9476616057</v>
      </c>
      <c r="AM34" s="443">
        <v>1449604.6023618218</v>
      </c>
      <c r="AN34" s="443">
        <v>1431901.530489497</v>
      </c>
      <c r="AO34" s="443">
        <v>1350746.6204622316</v>
      </c>
      <c r="AP34" s="443">
        <v>1431901.530489497</v>
      </c>
      <c r="AQ34" s="443">
        <v>10174.8</v>
      </c>
      <c r="AR34" s="443">
        <v>1442076.330489497</v>
      </c>
      <c r="AS34" s="450">
        <v>566.920757357195</v>
      </c>
      <c r="AT34" s="446">
        <v>2535</v>
      </c>
      <c r="AU34" s="446">
        <v>0</v>
      </c>
      <c r="AV34" s="446">
        <v>150</v>
      </c>
      <c r="AW34" s="446">
        <v>40</v>
      </c>
      <c r="AX34" s="446">
        <v>2</v>
      </c>
      <c r="AY34" s="446">
        <v>672</v>
      </c>
      <c r="AZ34" s="446">
        <v>97</v>
      </c>
      <c r="BA34" s="446">
        <v>7</v>
      </c>
      <c r="BB34" s="446">
        <v>14</v>
      </c>
      <c r="BC34" s="446">
        <v>1</v>
      </c>
      <c r="BD34" s="446">
        <v>593</v>
      </c>
      <c r="BE34" s="446">
        <v>440</v>
      </c>
      <c r="BF34" s="446">
        <v>147</v>
      </c>
      <c r="BG34" s="446">
        <v>372</v>
      </c>
      <c r="BH34" s="446">
        <v>0</v>
      </c>
      <c r="BI34" s="446">
        <v>0</v>
      </c>
      <c r="BJ34" s="448">
        <v>1.373219135015889</v>
      </c>
      <c r="BK34" s="448">
        <v>10.056206079301319</v>
      </c>
      <c r="BL34" s="448">
        <v>4.237295720918367</v>
      </c>
      <c r="BM34" s="448">
        <v>11.637820716765901</v>
      </c>
      <c r="BN34" s="445">
        <v>1948</v>
      </c>
      <c r="BO34" s="445">
        <v>587</v>
      </c>
      <c r="BP34" s="443">
        <v>694327.0590467339</v>
      </c>
      <c r="BQ34" s="443">
        <v>2706981</v>
      </c>
      <c r="BR34" s="443">
        <v>3396928</v>
      </c>
      <c r="BS34" s="444">
        <v>0.08520710059171598</v>
      </c>
      <c r="BT34" s="445">
        <v>228</v>
      </c>
      <c r="BU34" s="445">
        <v>204</v>
      </c>
      <c r="BV34" s="443">
        <v>289442.38579881657</v>
      </c>
      <c r="BW34" s="444">
        <v>0.007075168925750234</v>
      </c>
      <c r="BX34" s="443">
        <v>2324.1502115398157</v>
      </c>
      <c r="BY34" s="443">
        <v>3693074.5950570907</v>
      </c>
      <c r="BZ34" s="451">
        <v>1.04</v>
      </c>
      <c r="CA34" s="443">
        <v>3840797.5788593744</v>
      </c>
      <c r="CB34" s="443">
        <v>2810456.768147397</v>
      </c>
      <c r="CC34" s="443">
        <v>2810456.768147397</v>
      </c>
      <c r="CD34" s="443">
        <v>2658747.9502387266</v>
      </c>
      <c r="CE34" s="443">
        <v>2790483.281597258</v>
      </c>
      <c r="CF34" s="450">
        <v>1100.7823596044411</v>
      </c>
      <c r="CG34" s="446">
        <v>2535</v>
      </c>
      <c r="CH34" s="446">
        <v>0</v>
      </c>
      <c r="CI34" s="446">
        <v>150</v>
      </c>
      <c r="CJ34" s="446">
        <v>40</v>
      </c>
      <c r="CK34" s="446">
        <v>2</v>
      </c>
      <c r="CL34" s="446">
        <v>672</v>
      </c>
      <c r="CM34" s="446">
        <v>97</v>
      </c>
      <c r="CN34" s="446">
        <v>7</v>
      </c>
      <c r="CO34" s="446">
        <v>14</v>
      </c>
      <c r="CP34" s="446">
        <v>1</v>
      </c>
      <c r="CQ34" s="446">
        <v>593</v>
      </c>
      <c r="CR34" s="446">
        <v>440</v>
      </c>
      <c r="CS34" s="446">
        <v>147</v>
      </c>
      <c r="CT34" s="446">
        <v>372</v>
      </c>
      <c r="CU34" s="446">
        <v>0</v>
      </c>
      <c r="CV34" s="446">
        <v>0</v>
      </c>
      <c r="CW34" s="443">
        <v>1930126.0207591297</v>
      </c>
      <c r="CX34" s="448">
        <v>1.015314133633721</v>
      </c>
      <c r="CY34" s="448">
        <v>1.04</v>
      </c>
      <c r="CZ34" s="443">
        <v>1959684.2285709572</v>
      </c>
      <c r="DA34" s="450">
        <v>773.0509777400225</v>
      </c>
      <c r="DB34" s="445">
        <v>2543.7</v>
      </c>
      <c r="DC34" s="448">
        <v>0.9888862680347527</v>
      </c>
      <c r="DD34" s="450">
        <v>325.9</v>
      </c>
      <c r="DE34" s="443">
        <v>58761</v>
      </c>
      <c r="DF34" s="450">
        <v>58.29823042364932</v>
      </c>
      <c r="DG34" s="450">
        <v>60.80505433186624</v>
      </c>
      <c r="DH34" s="450">
        <v>62.142765527167285</v>
      </c>
      <c r="DI34" s="450">
        <v>63.50990636876495</v>
      </c>
      <c r="DJ34" s="450">
        <v>65.6057332789342</v>
      </c>
      <c r="DK34" s="450">
        <v>67.96753967697582</v>
      </c>
      <c r="DL34" s="450">
        <v>70.14250094663903</v>
      </c>
      <c r="DM34" s="450">
        <v>73.01834348545123</v>
      </c>
      <c r="DN34" s="450">
        <v>76.23115059881107</v>
      </c>
      <c r="DO34" s="450">
        <v>80.42386388174567</v>
      </c>
      <c r="DP34" s="450">
        <v>79.70004910680996</v>
      </c>
      <c r="DQ34" s="450">
        <v>83.76475161125725</v>
      </c>
      <c r="DR34" s="450">
        <v>51.97</v>
      </c>
      <c r="DS34" s="450">
        <v>54.01628255271672</v>
      </c>
      <c r="DT34" s="450">
        <v>56.12744805775297</v>
      </c>
      <c r="DU34" s="450">
        <v>58.932913773068236</v>
      </c>
      <c r="DV34" s="450">
        <v>62.04207595576684</v>
      </c>
      <c r="DW34" s="450">
        <v>65.04660214639931</v>
      </c>
      <c r="DX34" s="450">
        <v>68.77447896461157</v>
      </c>
      <c r="DY34" s="450">
        <v>72.29284432347187</v>
      </c>
      <c r="DZ34" s="450">
        <v>74.30486679526739</v>
      </c>
      <c r="EA34" s="450">
        <v>75.6113432262598</v>
      </c>
      <c r="EB34" s="450">
        <v>80.32696770689068</v>
      </c>
      <c r="EC34" s="450">
        <v>-0.04</v>
      </c>
      <c r="ED34" s="450">
        <v>80.28696770689068</v>
      </c>
      <c r="EE34" s="450">
        <v>4174.922320758315</v>
      </c>
      <c r="EF34" s="443">
        <v>10407354.909166668</v>
      </c>
      <c r="EG34" s="450">
        <v>54.82</v>
      </c>
      <c r="EH34" s="450">
        <v>56.63771255271672</v>
      </c>
      <c r="EI34" s="450">
        <v>58.50887157775298</v>
      </c>
      <c r="EJ34" s="450">
        <v>61.08542295720824</v>
      </c>
      <c r="EK34" s="450">
        <v>63.953504111283166</v>
      </c>
      <c r="EL34" s="450">
        <v>66.69043036014335</v>
      </c>
      <c r="EM34" s="450">
        <v>70.14345910101763</v>
      </c>
      <c r="EN34" s="450">
        <v>73.56325789005669</v>
      </c>
      <c r="EO34" s="450">
        <v>75.51641786660043</v>
      </c>
      <c r="EP34" s="450">
        <v>76.42090007355638</v>
      </c>
      <c r="EQ34" s="450">
        <v>81.00764310409765</v>
      </c>
      <c r="ER34" s="443">
        <v>3405203</v>
      </c>
      <c r="ES34" s="443">
        <v>345000</v>
      </c>
      <c r="ET34" s="443">
        <v>0</v>
      </c>
      <c r="EU34" s="443">
        <v>0</v>
      </c>
      <c r="EV34" s="443">
        <v>0</v>
      </c>
      <c r="EW34" s="443">
        <v>0</v>
      </c>
      <c r="EX34" s="443">
        <v>0</v>
      </c>
      <c r="EY34" s="443">
        <v>0</v>
      </c>
      <c r="EZ34" s="443">
        <v>0</v>
      </c>
      <c r="FA34" s="443">
        <v>3577703</v>
      </c>
      <c r="FB34" s="443">
        <v>40919.10994051684</v>
      </c>
      <c r="FC34" s="443">
        <v>0</v>
      </c>
      <c r="FD34" s="443">
        <v>0</v>
      </c>
      <c r="FE34" s="443">
        <v>19875</v>
      </c>
      <c r="FF34" s="452">
        <v>0.0711</v>
      </c>
      <c r="FG34" s="443">
        <v>1413.1125</v>
      </c>
      <c r="FH34" s="453">
        <v>1413.1125</v>
      </c>
    </row>
    <row r="35" spans="2:164" ht="12.75">
      <c r="B35" s="356" t="s">
        <v>724</v>
      </c>
      <c r="C35" s="442">
        <v>12304</v>
      </c>
      <c r="D35" s="443">
        <v>2897632</v>
      </c>
      <c r="E35" s="443">
        <v>2486168.256</v>
      </c>
      <c r="F35" s="443">
        <v>511640.01742035185</v>
      </c>
      <c r="G35" s="443">
        <v>411463.74400000006</v>
      </c>
      <c r="H35" s="444">
        <v>0.6100650195058518</v>
      </c>
      <c r="I35" s="445">
        <v>6917.08</v>
      </c>
      <c r="J35" s="445">
        <v>589.16</v>
      </c>
      <c r="K35" s="443">
        <v>2997808.273420352</v>
      </c>
      <c r="L35" s="443">
        <v>2398246.6187362815</v>
      </c>
      <c r="M35" s="443">
        <v>977050.6233398804</v>
      </c>
      <c r="N35" s="443">
        <v>599561.6546840703</v>
      </c>
      <c r="O35" s="446">
        <v>1.6296082574772432</v>
      </c>
      <c r="P35" s="447">
        <v>0.515685955786736</v>
      </c>
      <c r="Q35" s="448">
        <v>0.48431404421326396</v>
      </c>
      <c r="R35" s="443">
        <v>3375297.242076162</v>
      </c>
      <c r="S35" s="443">
        <v>2281700.9356434857</v>
      </c>
      <c r="T35" s="443">
        <v>269482.1119888759</v>
      </c>
      <c r="U35" s="443">
        <v>902227.1018911237</v>
      </c>
      <c r="V35" s="443">
        <v>769567.7711933649</v>
      </c>
      <c r="W35" s="446">
        <v>1.1723816090843366</v>
      </c>
      <c r="X35" s="448">
        <v>21.89009449075299</v>
      </c>
      <c r="Y35" s="443">
        <v>269482.1119888759</v>
      </c>
      <c r="Z35" s="443">
        <v>324028.5352393115</v>
      </c>
      <c r="AA35" s="444">
        <v>0.8316616676671692</v>
      </c>
      <c r="AB35" s="444">
        <v>0.06822984395318596</v>
      </c>
      <c r="AC35" s="445">
        <v>849</v>
      </c>
      <c r="AD35" s="445">
        <v>830</v>
      </c>
      <c r="AE35" s="443">
        <v>3453410.1495234855</v>
      </c>
      <c r="AF35" s="443">
        <v>262020.1026919451</v>
      </c>
      <c r="AG35" s="447">
        <v>0.75</v>
      </c>
      <c r="AH35" s="446">
        <v>0.26005267102955354</v>
      </c>
      <c r="AI35" s="448">
        <v>0.2189929336309433</v>
      </c>
      <c r="AJ35" s="443">
        <v>3715430.2522154306</v>
      </c>
      <c r="AK35" s="449">
        <v>1.0101799959369813</v>
      </c>
      <c r="AL35" s="443">
        <v>3753253.317087121</v>
      </c>
      <c r="AM35" s="443">
        <v>8365121.716242758</v>
      </c>
      <c r="AN35" s="443">
        <v>8262963.961830201</v>
      </c>
      <c r="AO35" s="443">
        <v>8229371.193559538</v>
      </c>
      <c r="AP35" s="443">
        <v>8262963.961830201</v>
      </c>
      <c r="AQ35" s="443">
        <v>49216</v>
      </c>
      <c r="AR35" s="443">
        <v>8312179.961830201</v>
      </c>
      <c r="AS35" s="450">
        <v>675.5672920863296</v>
      </c>
      <c r="AT35" s="446">
        <v>12304</v>
      </c>
      <c r="AU35" s="446">
        <v>78</v>
      </c>
      <c r="AV35" s="446">
        <v>1471</v>
      </c>
      <c r="AW35" s="446">
        <v>582</v>
      </c>
      <c r="AX35" s="446">
        <v>12</v>
      </c>
      <c r="AY35" s="446">
        <v>1006</v>
      </c>
      <c r="AZ35" s="446">
        <v>62</v>
      </c>
      <c r="BA35" s="446">
        <v>772</v>
      </c>
      <c r="BB35" s="446">
        <v>293</v>
      </c>
      <c r="BC35" s="446">
        <v>360</v>
      </c>
      <c r="BD35" s="446">
        <v>1453</v>
      </c>
      <c r="BE35" s="446">
        <v>3997</v>
      </c>
      <c r="BF35" s="446">
        <v>1962</v>
      </c>
      <c r="BG35" s="446">
        <v>256</v>
      </c>
      <c r="BH35" s="446">
        <v>0</v>
      </c>
      <c r="BI35" s="446">
        <v>0</v>
      </c>
      <c r="BJ35" s="448">
        <v>1.7366846198913257</v>
      </c>
      <c r="BK35" s="448">
        <v>14.272369610508786</v>
      </c>
      <c r="BL35" s="448">
        <v>9.169509479303054</v>
      </c>
      <c r="BM35" s="448">
        <v>10.205720262411466</v>
      </c>
      <c r="BN35" s="445">
        <v>6345</v>
      </c>
      <c r="BO35" s="445">
        <v>5959</v>
      </c>
      <c r="BP35" s="443">
        <v>4282021.699342649</v>
      </c>
      <c r="BQ35" s="443">
        <v>14523442</v>
      </c>
      <c r="BR35" s="443">
        <v>16759973</v>
      </c>
      <c r="BS35" s="444">
        <v>0.06822984395318596</v>
      </c>
      <c r="BT35" s="445">
        <v>849</v>
      </c>
      <c r="BU35" s="445">
        <v>830</v>
      </c>
      <c r="BV35" s="443">
        <v>1143530.34244961</v>
      </c>
      <c r="BW35" s="444">
        <v>0.02052503888498466</v>
      </c>
      <c r="BX35" s="443">
        <v>46445.28655390778</v>
      </c>
      <c r="BY35" s="443">
        <v>19995439.328346167</v>
      </c>
      <c r="BZ35" s="451">
        <v>1.0733333333333335</v>
      </c>
      <c r="CA35" s="443">
        <v>21461771.54575822</v>
      </c>
      <c r="CB35" s="443">
        <v>15704389.481291601</v>
      </c>
      <c r="CC35" s="443">
        <v>15704389.481291601</v>
      </c>
      <c r="CD35" s="443">
        <v>15242786.341248145</v>
      </c>
      <c r="CE35" s="443">
        <v>15592780.78635</v>
      </c>
      <c r="CF35" s="450">
        <v>1267.2936269790312</v>
      </c>
      <c r="CG35" s="446">
        <v>12304</v>
      </c>
      <c r="CH35" s="446">
        <v>78</v>
      </c>
      <c r="CI35" s="446">
        <v>1471</v>
      </c>
      <c r="CJ35" s="446">
        <v>582</v>
      </c>
      <c r="CK35" s="446">
        <v>12</v>
      </c>
      <c r="CL35" s="446">
        <v>1006</v>
      </c>
      <c r="CM35" s="446">
        <v>62</v>
      </c>
      <c r="CN35" s="446">
        <v>772</v>
      </c>
      <c r="CO35" s="446">
        <v>293</v>
      </c>
      <c r="CP35" s="446">
        <v>360</v>
      </c>
      <c r="CQ35" s="446">
        <v>1453</v>
      </c>
      <c r="CR35" s="446">
        <v>3997</v>
      </c>
      <c r="CS35" s="446">
        <v>1962</v>
      </c>
      <c r="CT35" s="446">
        <v>256</v>
      </c>
      <c r="CU35" s="446">
        <v>0</v>
      </c>
      <c r="CV35" s="446">
        <v>0</v>
      </c>
      <c r="CW35" s="443">
        <v>9276439.69161331</v>
      </c>
      <c r="CX35" s="448">
        <v>1.0478562533014688</v>
      </c>
      <c r="CY35" s="448">
        <v>1.0733333333333335</v>
      </c>
      <c r="CZ35" s="443">
        <v>9720375.339230955</v>
      </c>
      <c r="DA35" s="450">
        <v>790.017501562984</v>
      </c>
      <c r="DB35" s="445">
        <v>12304</v>
      </c>
      <c r="DC35" s="448">
        <v>0.9826154096228868</v>
      </c>
      <c r="DD35" s="450">
        <v>281.5</v>
      </c>
      <c r="DE35" s="443">
        <v>55904</v>
      </c>
      <c r="DF35" s="450">
        <v>51.83821710173297</v>
      </c>
      <c r="DG35" s="450">
        <v>54.067260437107485</v>
      </c>
      <c r="DH35" s="450">
        <v>55.25674016672384</v>
      </c>
      <c r="DI35" s="450">
        <v>56.47238845039175</v>
      </c>
      <c r="DJ35" s="450">
        <v>58.33597726925467</v>
      </c>
      <c r="DK35" s="450">
        <v>60.436072450947826</v>
      </c>
      <c r="DL35" s="450">
        <v>62.37002676937814</v>
      </c>
      <c r="DM35" s="450">
        <v>64.92719786692264</v>
      </c>
      <c r="DN35" s="450">
        <v>67.78399457306722</v>
      </c>
      <c r="DO35" s="450">
        <v>71.51211427458591</v>
      </c>
      <c r="DP35" s="450">
        <v>70.86850524611464</v>
      </c>
      <c r="DQ35" s="450">
        <v>74.48279901366648</v>
      </c>
      <c r="DR35" s="450">
        <v>44.16</v>
      </c>
      <c r="DS35" s="450">
        <v>46.14404201667237</v>
      </c>
      <c r="DT35" s="450">
        <v>48.194008442078335</v>
      </c>
      <c r="DU35" s="450">
        <v>50.85335653924039</v>
      </c>
      <c r="DV35" s="450">
        <v>53.791505242695145</v>
      </c>
      <c r="DW35" s="450">
        <v>56.65569897028084</v>
      </c>
      <c r="DX35" s="450">
        <v>60.168305675834404</v>
      </c>
      <c r="DY35" s="450">
        <v>63.36774261973734</v>
      </c>
      <c r="DZ35" s="450">
        <v>65.19917816332858</v>
      </c>
      <c r="EA35" s="450">
        <v>66.65020956189642</v>
      </c>
      <c r="EB35" s="450">
        <v>70.9360560023758</v>
      </c>
      <c r="EC35" s="450">
        <v>-0.99</v>
      </c>
      <c r="ED35" s="450">
        <v>69.94605600237581</v>
      </c>
      <c r="EE35" s="450">
        <v>3637.194912123542</v>
      </c>
      <c r="EF35" s="443">
        <v>43857005.2747927</v>
      </c>
      <c r="EG35" s="450">
        <v>49.09</v>
      </c>
      <c r="EH35" s="450">
        <v>50.67865601667238</v>
      </c>
      <c r="EI35" s="450">
        <v>52.31345333807834</v>
      </c>
      <c r="EJ35" s="450">
        <v>54.57681979461239</v>
      </c>
      <c r="EK35" s="450">
        <v>57.09794061346548</v>
      </c>
      <c r="EL35" s="450">
        <v>59.49923338914333</v>
      </c>
      <c r="EM35" s="450">
        <v>62.53640113986309</v>
      </c>
      <c r="EN35" s="450">
        <v>65.56533521035595</v>
      </c>
      <c r="EO35" s="450">
        <v>67.29494896391519</v>
      </c>
      <c r="EP35" s="450">
        <v>68.0506008802024</v>
      </c>
      <c r="EQ35" s="450">
        <v>72.11350502280747</v>
      </c>
      <c r="ER35" s="443">
        <v>136441119</v>
      </c>
      <c r="ES35" s="443">
        <v>1230000</v>
      </c>
      <c r="ET35" s="443">
        <v>0</v>
      </c>
      <c r="EU35" s="443">
        <v>0</v>
      </c>
      <c r="EV35" s="443">
        <v>0</v>
      </c>
      <c r="EW35" s="443">
        <v>0</v>
      </c>
      <c r="EX35" s="443">
        <v>0</v>
      </c>
      <c r="EY35" s="443">
        <v>0</v>
      </c>
      <c r="EZ35" s="443">
        <v>0</v>
      </c>
      <c r="FA35" s="443">
        <v>137056119</v>
      </c>
      <c r="FB35" s="443">
        <v>104080.64039774667</v>
      </c>
      <c r="FC35" s="443">
        <v>0</v>
      </c>
      <c r="FD35" s="443">
        <v>0</v>
      </c>
      <c r="FE35" s="443">
        <v>0</v>
      </c>
      <c r="FF35" s="452">
        <v>0</v>
      </c>
      <c r="FG35" s="443">
        <v>0</v>
      </c>
      <c r="FH35" s="453">
        <v>0</v>
      </c>
    </row>
    <row r="36" spans="2:164" ht="12.75">
      <c r="B36" s="356" t="s">
        <v>725</v>
      </c>
      <c r="C36" s="442">
        <v>28226</v>
      </c>
      <c r="D36" s="443">
        <v>6607458</v>
      </c>
      <c r="E36" s="443">
        <v>5669198.964</v>
      </c>
      <c r="F36" s="443">
        <v>1018785.5145305338</v>
      </c>
      <c r="G36" s="443">
        <v>938259.0360000001</v>
      </c>
      <c r="H36" s="444">
        <v>0.5327251470275632</v>
      </c>
      <c r="I36" s="445">
        <v>13311.73</v>
      </c>
      <c r="J36" s="445">
        <v>1724.97</v>
      </c>
      <c r="K36" s="443">
        <v>6687984.478530534</v>
      </c>
      <c r="L36" s="443">
        <v>5350387.582824428</v>
      </c>
      <c r="M36" s="443">
        <v>1855452.4670551177</v>
      </c>
      <c r="N36" s="443">
        <v>1337596.8957061064</v>
      </c>
      <c r="O36" s="446">
        <v>1.387153688088996</v>
      </c>
      <c r="P36" s="447">
        <v>0.7021894707007723</v>
      </c>
      <c r="Q36" s="448">
        <v>0.2978105292992277</v>
      </c>
      <c r="R36" s="443">
        <v>7205840.049879545</v>
      </c>
      <c r="S36" s="443">
        <v>4871147.873718573</v>
      </c>
      <c r="T36" s="443">
        <v>702463.5649938625</v>
      </c>
      <c r="U36" s="443">
        <v>2394546.5658668936</v>
      </c>
      <c r="V36" s="443">
        <v>1642931.5313725364</v>
      </c>
      <c r="W36" s="446">
        <v>1.4574840887413267</v>
      </c>
      <c r="X36" s="448">
        <v>27.213378454678207</v>
      </c>
      <c r="Y36" s="443">
        <v>702463.5649938625</v>
      </c>
      <c r="Z36" s="443">
        <v>691760.6447884364</v>
      </c>
      <c r="AA36" s="444">
        <v>1.015471999290592</v>
      </c>
      <c r="AB36" s="444">
        <v>0.08330971444767236</v>
      </c>
      <c r="AC36" s="445">
        <v>2294</v>
      </c>
      <c r="AD36" s="445">
        <v>2409</v>
      </c>
      <c r="AE36" s="443">
        <v>7968158.004579328</v>
      </c>
      <c r="AF36" s="443">
        <v>1001789.2842104761</v>
      </c>
      <c r="AG36" s="447">
        <v>1</v>
      </c>
      <c r="AH36" s="446">
        <v>0.3528329390880406</v>
      </c>
      <c r="AI36" s="448">
        <v>0.29712411761283875</v>
      </c>
      <c r="AJ36" s="443">
        <v>8969947.288789805</v>
      </c>
      <c r="AK36" s="449">
        <v>1.0358917994312307</v>
      </c>
      <c r="AL36" s="443">
        <v>9291894.83778776</v>
      </c>
      <c r="AM36" s="443">
        <v>20709455.164871875</v>
      </c>
      <c r="AN36" s="443">
        <v>20456544.148569163</v>
      </c>
      <c r="AO36" s="443">
        <v>19888553.58405542</v>
      </c>
      <c r="AP36" s="443">
        <v>20456544.148569163</v>
      </c>
      <c r="AQ36" s="443">
        <v>112904</v>
      </c>
      <c r="AR36" s="443">
        <v>20569448.148569163</v>
      </c>
      <c r="AS36" s="450">
        <v>728.7411658955984</v>
      </c>
      <c r="AT36" s="446">
        <v>28226</v>
      </c>
      <c r="AU36" s="446">
        <v>3</v>
      </c>
      <c r="AV36" s="446">
        <v>3255</v>
      </c>
      <c r="AW36" s="446">
        <v>2771</v>
      </c>
      <c r="AX36" s="446">
        <v>0</v>
      </c>
      <c r="AY36" s="446">
        <v>961</v>
      </c>
      <c r="AZ36" s="446">
        <v>113</v>
      </c>
      <c r="BA36" s="446">
        <v>833</v>
      </c>
      <c r="BB36" s="446">
        <v>4330</v>
      </c>
      <c r="BC36" s="446">
        <v>597</v>
      </c>
      <c r="BD36" s="446">
        <v>5954</v>
      </c>
      <c r="BE36" s="446">
        <v>4122</v>
      </c>
      <c r="BF36" s="446">
        <v>4284</v>
      </c>
      <c r="BG36" s="446">
        <v>996</v>
      </c>
      <c r="BH36" s="446">
        <v>7</v>
      </c>
      <c r="BI36" s="446">
        <v>0</v>
      </c>
      <c r="BJ36" s="448">
        <v>2.048082815249068</v>
      </c>
      <c r="BK36" s="448">
        <v>25.6162313736733</v>
      </c>
      <c r="BL36" s="448">
        <v>12.456547167730186</v>
      </c>
      <c r="BM36" s="448">
        <v>26.31936841188623</v>
      </c>
      <c r="BN36" s="445">
        <v>19820</v>
      </c>
      <c r="BO36" s="445">
        <v>8406</v>
      </c>
      <c r="BP36" s="443">
        <v>11469603.747142114</v>
      </c>
      <c r="BQ36" s="443">
        <v>32438886</v>
      </c>
      <c r="BR36" s="443">
        <v>39272882</v>
      </c>
      <c r="BS36" s="444">
        <v>0.08330971444767236</v>
      </c>
      <c r="BT36" s="445">
        <v>2294</v>
      </c>
      <c r="BU36" s="445">
        <v>2409</v>
      </c>
      <c r="BV36" s="443">
        <v>3271812.584957132</v>
      </c>
      <c r="BW36" s="444">
        <v>0.008942504066538291</v>
      </c>
      <c r="BX36" s="443">
        <v>83318.02608469558</v>
      </c>
      <c r="BY36" s="443">
        <v>47263620.35818394</v>
      </c>
      <c r="BZ36" s="451">
        <v>1.0166666666666666</v>
      </c>
      <c r="CA36" s="443">
        <v>48051347.364153676</v>
      </c>
      <c r="CB36" s="443">
        <v>35160987.176599085</v>
      </c>
      <c r="CC36" s="443">
        <v>35160987.176599085</v>
      </c>
      <c r="CD36" s="443">
        <v>33198612.48439904</v>
      </c>
      <c r="CE36" s="443">
        <v>34911103.4166278</v>
      </c>
      <c r="CF36" s="450">
        <v>1236.842039843683</v>
      </c>
      <c r="CG36" s="446">
        <v>28226</v>
      </c>
      <c r="CH36" s="446">
        <v>3</v>
      </c>
      <c r="CI36" s="446">
        <v>3255</v>
      </c>
      <c r="CJ36" s="446">
        <v>2771</v>
      </c>
      <c r="CK36" s="446">
        <v>0</v>
      </c>
      <c r="CL36" s="446">
        <v>961</v>
      </c>
      <c r="CM36" s="446">
        <v>113</v>
      </c>
      <c r="CN36" s="446">
        <v>833</v>
      </c>
      <c r="CO36" s="446">
        <v>4330</v>
      </c>
      <c r="CP36" s="446">
        <v>597</v>
      </c>
      <c r="CQ36" s="446">
        <v>5954</v>
      </c>
      <c r="CR36" s="446">
        <v>4122</v>
      </c>
      <c r="CS36" s="446">
        <v>4284</v>
      </c>
      <c r="CT36" s="446">
        <v>996</v>
      </c>
      <c r="CU36" s="446">
        <v>7</v>
      </c>
      <c r="CV36" s="446">
        <v>0</v>
      </c>
      <c r="CW36" s="443">
        <v>20401858.703598835</v>
      </c>
      <c r="CX36" s="448">
        <v>0.9925346498662978</v>
      </c>
      <c r="CY36" s="448">
        <v>1.0166666666666666</v>
      </c>
      <c r="CZ36" s="443">
        <v>20249551.68499815</v>
      </c>
      <c r="DA36" s="450">
        <v>717.4077689009478</v>
      </c>
      <c r="DB36" s="445">
        <v>28226</v>
      </c>
      <c r="DC36" s="448">
        <v>1.012910082902289</v>
      </c>
      <c r="DD36" s="450">
        <v>321.2</v>
      </c>
      <c r="DE36" s="443">
        <v>32566</v>
      </c>
      <c r="DF36" s="450">
        <v>50.04128813460166</v>
      </c>
      <c r="DG36" s="450">
        <v>52.19306352438952</v>
      </c>
      <c r="DH36" s="450">
        <v>53.34131092192608</v>
      </c>
      <c r="DI36" s="450">
        <v>54.51481976220845</v>
      </c>
      <c r="DJ36" s="450">
        <v>56.31380881436132</v>
      </c>
      <c r="DK36" s="450">
        <v>58.34110593167832</v>
      </c>
      <c r="DL36" s="450">
        <v>60.20802132149202</v>
      </c>
      <c r="DM36" s="450">
        <v>62.67655019567319</v>
      </c>
      <c r="DN36" s="450">
        <v>65.43431840428279</v>
      </c>
      <c r="DO36" s="450">
        <v>69.03320591651834</v>
      </c>
      <c r="DP36" s="450">
        <v>68.41190706326968</v>
      </c>
      <c r="DQ36" s="450">
        <v>71.90091432349642</v>
      </c>
      <c r="DR36" s="450">
        <v>38.33</v>
      </c>
      <c r="DS36" s="450">
        <v>40.5900650921926</v>
      </c>
      <c r="DT36" s="450">
        <v>42.93102132844168</v>
      </c>
      <c r="DU36" s="450">
        <v>45.84350300504038</v>
      </c>
      <c r="DV36" s="450">
        <v>49.043474373001324</v>
      </c>
      <c r="DW36" s="450">
        <v>52.2120581810298</v>
      </c>
      <c r="DX36" s="450">
        <v>56.01751209229625</v>
      </c>
      <c r="DY36" s="450">
        <v>59.254731044349</v>
      </c>
      <c r="DZ36" s="450">
        <v>61.11147556706205</v>
      </c>
      <c r="EA36" s="450">
        <v>63.118617165235754</v>
      </c>
      <c r="EB36" s="450">
        <v>67.45031617722951</v>
      </c>
      <c r="EC36" s="450">
        <v>-2.5</v>
      </c>
      <c r="ED36" s="450">
        <v>64.95031617722951</v>
      </c>
      <c r="EE36" s="450">
        <v>3377.4164412159344</v>
      </c>
      <c r="EF36" s="443">
        <v>93424337.34036575</v>
      </c>
      <c r="EG36" s="450">
        <v>43.23</v>
      </c>
      <c r="EH36" s="450">
        <v>45.0970850921926</v>
      </c>
      <c r="EI36" s="450">
        <v>47.02539860844168</v>
      </c>
      <c r="EJ36" s="450">
        <v>49.54430826900038</v>
      </c>
      <c r="EK36" s="450">
        <v>52.32978944739781</v>
      </c>
      <c r="EL36" s="450">
        <v>55.03828914501078</v>
      </c>
      <c r="EM36" s="450">
        <v>58.371197239099615</v>
      </c>
      <c r="EN36" s="450">
        <v>61.43895086058252</v>
      </c>
      <c r="EO36" s="450">
        <v>63.194493198476756</v>
      </c>
      <c r="EP36" s="450">
        <v>64.51048683251757</v>
      </c>
      <c r="EQ36" s="450">
        <v>68.62060019348006</v>
      </c>
      <c r="ER36" s="443">
        <v>208655800</v>
      </c>
      <c r="ES36" s="443">
        <v>4000000</v>
      </c>
      <c r="ET36" s="443">
        <v>0</v>
      </c>
      <c r="EU36" s="443">
        <v>0</v>
      </c>
      <c r="EV36" s="443">
        <v>0</v>
      </c>
      <c r="EW36" s="443">
        <v>0</v>
      </c>
      <c r="EX36" s="443">
        <v>0</v>
      </c>
      <c r="EY36" s="443">
        <v>0</v>
      </c>
      <c r="EZ36" s="443">
        <v>0</v>
      </c>
      <c r="FA36" s="443">
        <v>210655800</v>
      </c>
      <c r="FB36" s="443">
        <v>138907.75801295644</v>
      </c>
      <c r="FC36" s="443">
        <v>0</v>
      </c>
      <c r="FD36" s="443">
        <v>0</v>
      </c>
      <c r="FE36" s="443">
        <v>238106</v>
      </c>
      <c r="FF36" s="452">
        <v>0.048799999999999996</v>
      </c>
      <c r="FG36" s="443">
        <v>11619.5728</v>
      </c>
      <c r="FH36" s="453">
        <v>11619.5728</v>
      </c>
    </row>
    <row r="37" spans="2:164" ht="12.75">
      <c r="B37" s="356" t="s">
        <v>726</v>
      </c>
      <c r="C37" s="442">
        <v>4619</v>
      </c>
      <c r="D37" s="443">
        <v>1107027</v>
      </c>
      <c r="E37" s="443">
        <v>949829.166</v>
      </c>
      <c r="F37" s="443">
        <v>158426.1189141987</v>
      </c>
      <c r="G37" s="443">
        <v>157197.834</v>
      </c>
      <c r="H37" s="444">
        <v>0.4944511799090713</v>
      </c>
      <c r="I37" s="445">
        <v>1971.35</v>
      </c>
      <c r="J37" s="445">
        <v>312.52</v>
      </c>
      <c r="K37" s="443">
        <v>1108255.2849141988</v>
      </c>
      <c r="L37" s="443">
        <v>886604.2279313591</v>
      </c>
      <c r="M37" s="443">
        <v>247727.08737133833</v>
      </c>
      <c r="N37" s="443">
        <v>221651.0569828397</v>
      </c>
      <c r="O37" s="446">
        <v>1.1176445117990907</v>
      </c>
      <c r="P37" s="447">
        <v>0.9095042216930072</v>
      </c>
      <c r="Q37" s="448">
        <v>0.09049577830699286</v>
      </c>
      <c r="R37" s="443">
        <v>1134331.3153026975</v>
      </c>
      <c r="S37" s="443">
        <v>766807.9691446235</v>
      </c>
      <c r="T37" s="443">
        <v>134631.00709704883</v>
      </c>
      <c r="U37" s="443">
        <v>146642.9536557295</v>
      </c>
      <c r="V37" s="443">
        <v>258627.53988901502</v>
      </c>
      <c r="W37" s="446">
        <v>0.5670044022328731</v>
      </c>
      <c r="X37" s="448">
        <v>10.586808804723965</v>
      </c>
      <c r="Y37" s="443">
        <v>134631.00709704883</v>
      </c>
      <c r="Z37" s="443">
        <v>108895.80626905896</v>
      </c>
      <c r="AA37" s="444">
        <v>1.236328667831372</v>
      </c>
      <c r="AB37" s="444">
        <v>0.10142888071011041</v>
      </c>
      <c r="AC37" s="445">
        <v>476</v>
      </c>
      <c r="AD37" s="445">
        <v>461</v>
      </c>
      <c r="AE37" s="443">
        <v>1048081.9298974018</v>
      </c>
      <c r="AF37" s="443">
        <v>0</v>
      </c>
      <c r="AG37" s="447">
        <v>0</v>
      </c>
      <c r="AH37" s="446">
        <v>0.03627511013387353</v>
      </c>
      <c r="AI37" s="448">
        <v>0.030547630041837692</v>
      </c>
      <c r="AJ37" s="443">
        <v>1048081.9298974018</v>
      </c>
      <c r="AK37" s="449">
        <v>1</v>
      </c>
      <c r="AL37" s="443">
        <v>1048081.9298974018</v>
      </c>
      <c r="AM37" s="443">
        <v>2335928.905270549</v>
      </c>
      <c r="AN37" s="443">
        <v>2307401.735012349</v>
      </c>
      <c r="AO37" s="443">
        <v>2286294.810040822</v>
      </c>
      <c r="AP37" s="443">
        <v>2307401.735012349</v>
      </c>
      <c r="AQ37" s="443">
        <v>18476</v>
      </c>
      <c r="AR37" s="443">
        <v>2325877.735012349</v>
      </c>
      <c r="AS37" s="450">
        <v>503.5457317627948</v>
      </c>
      <c r="AT37" s="446">
        <v>4619</v>
      </c>
      <c r="AU37" s="446">
        <v>303</v>
      </c>
      <c r="AV37" s="446">
        <v>371</v>
      </c>
      <c r="AW37" s="446">
        <v>62</v>
      </c>
      <c r="AX37" s="446">
        <v>7</v>
      </c>
      <c r="AY37" s="446">
        <v>639</v>
      </c>
      <c r="AZ37" s="446">
        <v>107</v>
      </c>
      <c r="BA37" s="446">
        <v>194</v>
      </c>
      <c r="BB37" s="446">
        <v>46</v>
      </c>
      <c r="BC37" s="446">
        <v>0</v>
      </c>
      <c r="BD37" s="446">
        <v>1797</v>
      </c>
      <c r="BE37" s="446">
        <v>418</v>
      </c>
      <c r="BF37" s="446">
        <v>0</v>
      </c>
      <c r="BG37" s="446">
        <v>675</v>
      </c>
      <c r="BH37" s="446">
        <v>0</v>
      </c>
      <c r="BI37" s="446">
        <v>0</v>
      </c>
      <c r="BJ37" s="448">
        <v>1.4550038102177014</v>
      </c>
      <c r="BK37" s="448">
        <v>15.679338770962548</v>
      </c>
      <c r="BL37" s="448">
        <v>7.6459547173504605</v>
      </c>
      <c r="BM37" s="448">
        <v>16.066768107224174</v>
      </c>
      <c r="BN37" s="445">
        <v>4201</v>
      </c>
      <c r="BO37" s="445">
        <v>418</v>
      </c>
      <c r="BP37" s="443">
        <v>1289741.5674455545</v>
      </c>
      <c r="BQ37" s="443">
        <v>4735321</v>
      </c>
      <c r="BR37" s="443">
        <v>6027054</v>
      </c>
      <c r="BS37" s="444">
        <v>0.10142888071011041</v>
      </c>
      <c r="BT37" s="445">
        <v>476</v>
      </c>
      <c r="BU37" s="445">
        <v>461</v>
      </c>
      <c r="BV37" s="443">
        <v>611317.3411993938</v>
      </c>
      <c r="BW37" s="444">
        <v>0.010053092824352072</v>
      </c>
      <c r="BX37" s="443">
        <v>9381.896771212465</v>
      </c>
      <c r="BY37" s="443">
        <v>6645761.805416161</v>
      </c>
      <c r="BZ37" s="451">
        <v>0.9066666666666667</v>
      </c>
      <c r="CA37" s="443">
        <v>6025490.70357732</v>
      </c>
      <c r="CB37" s="443">
        <v>4409079.307508626</v>
      </c>
      <c r="CC37" s="443">
        <v>4409079.307508626</v>
      </c>
      <c r="CD37" s="443">
        <v>4417242.246877143</v>
      </c>
      <c r="CE37" s="443">
        <v>4417242.246877143</v>
      </c>
      <c r="CF37" s="450">
        <v>956.3200361284138</v>
      </c>
      <c r="CG37" s="446">
        <v>4619</v>
      </c>
      <c r="CH37" s="446">
        <v>303</v>
      </c>
      <c r="CI37" s="446">
        <v>371</v>
      </c>
      <c r="CJ37" s="446">
        <v>62</v>
      </c>
      <c r="CK37" s="446">
        <v>7</v>
      </c>
      <c r="CL37" s="446">
        <v>639</v>
      </c>
      <c r="CM37" s="446">
        <v>107</v>
      </c>
      <c r="CN37" s="446">
        <v>194</v>
      </c>
      <c r="CO37" s="446">
        <v>46</v>
      </c>
      <c r="CP37" s="446">
        <v>0</v>
      </c>
      <c r="CQ37" s="446">
        <v>1797</v>
      </c>
      <c r="CR37" s="446">
        <v>418</v>
      </c>
      <c r="CS37" s="446">
        <v>0</v>
      </c>
      <c r="CT37" s="446">
        <v>675</v>
      </c>
      <c r="CU37" s="446">
        <v>0</v>
      </c>
      <c r="CV37" s="446">
        <v>0</v>
      </c>
      <c r="CW37" s="443">
        <v>3290079.0749371154</v>
      </c>
      <c r="CX37" s="448">
        <v>0.8851456549627312</v>
      </c>
      <c r="CY37" s="448">
        <v>0.9066666666666667</v>
      </c>
      <c r="CZ37" s="443">
        <v>2912199.19766439</v>
      </c>
      <c r="DA37" s="450">
        <v>630.4826147790409</v>
      </c>
      <c r="DB37" s="445">
        <v>4619</v>
      </c>
      <c r="DC37" s="448">
        <v>0.9942411777441006</v>
      </c>
      <c r="DD37" s="450">
        <v>298</v>
      </c>
      <c r="DE37" s="443">
        <v>31198</v>
      </c>
      <c r="DF37" s="450">
        <v>46.078739218696974</v>
      </c>
      <c r="DG37" s="450">
        <v>48.06012500510094</v>
      </c>
      <c r="DH37" s="450">
        <v>49.117447755213156</v>
      </c>
      <c r="DI37" s="450">
        <v>50.198031605827836</v>
      </c>
      <c r="DJ37" s="450">
        <v>51.85456664882015</v>
      </c>
      <c r="DK37" s="450">
        <v>53.72133104817767</v>
      </c>
      <c r="DL37" s="450">
        <v>55.440413641719346</v>
      </c>
      <c r="DM37" s="450">
        <v>57.71347060102983</v>
      </c>
      <c r="DN37" s="450">
        <v>60.25286330747514</v>
      </c>
      <c r="DO37" s="450">
        <v>63.56677078938627</v>
      </c>
      <c r="DP37" s="450">
        <v>62.99466985228179</v>
      </c>
      <c r="DQ37" s="450">
        <v>66.20739801474815</v>
      </c>
      <c r="DR37" s="450">
        <v>37.49</v>
      </c>
      <c r="DS37" s="450">
        <v>39.39504677552131</v>
      </c>
      <c r="DT37" s="450">
        <v>41.36577044916556</v>
      </c>
      <c r="DU37" s="450">
        <v>43.871306595842036</v>
      </c>
      <c r="DV37" s="450">
        <v>46.6321961211331</v>
      </c>
      <c r="DW37" s="450">
        <v>49.34375760446102</v>
      </c>
      <c r="DX37" s="450">
        <v>52.6361754532011</v>
      </c>
      <c r="DY37" s="450">
        <v>55.54113341029007</v>
      </c>
      <c r="DZ37" s="450">
        <v>57.20551228157238</v>
      </c>
      <c r="EA37" s="450">
        <v>58.744085205645256</v>
      </c>
      <c r="EB37" s="450">
        <v>62.633506443856156</v>
      </c>
      <c r="EC37" s="450">
        <v>-1.92</v>
      </c>
      <c r="ED37" s="450">
        <v>60.713506443856154</v>
      </c>
      <c r="EE37" s="450">
        <v>3157.10233508052</v>
      </c>
      <c r="EF37" s="443">
        <v>14291002.572022183</v>
      </c>
      <c r="EG37" s="450">
        <v>37.56</v>
      </c>
      <c r="EH37" s="450">
        <v>39.459432775521314</v>
      </c>
      <c r="EI37" s="450">
        <v>41.42426155316556</v>
      </c>
      <c r="EJ37" s="450">
        <v>43.924175242470035</v>
      </c>
      <c r="EK37" s="450">
        <v>46.67914347933876</v>
      </c>
      <c r="EL37" s="450">
        <v>49.384132332517886</v>
      </c>
      <c r="EM37" s="450">
        <v>52.66979952672686</v>
      </c>
      <c r="EN37" s="450">
        <v>55.57233655052198</v>
      </c>
      <c r="EO37" s="450">
        <v>57.235269676306885</v>
      </c>
      <c r="EP37" s="450">
        <v>58.763969058034995</v>
      </c>
      <c r="EQ37" s="450">
        <v>62.65022478694545</v>
      </c>
      <c r="ER37" s="443">
        <v>15845417</v>
      </c>
      <c r="ES37" s="443">
        <v>0</v>
      </c>
      <c r="ET37" s="443">
        <v>0</v>
      </c>
      <c r="EU37" s="443">
        <v>0</v>
      </c>
      <c r="EV37" s="443">
        <v>0</v>
      </c>
      <c r="EW37" s="443">
        <v>0</v>
      </c>
      <c r="EX37" s="443">
        <v>0</v>
      </c>
      <c r="EY37" s="443">
        <v>0</v>
      </c>
      <c r="EZ37" s="443">
        <v>0</v>
      </c>
      <c r="FA37" s="443">
        <v>15845417</v>
      </c>
      <c r="FB37" s="443">
        <v>46724.150295892236</v>
      </c>
      <c r="FC37" s="443">
        <v>0</v>
      </c>
      <c r="FD37" s="443">
        <v>0</v>
      </c>
      <c r="FE37" s="443">
        <v>21737</v>
      </c>
      <c r="FF37" s="452">
        <v>0.04769999999999999</v>
      </c>
      <c r="FG37" s="443">
        <v>1036.8548999999998</v>
      </c>
      <c r="FH37" s="453">
        <v>1036.8548999999998</v>
      </c>
    </row>
    <row r="38" spans="2:164" ht="12.75">
      <c r="B38" s="356" t="s">
        <v>727</v>
      </c>
      <c r="C38" s="442">
        <v>8307.5</v>
      </c>
      <c r="D38" s="443">
        <v>1966447.5</v>
      </c>
      <c r="E38" s="443">
        <v>1687211.955</v>
      </c>
      <c r="F38" s="443">
        <v>252326.9243163869</v>
      </c>
      <c r="G38" s="443">
        <v>279235.54500000004</v>
      </c>
      <c r="H38" s="444">
        <v>0.4433391513692447</v>
      </c>
      <c r="I38" s="445">
        <v>3048.25</v>
      </c>
      <c r="J38" s="445">
        <v>634.79</v>
      </c>
      <c r="K38" s="443">
        <v>1939538.879316387</v>
      </c>
      <c r="L38" s="443">
        <v>1551631.1034531097</v>
      </c>
      <c r="M38" s="443">
        <v>412758.15423395875</v>
      </c>
      <c r="N38" s="443">
        <v>387907.7758632773</v>
      </c>
      <c r="O38" s="446">
        <v>1.0640625940415287</v>
      </c>
      <c r="P38" s="447">
        <v>0.950827565452904</v>
      </c>
      <c r="Q38" s="448">
        <v>0.04923262112548902</v>
      </c>
      <c r="R38" s="443">
        <v>1964389.2576870685</v>
      </c>
      <c r="S38" s="443">
        <v>1327927.1381964583</v>
      </c>
      <c r="T38" s="443">
        <v>251100.38237812385</v>
      </c>
      <c r="U38" s="443">
        <v>357021.539394657</v>
      </c>
      <c r="V38" s="443">
        <v>447880.75075265166</v>
      </c>
      <c r="W38" s="446">
        <v>0.7971352615505173</v>
      </c>
      <c r="X38" s="448">
        <v>14.883691506283839</v>
      </c>
      <c r="Y38" s="443">
        <v>251100.38237812385</v>
      </c>
      <c r="Z38" s="443">
        <v>188581.36873795858</v>
      </c>
      <c r="AA38" s="444">
        <v>1.3315227482892966</v>
      </c>
      <c r="AB38" s="444">
        <v>0.10923863978332832</v>
      </c>
      <c r="AC38" s="445">
        <v>921</v>
      </c>
      <c r="AD38" s="445">
        <v>894</v>
      </c>
      <c r="AE38" s="443">
        <v>1936049.0599692392</v>
      </c>
      <c r="AF38" s="443">
        <v>101116.46372161407</v>
      </c>
      <c r="AG38" s="447">
        <v>0.5</v>
      </c>
      <c r="AH38" s="446">
        <v>0.2071034755872273</v>
      </c>
      <c r="AI38" s="448">
        <v>0.17440389096736908</v>
      </c>
      <c r="AJ38" s="443">
        <v>2037165.5236908533</v>
      </c>
      <c r="AK38" s="449">
        <v>1.0220191686347762</v>
      </c>
      <c r="AL38" s="443">
        <v>2082022.2148939543</v>
      </c>
      <c r="AM38" s="443">
        <v>4640339.399480239</v>
      </c>
      <c r="AN38" s="443">
        <v>4583669.972681278</v>
      </c>
      <c r="AO38" s="443">
        <v>4524868.168214396</v>
      </c>
      <c r="AP38" s="443">
        <v>4583669.972681278</v>
      </c>
      <c r="AQ38" s="443">
        <v>33230</v>
      </c>
      <c r="AR38" s="443">
        <v>4616899.972681278</v>
      </c>
      <c r="AS38" s="450">
        <v>555.7508242770122</v>
      </c>
      <c r="AT38" s="446">
        <v>8307</v>
      </c>
      <c r="AU38" s="446">
        <v>82</v>
      </c>
      <c r="AV38" s="446">
        <v>1406</v>
      </c>
      <c r="AW38" s="446">
        <v>1097</v>
      </c>
      <c r="AX38" s="446">
        <v>83</v>
      </c>
      <c r="AY38" s="446">
        <v>979</v>
      </c>
      <c r="AZ38" s="446">
        <v>148</v>
      </c>
      <c r="BA38" s="446">
        <v>125</v>
      </c>
      <c r="BB38" s="446">
        <v>152</v>
      </c>
      <c r="BC38" s="446">
        <v>513</v>
      </c>
      <c r="BD38" s="446">
        <v>2503</v>
      </c>
      <c r="BE38" s="446">
        <v>409</v>
      </c>
      <c r="BF38" s="446">
        <v>0</v>
      </c>
      <c r="BG38" s="446">
        <v>810</v>
      </c>
      <c r="BH38" s="446">
        <v>0</v>
      </c>
      <c r="BI38" s="446">
        <v>0</v>
      </c>
      <c r="BJ38" s="448">
        <v>1.4982563286031956</v>
      </c>
      <c r="BK38" s="448">
        <v>18.69498998344148</v>
      </c>
      <c r="BL38" s="448">
        <v>11.960146274833159</v>
      </c>
      <c r="BM38" s="448">
        <v>13.469687417216647</v>
      </c>
      <c r="BN38" s="445">
        <v>7898</v>
      </c>
      <c r="BO38" s="445">
        <v>409</v>
      </c>
      <c r="BP38" s="443">
        <v>2561643.7578293136</v>
      </c>
      <c r="BQ38" s="443">
        <v>8556451</v>
      </c>
      <c r="BR38" s="443">
        <v>11365149</v>
      </c>
      <c r="BS38" s="444">
        <v>0.1092452148790177</v>
      </c>
      <c r="BT38" s="445">
        <v>921</v>
      </c>
      <c r="BU38" s="445">
        <v>894</v>
      </c>
      <c r="BV38" s="443">
        <v>1241588.1446370531</v>
      </c>
      <c r="BW38" s="444">
        <v>0.024317758612804486</v>
      </c>
      <c r="BX38" s="443">
        <v>48664.0491447067</v>
      </c>
      <c r="BY38" s="443">
        <v>12408346.951611074</v>
      </c>
      <c r="BZ38" s="451">
        <v>0.9166666666666666</v>
      </c>
      <c r="CA38" s="443">
        <v>11374318.038976816</v>
      </c>
      <c r="CB38" s="443">
        <v>8323018.451078296</v>
      </c>
      <c r="CC38" s="443">
        <v>8323018.451078296</v>
      </c>
      <c r="CD38" s="443">
        <v>8296436.140424031</v>
      </c>
      <c r="CE38" s="443">
        <v>8296436.140424031</v>
      </c>
      <c r="CF38" s="450">
        <v>998.7283183368281</v>
      </c>
      <c r="CG38" s="446">
        <v>8307</v>
      </c>
      <c r="CH38" s="446">
        <v>82</v>
      </c>
      <c r="CI38" s="446">
        <v>1406</v>
      </c>
      <c r="CJ38" s="446">
        <v>1097</v>
      </c>
      <c r="CK38" s="446">
        <v>83</v>
      </c>
      <c r="CL38" s="446">
        <v>979</v>
      </c>
      <c r="CM38" s="446">
        <v>148</v>
      </c>
      <c r="CN38" s="446">
        <v>125</v>
      </c>
      <c r="CO38" s="446">
        <v>152</v>
      </c>
      <c r="CP38" s="446">
        <v>513</v>
      </c>
      <c r="CQ38" s="446">
        <v>2503</v>
      </c>
      <c r="CR38" s="446">
        <v>409</v>
      </c>
      <c r="CS38" s="446">
        <v>0</v>
      </c>
      <c r="CT38" s="446">
        <v>810</v>
      </c>
      <c r="CU38" s="446">
        <v>0</v>
      </c>
      <c r="CV38" s="446">
        <v>0</v>
      </c>
      <c r="CW38" s="443">
        <v>5511362.36732828</v>
      </c>
      <c r="CX38" s="448">
        <v>0.8949082908630555</v>
      </c>
      <c r="CY38" s="448">
        <v>0.9166666666666666</v>
      </c>
      <c r="CZ38" s="443">
        <v>4932163.876472714</v>
      </c>
      <c r="DA38" s="450">
        <v>593.735870527593</v>
      </c>
      <c r="DB38" s="445">
        <v>8307.5</v>
      </c>
      <c r="DC38" s="448">
        <v>0.9856515197111045</v>
      </c>
      <c r="DD38" s="450">
        <v>307.3</v>
      </c>
      <c r="DE38" s="443">
        <v>32526</v>
      </c>
      <c r="DF38" s="450">
        <v>47.31451372309627</v>
      </c>
      <c r="DG38" s="450">
        <v>49.349037813189405</v>
      </c>
      <c r="DH38" s="450">
        <v>50.43471664507956</v>
      </c>
      <c r="DI38" s="450">
        <v>51.5442804112713</v>
      </c>
      <c r="DJ38" s="450">
        <v>53.24524166484325</v>
      </c>
      <c r="DK38" s="450">
        <v>55.1620703647776</v>
      </c>
      <c r="DL38" s="450">
        <v>56.92725661645047</v>
      </c>
      <c r="DM38" s="450">
        <v>59.26127413772494</v>
      </c>
      <c r="DN38" s="450">
        <v>61.86877019978483</v>
      </c>
      <c r="DO38" s="450">
        <v>65.27155256077299</v>
      </c>
      <c r="DP38" s="450">
        <v>64.68410858772603</v>
      </c>
      <c r="DQ38" s="450">
        <v>67.98299812570005</v>
      </c>
      <c r="DR38" s="450">
        <v>36.05</v>
      </c>
      <c r="DS38" s="450">
        <v>38.20226166450795</v>
      </c>
      <c r="DT38" s="450">
        <v>40.43177464225425</v>
      </c>
      <c r="DU38" s="450">
        <v>43.200925512872956</v>
      </c>
      <c r="DV38" s="450">
        <v>46.24271762182798</v>
      </c>
      <c r="DW38" s="450">
        <v>49.2566132575138</v>
      </c>
      <c r="DX38" s="450">
        <v>52.873162348402474</v>
      </c>
      <c r="DY38" s="450">
        <v>55.94060245929358</v>
      </c>
      <c r="DZ38" s="450">
        <v>57.700124716064515</v>
      </c>
      <c r="EA38" s="450">
        <v>59.62489036694439</v>
      </c>
      <c r="EB38" s="450">
        <v>63.72920744566685</v>
      </c>
      <c r="EC38" s="450">
        <v>-0.57</v>
      </c>
      <c r="ED38" s="450">
        <v>63.15920744566685</v>
      </c>
      <c r="EE38" s="450">
        <v>3284.2787871746764</v>
      </c>
      <c r="EF38" s="443">
        <v>26738463.103964552</v>
      </c>
      <c r="EG38" s="450">
        <v>43.92</v>
      </c>
      <c r="EH38" s="450">
        <v>45.44108766450795</v>
      </c>
      <c r="EI38" s="450">
        <v>47.00784590625424</v>
      </c>
      <c r="EJ38" s="450">
        <v>49.14487192662095</v>
      </c>
      <c r="EK38" s="450">
        <v>51.520942037236196</v>
      </c>
      <c r="EL38" s="450">
        <v>53.795886254764866</v>
      </c>
      <c r="EM38" s="450">
        <v>56.65346890051317</v>
      </c>
      <c r="EN38" s="450">
        <v>59.4487269396523</v>
      </c>
      <c r="EO38" s="450">
        <v>61.04570609549995</v>
      </c>
      <c r="EP38" s="450">
        <v>61.860403485619464</v>
      </c>
      <c r="EQ38" s="450">
        <v>65.60882687584885</v>
      </c>
      <c r="ER38" s="443">
        <v>57586578</v>
      </c>
      <c r="ES38" s="443">
        <v>0</v>
      </c>
      <c r="ET38" s="443">
        <v>0</v>
      </c>
      <c r="EU38" s="443">
        <v>0</v>
      </c>
      <c r="EV38" s="443">
        <v>0</v>
      </c>
      <c r="EW38" s="443">
        <v>0</v>
      </c>
      <c r="EX38" s="443">
        <v>0</v>
      </c>
      <c r="EY38" s="443">
        <v>0</v>
      </c>
      <c r="EZ38" s="443">
        <v>27020000</v>
      </c>
      <c r="FA38" s="443">
        <v>84606578</v>
      </c>
      <c r="FB38" s="443">
        <v>79261.69677663548</v>
      </c>
      <c r="FC38" s="443">
        <v>0</v>
      </c>
      <c r="FD38" s="443">
        <v>0</v>
      </c>
      <c r="FE38" s="443">
        <v>49861</v>
      </c>
      <c r="FF38" s="452">
        <v>0.052300000000000006</v>
      </c>
      <c r="FG38" s="443">
        <v>2607.7303</v>
      </c>
      <c r="FH38" s="453">
        <v>2607.7303</v>
      </c>
    </row>
    <row r="39" spans="2:164" ht="12.75">
      <c r="B39" s="356" t="s">
        <v>728</v>
      </c>
      <c r="C39" s="442">
        <v>7405.23</v>
      </c>
      <c r="D39" s="443">
        <v>1756218.59</v>
      </c>
      <c r="E39" s="443">
        <v>1506835.5502199999</v>
      </c>
      <c r="F39" s="443">
        <v>256540.486249001</v>
      </c>
      <c r="G39" s="443">
        <v>249383.03978</v>
      </c>
      <c r="H39" s="444">
        <v>0.504698706184683</v>
      </c>
      <c r="I39" s="445">
        <v>3249.39</v>
      </c>
      <c r="J39" s="445">
        <v>488.02</v>
      </c>
      <c r="K39" s="443">
        <v>1763376.0364690009</v>
      </c>
      <c r="L39" s="443">
        <v>1410700.8291752008</v>
      </c>
      <c r="M39" s="443">
        <v>380772.6184541724</v>
      </c>
      <c r="N39" s="443">
        <v>352675.2072938001</v>
      </c>
      <c r="O39" s="446">
        <v>1.0796693688109622</v>
      </c>
      <c r="P39" s="447">
        <v>0.938660919377251</v>
      </c>
      <c r="Q39" s="448">
        <v>0.06130802149291785</v>
      </c>
      <c r="R39" s="443">
        <v>1791473.447629373</v>
      </c>
      <c r="S39" s="443">
        <v>1211036.0505974563</v>
      </c>
      <c r="T39" s="443">
        <v>191789.42764799585</v>
      </c>
      <c r="U39" s="443">
        <v>422054.9197676183</v>
      </c>
      <c r="V39" s="443">
        <v>408455.9460594971</v>
      </c>
      <c r="W39" s="446">
        <v>1.0332936118064011</v>
      </c>
      <c r="X39" s="448">
        <v>19.293116357223955</v>
      </c>
      <c r="Y39" s="443">
        <v>191789.42764799585</v>
      </c>
      <c r="Z39" s="443">
        <v>171981.4509724198</v>
      </c>
      <c r="AA39" s="444">
        <v>1.1151750759374195</v>
      </c>
      <c r="AB39" s="444">
        <v>0.09148939330716264</v>
      </c>
      <c r="AC39" s="445">
        <v>684</v>
      </c>
      <c r="AD39" s="445">
        <v>671</v>
      </c>
      <c r="AE39" s="443">
        <v>1824880.3980130702</v>
      </c>
      <c r="AF39" s="443">
        <v>0</v>
      </c>
      <c r="AG39" s="447">
        <v>0</v>
      </c>
      <c r="AH39" s="446">
        <v>0.023025203563637704</v>
      </c>
      <c r="AI39" s="448">
        <v>0.01938975229859352</v>
      </c>
      <c r="AJ39" s="443">
        <v>1824880.3980130702</v>
      </c>
      <c r="AK39" s="449">
        <v>1.0488165680716346</v>
      </c>
      <c r="AL39" s="443">
        <v>1913964.796185267</v>
      </c>
      <c r="AM39" s="443">
        <v>4265778.8132241545</v>
      </c>
      <c r="AN39" s="443">
        <v>4213683.649619604</v>
      </c>
      <c r="AO39" s="443">
        <v>4041075.88496917</v>
      </c>
      <c r="AP39" s="443">
        <v>4213683.649619604</v>
      </c>
      <c r="AQ39" s="443">
        <v>29620.92</v>
      </c>
      <c r="AR39" s="443">
        <v>4243304.569619604</v>
      </c>
      <c r="AS39" s="450">
        <v>573.0145545269498</v>
      </c>
      <c r="AT39" s="446">
        <v>7364</v>
      </c>
      <c r="AU39" s="446">
        <v>96</v>
      </c>
      <c r="AV39" s="446">
        <v>485</v>
      </c>
      <c r="AW39" s="446">
        <v>557</v>
      </c>
      <c r="AX39" s="446">
        <v>79</v>
      </c>
      <c r="AY39" s="446">
        <v>943</v>
      </c>
      <c r="AZ39" s="446">
        <v>380</v>
      </c>
      <c r="BA39" s="446">
        <v>368</v>
      </c>
      <c r="BB39" s="446">
        <v>553</v>
      </c>
      <c r="BC39" s="446">
        <v>156</v>
      </c>
      <c r="BD39" s="446">
        <v>3037</v>
      </c>
      <c r="BE39" s="446">
        <v>437</v>
      </c>
      <c r="BF39" s="446">
        <v>17</v>
      </c>
      <c r="BG39" s="446">
        <v>243</v>
      </c>
      <c r="BH39" s="446">
        <v>0</v>
      </c>
      <c r="BI39" s="446">
        <v>13</v>
      </c>
      <c r="BJ39" s="448">
        <v>1.5434956833056512</v>
      </c>
      <c r="BK39" s="448">
        <v>19.86151490440839</v>
      </c>
      <c r="BL39" s="448">
        <v>10.141503553414351</v>
      </c>
      <c r="BM39" s="448">
        <v>19.44002270198808</v>
      </c>
      <c r="BN39" s="445">
        <v>6910</v>
      </c>
      <c r="BO39" s="445">
        <v>454</v>
      </c>
      <c r="BP39" s="443">
        <v>2129297.056494962</v>
      </c>
      <c r="BQ39" s="443">
        <v>7690952</v>
      </c>
      <c r="BR39" s="443">
        <v>10022058</v>
      </c>
      <c r="BS39" s="444">
        <v>0.09200162954915807</v>
      </c>
      <c r="BT39" s="445">
        <v>684</v>
      </c>
      <c r="BU39" s="445">
        <v>671</v>
      </c>
      <c r="BV39" s="443">
        <v>922045.667436176</v>
      </c>
      <c r="BW39" s="444">
        <v>0.016453579809446124</v>
      </c>
      <c r="BX39" s="443">
        <v>31010.002701670044</v>
      </c>
      <c r="BY39" s="443">
        <v>10773304.72663281</v>
      </c>
      <c r="BZ39" s="451">
        <v>0.9866666666666667</v>
      </c>
      <c r="CA39" s="443">
        <v>10629660.66361104</v>
      </c>
      <c r="CB39" s="443">
        <v>7778124.501949859</v>
      </c>
      <c r="CC39" s="443">
        <v>7778124.501949859</v>
      </c>
      <c r="CD39" s="443">
        <v>7609530.870613949</v>
      </c>
      <c r="CE39" s="443">
        <v>7722846.560340598</v>
      </c>
      <c r="CF39" s="450">
        <v>1048.7298425231666</v>
      </c>
      <c r="CG39" s="446">
        <v>7364</v>
      </c>
      <c r="CH39" s="446">
        <v>96</v>
      </c>
      <c r="CI39" s="446">
        <v>485</v>
      </c>
      <c r="CJ39" s="446">
        <v>557</v>
      </c>
      <c r="CK39" s="446">
        <v>79</v>
      </c>
      <c r="CL39" s="446">
        <v>943</v>
      </c>
      <c r="CM39" s="446">
        <v>380</v>
      </c>
      <c r="CN39" s="446">
        <v>368</v>
      </c>
      <c r="CO39" s="446">
        <v>553</v>
      </c>
      <c r="CP39" s="446">
        <v>156</v>
      </c>
      <c r="CQ39" s="446">
        <v>3037</v>
      </c>
      <c r="CR39" s="446">
        <v>437</v>
      </c>
      <c r="CS39" s="446">
        <v>17</v>
      </c>
      <c r="CT39" s="446">
        <v>243</v>
      </c>
      <c r="CU39" s="446">
        <v>0</v>
      </c>
      <c r="CV39" s="446">
        <v>13</v>
      </c>
      <c r="CW39" s="443">
        <v>5283400.841169794</v>
      </c>
      <c r="CX39" s="448">
        <v>0.9632467421653251</v>
      </c>
      <c r="CY39" s="448">
        <v>0.9866666666666667</v>
      </c>
      <c r="CZ39" s="443">
        <v>5089218.647810343</v>
      </c>
      <c r="DA39" s="450">
        <v>691.0943302295414</v>
      </c>
      <c r="DB39" s="445">
        <v>7405.23</v>
      </c>
      <c r="DC39" s="448">
        <v>0.9978083057514758</v>
      </c>
      <c r="DD39" s="450">
        <v>330.1</v>
      </c>
      <c r="DE39" s="443">
        <v>70741</v>
      </c>
      <c r="DF39" s="450">
        <v>63.101831288677886</v>
      </c>
      <c r="DG39" s="450">
        <v>65.81521003409102</v>
      </c>
      <c r="DH39" s="450">
        <v>67.26314465484101</v>
      </c>
      <c r="DI39" s="450">
        <v>68.7429338372475</v>
      </c>
      <c r="DJ39" s="450">
        <v>71.01145065387666</v>
      </c>
      <c r="DK39" s="450">
        <v>73.56786287741622</v>
      </c>
      <c r="DL39" s="450">
        <v>75.92203448949353</v>
      </c>
      <c r="DM39" s="450">
        <v>79.03483790356276</v>
      </c>
      <c r="DN39" s="450">
        <v>82.51237077131951</v>
      </c>
      <c r="DO39" s="450">
        <v>87.05055116374209</v>
      </c>
      <c r="DP39" s="450">
        <v>86.26709620326841</v>
      </c>
      <c r="DQ39" s="450">
        <v>90.6667181096351</v>
      </c>
      <c r="DR39" s="450">
        <v>48.41</v>
      </c>
      <c r="DS39" s="450">
        <v>51.25383246548409</v>
      </c>
      <c r="DT39" s="450">
        <v>54.19936311944949</v>
      </c>
      <c r="DU39" s="450">
        <v>57.865880671326984</v>
      </c>
      <c r="DV39" s="450">
        <v>61.8945967329121</v>
      </c>
      <c r="DW39" s="450">
        <v>65.88302560521998</v>
      </c>
      <c r="DX39" s="450">
        <v>70.67435130473974</v>
      </c>
      <c r="DY39" s="450">
        <v>74.75383920761175</v>
      </c>
      <c r="DZ39" s="450">
        <v>77.09361473524187</v>
      </c>
      <c r="EA39" s="450">
        <v>79.61388425495163</v>
      </c>
      <c r="EB39" s="450">
        <v>85.07269750349035</v>
      </c>
      <c r="EC39" s="450">
        <v>-3.85</v>
      </c>
      <c r="ED39" s="450">
        <v>81.22269750349035</v>
      </c>
      <c r="EE39" s="450">
        <v>4223.580270181498</v>
      </c>
      <c r="EF39" s="443">
        <v>30651051.657673012</v>
      </c>
      <c r="EG39" s="450">
        <v>48.69</v>
      </c>
      <c r="EH39" s="450">
        <v>51.51137646548409</v>
      </c>
      <c r="EI39" s="450">
        <v>54.43332753544948</v>
      </c>
      <c r="EJ39" s="450">
        <v>58.077355257838974</v>
      </c>
      <c r="EK39" s="450">
        <v>62.08238616573474</v>
      </c>
      <c r="EL39" s="450">
        <v>66.04452451744746</v>
      </c>
      <c r="EM39" s="450">
        <v>70.80884759884279</v>
      </c>
      <c r="EN39" s="450">
        <v>74.87865176853937</v>
      </c>
      <c r="EO39" s="450">
        <v>77.21264431417985</v>
      </c>
      <c r="EP39" s="450">
        <v>79.6934196645106</v>
      </c>
      <c r="EQ39" s="450">
        <v>85.13957087584753</v>
      </c>
      <c r="ER39" s="443">
        <v>10473256</v>
      </c>
      <c r="ES39" s="443">
        <v>0</v>
      </c>
      <c r="ET39" s="443">
        <v>0</v>
      </c>
      <c r="EU39" s="443">
        <v>0</v>
      </c>
      <c r="EV39" s="443">
        <v>0</v>
      </c>
      <c r="EW39" s="443">
        <v>0</v>
      </c>
      <c r="EX39" s="443">
        <v>0</v>
      </c>
      <c r="EY39" s="443">
        <v>0</v>
      </c>
      <c r="EZ39" s="443">
        <v>0</v>
      </c>
      <c r="FA39" s="443">
        <v>10473256</v>
      </c>
      <c r="FB39" s="443">
        <v>44182.0620632701</v>
      </c>
      <c r="FC39" s="443">
        <v>0</v>
      </c>
      <c r="FD39" s="443">
        <v>0</v>
      </c>
      <c r="FE39" s="443">
        <v>26248</v>
      </c>
      <c r="FF39" s="452">
        <v>0.0313</v>
      </c>
      <c r="FG39" s="443">
        <v>821.5624</v>
      </c>
      <c r="FH39" s="453">
        <v>821.5624</v>
      </c>
    </row>
    <row r="40" spans="2:164" ht="12.75">
      <c r="B40" s="356" t="s">
        <v>729</v>
      </c>
      <c r="C40" s="442">
        <v>23890</v>
      </c>
      <c r="D40" s="443">
        <v>5597170</v>
      </c>
      <c r="E40" s="443">
        <v>4802371.86</v>
      </c>
      <c r="F40" s="443">
        <v>1375880.8672225676</v>
      </c>
      <c r="G40" s="443">
        <v>794798.14</v>
      </c>
      <c r="H40" s="444">
        <v>0.849311845960653</v>
      </c>
      <c r="I40" s="445">
        <v>20123.79</v>
      </c>
      <c r="J40" s="445">
        <v>166.27</v>
      </c>
      <c r="K40" s="443">
        <v>6178252.727222567</v>
      </c>
      <c r="L40" s="443">
        <v>4942602.181778054</v>
      </c>
      <c r="M40" s="443">
        <v>2716931.247453111</v>
      </c>
      <c r="N40" s="443">
        <v>1235650.5454445132</v>
      </c>
      <c r="O40" s="446">
        <v>2.1987861029719546</v>
      </c>
      <c r="P40" s="447">
        <v>0.07785684386772708</v>
      </c>
      <c r="Q40" s="448">
        <v>0.9221431561322729</v>
      </c>
      <c r="R40" s="443">
        <v>7659533.429231165</v>
      </c>
      <c r="S40" s="443">
        <v>5177844.598160268</v>
      </c>
      <c r="T40" s="443">
        <v>346095.6022116704</v>
      </c>
      <c r="U40" s="443">
        <v>2402579.2591598015</v>
      </c>
      <c r="V40" s="443">
        <v>1746373.6218647056</v>
      </c>
      <c r="W40" s="446">
        <v>1.3757532918954805</v>
      </c>
      <c r="X40" s="448">
        <v>25.68734388376964</v>
      </c>
      <c r="Y40" s="443">
        <v>346095.6022116704</v>
      </c>
      <c r="Z40" s="443">
        <v>735315.2092061918</v>
      </c>
      <c r="AA40" s="444">
        <v>0.4706765178776831</v>
      </c>
      <c r="AB40" s="444">
        <v>0.03861448304730013</v>
      </c>
      <c r="AC40" s="445">
        <v>844</v>
      </c>
      <c r="AD40" s="445">
        <v>1001</v>
      </c>
      <c r="AE40" s="443">
        <v>7926519.459531739</v>
      </c>
      <c r="AF40" s="443">
        <v>688463.0193565502</v>
      </c>
      <c r="AG40" s="447">
        <v>0.75</v>
      </c>
      <c r="AH40" s="446">
        <v>0.3911641277836053</v>
      </c>
      <c r="AI40" s="448">
        <v>0.32940319180488586</v>
      </c>
      <c r="AJ40" s="443">
        <v>8614982.47888829</v>
      </c>
      <c r="AK40" s="449">
        <v>1.2520966078131373</v>
      </c>
      <c r="AL40" s="443">
        <v>10786790.33818564</v>
      </c>
      <c r="AM40" s="443">
        <v>24041226.76604825</v>
      </c>
      <c r="AN40" s="443">
        <v>23747627.004675537</v>
      </c>
      <c r="AO40" s="443">
        <v>26760402.789241638</v>
      </c>
      <c r="AP40" s="443">
        <v>26760402.789241638</v>
      </c>
      <c r="AQ40" s="443">
        <v>95560</v>
      </c>
      <c r="AR40" s="443">
        <v>26855962.789241638</v>
      </c>
      <c r="AS40" s="450">
        <v>1124.1508074190724</v>
      </c>
      <c r="AT40" s="446">
        <v>23890</v>
      </c>
      <c r="AU40" s="446">
        <v>13</v>
      </c>
      <c r="AV40" s="446">
        <v>18</v>
      </c>
      <c r="AW40" s="446">
        <v>451</v>
      </c>
      <c r="AX40" s="446">
        <v>10</v>
      </c>
      <c r="AY40" s="446">
        <v>49</v>
      </c>
      <c r="AZ40" s="446">
        <v>24</v>
      </c>
      <c r="BA40" s="446">
        <v>516</v>
      </c>
      <c r="BB40" s="446">
        <v>18</v>
      </c>
      <c r="BC40" s="446">
        <v>246</v>
      </c>
      <c r="BD40" s="446">
        <v>335</v>
      </c>
      <c r="BE40" s="446">
        <v>13767</v>
      </c>
      <c r="BF40" s="446">
        <v>8263</v>
      </c>
      <c r="BG40" s="446">
        <v>7</v>
      </c>
      <c r="BH40" s="446">
        <v>127</v>
      </c>
      <c r="BI40" s="446">
        <v>46</v>
      </c>
      <c r="BJ40" s="448">
        <v>2.241876390473023</v>
      </c>
      <c r="BK40" s="448">
        <v>16.183278697542764</v>
      </c>
      <c r="BL40" s="448">
        <v>6.920583065155367</v>
      </c>
      <c r="BM40" s="448">
        <v>18.525391264774793</v>
      </c>
      <c r="BN40" s="445">
        <v>1860</v>
      </c>
      <c r="BO40" s="445">
        <v>22030</v>
      </c>
      <c r="BP40" s="443">
        <v>9384543.891800664</v>
      </c>
      <c r="BQ40" s="443">
        <v>31648789</v>
      </c>
      <c r="BR40" s="443">
        <v>30663150</v>
      </c>
      <c r="BS40" s="444">
        <v>0.03861448304730013</v>
      </c>
      <c r="BT40" s="445">
        <v>844</v>
      </c>
      <c r="BU40" s="445">
        <v>1001</v>
      </c>
      <c r="BV40" s="443">
        <v>1184041.685851821</v>
      </c>
      <c r="BW40" s="444">
        <v>0.010850755571752734</v>
      </c>
      <c r="BX40" s="443">
        <v>54057.74125070997</v>
      </c>
      <c r="BY40" s="443">
        <v>42271432.31890319</v>
      </c>
      <c r="BZ40" s="451">
        <v>1.2133333333333332</v>
      </c>
      <c r="CA40" s="443">
        <v>51289337.8802692</v>
      </c>
      <c r="CB40" s="443">
        <v>37530347.23121475</v>
      </c>
      <c r="CC40" s="443">
        <v>37530347.23121475</v>
      </c>
      <c r="CD40" s="443">
        <v>38062025.8</v>
      </c>
      <c r="CE40" s="443">
        <v>38062025.8</v>
      </c>
      <c r="CF40" s="450">
        <v>1593.22</v>
      </c>
      <c r="CG40" s="446">
        <v>23297</v>
      </c>
      <c r="CH40" s="446">
        <v>13</v>
      </c>
      <c r="CI40" s="446">
        <v>18</v>
      </c>
      <c r="CJ40" s="446">
        <v>451</v>
      </c>
      <c r="CK40" s="446">
        <v>10</v>
      </c>
      <c r="CL40" s="446">
        <v>49</v>
      </c>
      <c r="CM40" s="446">
        <v>24</v>
      </c>
      <c r="CN40" s="446">
        <v>516</v>
      </c>
      <c r="CO40" s="446">
        <v>18</v>
      </c>
      <c r="CP40" s="446">
        <v>246</v>
      </c>
      <c r="CQ40" s="446">
        <v>335</v>
      </c>
      <c r="CR40" s="446">
        <v>13767</v>
      </c>
      <c r="CS40" s="446">
        <v>7670</v>
      </c>
      <c r="CT40" s="446">
        <v>7</v>
      </c>
      <c r="CU40" s="446">
        <v>127</v>
      </c>
      <c r="CV40" s="446">
        <v>46</v>
      </c>
      <c r="CW40" s="443">
        <v>20095700.421677623</v>
      </c>
      <c r="CX40" s="448">
        <v>1.1845331559060077</v>
      </c>
      <c r="CY40" s="448">
        <v>1.2133333333333332</v>
      </c>
      <c r="CZ40" s="443">
        <v>23804023.440631486</v>
      </c>
      <c r="DA40" s="450">
        <v>1021.763464850903</v>
      </c>
      <c r="DB40" s="445">
        <v>23890</v>
      </c>
      <c r="DC40" s="448">
        <v>0.9821264127249894</v>
      </c>
      <c r="DD40" s="450">
        <v>354.1</v>
      </c>
      <c r="DE40" s="443">
        <v>97458</v>
      </c>
      <c r="DF40" s="450">
        <v>74.12432227237109</v>
      </c>
      <c r="DG40" s="450">
        <v>77.31166813008304</v>
      </c>
      <c r="DH40" s="450">
        <v>79.01252482894485</v>
      </c>
      <c r="DI40" s="450">
        <v>80.75080037518161</v>
      </c>
      <c r="DJ40" s="450">
        <v>83.4155767875626</v>
      </c>
      <c r="DK40" s="450">
        <v>86.41853755191484</v>
      </c>
      <c r="DL40" s="450">
        <v>89.18393075357609</v>
      </c>
      <c r="DM40" s="450">
        <v>92.8404719144727</v>
      </c>
      <c r="DN40" s="450">
        <v>96.92545267870948</v>
      </c>
      <c r="DO40" s="450">
        <v>102.2563525760385</v>
      </c>
      <c r="DP40" s="450">
        <v>101.33604540285415</v>
      </c>
      <c r="DQ40" s="450">
        <v>106.50418371839972</v>
      </c>
      <c r="DR40" s="450">
        <v>52.09</v>
      </c>
      <c r="DS40" s="450">
        <v>55.81363448289448</v>
      </c>
      <c r="DT40" s="450">
        <v>59.67589732303631</v>
      </c>
      <c r="DU40" s="450">
        <v>64.36649879130476</v>
      </c>
      <c r="DV40" s="450">
        <v>69.50295629123788</v>
      </c>
      <c r="DW40" s="450">
        <v>74.63653086939391</v>
      </c>
      <c r="DX40" s="450">
        <v>80.72539729092578</v>
      </c>
      <c r="DY40" s="450">
        <v>85.68266342805795</v>
      </c>
      <c r="DZ40" s="450">
        <v>88.52979019429384</v>
      </c>
      <c r="EA40" s="450">
        <v>92.1639743041442</v>
      </c>
      <c r="EB40" s="450">
        <v>98.79230633860439</v>
      </c>
      <c r="EC40" s="450">
        <v>-5.24</v>
      </c>
      <c r="ED40" s="450">
        <v>93.5523063386044</v>
      </c>
      <c r="EE40" s="450">
        <v>4864.719929607429</v>
      </c>
      <c r="EF40" s="443">
        <v>113893795.93595503</v>
      </c>
      <c r="EG40" s="450">
        <v>66.75</v>
      </c>
      <c r="EH40" s="450">
        <v>69.29790248289447</v>
      </c>
      <c r="EI40" s="450">
        <v>71.9256056750363</v>
      </c>
      <c r="EJ40" s="450">
        <v>75.43870392796875</v>
      </c>
      <c r="EK40" s="450">
        <v>79.3350744525955</v>
      </c>
      <c r="EL40" s="450">
        <v>83.09215248816147</v>
      </c>
      <c r="EM40" s="450">
        <v>87.76723897503541</v>
      </c>
      <c r="EN40" s="450">
        <v>92.21749251091167</v>
      </c>
      <c r="EO40" s="450">
        <v>94.76183886297534</v>
      </c>
      <c r="EP40" s="450">
        <v>96.32822110462406</v>
      </c>
      <c r="EQ40" s="450">
        <v>102.29360504844786</v>
      </c>
      <c r="ER40" s="443">
        <v>542834021</v>
      </c>
      <c r="ES40" s="443">
        <v>10643000</v>
      </c>
      <c r="ET40" s="443">
        <v>0</v>
      </c>
      <c r="EU40" s="443">
        <v>0</v>
      </c>
      <c r="EV40" s="443">
        <v>0</v>
      </c>
      <c r="EW40" s="443">
        <v>0</v>
      </c>
      <c r="EX40" s="443">
        <v>0</v>
      </c>
      <c r="EY40" s="443">
        <v>0</v>
      </c>
      <c r="EZ40" s="443">
        <v>0</v>
      </c>
      <c r="FA40" s="443">
        <v>548155521</v>
      </c>
      <c r="FB40" s="443">
        <v>298611.47301095334</v>
      </c>
      <c r="FC40" s="443">
        <v>0</v>
      </c>
      <c r="FD40" s="443">
        <v>0</v>
      </c>
      <c r="FE40" s="443">
        <v>31063</v>
      </c>
      <c r="FF40" s="452">
        <v>0.06570000000000001</v>
      </c>
      <c r="FG40" s="443">
        <v>2040.8391000000004</v>
      </c>
      <c r="FH40" s="453">
        <v>2040.8391000000004</v>
      </c>
    </row>
    <row r="41" spans="2:164" ht="12.75">
      <c r="B41" s="356" t="s">
        <v>730</v>
      </c>
      <c r="C41" s="442">
        <v>5482</v>
      </c>
      <c r="D41" s="443">
        <v>1308106</v>
      </c>
      <c r="E41" s="443">
        <v>1122354.948</v>
      </c>
      <c r="F41" s="443">
        <v>114304.361312387</v>
      </c>
      <c r="G41" s="443">
        <v>185751.05200000003</v>
      </c>
      <c r="H41" s="444">
        <v>0.3019080627508209</v>
      </c>
      <c r="I41" s="445">
        <v>1103.6</v>
      </c>
      <c r="J41" s="445">
        <v>551.46</v>
      </c>
      <c r="K41" s="443">
        <v>1236659.3093123871</v>
      </c>
      <c r="L41" s="443">
        <v>989327.4474499098</v>
      </c>
      <c r="M41" s="443">
        <v>252258.647582175</v>
      </c>
      <c r="N41" s="443">
        <v>247331.86186247738</v>
      </c>
      <c r="O41" s="446">
        <v>1.0199197373221451</v>
      </c>
      <c r="P41" s="447">
        <v>0.9846771251368114</v>
      </c>
      <c r="Q41" s="448">
        <v>0.015322874863188618</v>
      </c>
      <c r="R41" s="443">
        <v>1241586.0950320847</v>
      </c>
      <c r="S41" s="443">
        <v>839312.2002416893</v>
      </c>
      <c r="T41" s="443">
        <v>134100.95341147215</v>
      </c>
      <c r="U41" s="443">
        <v>310332.60587161203</v>
      </c>
      <c r="V41" s="443">
        <v>283081.62966731534</v>
      </c>
      <c r="W41" s="446">
        <v>1.0962654349429977</v>
      </c>
      <c r="X41" s="448">
        <v>20.468893210113777</v>
      </c>
      <c r="Y41" s="443">
        <v>134100.95341147215</v>
      </c>
      <c r="Z41" s="443">
        <v>119192.26512308014</v>
      </c>
      <c r="AA41" s="444">
        <v>1.1250810048202122</v>
      </c>
      <c r="AB41" s="444">
        <v>0.09230207953301715</v>
      </c>
      <c r="AC41" s="445">
        <v>480</v>
      </c>
      <c r="AD41" s="445">
        <v>532</v>
      </c>
      <c r="AE41" s="443">
        <v>1283745.7595247733</v>
      </c>
      <c r="AF41" s="443">
        <v>0</v>
      </c>
      <c r="AG41" s="447">
        <v>0</v>
      </c>
      <c r="AH41" s="446">
        <v>0.14756390737429803</v>
      </c>
      <c r="AI41" s="448">
        <v>0.12426503002643585</v>
      </c>
      <c r="AJ41" s="443">
        <v>1283745.7595247733</v>
      </c>
      <c r="AK41" s="449">
        <v>1</v>
      </c>
      <c r="AL41" s="443">
        <v>1283745.7595247733</v>
      </c>
      <c r="AM41" s="443">
        <v>2861168.331550153</v>
      </c>
      <c r="AN41" s="443">
        <v>2826226.7560821073</v>
      </c>
      <c r="AO41" s="443">
        <v>2793283.2409485937</v>
      </c>
      <c r="AP41" s="443">
        <v>2826226.7560821073</v>
      </c>
      <c r="AQ41" s="443">
        <v>21928</v>
      </c>
      <c r="AR41" s="443">
        <v>2848154.7560821073</v>
      </c>
      <c r="AS41" s="450">
        <v>519.5466537909717</v>
      </c>
      <c r="AT41" s="446">
        <v>5482</v>
      </c>
      <c r="AU41" s="446">
        <v>9</v>
      </c>
      <c r="AV41" s="446">
        <v>585</v>
      </c>
      <c r="AW41" s="446">
        <v>94</v>
      </c>
      <c r="AX41" s="446">
        <v>19</v>
      </c>
      <c r="AY41" s="446">
        <v>755</v>
      </c>
      <c r="AZ41" s="446">
        <v>194</v>
      </c>
      <c r="BA41" s="446">
        <v>36</v>
      </c>
      <c r="BB41" s="446">
        <v>593</v>
      </c>
      <c r="BC41" s="446">
        <v>4</v>
      </c>
      <c r="BD41" s="446">
        <v>1152</v>
      </c>
      <c r="BE41" s="446">
        <v>84</v>
      </c>
      <c r="BF41" s="446">
        <v>0</v>
      </c>
      <c r="BG41" s="446">
        <v>1957</v>
      </c>
      <c r="BH41" s="446">
        <v>0</v>
      </c>
      <c r="BI41" s="446">
        <v>0</v>
      </c>
      <c r="BJ41" s="448">
        <v>1.3284328492069695</v>
      </c>
      <c r="BK41" s="448">
        <v>13.293650672021151</v>
      </c>
      <c r="BL41" s="448">
        <v>9.158959447982129</v>
      </c>
      <c r="BM41" s="448">
        <v>8.269382448078042</v>
      </c>
      <c r="BN41" s="445">
        <v>5398</v>
      </c>
      <c r="BO41" s="445">
        <v>84</v>
      </c>
      <c r="BP41" s="443">
        <v>1570606.1576174</v>
      </c>
      <c r="BQ41" s="443">
        <v>5446603</v>
      </c>
      <c r="BR41" s="443">
        <v>7205466</v>
      </c>
      <c r="BS41" s="444">
        <v>0.09230207953301715</v>
      </c>
      <c r="BT41" s="445">
        <v>480</v>
      </c>
      <c r="BU41" s="445">
        <v>532</v>
      </c>
      <c r="BV41" s="443">
        <v>665079.4958044509</v>
      </c>
      <c r="BW41" s="444">
        <v>0.014488163166796188</v>
      </c>
      <c r="BX41" s="443">
        <v>13605.417508131286</v>
      </c>
      <c r="BY41" s="443">
        <v>7695894.070929982</v>
      </c>
      <c r="BZ41" s="451">
        <v>0.91</v>
      </c>
      <c r="CA41" s="443">
        <v>7003263.604546283</v>
      </c>
      <c r="CB41" s="443">
        <v>5124552.69833893</v>
      </c>
      <c r="CC41" s="443">
        <v>5124552.69833893</v>
      </c>
      <c r="CD41" s="443">
        <v>5075683.079994623</v>
      </c>
      <c r="CE41" s="443">
        <v>5088133.285823568</v>
      </c>
      <c r="CF41" s="450">
        <v>928.1527336416577</v>
      </c>
      <c r="CG41" s="446">
        <v>5482</v>
      </c>
      <c r="CH41" s="446">
        <v>9</v>
      </c>
      <c r="CI41" s="446">
        <v>585</v>
      </c>
      <c r="CJ41" s="446">
        <v>94</v>
      </c>
      <c r="CK41" s="446">
        <v>19</v>
      </c>
      <c r="CL41" s="446">
        <v>755</v>
      </c>
      <c r="CM41" s="446">
        <v>194</v>
      </c>
      <c r="CN41" s="446">
        <v>36</v>
      </c>
      <c r="CO41" s="446">
        <v>593</v>
      </c>
      <c r="CP41" s="446">
        <v>4</v>
      </c>
      <c r="CQ41" s="446">
        <v>1152</v>
      </c>
      <c r="CR41" s="446">
        <v>84</v>
      </c>
      <c r="CS41" s="446">
        <v>0</v>
      </c>
      <c r="CT41" s="446">
        <v>1957</v>
      </c>
      <c r="CU41" s="446">
        <v>0</v>
      </c>
      <c r="CV41" s="446">
        <v>0</v>
      </c>
      <c r="CW41" s="443">
        <v>3707509.935006037</v>
      </c>
      <c r="CX41" s="448">
        <v>0.888399866929506</v>
      </c>
      <c r="CY41" s="448">
        <v>0.91</v>
      </c>
      <c r="CZ41" s="443">
        <v>3293751.3328991844</v>
      </c>
      <c r="DA41" s="450">
        <v>600.8302321961299</v>
      </c>
      <c r="DB41" s="445">
        <v>5482</v>
      </c>
      <c r="DC41" s="448">
        <v>0.9914082451659979</v>
      </c>
      <c r="DD41" s="450">
        <v>296.2</v>
      </c>
      <c r="DE41" s="443">
        <v>30223</v>
      </c>
      <c r="DF41" s="450">
        <v>45.43994669542088</v>
      </c>
      <c r="DG41" s="450">
        <v>47.393864403323974</v>
      </c>
      <c r="DH41" s="450">
        <v>48.43652942019709</v>
      </c>
      <c r="DI41" s="450">
        <v>49.50213306744141</v>
      </c>
      <c r="DJ41" s="450">
        <v>51.135703458666974</v>
      </c>
      <c r="DK41" s="450">
        <v>52.976588783178975</v>
      </c>
      <c r="DL41" s="450">
        <v>54.67183962424069</v>
      </c>
      <c r="DM41" s="450">
        <v>56.913385048834556</v>
      </c>
      <c r="DN41" s="450">
        <v>59.417573990983264</v>
      </c>
      <c r="DO41" s="450">
        <v>62.68554056048734</v>
      </c>
      <c r="DP41" s="450">
        <v>62.121370695442955</v>
      </c>
      <c r="DQ41" s="450">
        <v>65.28956060091055</v>
      </c>
      <c r="DR41" s="450">
        <v>37.07</v>
      </c>
      <c r="DS41" s="450">
        <v>38.9406389420197</v>
      </c>
      <c r="DT41" s="450">
        <v>40.87564411748827</v>
      </c>
      <c r="DU41" s="450">
        <v>43.33843575902808</v>
      </c>
      <c r="DV41" s="450">
        <v>46.05261506589964</v>
      </c>
      <c r="DW41" s="450">
        <v>48.71722222738046</v>
      </c>
      <c r="DX41" s="450">
        <v>51.95437968072936</v>
      </c>
      <c r="DY41" s="450">
        <v>54.81561700938165</v>
      </c>
      <c r="DZ41" s="450">
        <v>56.45486279197945</v>
      </c>
      <c r="EA41" s="450">
        <v>57.95803992867291</v>
      </c>
      <c r="EB41" s="450">
        <v>61.78903209221029</v>
      </c>
      <c r="EC41" s="450">
        <v>0</v>
      </c>
      <c r="ED41" s="450">
        <v>61.78903209221029</v>
      </c>
      <c r="EE41" s="450">
        <v>3213.0296687949353</v>
      </c>
      <c r="EF41" s="443">
        <v>17261552.07144716</v>
      </c>
      <c r="EG41" s="450">
        <v>46.58</v>
      </c>
      <c r="EH41" s="450">
        <v>47.687936942019704</v>
      </c>
      <c r="EI41" s="450">
        <v>48.82207838948827</v>
      </c>
      <c r="EJ41" s="450">
        <v>50.521019036632076</v>
      </c>
      <c r="EK41" s="450">
        <v>52.43074901641199</v>
      </c>
      <c r="EL41" s="450">
        <v>54.202417424821085</v>
      </c>
      <c r="EM41" s="450">
        <v>56.522450241157905</v>
      </c>
      <c r="EN41" s="450">
        <v>59.05478648945933</v>
      </c>
      <c r="EO41" s="450">
        <v>60.49761741948021</v>
      </c>
      <c r="EP41" s="450">
        <v>60.65940330333618</v>
      </c>
      <c r="EQ41" s="450">
        <v>64.06033841762716</v>
      </c>
      <c r="ER41" s="443">
        <v>25573535</v>
      </c>
      <c r="ES41" s="443">
        <v>420000</v>
      </c>
      <c r="ET41" s="443">
        <v>0</v>
      </c>
      <c r="EU41" s="443">
        <v>0</v>
      </c>
      <c r="EV41" s="443">
        <v>0</v>
      </c>
      <c r="EW41" s="443">
        <v>0</v>
      </c>
      <c r="EX41" s="443">
        <v>0</v>
      </c>
      <c r="EY41" s="443">
        <v>0</v>
      </c>
      <c r="EZ41" s="443">
        <v>0</v>
      </c>
      <c r="FA41" s="443">
        <v>25783535</v>
      </c>
      <c r="FB41" s="443">
        <v>51426.83378252085</v>
      </c>
      <c r="FC41" s="443">
        <v>0</v>
      </c>
      <c r="FD41" s="443">
        <v>0</v>
      </c>
      <c r="FE41" s="443">
        <v>26160</v>
      </c>
      <c r="FF41" s="452">
        <v>0.07</v>
      </c>
      <c r="FG41" s="443">
        <v>1831.2</v>
      </c>
      <c r="FH41" s="453">
        <v>1831.2</v>
      </c>
    </row>
    <row r="42" spans="2:164" ht="12.75">
      <c r="B42" s="356" t="s">
        <v>731</v>
      </c>
      <c r="C42" s="442">
        <v>5214</v>
      </c>
      <c r="D42" s="443">
        <v>1245662</v>
      </c>
      <c r="E42" s="443">
        <v>1068777.996</v>
      </c>
      <c r="F42" s="443">
        <v>165741.59138301702</v>
      </c>
      <c r="G42" s="443">
        <v>176884.00400000002</v>
      </c>
      <c r="H42" s="444">
        <v>0.4597123130034523</v>
      </c>
      <c r="I42" s="445">
        <v>2013.18</v>
      </c>
      <c r="J42" s="445">
        <v>383.76</v>
      </c>
      <c r="K42" s="443">
        <v>1234519.587383017</v>
      </c>
      <c r="L42" s="443">
        <v>987615.6699064136</v>
      </c>
      <c r="M42" s="443">
        <v>299907.2843411147</v>
      </c>
      <c r="N42" s="443">
        <v>246903.91747660332</v>
      </c>
      <c r="O42" s="446">
        <v>1.2146720368239357</v>
      </c>
      <c r="P42" s="447">
        <v>0.8348676639815881</v>
      </c>
      <c r="Q42" s="448">
        <v>0.16513233601841196</v>
      </c>
      <c r="R42" s="443">
        <v>1287522.9542475282</v>
      </c>
      <c r="S42" s="443">
        <v>870365.5170713292</v>
      </c>
      <c r="T42" s="443">
        <v>149099.84606147945</v>
      </c>
      <c r="U42" s="443">
        <v>202207.2826490223</v>
      </c>
      <c r="V42" s="443">
        <v>293555.23356843647</v>
      </c>
      <c r="W42" s="446">
        <v>0.6888219303434144</v>
      </c>
      <c r="X42" s="448">
        <v>12.86132179631925</v>
      </c>
      <c r="Y42" s="443">
        <v>149099.84606147945</v>
      </c>
      <c r="Z42" s="443">
        <v>123602.20360776271</v>
      </c>
      <c r="AA42" s="444">
        <v>1.2062879277996577</v>
      </c>
      <c r="AB42" s="444">
        <v>0.09896432681242807</v>
      </c>
      <c r="AC42" s="445">
        <v>497</v>
      </c>
      <c r="AD42" s="445">
        <v>535</v>
      </c>
      <c r="AE42" s="443">
        <v>1221672.6457818311</v>
      </c>
      <c r="AF42" s="443">
        <v>0</v>
      </c>
      <c r="AG42" s="447">
        <v>0</v>
      </c>
      <c r="AH42" s="446">
        <v>0.05855880341952937</v>
      </c>
      <c r="AI42" s="448">
        <v>0.04931294918060303</v>
      </c>
      <c r="AJ42" s="443">
        <v>1221672.6457818311</v>
      </c>
      <c r="AK42" s="449">
        <v>1.0108730912711368</v>
      </c>
      <c r="AL42" s="443">
        <v>1234956.0039628681</v>
      </c>
      <c r="AM42" s="443">
        <v>2752427.4048658283</v>
      </c>
      <c r="AN42" s="443">
        <v>2718813.8111366783</v>
      </c>
      <c r="AO42" s="443">
        <v>2596052.279859507</v>
      </c>
      <c r="AP42" s="443">
        <v>2718813.8111366783</v>
      </c>
      <c r="AQ42" s="443">
        <v>20856</v>
      </c>
      <c r="AR42" s="443">
        <v>2739669.8111366783</v>
      </c>
      <c r="AS42" s="450">
        <v>525.444919665646</v>
      </c>
      <c r="AT42" s="446">
        <v>5207</v>
      </c>
      <c r="AU42" s="446">
        <v>0</v>
      </c>
      <c r="AV42" s="446">
        <v>511</v>
      </c>
      <c r="AW42" s="446">
        <v>287</v>
      </c>
      <c r="AX42" s="446">
        <v>0</v>
      </c>
      <c r="AY42" s="446">
        <v>864</v>
      </c>
      <c r="AZ42" s="446">
        <v>347</v>
      </c>
      <c r="BA42" s="446">
        <v>296</v>
      </c>
      <c r="BB42" s="446">
        <v>111</v>
      </c>
      <c r="BC42" s="446">
        <v>37</v>
      </c>
      <c r="BD42" s="446">
        <v>1382</v>
      </c>
      <c r="BE42" s="446">
        <v>710</v>
      </c>
      <c r="BF42" s="446">
        <v>133</v>
      </c>
      <c r="BG42" s="446">
        <v>507</v>
      </c>
      <c r="BH42" s="446">
        <v>22</v>
      </c>
      <c r="BI42" s="446">
        <v>0</v>
      </c>
      <c r="BJ42" s="448">
        <v>1.3882112317242852</v>
      </c>
      <c r="BK42" s="448">
        <v>11.722675541901348</v>
      </c>
      <c r="BL42" s="448">
        <v>8.271930818683506</v>
      </c>
      <c r="BM42" s="448">
        <v>6.901489446435683</v>
      </c>
      <c r="BN42" s="445">
        <v>4364</v>
      </c>
      <c r="BO42" s="445">
        <v>843</v>
      </c>
      <c r="BP42" s="443">
        <v>1459280.7057324098</v>
      </c>
      <c r="BQ42" s="443">
        <v>5530539</v>
      </c>
      <c r="BR42" s="443">
        <v>7124179</v>
      </c>
      <c r="BS42" s="444">
        <v>0.09909736892644518</v>
      </c>
      <c r="BT42" s="445">
        <v>497</v>
      </c>
      <c r="BU42" s="445">
        <v>535</v>
      </c>
      <c r="BV42" s="443">
        <v>705987.3946610333</v>
      </c>
      <c r="BW42" s="444">
        <v>0.012317346432680612</v>
      </c>
      <c r="BX42" s="443">
        <v>9688.281085717801</v>
      </c>
      <c r="BY42" s="443">
        <v>7705495.381479161</v>
      </c>
      <c r="BZ42" s="451">
        <v>1.0633333333333335</v>
      </c>
      <c r="CA42" s="443">
        <v>8193510.088972842</v>
      </c>
      <c r="CB42" s="443">
        <v>5995501.041550939</v>
      </c>
      <c r="CC42" s="443">
        <v>5995501.041550939</v>
      </c>
      <c r="CD42" s="443">
        <v>5790331.459607873</v>
      </c>
      <c r="CE42" s="443">
        <v>5952891.932322868</v>
      </c>
      <c r="CF42" s="450">
        <v>1143.2479224741442</v>
      </c>
      <c r="CG42" s="446">
        <v>5207</v>
      </c>
      <c r="CH42" s="446">
        <v>0</v>
      </c>
      <c r="CI42" s="446">
        <v>511</v>
      </c>
      <c r="CJ42" s="446">
        <v>287</v>
      </c>
      <c r="CK42" s="446">
        <v>0</v>
      </c>
      <c r="CL42" s="446">
        <v>864</v>
      </c>
      <c r="CM42" s="446">
        <v>347</v>
      </c>
      <c r="CN42" s="446">
        <v>296</v>
      </c>
      <c r="CO42" s="446">
        <v>111</v>
      </c>
      <c r="CP42" s="446">
        <v>37</v>
      </c>
      <c r="CQ42" s="446">
        <v>1382</v>
      </c>
      <c r="CR42" s="446">
        <v>710</v>
      </c>
      <c r="CS42" s="446">
        <v>133</v>
      </c>
      <c r="CT42" s="446">
        <v>507</v>
      </c>
      <c r="CU42" s="446">
        <v>22</v>
      </c>
      <c r="CV42" s="446">
        <v>0</v>
      </c>
      <c r="CW42" s="443">
        <v>3759597.834896295</v>
      </c>
      <c r="CX42" s="448">
        <v>1.0380936174011444</v>
      </c>
      <c r="CY42" s="448">
        <v>1.0633333333333335</v>
      </c>
      <c r="CZ42" s="443">
        <v>3902814.516401005</v>
      </c>
      <c r="DA42" s="450">
        <v>749.5322674094498</v>
      </c>
      <c r="DB42" s="445">
        <v>5214</v>
      </c>
      <c r="DC42" s="448">
        <v>0.9912734944380516</v>
      </c>
      <c r="DD42" s="450">
        <v>316.4</v>
      </c>
      <c r="DE42" s="443">
        <v>50482</v>
      </c>
      <c r="DF42" s="450">
        <v>54.52744730895753</v>
      </c>
      <c r="DG42" s="450">
        <v>56.8721275432427</v>
      </c>
      <c r="DH42" s="450">
        <v>58.123314349194025</v>
      </c>
      <c r="DI42" s="450">
        <v>59.40202726487628</v>
      </c>
      <c r="DJ42" s="450">
        <v>61.3622941646172</v>
      </c>
      <c r="DK42" s="450">
        <v>63.5713367545434</v>
      </c>
      <c r="DL42" s="450">
        <v>65.60561953068878</v>
      </c>
      <c r="DM42" s="450">
        <v>68.29544993144702</v>
      </c>
      <c r="DN42" s="450">
        <v>71.30044972843068</v>
      </c>
      <c r="DO42" s="450">
        <v>75.22197446349436</v>
      </c>
      <c r="DP42" s="450">
        <v>74.54497669332291</v>
      </c>
      <c r="DQ42" s="450">
        <v>78.34677050468237</v>
      </c>
      <c r="DR42" s="450">
        <v>45.38</v>
      </c>
      <c r="DS42" s="450">
        <v>47.552855434919394</v>
      </c>
      <c r="DT42" s="450">
        <v>49.79935258897524</v>
      </c>
      <c r="DU42" s="450">
        <v>52.68267659193714</v>
      </c>
      <c r="DV42" s="450">
        <v>55.86383635000351</v>
      </c>
      <c r="DW42" s="450">
        <v>58.97716918278448</v>
      </c>
      <c r="DX42" s="450">
        <v>62.77527648171231</v>
      </c>
      <c r="DY42" s="450">
        <v>66.17772876707687</v>
      </c>
      <c r="DZ42" s="450">
        <v>68.12629229843527</v>
      </c>
      <c r="EA42" s="450">
        <v>69.80365111581892</v>
      </c>
      <c r="EB42" s="450">
        <v>74.36026395911702</v>
      </c>
      <c r="EC42" s="450">
        <v>0</v>
      </c>
      <c r="ED42" s="450">
        <v>74.36026395911702</v>
      </c>
      <c r="EE42" s="450">
        <v>3866.733725874085</v>
      </c>
      <c r="EF42" s="443">
        <v>19757926.65377333</v>
      </c>
      <c r="EG42" s="450">
        <v>52.69</v>
      </c>
      <c r="EH42" s="450">
        <v>54.27659343491939</v>
      </c>
      <c r="EI42" s="450">
        <v>55.90749502097524</v>
      </c>
      <c r="EJ42" s="450">
        <v>58.20367383266114</v>
      </c>
      <c r="EK42" s="450">
        <v>60.766481899766426</v>
      </c>
      <c r="EL42" s="450">
        <v>63.19344435558058</v>
      </c>
      <c r="EM42" s="450">
        <v>66.28659044561691</v>
      </c>
      <c r="EN42" s="450">
        <v>69.43622812558033</v>
      </c>
      <c r="EO42" s="450">
        <v>71.23381451999472</v>
      </c>
      <c r="EP42" s="450">
        <v>71.88009341537605</v>
      </c>
      <c r="EQ42" s="450">
        <v>76.10613664458465</v>
      </c>
      <c r="ER42" s="443">
        <v>15726422</v>
      </c>
      <c r="ES42" s="443">
        <v>324000</v>
      </c>
      <c r="ET42" s="443">
        <v>0</v>
      </c>
      <c r="EU42" s="443">
        <v>135000</v>
      </c>
      <c r="EV42" s="443">
        <v>0</v>
      </c>
      <c r="EW42" s="443">
        <v>0</v>
      </c>
      <c r="EX42" s="443">
        <v>180000</v>
      </c>
      <c r="EY42" s="443">
        <v>0</v>
      </c>
      <c r="EZ42" s="443">
        <v>0</v>
      </c>
      <c r="FA42" s="443">
        <v>15843422</v>
      </c>
      <c r="FB42" s="443">
        <v>46723.20626870763</v>
      </c>
      <c r="FC42" s="443">
        <v>0</v>
      </c>
      <c r="FD42" s="443">
        <v>0</v>
      </c>
      <c r="FE42" s="443">
        <v>32177</v>
      </c>
      <c r="FF42" s="452">
        <v>0.0393</v>
      </c>
      <c r="FG42" s="443">
        <v>1264.5561</v>
      </c>
      <c r="FH42" s="453">
        <v>1264.5561</v>
      </c>
    </row>
    <row r="43" spans="2:164" ht="12.75">
      <c r="B43" s="356" t="s">
        <v>732</v>
      </c>
      <c r="C43" s="442">
        <v>1537</v>
      </c>
      <c r="D43" s="443">
        <v>388921</v>
      </c>
      <c r="E43" s="443">
        <v>333694.218</v>
      </c>
      <c r="F43" s="443">
        <v>49143.000665988846</v>
      </c>
      <c r="G43" s="443">
        <v>55226.78200000001</v>
      </c>
      <c r="H43" s="444">
        <v>0.43657124268054653</v>
      </c>
      <c r="I43" s="445">
        <v>551.8</v>
      </c>
      <c r="J43" s="445">
        <v>119.21</v>
      </c>
      <c r="K43" s="443">
        <v>382837.2186659888</v>
      </c>
      <c r="L43" s="443">
        <v>306269.7749327911</v>
      </c>
      <c r="M43" s="443">
        <v>80323.58248237349</v>
      </c>
      <c r="N43" s="443">
        <v>76567.44373319775</v>
      </c>
      <c r="O43" s="446">
        <v>1.049056603773585</v>
      </c>
      <c r="P43" s="447">
        <v>0.9622641509433962</v>
      </c>
      <c r="Q43" s="448">
        <v>0.03773584905660377</v>
      </c>
      <c r="R43" s="443">
        <v>386593.3574151646</v>
      </c>
      <c r="S43" s="443">
        <v>261337.1096126513</v>
      </c>
      <c r="T43" s="443">
        <v>41352.368006183504</v>
      </c>
      <c r="U43" s="443">
        <v>40670.84658685319</v>
      </c>
      <c r="V43" s="443">
        <v>88143.28549065752</v>
      </c>
      <c r="W43" s="446">
        <v>0.46141741098547967</v>
      </c>
      <c r="X43" s="448">
        <v>8.61534388452196</v>
      </c>
      <c r="Y43" s="443">
        <v>41352.368006183504</v>
      </c>
      <c r="Z43" s="443">
        <v>37112.9623118558</v>
      </c>
      <c r="AA43" s="444">
        <v>1.1142297846963678</v>
      </c>
      <c r="AB43" s="444">
        <v>0.09141184124918672</v>
      </c>
      <c r="AC43" s="445">
        <v>129</v>
      </c>
      <c r="AD43" s="445">
        <v>152</v>
      </c>
      <c r="AE43" s="443">
        <v>343360.32420568797</v>
      </c>
      <c r="AF43" s="443">
        <v>0</v>
      </c>
      <c r="AG43" s="447">
        <v>0</v>
      </c>
      <c r="AH43" s="446">
        <v>0.013583781946609136</v>
      </c>
      <c r="AI43" s="448">
        <v>0.011439037509262562</v>
      </c>
      <c r="AJ43" s="443">
        <v>343360.32420568797</v>
      </c>
      <c r="AK43" s="449">
        <v>1.015630059694977</v>
      </c>
      <c r="AL43" s="443">
        <v>348727.0665699095</v>
      </c>
      <c r="AM43" s="443">
        <v>777230.8744323081</v>
      </c>
      <c r="AN43" s="443">
        <v>767739.0626589134</v>
      </c>
      <c r="AO43" s="443">
        <v>721875.9638501103</v>
      </c>
      <c r="AP43" s="443">
        <v>767739.0626589134</v>
      </c>
      <c r="AQ43" s="443">
        <v>6148</v>
      </c>
      <c r="AR43" s="443">
        <v>773887.0626589134</v>
      </c>
      <c r="AS43" s="450">
        <v>503.50492040267625</v>
      </c>
      <c r="AT43" s="446">
        <v>1537</v>
      </c>
      <c r="AU43" s="446">
        <v>0</v>
      </c>
      <c r="AV43" s="446">
        <v>21</v>
      </c>
      <c r="AW43" s="446">
        <v>0</v>
      </c>
      <c r="AX43" s="446">
        <v>5</v>
      </c>
      <c r="AY43" s="446">
        <v>248</v>
      </c>
      <c r="AZ43" s="446">
        <v>147</v>
      </c>
      <c r="BA43" s="446">
        <v>32</v>
      </c>
      <c r="BB43" s="446">
        <v>47</v>
      </c>
      <c r="BC43" s="446">
        <v>6</v>
      </c>
      <c r="BD43" s="446">
        <v>556</v>
      </c>
      <c r="BE43" s="446">
        <v>58</v>
      </c>
      <c r="BF43" s="446">
        <v>0</v>
      </c>
      <c r="BG43" s="446">
        <v>417</v>
      </c>
      <c r="BH43" s="446">
        <v>0</v>
      </c>
      <c r="BI43" s="446">
        <v>0</v>
      </c>
      <c r="BJ43" s="448">
        <v>1.2785623682774327</v>
      </c>
      <c r="BK43" s="448">
        <v>10.717225370078634</v>
      </c>
      <c r="BL43" s="448">
        <v>6.156766131192597</v>
      </c>
      <c r="BM43" s="448">
        <v>9.120918477772072</v>
      </c>
      <c r="BN43" s="445">
        <v>1479</v>
      </c>
      <c r="BO43" s="445">
        <v>58</v>
      </c>
      <c r="BP43" s="443">
        <v>370308.74016182456</v>
      </c>
      <c r="BQ43" s="443">
        <v>1513211</v>
      </c>
      <c r="BR43" s="443">
        <v>1962404</v>
      </c>
      <c r="BS43" s="444">
        <v>0.09141184124918672</v>
      </c>
      <c r="BT43" s="445">
        <v>129</v>
      </c>
      <c r="BU43" s="445">
        <v>152</v>
      </c>
      <c r="BV43" s="443">
        <v>179386.962914769</v>
      </c>
      <c r="BW43" s="444">
        <v>0.012737917969106997</v>
      </c>
      <c r="BX43" s="443">
        <v>2703.77115399592</v>
      </c>
      <c r="BY43" s="443">
        <v>2065610.4742305893</v>
      </c>
      <c r="BZ43" s="451">
        <v>1.04</v>
      </c>
      <c r="CA43" s="443">
        <v>2148234.893199813</v>
      </c>
      <c r="CB43" s="443">
        <v>1571944.6732615405</v>
      </c>
      <c r="CC43" s="443">
        <v>1571944.6732615405</v>
      </c>
      <c r="CD43" s="443">
        <v>1513794.0166359886</v>
      </c>
      <c r="CE43" s="443">
        <v>1560773.1028090804</v>
      </c>
      <c r="CF43" s="450">
        <v>1015.4672106760445</v>
      </c>
      <c r="CG43" s="446">
        <v>1537</v>
      </c>
      <c r="CH43" s="446">
        <v>0</v>
      </c>
      <c r="CI43" s="446">
        <v>21</v>
      </c>
      <c r="CJ43" s="446">
        <v>0</v>
      </c>
      <c r="CK43" s="446">
        <v>5</v>
      </c>
      <c r="CL43" s="446">
        <v>248</v>
      </c>
      <c r="CM43" s="446">
        <v>147</v>
      </c>
      <c r="CN43" s="446">
        <v>32</v>
      </c>
      <c r="CO43" s="446">
        <v>47</v>
      </c>
      <c r="CP43" s="446">
        <v>6</v>
      </c>
      <c r="CQ43" s="446">
        <v>556</v>
      </c>
      <c r="CR43" s="446">
        <v>58</v>
      </c>
      <c r="CS43" s="446">
        <v>0</v>
      </c>
      <c r="CT43" s="446">
        <v>417</v>
      </c>
      <c r="CU43" s="446">
        <v>0</v>
      </c>
      <c r="CV43" s="446">
        <v>0</v>
      </c>
      <c r="CW43" s="443">
        <v>1132581.0405705583</v>
      </c>
      <c r="CX43" s="448">
        <v>1.015314133633721</v>
      </c>
      <c r="CY43" s="448">
        <v>1.04</v>
      </c>
      <c r="CZ43" s="443">
        <v>1149925.5379768747</v>
      </c>
      <c r="DA43" s="450">
        <v>748.1623539211937</v>
      </c>
      <c r="DB43" s="445">
        <v>1537</v>
      </c>
      <c r="DC43" s="448">
        <v>0.9717631750162655</v>
      </c>
      <c r="DD43" s="450">
        <v>325.9</v>
      </c>
      <c r="DE43" s="443">
        <v>49975</v>
      </c>
      <c r="DF43" s="450">
        <v>54.73007199666783</v>
      </c>
      <c r="DG43" s="450">
        <v>57.08346509252454</v>
      </c>
      <c r="DH43" s="450">
        <v>58.33930132456007</v>
      </c>
      <c r="DI43" s="450">
        <v>59.62276595370038</v>
      </c>
      <c r="DJ43" s="450">
        <v>61.59031723017249</v>
      </c>
      <c r="DK43" s="450">
        <v>63.807568650458684</v>
      </c>
      <c r="DL43" s="450">
        <v>65.84941084727335</v>
      </c>
      <c r="DM43" s="450">
        <v>68.54923669201155</v>
      </c>
      <c r="DN43" s="450">
        <v>71.56540310646004</v>
      </c>
      <c r="DO43" s="450">
        <v>75.50150027731533</v>
      </c>
      <c r="DP43" s="450">
        <v>74.82198677481949</v>
      </c>
      <c r="DQ43" s="450">
        <v>78.63790810033528</v>
      </c>
      <c r="DR43" s="450">
        <v>46.79</v>
      </c>
      <c r="DS43" s="450">
        <v>48.871372132455996</v>
      </c>
      <c r="DT43" s="450">
        <v>51.021678278740055</v>
      </c>
      <c r="DU43" s="450">
        <v>53.81600910796772</v>
      </c>
      <c r="DV43" s="450">
        <v>56.90398303794086</v>
      </c>
      <c r="DW43" s="450">
        <v>59.912327220508026</v>
      </c>
      <c r="DX43" s="450">
        <v>63.60483344764139</v>
      </c>
      <c r="DY43" s="450">
        <v>66.97699689568454</v>
      </c>
      <c r="DZ43" s="450">
        <v>68.90716272467218</v>
      </c>
      <c r="EA43" s="450">
        <v>70.41565901411408</v>
      </c>
      <c r="EB43" s="450">
        <v>74.93306771913417</v>
      </c>
      <c r="EC43" s="450">
        <v>0</v>
      </c>
      <c r="ED43" s="450">
        <v>74.93306771913417</v>
      </c>
      <c r="EE43" s="450">
        <v>3896.519521394977</v>
      </c>
      <c r="EF43" s="443">
        <v>5869171.494296397</v>
      </c>
      <c r="EG43" s="450">
        <v>57.82</v>
      </c>
      <c r="EH43" s="450">
        <v>59.016766132456</v>
      </c>
      <c r="EI43" s="450">
        <v>60.23820509474005</v>
      </c>
      <c r="EJ43" s="450">
        <v>62.14659728377972</v>
      </c>
      <c r="EK43" s="450">
        <v>64.3015453380619</v>
      </c>
      <c r="EL43" s="450">
        <v>66.27423079861211</v>
      </c>
      <c r="EM43" s="450">
        <v>68.90302674748646</v>
      </c>
      <c r="EN43" s="450">
        <v>71.89372027794076</v>
      </c>
      <c r="EO43" s="450">
        <v>73.59607792355052</v>
      </c>
      <c r="EP43" s="450">
        <v>73.54878604066883</v>
      </c>
      <c r="EQ43" s="450">
        <v>77.56740092306141</v>
      </c>
      <c r="ER43" s="443">
        <v>1018448</v>
      </c>
      <c r="ES43" s="443">
        <v>0</v>
      </c>
      <c r="ET43" s="443">
        <v>0</v>
      </c>
      <c r="EU43" s="443">
        <v>0</v>
      </c>
      <c r="EV43" s="443">
        <v>0</v>
      </c>
      <c r="EW43" s="443">
        <v>0</v>
      </c>
      <c r="EX43" s="443">
        <v>0</v>
      </c>
      <c r="EY43" s="443">
        <v>0</v>
      </c>
      <c r="EZ43" s="443">
        <v>0</v>
      </c>
      <c r="FA43" s="443">
        <v>1018448</v>
      </c>
      <c r="FB43" s="443">
        <v>39708.07921753975</v>
      </c>
      <c r="FC43" s="443">
        <v>0</v>
      </c>
      <c r="FD43" s="443">
        <v>0</v>
      </c>
      <c r="FE43" s="443">
        <v>0</v>
      </c>
      <c r="FF43" s="452">
        <v>0</v>
      </c>
      <c r="FG43" s="443">
        <v>0</v>
      </c>
      <c r="FH43" s="453">
        <v>0</v>
      </c>
    </row>
    <row r="44" spans="2:164" ht="12.75">
      <c r="B44" s="356" t="s">
        <v>733</v>
      </c>
      <c r="C44" s="442">
        <v>5215</v>
      </c>
      <c r="D44" s="443">
        <v>1245895</v>
      </c>
      <c r="E44" s="443">
        <v>1068977.91</v>
      </c>
      <c r="F44" s="443">
        <v>141838.82041691654</v>
      </c>
      <c r="G44" s="443">
        <v>176917.09</v>
      </c>
      <c r="H44" s="444">
        <v>0.39334036433365294</v>
      </c>
      <c r="I44" s="445">
        <v>1608.23</v>
      </c>
      <c r="J44" s="445">
        <v>443.04</v>
      </c>
      <c r="K44" s="443">
        <v>1210816.7304169165</v>
      </c>
      <c r="L44" s="443">
        <v>968653.3843335332</v>
      </c>
      <c r="M44" s="443">
        <v>272648.53049445536</v>
      </c>
      <c r="N44" s="443">
        <v>242163.34608338325</v>
      </c>
      <c r="O44" s="446">
        <v>1.1258868648130393</v>
      </c>
      <c r="P44" s="447">
        <v>0.9031639501438159</v>
      </c>
      <c r="Q44" s="448">
        <v>0.09683604985618409</v>
      </c>
      <c r="R44" s="443">
        <v>1241301.9148279885</v>
      </c>
      <c r="S44" s="443">
        <v>839120.0944237203</v>
      </c>
      <c r="T44" s="443">
        <v>147758.35267100122</v>
      </c>
      <c r="U44" s="443">
        <v>172485.14740448567</v>
      </c>
      <c r="V44" s="443">
        <v>283016.8365807814</v>
      </c>
      <c r="W44" s="446">
        <v>0.6094518951180959</v>
      </c>
      <c r="X44" s="448">
        <v>11.37936612816988</v>
      </c>
      <c r="Y44" s="443">
        <v>147758.35267100122</v>
      </c>
      <c r="Z44" s="443">
        <v>119164.9838234869</v>
      </c>
      <c r="AA44" s="444">
        <v>1.2399477424498144</v>
      </c>
      <c r="AB44" s="444">
        <v>0.10172579098753595</v>
      </c>
      <c r="AC44" s="445">
        <v>488</v>
      </c>
      <c r="AD44" s="445">
        <v>573</v>
      </c>
      <c r="AE44" s="443">
        <v>1159363.594499207</v>
      </c>
      <c r="AF44" s="443">
        <v>0</v>
      </c>
      <c r="AG44" s="447">
        <v>0</v>
      </c>
      <c r="AH44" s="446">
        <v>0.012692734230340001</v>
      </c>
      <c r="AI44" s="448">
        <v>0.01068867738945147</v>
      </c>
      <c r="AJ44" s="443">
        <v>1159363.594499207</v>
      </c>
      <c r="AK44" s="449">
        <v>1.0428149725139246</v>
      </c>
      <c r="AL44" s="443">
        <v>1209001.7149313355</v>
      </c>
      <c r="AM44" s="443">
        <v>2694581.379440661</v>
      </c>
      <c r="AN44" s="443">
        <v>2661674.221345036</v>
      </c>
      <c r="AO44" s="443">
        <v>2699666.8399077347</v>
      </c>
      <c r="AP44" s="443">
        <v>2699666.8399077347</v>
      </c>
      <c r="AQ44" s="443">
        <v>20860</v>
      </c>
      <c r="AR44" s="443">
        <v>2720526.8399077347</v>
      </c>
      <c r="AS44" s="450">
        <v>521.6734112958264</v>
      </c>
      <c r="AT44" s="446">
        <v>5215</v>
      </c>
      <c r="AU44" s="446">
        <v>99</v>
      </c>
      <c r="AV44" s="446">
        <v>387</v>
      </c>
      <c r="AW44" s="446">
        <v>40</v>
      </c>
      <c r="AX44" s="446">
        <v>445</v>
      </c>
      <c r="AY44" s="446">
        <v>805</v>
      </c>
      <c r="AZ44" s="446">
        <v>632</v>
      </c>
      <c r="BA44" s="446">
        <v>130</v>
      </c>
      <c r="BB44" s="446">
        <v>97</v>
      </c>
      <c r="BC44" s="446">
        <v>43</v>
      </c>
      <c r="BD44" s="446">
        <v>1259</v>
      </c>
      <c r="BE44" s="446">
        <v>489</v>
      </c>
      <c r="BF44" s="446">
        <v>0</v>
      </c>
      <c r="BG44" s="446">
        <v>773</v>
      </c>
      <c r="BH44" s="446">
        <v>0</v>
      </c>
      <c r="BI44" s="446">
        <v>16</v>
      </c>
      <c r="BJ44" s="448">
        <v>1.4986090062061301</v>
      </c>
      <c r="BK44" s="448">
        <v>17.07151240422386</v>
      </c>
      <c r="BL44" s="448">
        <v>9.430246718913695</v>
      </c>
      <c r="BM44" s="448">
        <v>15.282531370620328</v>
      </c>
      <c r="BN44" s="445">
        <v>4726</v>
      </c>
      <c r="BO44" s="445">
        <v>489</v>
      </c>
      <c r="BP44" s="443">
        <v>1535422.3364435837</v>
      </c>
      <c r="BQ44" s="443">
        <v>5278525</v>
      </c>
      <c r="BR44" s="443">
        <v>7129030</v>
      </c>
      <c r="BS44" s="444">
        <v>0.10172579098753595</v>
      </c>
      <c r="BT44" s="445">
        <v>488</v>
      </c>
      <c r="BU44" s="445">
        <v>573</v>
      </c>
      <c r="BV44" s="443">
        <v>725206.2157238735</v>
      </c>
      <c r="BW44" s="444">
        <v>0.02287000391673249</v>
      </c>
      <c r="BX44" s="443">
        <v>26236.614931254684</v>
      </c>
      <c r="BY44" s="443">
        <v>7565390.167098711</v>
      </c>
      <c r="BZ44" s="451">
        <v>1.0333333333333334</v>
      </c>
      <c r="CA44" s="443">
        <v>7817569.839335335</v>
      </c>
      <c r="CB44" s="443">
        <v>5720411.35058979</v>
      </c>
      <c r="CC44" s="443">
        <v>5720411.35058979</v>
      </c>
      <c r="CD44" s="443">
        <v>5688907.801809391</v>
      </c>
      <c r="CE44" s="443">
        <v>5688907.801809391</v>
      </c>
      <c r="CF44" s="450">
        <v>1090.873979253958</v>
      </c>
      <c r="CG44" s="446">
        <v>5215</v>
      </c>
      <c r="CH44" s="446">
        <v>99</v>
      </c>
      <c r="CI44" s="446">
        <v>387</v>
      </c>
      <c r="CJ44" s="446">
        <v>40</v>
      </c>
      <c r="CK44" s="446">
        <v>445</v>
      </c>
      <c r="CL44" s="446">
        <v>805</v>
      </c>
      <c r="CM44" s="446">
        <v>632</v>
      </c>
      <c r="CN44" s="446">
        <v>130</v>
      </c>
      <c r="CO44" s="446">
        <v>97</v>
      </c>
      <c r="CP44" s="446">
        <v>43</v>
      </c>
      <c r="CQ44" s="446">
        <v>1259</v>
      </c>
      <c r="CR44" s="446">
        <v>489</v>
      </c>
      <c r="CS44" s="446">
        <v>0</v>
      </c>
      <c r="CT44" s="446">
        <v>773</v>
      </c>
      <c r="CU44" s="446">
        <v>0</v>
      </c>
      <c r="CV44" s="446">
        <v>16</v>
      </c>
      <c r="CW44" s="443">
        <v>3749184.3040953614</v>
      </c>
      <c r="CX44" s="448">
        <v>1.0088057097001717</v>
      </c>
      <c r="CY44" s="448">
        <v>1.0333333333333334</v>
      </c>
      <c r="CZ44" s="443">
        <v>3782198.5326896654</v>
      </c>
      <c r="DA44" s="450">
        <v>725.253793420837</v>
      </c>
      <c r="DB44" s="445">
        <v>5215</v>
      </c>
      <c r="DC44" s="448">
        <v>1.0140939597315437</v>
      </c>
      <c r="DD44" s="450">
        <v>343.7</v>
      </c>
      <c r="DE44" s="443">
        <v>62919</v>
      </c>
      <c r="DF44" s="450">
        <v>62.84174691017063</v>
      </c>
      <c r="DG44" s="450">
        <v>65.54394202730796</v>
      </c>
      <c r="DH44" s="450">
        <v>66.98590875190872</v>
      </c>
      <c r="DI44" s="450">
        <v>68.4595987444507</v>
      </c>
      <c r="DJ44" s="450">
        <v>70.71876550301756</v>
      </c>
      <c r="DK44" s="450">
        <v>73.26464106112618</v>
      </c>
      <c r="DL44" s="450">
        <v>75.60910957508221</v>
      </c>
      <c r="DM44" s="450">
        <v>78.70908306766059</v>
      </c>
      <c r="DN44" s="450">
        <v>82.17228272263763</v>
      </c>
      <c r="DO44" s="450">
        <v>86.6917582723827</v>
      </c>
      <c r="DP44" s="450">
        <v>85.91153244793125</v>
      </c>
      <c r="DQ44" s="450">
        <v>90.29302060277574</v>
      </c>
      <c r="DR44" s="450">
        <v>47.33</v>
      </c>
      <c r="DS44" s="450">
        <v>50.23272487519086</v>
      </c>
      <c r="DT44" s="450">
        <v>53.24026192489012</v>
      </c>
      <c r="DU44" s="450">
        <v>56.96238743523725</v>
      </c>
      <c r="DV44" s="450">
        <v>61.04897733693726</v>
      </c>
      <c r="DW44" s="450">
        <v>65.10363877227974</v>
      </c>
      <c r="DX44" s="450">
        <v>69.96012698308668</v>
      </c>
      <c r="DY44" s="450">
        <v>74.05325147615306</v>
      </c>
      <c r="DZ44" s="450">
        <v>76.40156804258348</v>
      </c>
      <c r="EA44" s="450">
        <v>79.0356407437934</v>
      </c>
      <c r="EB44" s="450">
        <v>84.51177085793663</v>
      </c>
      <c r="EC44" s="450">
        <v>-1.31</v>
      </c>
      <c r="ED44" s="450">
        <v>83.20177085793662</v>
      </c>
      <c r="EE44" s="450">
        <v>4326.492084612704</v>
      </c>
      <c r="EF44" s="443">
        <v>22111403.09683015</v>
      </c>
      <c r="EG44" s="450">
        <v>49.86</v>
      </c>
      <c r="EH44" s="450">
        <v>52.559818875190864</v>
      </c>
      <c r="EI44" s="450">
        <v>55.35429754089013</v>
      </c>
      <c r="EJ44" s="450">
        <v>58.873211377649255</v>
      </c>
      <c r="EK44" s="450">
        <v>62.74578899779913</v>
      </c>
      <c r="EL44" s="450">
        <v>66.56289680062095</v>
      </c>
      <c r="EM44" s="450">
        <v>71.17539706908924</v>
      </c>
      <c r="EN44" s="450">
        <v>75.18102211596344</v>
      </c>
      <c r="EO44" s="450">
        <v>77.47708530941598</v>
      </c>
      <c r="EP44" s="450">
        <v>79.75429998016544</v>
      </c>
      <c r="EQ44" s="450">
        <v>85.11601954387824</v>
      </c>
      <c r="ER44" s="443">
        <v>-2964034</v>
      </c>
      <c r="ES44" s="443">
        <v>0</v>
      </c>
      <c r="ET44" s="443">
        <v>0</v>
      </c>
      <c r="EU44" s="443">
        <v>0</v>
      </c>
      <c r="EV44" s="443">
        <v>0</v>
      </c>
      <c r="EW44" s="443">
        <v>0</v>
      </c>
      <c r="EX44" s="443">
        <v>0</v>
      </c>
      <c r="EY44" s="443">
        <v>0</v>
      </c>
      <c r="EZ44" s="443">
        <v>0</v>
      </c>
      <c r="FA44" s="443">
        <v>-2964034</v>
      </c>
      <c r="FB44" s="443">
        <v>0</v>
      </c>
      <c r="FC44" s="443">
        <v>2964034</v>
      </c>
      <c r="FD44" s="443">
        <v>21489.2465</v>
      </c>
      <c r="FE44" s="443">
        <v>30000</v>
      </c>
      <c r="FF44" s="452">
        <v>0.0446</v>
      </c>
      <c r="FG44" s="443">
        <v>1338</v>
      </c>
      <c r="FH44" s="453">
        <v>22827.2465</v>
      </c>
    </row>
    <row r="45" spans="2:164" ht="12.75">
      <c r="B45" s="356" t="s">
        <v>734</v>
      </c>
      <c r="C45" s="442">
        <v>5845.5</v>
      </c>
      <c r="D45" s="443">
        <v>1392801.5</v>
      </c>
      <c r="E45" s="443">
        <v>1195023.687</v>
      </c>
      <c r="F45" s="443">
        <v>196532.65220803104</v>
      </c>
      <c r="G45" s="443">
        <v>197777.81300000002</v>
      </c>
      <c r="H45" s="444">
        <v>0.48752886836027715</v>
      </c>
      <c r="I45" s="445">
        <v>2447.5</v>
      </c>
      <c r="J45" s="445">
        <v>402.35</v>
      </c>
      <c r="K45" s="443">
        <v>1391556.339208031</v>
      </c>
      <c r="L45" s="443">
        <v>1113245.071366425</v>
      </c>
      <c r="M45" s="443">
        <v>338944.13065852266</v>
      </c>
      <c r="N45" s="443">
        <v>278311.26784160617</v>
      </c>
      <c r="O45" s="446">
        <v>1.2178598922247883</v>
      </c>
      <c r="P45" s="447">
        <v>0.8322641348045505</v>
      </c>
      <c r="Q45" s="448">
        <v>0.16765032931314686</v>
      </c>
      <c r="R45" s="443">
        <v>1452189.2020249476</v>
      </c>
      <c r="S45" s="443">
        <v>981679.9005688647</v>
      </c>
      <c r="T45" s="443">
        <v>173693.2685332414</v>
      </c>
      <c r="U45" s="443">
        <v>294528.1532080624</v>
      </c>
      <c r="V45" s="443">
        <v>331099.13806168805</v>
      </c>
      <c r="W45" s="446">
        <v>0.8895467228706225</v>
      </c>
      <c r="X45" s="448">
        <v>16.60914984224802</v>
      </c>
      <c r="Y45" s="443">
        <v>173693.2685332414</v>
      </c>
      <c r="Z45" s="443">
        <v>139410.16339439497</v>
      </c>
      <c r="AA45" s="444">
        <v>1.2459153931400155</v>
      </c>
      <c r="AB45" s="444">
        <v>0.102215379351638</v>
      </c>
      <c r="AC45" s="445">
        <v>627</v>
      </c>
      <c r="AD45" s="445">
        <v>568</v>
      </c>
      <c r="AE45" s="443">
        <v>1449901.3223101685</v>
      </c>
      <c r="AF45" s="443">
        <v>0</v>
      </c>
      <c r="AG45" s="447">
        <v>0</v>
      </c>
      <c r="AH45" s="446">
        <v>0.04172953711214261</v>
      </c>
      <c r="AI45" s="448">
        <v>0.035140857100486755</v>
      </c>
      <c r="AJ45" s="443">
        <v>1449901.3223101685</v>
      </c>
      <c r="AK45" s="449">
        <v>1.0095808529678565</v>
      </c>
      <c r="AL45" s="443">
        <v>1463792.613697123</v>
      </c>
      <c r="AM45" s="443">
        <v>3262450.558604095</v>
      </c>
      <c r="AN45" s="443">
        <v>3222608.386038711</v>
      </c>
      <c r="AO45" s="443">
        <v>3116305.328814101</v>
      </c>
      <c r="AP45" s="443">
        <v>3222608.386038711</v>
      </c>
      <c r="AQ45" s="443">
        <v>23382</v>
      </c>
      <c r="AR45" s="443">
        <v>3245990.386038711</v>
      </c>
      <c r="AS45" s="450">
        <v>555.2973032313251</v>
      </c>
      <c r="AT45" s="446">
        <v>5845</v>
      </c>
      <c r="AU45" s="446">
        <v>127</v>
      </c>
      <c r="AV45" s="446">
        <v>402</v>
      </c>
      <c r="AW45" s="446">
        <v>362</v>
      </c>
      <c r="AX45" s="446">
        <v>0</v>
      </c>
      <c r="AY45" s="446">
        <v>1004</v>
      </c>
      <c r="AZ45" s="446">
        <v>53</v>
      </c>
      <c r="BA45" s="446">
        <v>192</v>
      </c>
      <c r="BB45" s="446">
        <v>391</v>
      </c>
      <c r="BC45" s="446">
        <v>17</v>
      </c>
      <c r="BD45" s="446">
        <v>1753</v>
      </c>
      <c r="BE45" s="446">
        <v>980</v>
      </c>
      <c r="BF45" s="446">
        <v>0</v>
      </c>
      <c r="BG45" s="446">
        <v>564</v>
      </c>
      <c r="BH45" s="446">
        <v>0</v>
      </c>
      <c r="BI45" s="446">
        <v>0</v>
      </c>
      <c r="BJ45" s="448">
        <v>1.5419003975795538</v>
      </c>
      <c r="BK45" s="448">
        <v>16.201675967646885</v>
      </c>
      <c r="BL45" s="448">
        <v>9.10966597873641</v>
      </c>
      <c r="BM45" s="448">
        <v>14.184019977820945</v>
      </c>
      <c r="BN45" s="445">
        <v>4865</v>
      </c>
      <c r="BO45" s="445">
        <v>980</v>
      </c>
      <c r="BP45" s="443">
        <v>1800421.585839332</v>
      </c>
      <c r="BQ45" s="443">
        <v>6316508</v>
      </c>
      <c r="BR45" s="443">
        <v>7866112</v>
      </c>
      <c r="BS45" s="444">
        <v>0.10222412318220701</v>
      </c>
      <c r="BT45" s="445">
        <v>627</v>
      </c>
      <c r="BU45" s="445">
        <v>568</v>
      </c>
      <c r="BV45" s="443">
        <v>804106.4020530367</v>
      </c>
      <c r="BW45" s="444">
        <v>0.029890032188747084</v>
      </c>
      <c r="BX45" s="443">
        <v>36474.226601327464</v>
      </c>
      <c r="BY45" s="443">
        <v>8957510.214493696</v>
      </c>
      <c r="BZ45" s="451">
        <v>0.9166666666666666</v>
      </c>
      <c r="CA45" s="443">
        <v>8211051.029952554</v>
      </c>
      <c r="CB45" s="443">
        <v>6008336.411102163</v>
      </c>
      <c r="CC45" s="443">
        <v>6008336.411102163</v>
      </c>
      <c r="CD45" s="443">
        <v>5940326.467460852</v>
      </c>
      <c r="CE45" s="443">
        <v>5965636.082865139</v>
      </c>
      <c r="CF45" s="450">
        <v>1020.6391929623846</v>
      </c>
      <c r="CG45" s="446">
        <v>5845</v>
      </c>
      <c r="CH45" s="446">
        <v>127</v>
      </c>
      <c r="CI45" s="446">
        <v>402</v>
      </c>
      <c r="CJ45" s="446">
        <v>362</v>
      </c>
      <c r="CK45" s="446">
        <v>0</v>
      </c>
      <c r="CL45" s="446">
        <v>1004</v>
      </c>
      <c r="CM45" s="446">
        <v>53</v>
      </c>
      <c r="CN45" s="446">
        <v>192</v>
      </c>
      <c r="CO45" s="446">
        <v>391</v>
      </c>
      <c r="CP45" s="446">
        <v>17</v>
      </c>
      <c r="CQ45" s="446">
        <v>1753</v>
      </c>
      <c r="CR45" s="446">
        <v>980</v>
      </c>
      <c r="CS45" s="446">
        <v>0</v>
      </c>
      <c r="CT45" s="446">
        <v>564</v>
      </c>
      <c r="CU45" s="446">
        <v>0</v>
      </c>
      <c r="CV45" s="446">
        <v>0</v>
      </c>
      <c r="CW45" s="443">
        <v>4200771.164092321</v>
      </c>
      <c r="CX45" s="448">
        <v>0.8949082908630555</v>
      </c>
      <c r="CY45" s="448">
        <v>0.9166666666666666</v>
      </c>
      <c r="CZ45" s="443">
        <v>3759304.942764667</v>
      </c>
      <c r="DA45" s="450">
        <v>643.1659440144854</v>
      </c>
      <c r="DB45" s="445">
        <v>5845.5</v>
      </c>
      <c r="DC45" s="448">
        <v>0.9914293045932769</v>
      </c>
      <c r="DD45" s="450">
        <v>303.1</v>
      </c>
      <c r="DE45" s="443">
        <v>29360</v>
      </c>
      <c r="DF45" s="450">
        <v>45.9831115295257</v>
      </c>
      <c r="DG45" s="450">
        <v>47.960385325295306</v>
      </c>
      <c r="DH45" s="450">
        <v>49.01551380245179</v>
      </c>
      <c r="DI45" s="450">
        <v>50.09385510610572</v>
      </c>
      <c r="DJ45" s="450">
        <v>51.74695232460721</v>
      </c>
      <c r="DK45" s="450">
        <v>53.60984260829306</v>
      </c>
      <c r="DL45" s="450">
        <v>55.325357571758424</v>
      </c>
      <c r="DM45" s="450">
        <v>57.59369723220051</v>
      </c>
      <c r="DN45" s="450">
        <v>60.12781991041732</v>
      </c>
      <c r="DO45" s="450">
        <v>63.43485000549027</v>
      </c>
      <c r="DP45" s="450">
        <v>62.863936355440856</v>
      </c>
      <c r="DQ45" s="450">
        <v>66.06999710956833</v>
      </c>
      <c r="DR45" s="450">
        <v>38.69</v>
      </c>
      <c r="DS45" s="450">
        <v>40.48861338024517</v>
      </c>
      <c r="DT45" s="450">
        <v>42.347639789221134</v>
      </c>
      <c r="DU45" s="450">
        <v>44.74534195505815</v>
      </c>
      <c r="DV45" s="450">
        <v>47.3924126001335</v>
      </c>
      <c r="DW45" s="450">
        <v>49.97836776474121</v>
      </c>
      <c r="DX45" s="450">
        <v>53.14072412091658</v>
      </c>
      <c r="DY45" s="450">
        <v>55.99546086314584</v>
      </c>
      <c r="DZ45" s="450">
        <v>57.629994510186094</v>
      </c>
      <c r="EA45" s="450">
        <v>58.98513947680824</v>
      </c>
      <c r="EB45" s="450">
        <v>62.80870469401403</v>
      </c>
      <c r="EC45" s="450">
        <v>-0.75</v>
      </c>
      <c r="ED45" s="450">
        <v>62.05870469401403</v>
      </c>
      <c r="EE45" s="450">
        <v>3227.0526440887297</v>
      </c>
      <c r="EF45" s="443">
        <v>18486461.506400257</v>
      </c>
      <c r="EG45" s="450">
        <v>38.69</v>
      </c>
      <c r="EH45" s="450">
        <v>40.48861338024517</v>
      </c>
      <c r="EI45" s="450">
        <v>42.347639789221134</v>
      </c>
      <c r="EJ45" s="450">
        <v>44.74534195505815</v>
      </c>
      <c r="EK45" s="450">
        <v>47.3924126001335</v>
      </c>
      <c r="EL45" s="450">
        <v>49.97836776474121</v>
      </c>
      <c r="EM45" s="450">
        <v>53.14072412091658</v>
      </c>
      <c r="EN45" s="450">
        <v>55.99546086314584</v>
      </c>
      <c r="EO45" s="450">
        <v>57.629994510186094</v>
      </c>
      <c r="EP45" s="450">
        <v>58.98513947680824</v>
      </c>
      <c r="EQ45" s="450">
        <v>62.80870469401403</v>
      </c>
      <c r="ER45" s="443">
        <v>6027049</v>
      </c>
      <c r="ES45" s="443">
        <v>0</v>
      </c>
      <c r="ET45" s="443">
        <v>0</v>
      </c>
      <c r="EU45" s="443">
        <v>0</v>
      </c>
      <c r="EV45" s="443">
        <v>0</v>
      </c>
      <c r="EW45" s="443">
        <v>0</v>
      </c>
      <c r="EX45" s="443">
        <v>0</v>
      </c>
      <c r="EY45" s="443">
        <v>0</v>
      </c>
      <c r="EZ45" s="443">
        <v>0</v>
      </c>
      <c r="FA45" s="443">
        <v>6027049</v>
      </c>
      <c r="FB45" s="443">
        <v>42078.13210016919</v>
      </c>
      <c r="FC45" s="443">
        <v>0</v>
      </c>
      <c r="FD45" s="443">
        <v>0</v>
      </c>
      <c r="FE45" s="443">
        <v>21914</v>
      </c>
      <c r="FF45" s="452">
        <v>0.1188</v>
      </c>
      <c r="FG45" s="443">
        <v>2603.3832</v>
      </c>
      <c r="FH45" s="453">
        <v>2603.3832</v>
      </c>
    </row>
    <row r="46" spans="2:164" ht="12.75">
      <c r="B46" s="356" t="s">
        <v>735</v>
      </c>
      <c r="C46" s="442">
        <v>4601</v>
      </c>
      <c r="D46" s="443">
        <v>1102833</v>
      </c>
      <c r="E46" s="443">
        <v>946230.714</v>
      </c>
      <c r="F46" s="443">
        <v>167824.24347288103</v>
      </c>
      <c r="G46" s="443">
        <v>156602.28600000002</v>
      </c>
      <c r="H46" s="444">
        <v>0.5257748315583569</v>
      </c>
      <c r="I46" s="445">
        <v>2132.44</v>
      </c>
      <c r="J46" s="445">
        <v>286.65</v>
      </c>
      <c r="K46" s="443">
        <v>1114054.957472881</v>
      </c>
      <c r="L46" s="443">
        <v>891243.9659783049</v>
      </c>
      <c r="M46" s="443">
        <v>320516.5895035866</v>
      </c>
      <c r="N46" s="443">
        <v>222810.99149457616</v>
      </c>
      <c r="O46" s="446">
        <v>1.4385133666594219</v>
      </c>
      <c r="P46" s="447">
        <v>0.6626820256465986</v>
      </c>
      <c r="Q46" s="448">
        <v>0.33731797435340144</v>
      </c>
      <c r="R46" s="443">
        <v>1211760.5554818914</v>
      </c>
      <c r="S46" s="443">
        <v>819150.1355057586</v>
      </c>
      <c r="T46" s="443">
        <v>170579.07036539525</v>
      </c>
      <c r="U46" s="443">
        <v>275551.653300469</v>
      </c>
      <c r="V46" s="443">
        <v>276281.40664987126</v>
      </c>
      <c r="W46" s="446">
        <v>0.9973586592081924</v>
      </c>
      <c r="X46" s="448">
        <v>18.62215777019026</v>
      </c>
      <c r="Y46" s="443">
        <v>170579.07036539525</v>
      </c>
      <c r="Z46" s="443">
        <v>116329.01332626157</v>
      </c>
      <c r="AA46" s="444">
        <v>1.4663501863200845</v>
      </c>
      <c r="AB46" s="444">
        <v>0.1202999347967833</v>
      </c>
      <c r="AC46" s="445">
        <v>560</v>
      </c>
      <c r="AD46" s="445">
        <v>547</v>
      </c>
      <c r="AE46" s="443">
        <v>1265280.8591716227</v>
      </c>
      <c r="AF46" s="443">
        <v>0</v>
      </c>
      <c r="AG46" s="447">
        <v>0</v>
      </c>
      <c r="AH46" s="446">
        <v>0.13471593458784026</v>
      </c>
      <c r="AI46" s="448">
        <v>0.11344562470912933</v>
      </c>
      <c r="AJ46" s="443">
        <v>1265280.8591716227</v>
      </c>
      <c r="AK46" s="449">
        <v>1.0162713835684478</v>
      </c>
      <c r="AL46" s="443">
        <v>1285868.7293530193</v>
      </c>
      <c r="AM46" s="443">
        <v>2865899.933579874</v>
      </c>
      <c r="AN46" s="443">
        <v>2830900.574154281</v>
      </c>
      <c r="AO46" s="443">
        <v>2807628.055192904</v>
      </c>
      <c r="AP46" s="443">
        <v>2830900.574154281</v>
      </c>
      <c r="AQ46" s="443">
        <v>18404</v>
      </c>
      <c r="AR46" s="443">
        <v>2849304.574154281</v>
      </c>
      <c r="AS46" s="450">
        <v>619.2794119005175</v>
      </c>
      <c r="AT46" s="446">
        <v>4582</v>
      </c>
      <c r="AU46" s="446">
        <v>191</v>
      </c>
      <c r="AV46" s="446">
        <v>246</v>
      </c>
      <c r="AW46" s="446">
        <v>308</v>
      </c>
      <c r="AX46" s="446">
        <v>86</v>
      </c>
      <c r="AY46" s="446">
        <v>308</v>
      </c>
      <c r="AZ46" s="446">
        <v>102</v>
      </c>
      <c r="BA46" s="446">
        <v>195</v>
      </c>
      <c r="BB46" s="446">
        <v>548</v>
      </c>
      <c r="BC46" s="446">
        <v>57</v>
      </c>
      <c r="BD46" s="446">
        <v>787</v>
      </c>
      <c r="BE46" s="446">
        <v>1533</v>
      </c>
      <c r="BF46" s="446">
        <v>0</v>
      </c>
      <c r="BG46" s="446">
        <v>221</v>
      </c>
      <c r="BH46" s="446">
        <v>0</v>
      </c>
      <c r="BI46" s="446">
        <v>0</v>
      </c>
      <c r="BJ46" s="448">
        <v>1.7826411629733498</v>
      </c>
      <c r="BK46" s="448">
        <v>18.190799773620288</v>
      </c>
      <c r="BL46" s="448">
        <v>9.946710085524316</v>
      </c>
      <c r="BM46" s="448">
        <v>16.488179376191944</v>
      </c>
      <c r="BN46" s="445">
        <v>3049</v>
      </c>
      <c r="BO46" s="445">
        <v>1533</v>
      </c>
      <c r="BP46" s="443">
        <v>1639600.2534152053</v>
      </c>
      <c r="BQ46" s="443">
        <v>5310263</v>
      </c>
      <c r="BR46" s="443">
        <v>6202952</v>
      </c>
      <c r="BS46" s="444">
        <v>0.12079877782627674</v>
      </c>
      <c r="BT46" s="445">
        <v>560</v>
      </c>
      <c r="BU46" s="445">
        <v>547</v>
      </c>
      <c r="BV46" s="443">
        <v>749309.0205150589</v>
      </c>
      <c r="BW46" s="444">
        <v>0.012703681623154063</v>
      </c>
      <c r="BX46" s="443">
        <v>13644.314807453984</v>
      </c>
      <c r="BY46" s="443">
        <v>7712816.588737719</v>
      </c>
      <c r="BZ46" s="451">
        <v>1.0133333333333334</v>
      </c>
      <c r="CA46" s="443">
        <v>7815654.143254222</v>
      </c>
      <c r="CB46" s="443">
        <v>5719009.563355152</v>
      </c>
      <c r="CC46" s="443">
        <v>5719009.563355152</v>
      </c>
      <c r="CD46" s="443">
        <v>5427985.546837047</v>
      </c>
      <c r="CE46" s="443">
        <v>5678365.436788819</v>
      </c>
      <c r="CF46" s="450">
        <v>1239.276612131999</v>
      </c>
      <c r="CG46" s="446">
        <v>4582</v>
      </c>
      <c r="CH46" s="446">
        <v>191</v>
      </c>
      <c r="CI46" s="446">
        <v>246</v>
      </c>
      <c r="CJ46" s="446">
        <v>308</v>
      </c>
      <c r="CK46" s="446">
        <v>86</v>
      </c>
      <c r="CL46" s="446">
        <v>308</v>
      </c>
      <c r="CM46" s="446">
        <v>102</v>
      </c>
      <c r="CN46" s="446">
        <v>195</v>
      </c>
      <c r="CO46" s="446">
        <v>548</v>
      </c>
      <c r="CP46" s="446">
        <v>57</v>
      </c>
      <c r="CQ46" s="446">
        <v>787</v>
      </c>
      <c r="CR46" s="446">
        <v>1533</v>
      </c>
      <c r="CS46" s="446">
        <v>0</v>
      </c>
      <c r="CT46" s="446">
        <v>221</v>
      </c>
      <c r="CU46" s="446">
        <v>0</v>
      </c>
      <c r="CV46" s="446">
        <v>0</v>
      </c>
      <c r="CW46" s="443">
        <v>3256787.693417298</v>
      </c>
      <c r="CX46" s="448">
        <v>0.9892804378995232</v>
      </c>
      <c r="CY46" s="448">
        <v>1.0133333333333334</v>
      </c>
      <c r="CZ46" s="443">
        <v>3221876.355489643</v>
      </c>
      <c r="DA46" s="450">
        <v>703.1593966585864</v>
      </c>
      <c r="DB46" s="445">
        <v>4601</v>
      </c>
      <c r="DC46" s="448">
        <v>1.005890023907846</v>
      </c>
      <c r="DD46" s="450">
        <v>308</v>
      </c>
      <c r="DE46" s="443">
        <v>37141</v>
      </c>
      <c r="DF46" s="450">
        <v>49.671172075994434</v>
      </c>
      <c r="DG46" s="450">
        <v>51.80703247526219</v>
      </c>
      <c r="DH46" s="450">
        <v>52.946787189717945</v>
      </c>
      <c r="DI46" s="450">
        <v>54.11161650789173</v>
      </c>
      <c r="DJ46" s="450">
        <v>55.897299852652154</v>
      </c>
      <c r="DK46" s="450">
        <v>57.90960264734762</v>
      </c>
      <c r="DL46" s="450">
        <v>59.762709932062734</v>
      </c>
      <c r="DM46" s="450">
        <v>62.2129810392773</v>
      </c>
      <c r="DN46" s="450">
        <v>64.95035220500549</v>
      </c>
      <c r="DO46" s="450">
        <v>68.52262157628078</v>
      </c>
      <c r="DP46" s="450">
        <v>67.90591798209425</v>
      </c>
      <c r="DQ46" s="450">
        <v>71.36911979918105</v>
      </c>
      <c r="DR46" s="450">
        <v>41.43</v>
      </c>
      <c r="DS46" s="450">
        <v>43.40199271897178</v>
      </c>
      <c r="DT46" s="450">
        <v>45.44070099757833</v>
      </c>
      <c r="DU46" s="450">
        <v>48.059876095767635</v>
      </c>
      <c r="DV46" s="450">
        <v>50.949970351234164</v>
      </c>
      <c r="DW46" s="450">
        <v>53.777426157405166</v>
      </c>
      <c r="DX46" s="450">
        <v>57.22843671174248</v>
      </c>
      <c r="DY46" s="450">
        <v>60.32469506905318</v>
      </c>
      <c r="DZ46" s="450">
        <v>62.0978256359391</v>
      </c>
      <c r="EA46" s="450">
        <v>63.61287770582757</v>
      </c>
      <c r="EB46" s="450">
        <v>67.75953153489603</v>
      </c>
      <c r="EC46" s="450">
        <v>0</v>
      </c>
      <c r="ED46" s="450">
        <v>67.75953153489603</v>
      </c>
      <c r="EE46" s="450">
        <v>3523.4956398145932</v>
      </c>
      <c r="EF46" s="443">
        <v>15887371.370011205</v>
      </c>
      <c r="EG46" s="450">
        <v>50.62</v>
      </c>
      <c r="EH46" s="450">
        <v>51.85495471897178</v>
      </c>
      <c r="EI46" s="450">
        <v>53.11974736557833</v>
      </c>
      <c r="EJ46" s="450">
        <v>55.000774131643624</v>
      </c>
      <c r="EK46" s="450">
        <v>57.11348780709204</v>
      </c>
      <c r="EL46" s="450">
        <v>59.078051169442936</v>
      </c>
      <c r="EM46" s="450">
        <v>61.64279722176753</v>
      </c>
      <c r="EN46" s="450">
        <v>64.42122162235641</v>
      </c>
      <c r="EO46" s="450">
        <v>66.00454645893929</v>
      </c>
      <c r="EP46" s="450">
        <v>66.22334346956629</v>
      </c>
      <c r="EQ46" s="450">
        <v>69.95441114904753</v>
      </c>
      <c r="ER46" s="443">
        <v>-5993153</v>
      </c>
      <c r="ES46" s="443">
        <v>0</v>
      </c>
      <c r="ET46" s="443">
        <v>0</v>
      </c>
      <c r="EU46" s="443">
        <v>0</v>
      </c>
      <c r="EV46" s="443">
        <v>0</v>
      </c>
      <c r="EW46" s="443">
        <v>0</v>
      </c>
      <c r="EX46" s="443">
        <v>0</v>
      </c>
      <c r="EY46" s="443">
        <v>0</v>
      </c>
      <c r="EZ46" s="443">
        <v>31440000</v>
      </c>
      <c r="FA46" s="443">
        <v>25446847</v>
      </c>
      <c r="FB46" s="443">
        <v>51267.51417112702</v>
      </c>
      <c r="FC46" s="443">
        <v>0</v>
      </c>
      <c r="FD46" s="443">
        <v>0</v>
      </c>
      <c r="FE46" s="443">
        <v>153966</v>
      </c>
      <c r="FF46" s="452">
        <v>0.0313</v>
      </c>
      <c r="FG46" s="443">
        <v>4819.1358</v>
      </c>
      <c r="FH46" s="453">
        <v>4819.1358</v>
      </c>
    </row>
    <row r="47" spans="2:164" ht="12.75">
      <c r="B47" s="356" t="s">
        <v>736</v>
      </c>
      <c r="C47" s="442">
        <v>5667</v>
      </c>
      <c r="D47" s="443">
        <v>1351211</v>
      </c>
      <c r="E47" s="443">
        <v>1159339.038</v>
      </c>
      <c r="F47" s="443">
        <v>148131.70709538355</v>
      </c>
      <c r="G47" s="443">
        <v>191871.96200000003</v>
      </c>
      <c r="H47" s="444">
        <v>0.3787736015528499</v>
      </c>
      <c r="I47" s="445">
        <v>1650.95</v>
      </c>
      <c r="J47" s="445">
        <v>495.56</v>
      </c>
      <c r="K47" s="443">
        <v>1307470.7450953834</v>
      </c>
      <c r="L47" s="443">
        <v>1045976.5960763068</v>
      </c>
      <c r="M47" s="443">
        <v>295326.42536648916</v>
      </c>
      <c r="N47" s="443">
        <v>261494.1490190766</v>
      </c>
      <c r="O47" s="446">
        <v>1.1293806246691371</v>
      </c>
      <c r="P47" s="447">
        <v>0.9004764425622023</v>
      </c>
      <c r="Q47" s="448">
        <v>0.09952355743779778</v>
      </c>
      <c r="R47" s="443">
        <v>1341303.0214427959</v>
      </c>
      <c r="S47" s="443">
        <v>906720.84249533</v>
      </c>
      <c r="T47" s="443">
        <v>127401.65265797141</v>
      </c>
      <c r="U47" s="443">
        <v>289710.3549784217</v>
      </c>
      <c r="V47" s="443">
        <v>305817.08888895746</v>
      </c>
      <c r="W47" s="446">
        <v>0.9473321325206123</v>
      </c>
      <c r="X47" s="448">
        <v>17.68808870278942</v>
      </c>
      <c r="Y47" s="443">
        <v>127401.65265797141</v>
      </c>
      <c r="Z47" s="443">
        <v>128765.0900585084</v>
      </c>
      <c r="AA47" s="444">
        <v>0.9894114359729219</v>
      </c>
      <c r="AB47" s="444">
        <v>0.08117169578260103</v>
      </c>
      <c r="AC47" s="445">
        <v>470</v>
      </c>
      <c r="AD47" s="445">
        <v>450</v>
      </c>
      <c r="AE47" s="443">
        <v>1323832.8501317233</v>
      </c>
      <c r="AF47" s="443">
        <v>0</v>
      </c>
      <c r="AG47" s="447">
        <v>0</v>
      </c>
      <c r="AH47" s="446">
        <v>0.1552511459182722</v>
      </c>
      <c r="AI47" s="448">
        <v>0.13073852985091736</v>
      </c>
      <c r="AJ47" s="443">
        <v>1323832.8501317233</v>
      </c>
      <c r="AK47" s="449">
        <v>1.0079622379959163</v>
      </c>
      <c r="AL47" s="443">
        <v>1334373.5223512843</v>
      </c>
      <c r="AM47" s="443">
        <v>2974005.7455175947</v>
      </c>
      <c r="AN47" s="443">
        <v>2937686.160593661</v>
      </c>
      <c r="AO47" s="443">
        <v>2953535.9520260813</v>
      </c>
      <c r="AP47" s="443">
        <v>2953535.9520260813</v>
      </c>
      <c r="AQ47" s="443">
        <v>22668</v>
      </c>
      <c r="AR47" s="443">
        <v>2976203.9520260813</v>
      </c>
      <c r="AS47" s="450">
        <v>525.1815690887738</v>
      </c>
      <c r="AT47" s="446">
        <v>5667</v>
      </c>
      <c r="AU47" s="446">
        <v>128</v>
      </c>
      <c r="AV47" s="446">
        <v>456</v>
      </c>
      <c r="AW47" s="446">
        <v>77</v>
      </c>
      <c r="AX47" s="446">
        <v>130</v>
      </c>
      <c r="AY47" s="446">
        <v>794</v>
      </c>
      <c r="AZ47" s="446">
        <v>403</v>
      </c>
      <c r="BA47" s="446">
        <v>186</v>
      </c>
      <c r="BB47" s="446">
        <v>975</v>
      </c>
      <c r="BC47" s="446">
        <v>70</v>
      </c>
      <c r="BD47" s="446">
        <v>1221</v>
      </c>
      <c r="BE47" s="446">
        <v>413</v>
      </c>
      <c r="BF47" s="446">
        <v>151</v>
      </c>
      <c r="BG47" s="446">
        <v>641</v>
      </c>
      <c r="BH47" s="446">
        <v>0</v>
      </c>
      <c r="BI47" s="446">
        <v>22</v>
      </c>
      <c r="BJ47" s="448">
        <v>1.6750380850473419</v>
      </c>
      <c r="BK47" s="448">
        <v>22.853729673554255</v>
      </c>
      <c r="BL47" s="448">
        <v>17.442321236867446</v>
      </c>
      <c r="BM47" s="448">
        <v>10.822816873373617</v>
      </c>
      <c r="BN47" s="445">
        <v>5103</v>
      </c>
      <c r="BO47" s="445">
        <v>564</v>
      </c>
      <c r="BP47" s="443">
        <v>1926196.6455955105</v>
      </c>
      <c r="BQ47" s="443">
        <v>5964051</v>
      </c>
      <c r="BR47" s="443">
        <v>7946403</v>
      </c>
      <c r="BS47" s="444">
        <v>0.08117169578260103</v>
      </c>
      <c r="BT47" s="445">
        <v>470</v>
      </c>
      <c r="BU47" s="445">
        <v>450</v>
      </c>
      <c r="BV47" s="443">
        <v>645023.0068819482</v>
      </c>
      <c r="BW47" s="444">
        <v>0.015908512864872396</v>
      </c>
      <c r="BX47" s="443">
        <v>26549.425858544528</v>
      </c>
      <c r="BY47" s="443">
        <v>8561820.078336004</v>
      </c>
      <c r="BZ47" s="451">
        <v>0.91</v>
      </c>
      <c r="CA47" s="443">
        <v>7791256.271285764</v>
      </c>
      <c r="CB47" s="443">
        <v>5701156.718211848</v>
      </c>
      <c r="CC47" s="443">
        <v>5701156.718211848</v>
      </c>
      <c r="CD47" s="443">
        <v>5581759.270741248</v>
      </c>
      <c r="CE47" s="443">
        <v>5660639.469086361</v>
      </c>
      <c r="CF47" s="450">
        <v>998.8776193905702</v>
      </c>
      <c r="CG47" s="446">
        <v>5667</v>
      </c>
      <c r="CH47" s="446">
        <v>128</v>
      </c>
      <c r="CI47" s="446">
        <v>456</v>
      </c>
      <c r="CJ47" s="446">
        <v>77</v>
      </c>
      <c r="CK47" s="446">
        <v>130</v>
      </c>
      <c r="CL47" s="446">
        <v>794</v>
      </c>
      <c r="CM47" s="446">
        <v>403</v>
      </c>
      <c r="CN47" s="446">
        <v>186</v>
      </c>
      <c r="CO47" s="446">
        <v>975</v>
      </c>
      <c r="CP47" s="446">
        <v>70</v>
      </c>
      <c r="CQ47" s="446">
        <v>1221</v>
      </c>
      <c r="CR47" s="446">
        <v>413</v>
      </c>
      <c r="CS47" s="446">
        <v>151</v>
      </c>
      <c r="CT47" s="446">
        <v>641</v>
      </c>
      <c r="CU47" s="446">
        <v>0</v>
      </c>
      <c r="CV47" s="446">
        <v>22</v>
      </c>
      <c r="CW47" s="443">
        <v>3988045.2623089873</v>
      </c>
      <c r="CX47" s="448">
        <v>0.888399866929506</v>
      </c>
      <c r="CY47" s="448">
        <v>0.91</v>
      </c>
      <c r="CZ47" s="443">
        <v>3542978.880344151</v>
      </c>
      <c r="DA47" s="450">
        <v>625.1947909553822</v>
      </c>
      <c r="DB47" s="445">
        <v>5667</v>
      </c>
      <c r="DC47" s="448">
        <v>1.028498323628022</v>
      </c>
      <c r="DD47" s="450">
        <v>322</v>
      </c>
      <c r="DE47" s="443">
        <v>33265</v>
      </c>
      <c r="DF47" s="450">
        <v>50.97598565146591</v>
      </c>
      <c r="DG47" s="450">
        <v>53.16795303447894</v>
      </c>
      <c r="DH47" s="450">
        <v>54.33764800123747</v>
      </c>
      <c r="DI47" s="450">
        <v>55.53307625726468</v>
      </c>
      <c r="DJ47" s="450">
        <v>57.36566777375441</v>
      </c>
      <c r="DK47" s="450">
        <v>59.43083181360956</v>
      </c>
      <c r="DL47" s="450">
        <v>61.33261843164505</v>
      </c>
      <c r="DM47" s="450">
        <v>63.8472557873425</v>
      </c>
      <c r="DN47" s="450">
        <v>66.65653504198555</v>
      </c>
      <c r="DO47" s="450">
        <v>70.32264446929474</v>
      </c>
      <c r="DP47" s="450">
        <v>69.68974066907109</v>
      </c>
      <c r="DQ47" s="450">
        <v>73.24391744319371</v>
      </c>
      <c r="DR47" s="450">
        <v>34.88</v>
      </c>
      <c r="DS47" s="450">
        <v>37.51638880012375</v>
      </c>
      <c r="DT47" s="450">
        <v>40.251896787452935</v>
      </c>
      <c r="DU47" s="450">
        <v>43.55339168047832</v>
      </c>
      <c r="DV47" s="450">
        <v>47.165530642780396</v>
      </c>
      <c r="DW47" s="450">
        <v>50.78445942473198</v>
      </c>
      <c r="DX47" s="450">
        <v>55.062748966385286</v>
      </c>
      <c r="DY47" s="450">
        <v>58.50451271213726</v>
      </c>
      <c r="DZ47" s="450">
        <v>60.481979921094556</v>
      </c>
      <c r="EA47" s="450">
        <v>63.11422143967649</v>
      </c>
      <c r="EB47" s="450">
        <v>67.71522087511873</v>
      </c>
      <c r="EC47" s="450">
        <v>-4.89</v>
      </c>
      <c r="ED47" s="450">
        <v>62.82522087511873</v>
      </c>
      <c r="EE47" s="450">
        <v>3266.911485506174</v>
      </c>
      <c r="EF47" s="443">
        <v>18143315.64059622</v>
      </c>
      <c r="EG47" s="450">
        <v>36</v>
      </c>
      <c r="EH47" s="450">
        <v>38.54656480012374</v>
      </c>
      <c r="EI47" s="450">
        <v>41.187754451452925</v>
      </c>
      <c r="EJ47" s="450">
        <v>44.39929002652631</v>
      </c>
      <c r="EK47" s="450">
        <v>47.91668837407101</v>
      </c>
      <c r="EL47" s="450">
        <v>51.4304550736419</v>
      </c>
      <c r="EM47" s="450">
        <v>55.60073414279747</v>
      </c>
      <c r="EN47" s="450">
        <v>59.00376295584777</v>
      </c>
      <c r="EO47" s="450">
        <v>60.958098236846475</v>
      </c>
      <c r="EP47" s="450">
        <v>63.43236307791233</v>
      </c>
      <c r="EQ47" s="450">
        <v>67.98271436454743</v>
      </c>
      <c r="ER47" s="443">
        <v>15840110</v>
      </c>
      <c r="ES47" s="443">
        <v>275000</v>
      </c>
      <c r="ET47" s="443">
        <v>0</v>
      </c>
      <c r="EU47" s="443">
        <v>0</v>
      </c>
      <c r="EV47" s="443">
        <v>0</v>
      </c>
      <c r="EW47" s="443">
        <v>0</v>
      </c>
      <c r="EX47" s="443">
        <v>0</v>
      </c>
      <c r="EY47" s="443">
        <v>0</v>
      </c>
      <c r="EZ47" s="443">
        <v>0</v>
      </c>
      <c r="FA47" s="443">
        <v>15977610</v>
      </c>
      <c r="FB47" s="443">
        <v>46786.70357188956</v>
      </c>
      <c r="FC47" s="443">
        <v>0</v>
      </c>
      <c r="FD47" s="443">
        <v>0</v>
      </c>
      <c r="FE47" s="443">
        <v>17190</v>
      </c>
      <c r="FF47" s="452">
        <v>0.0689</v>
      </c>
      <c r="FG47" s="443">
        <v>1184.391</v>
      </c>
      <c r="FH47" s="453">
        <v>1184.391</v>
      </c>
    </row>
    <row r="48" spans="2:164" ht="12.75">
      <c r="B48" s="356" t="s">
        <v>737</v>
      </c>
      <c r="C48" s="442">
        <v>9737</v>
      </c>
      <c r="D48" s="443">
        <v>2299521</v>
      </c>
      <c r="E48" s="443">
        <v>1972989.018</v>
      </c>
      <c r="F48" s="443">
        <v>258314.7431258735</v>
      </c>
      <c r="G48" s="443">
        <v>326531.982</v>
      </c>
      <c r="H48" s="444">
        <v>0.3881205710177673</v>
      </c>
      <c r="I48" s="445">
        <v>2943.23</v>
      </c>
      <c r="J48" s="445">
        <v>835.9</v>
      </c>
      <c r="K48" s="443">
        <v>2231303.7611258733</v>
      </c>
      <c r="L48" s="443">
        <v>1785043.0089006987</v>
      </c>
      <c r="M48" s="443">
        <v>558570.7012164234</v>
      </c>
      <c r="N48" s="443">
        <v>446260.75222517457</v>
      </c>
      <c r="O48" s="446">
        <v>1.2516688918558077</v>
      </c>
      <c r="P48" s="447">
        <v>0.8064085447263017</v>
      </c>
      <c r="Q48" s="448">
        <v>0.19359145527369825</v>
      </c>
      <c r="R48" s="443">
        <v>2343613.710117122</v>
      </c>
      <c r="S48" s="443">
        <v>1584282.8680391747</v>
      </c>
      <c r="T48" s="443">
        <v>275309.4797938292</v>
      </c>
      <c r="U48" s="443">
        <v>602390.6492726872</v>
      </c>
      <c r="V48" s="443">
        <v>534343.9259067039</v>
      </c>
      <c r="W48" s="446">
        <v>1.1273463027590664</v>
      </c>
      <c r="X48" s="448">
        <v>21.049218872062475</v>
      </c>
      <c r="Y48" s="443">
        <v>275309.4797938292</v>
      </c>
      <c r="Z48" s="443">
        <v>224986.91617124373</v>
      </c>
      <c r="AA48" s="444">
        <v>1.2236688447442143</v>
      </c>
      <c r="AB48" s="444">
        <v>0.10039026394166581</v>
      </c>
      <c r="AC48" s="445">
        <v>965</v>
      </c>
      <c r="AD48" s="445">
        <v>990</v>
      </c>
      <c r="AE48" s="443">
        <v>2461982.997105691</v>
      </c>
      <c r="AF48" s="443">
        <v>165748.497924134</v>
      </c>
      <c r="AG48" s="447">
        <v>0.5</v>
      </c>
      <c r="AH48" s="446">
        <v>0.3339226840389404</v>
      </c>
      <c r="AI48" s="448">
        <v>0.2811996042728424</v>
      </c>
      <c r="AJ48" s="443">
        <v>2627731.4950298253</v>
      </c>
      <c r="AK48" s="449">
        <v>1</v>
      </c>
      <c r="AL48" s="443">
        <v>2627731.4950298253</v>
      </c>
      <c r="AM48" s="443">
        <v>5856597.446662246</v>
      </c>
      <c r="AN48" s="443">
        <v>5785074.656684474</v>
      </c>
      <c r="AO48" s="443">
        <v>5853882.3645285815</v>
      </c>
      <c r="AP48" s="443">
        <v>5853882.3645285815</v>
      </c>
      <c r="AQ48" s="443">
        <v>38948</v>
      </c>
      <c r="AR48" s="443">
        <v>5892830.3645285815</v>
      </c>
      <c r="AS48" s="450">
        <v>605.199790954974</v>
      </c>
      <c r="AT48" s="446">
        <v>9737</v>
      </c>
      <c r="AU48" s="446">
        <v>229</v>
      </c>
      <c r="AV48" s="446">
        <v>1552</v>
      </c>
      <c r="AW48" s="446">
        <v>525</v>
      </c>
      <c r="AX48" s="446">
        <v>31</v>
      </c>
      <c r="AY48" s="446">
        <v>1487</v>
      </c>
      <c r="AZ48" s="446">
        <v>82</v>
      </c>
      <c r="BA48" s="446">
        <v>212</v>
      </c>
      <c r="BB48" s="446">
        <v>922</v>
      </c>
      <c r="BC48" s="446">
        <v>0</v>
      </c>
      <c r="BD48" s="446">
        <v>1422</v>
      </c>
      <c r="BE48" s="446">
        <v>1885</v>
      </c>
      <c r="BF48" s="446">
        <v>0</v>
      </c>
      <c r="BG48" s="446">
        <v>1390</v>
      </c>
      <c r="BH48" s="446">
        <v>0</v>
      </c>
      <c r="BI48" s="446">
        <v>0</v>
      </c>
      <c r="BJ48" s="448">
        <v>1.5588293829784954</v>
      </c>
      <c r="BK48" s="448">
        <v>15.996339402839295</v>
      </c>
      <c r="BL48" s="448">
        <v>10.894055262746656</v>
      </c>
      <c r="BM48" s="448">
        <v>10.204568280185278</v>
      </c>
      <c r="BN48" s="445">
        <v>7852</v>
      </c>
      <c r="BO48" s="445">
        <v>1885</v>
      </c>
      <c r="BP48" s="443">
        <v>3360058.2938395296</v>
      </c>
      <c r="BQ48" s="443">
        <v>10652252</v>
      </c>
      <c r="BR48" s="443">
        <v>13480957</v>
      </c>
      <c r="BS48" s="444">
        <v>0.10039026394166581</v>
      </c>
      <c r="BT48" s="445">
        <v>965</v>
      </c>
      <c r="BU48" s="445">
        <v>990</v>
      </c>
      <c r="BV48" s="443">
        <v>1353356.8314162472</v>
      </c>
      <c r="BW48" s="444">
        <v>0.012160749921787962</v>
      </c>
      <c r="BX48" s="443">
        <v>24407.392736750247</v>
      </c>
      <c r="BY48" s="443">
        <v>15390074.517992526</v>
      </c>
      <c r="BZ48" s="451">
        <v>0.92</v>
      </c>
      <c r="CA48" s="443">
        <v>14158868.556553125</v>
      </c>
      <c r="CB48" s="443">
        <v>10360579.31902041</v>
      </c>
      <c r="CC48" s="443">
        <v>10360579.31902041</v>
      </c>
      <c r="CD48" s="443">
        <v>10428147.301763633</v>
      </c>
      <c r="CE48" s="443">
        <v>10428147.301763633</v>
      </c>
      <c r="CF48" s="450">
        <v>1070.9815448047277</v>
      </c>
      <c r="CG48" s="446">
        <v>9737</v>
      </c>
      <c r="CH48" s="446">
        <v>229</v>
      </c>
      <c r="CI48" s="446">
        <v>1552</v>
      </c>
      <c r="CJ48" s="446">
        <v>525</v>
      </c>
      <c r="CK48" s="446">
        <v>31</v>
      </c>
      <c r="CL48" s="446">
        <v>1487</v>
      </c>
      <c r="CM48" s="446">
        <v>82</v>
      </c>
      <c r="CN48" s="446">
        <v>212</v>
      </c>
      <c r="CO48" s="446">
        <v>922</v>
      </c>
      <c r="CP48" s="446">
        <v>0</v>
      </c>
      <c r="CQ48" s="446">
        <v>1422</v>
      </c>
      <c r="CR48" s="446">
        <v>1885</v>
      </c>
      <c r="CS48" s="446">
        <v>0</v>
      </c>
      <c r="CT48" s="446">
        <v>1390</v>
      </c>
      <c r="CU48" s="446">
        <v>0</v>
      </c>
      <c r="CV48" s="446">
        <v>0</v>
      </c>
      <c r="CW48" s="443">
        <v>6625163.562610651</v>
      </c>
      <c r="CX48" s="448">
        <v>0.8981625028298302</v>
      </c>
      <c r="CY48" s="448">
        <v>0.92</v>
      </c>
      <c r="CZ48" s="443">
        <v>5950473.487051377</v>
      </c>
      <c r="DA48" s="450">
        <v>611.1197994301507</v>
      </c>
      <c r="DB48" s="445">
        <v>9737</v>
      </c>
      <c r="DC48" s="448">
        <v>1.0014788949368387</v>
      </c>
      <c r="DD48" s="450">
        <v>321.1</v>
      </c>
      <c r="DE48" s="443">
        <v>31432</v>
      </c>
      <c r="DF48" s="450">
        <v>49.211993668449516</v>
      </c>
      <c r="DG48" s="450">
        <v>51.32810939619284</v>
      </c>
      <c r="DH48" s="450">
        <v>52.45732780290908</v>
      </c>
      <c r="DI48" s="450">
        <v>53.611389014573064</v>
      </c>
      <c r="DJ48" s="450">
        <v>55.38056485205397</v>
      </c>
      <c r="DK48" s="450">
        <v>57.374265186727904</v>
      </c>
      <c r="DL48" s="450">
        <v>59.210241672703184</v>
      </c>
      <c r="DM48" s="450">
        <v>61.63786158128401</v>
      </c>
      <c r="DN48" s="450">
        <v>64.3499274908605</v>
      </c>
      <c r="DO48" s="450">
        <v>67.88917350285782</v>
      </c>
      <c r="DP48" s="450">
        <v>67.27817094133209</v>
      </c>
      <c r="DQ48" s="450">
        <v>70.70935765934003</v>
      </c>
      <c r="DR48" s="450">
        <v>36.59</v>
      </c>
      <c r="DS48" s="450">
        <v>38.90121478029091</v>
      </c>
      <c r="DT48" s="450">
        <v>41.296413450914606</v>
      </c>
      <c r="DU48" s="450">
        <v>44.24936631445218</v>
      </c>
      <c r="DV48" s="450">
        <v>47.48976088533752</v>
      </c>
      <c r="DW48" s="450">
        <v>50.709567973507454</v>
      </c>
      <c r="DX48" s="450">
        <v>54.5585005245938</v>
      </c>
      <c r="DY48" s="450">
        <v>57.780280430251985</v>
      </c>
      <c r="DZ48" s="450">
        <v>59.629072337174165</v>
      </c>
      <c r="EA48" s="450">
        <v>61.758782104769075</v>
      </c>
      <c r="EB48" s="450">
        <v>66.06865552555784</v>
      </c>
      <c r="EC48" s="450">
        <v>-3.59</v>
      </c>
      <c r="ED48" s="450">
        <v>62.47865552555784</v>
      </c>
      <c r="EE48" s="450">
        <v>3248.8900873290077</v>
      </c>
      <c r="EF48" s="443">
        <v>31001753.924716096</v>
      </c>
      <c r="EG48" s="450">
        <v>38.34</v>
      </c>
      <c r="EH48" s="450">
        <v>40.5108647802909</v>
      </c>
      <c r="EI48" s="450">
        <v>42.7586910509146</v>
      </c>
      <c r="EJ48" s="450">
        <v>45.57108248015218</v>
      </c>
      <c r="EK48" s="450">
        <v>48.663444840479116</v>
      </c>
      <c r="EL48" s="450">
        <v>51.718936174929226</v>
      </c>
      <c r="EM48" s="450">
        <v>55.39910236273786</v>
      </c>
      <c r="EN48" s="450">
        <v>58.56035893604967</v>
      </c>
      <c r="EO48" s="450">
        <v>60.37300720553655</v>
      </c>
      <c r="EP48" s="450">
        <v>62.25587841451258</v>
      </c>
      <c r="EQ48" s="450">
        <v>66.48661410279018</v>
      </c>
      <c r="ER48" s="443">
        <v>37992454</v>
      </c>
      <c r="ES48" s="443">
        <v>900000</v>
      </c>
      <c r="ET48" s="443">
        <v>0</v>
      </c>
      <c r="EU48" s="443">
        <v>0</v>
      </c>
      <c r="EV48" s="443">
        <v>0</v>
      </c>
      <c r="EW48" s="443">
        <v>0</v>
      </c>
      <c r="EX48" s="443">
        <v>0</v>
      </c>
      <c r="EY48" s="443">
        <v>0</v>
      </c>
      <c r="EZ48" s="443">
        <v>0</v>
      </c>
      <c r="FA48" s="443">
        <v>38442454</v>
      </c>
      <c r="FB48" s="443">
        <v>57416.99100744705</v>
      </c>
      <c r="FC48" s="443">
        <v>0</v>
      </c>
      <c r="FD48" s="443">
        <v>0</v>
      </c>
      <c r="FE48" s="443">
        <v>16374</v>
      </c>
      <c r="FF48" s="452">
        <v>0.07980000000000001</v>
      </c>
      <c r="FG48" s="443">
        <v>1306.6452000000002</v>
      </c>
      <c r="FH48" s="453">
        <v>1306.6452000000002</v>
      </c>
    </row>
    <row r="49" spans="2:164" ht="12.75">
      <c r="B49" s="356" t="s">
        <v>426</v>
      </c>
      <c r="C49" s="442">
        <v>1887</v>
      </c>
      <c r="D49" s="443">
        <v>470471</v>
      </c>
      <c r="E49" s="443">
        <v>403664.118</v>
      </c>
      <c r="F49" s="443">
        <v>119709.58787964747</v>
      </c>
      <c r="G49" s="443">
        <v>66806.88200000001</v>
      </c>
      <c r="H49" s="444">
        <v>0.8791255961844198</v>
      </c>
      <c r="I49" s="445">
        <v>1655.4</v>
      </c>
      <c r="J49" s="445">
        <v>3.51</v>
      </c>
      <c r="K49" s="443">
        <v>523373.7058796475</v>
      </c>
      <c r="L49" s="443">
        <v>418698.964703718</v>
      </c>
      <c r="M49" s="443">
        <v>238155.83799184844</v>
      </c>
      <c r="N49" s="443">
        <v>104674.74117592948</v>
      </c>
      <c r="O49" s="446">
        <v>2.2751987281399044</v>
      </c>
      <c r="P49" s="447">
        <v>0.019077901430842606</v>
      </c>
      <c r="Q49" s="448">
        <v>0.9809220985691574</v>
      </c>
      <c r="R49" s="443">
        <v>656854.8026955664</v>
      </c>
      <c r="S49" s="443">
        <v>444033.84662220295</v>
      </c>
      <c r="T49" s="443">
        <v>50304.63206867929</v>
      </c>
      <c r="U49" s="443">
        <v>259169.11017826913</v>
      </c>
      <c r="V49" s="443">
        <v>149762.89501458916</v>
      </c>
      <c r="W49" s="446">
        <v>1.730529515692269</v>
      </c>
      <c r="X49" s="448">
        <v>32.31153945439938</v>
      </c>
      <c r="Y49" s="443">
        <v>50304.63206867929</v>
      </c>
      <c r="Z49" s="443">
        <v>63058.06105877438</v>
      </c>
      <c r="AA49" s="444">
        <v>0.7977510127022772</v>
      </c>
      <c r="AB49" s="444">
        <v>0.06544780074191839</v>
      </c>
      <c r="AC49" s="445">
        <v>124</v>
      </c>
      <c r="AD49" s="445">
        <v>123</v>
      </c>
      <c r="AE49" s="443">
        <v>753507.5888691514</v>
      </c>
      <c r="AF49" s="443">
        <v>0</v>
      </c>
      <c r="AG49" s="447">
        <v>0</v>
      </c>
      <c r="AH49" s="446">
        <v>0.04339404675451896</v>
      </c>
      <c r="AI49" s="448">
        <v>0.036542557179927826</v>
      </c>
      <c r="AJ49" s="443">
        <v>753507.5888691514</v>
      </c>
      <c r="AK49" s="449">
        <v>1.454400866766083</v>
      </c>
      <c r="AL49" s="443">
        <v>1095902.090366115</v>
      </c>
      <c r="AM49" s="443">
        <v>2442508.8318078555</v>
      </c>
      <c r="AN49" s="443">
        <v>2412680.070690629</v>
      </c>
      <c r="AO49" s="443">
        <v>3208517.964442412</v>
      </c>
      <c r="AP49" s="443">
        <v>3208517.964442412</v>
      </c>
      <c r="AQ49" s="443">
        <v>7548</v>
      </c>
      <c r="AR49" s="443">
        <v>3216065.964442412</v>
      </c>
      <c r="AS49" s="450">
        <v>1704.327485131114</v>
      </c>
      <c r="AT49" s="446">
        <v>1887</v>
      </c>
      <c r="AU49" s="446">
        <v>0</v>
      </c>
      <c r="AV49" s="446">
        <v>0</v>
      </c>
      <c r="AW49" s="446">
        <v>0</v>
      </c>
      <c r="AX49" s="446">
        <v>0</v>
      </c>
      <c r="AY49" s="446">
        <v>9</v>
      </c>
      <c r="AZ49" s="446">
        <v>0</v>
      </c>
      <c r="BA49" s="446">
        <v>6</v>
      </c>
      <c r="BB49" s="446">
        <v>0</v>
      </c>
      <c r="BC49" s="446">
        <v>0</v>
      </c>
      <c r="BD49" s="446">
        <v>9</v>
      </c>
      <c r="BE49" s="446">
        <v>959</v>
      </c>
      <c r="BF49" s="446">
        <v>892</v>
      </c>
      <c r="BG49" s="446">
        <v>12</v>
      </c>
      <c r="BH49" s="446">
        <v>0</v>
      </c>
      <c r="BI49" s="446">
        <v>0</v>
      </c>
      <c r="BJ49" s="448">
        <v>1.4592158234193338</v>
      </c>
      <c r="BK49" s="448">
        <v>5.732250839865621</v>
      </c>
      <c r="BL49" s="448">
        <v>1.9213885778275477</v>
      </c>
      <c r="BM49" s="448">
        <v>7.621724524076147</v>
      </c>
      <c r="BN49" s="445">
        <v>36</v>
      </c>
      <c r="BO49" s="445">
        <v>1851</v>
      </c>
      <c r="BP49" s="443">
        <v>465800.6606411558</v>
      </c>
      <c r="BQ49" s="443">
        <v>2519700</v>
      </c>
      <c r="BR49" s="443">
        <v>2446137</v>
      </c>
      <c r="BS49" s="444">
        <v>0.06544780074191839</v>
      </c>
      <c r="BT49" s="445">
        <v>124</v>
      </c>
      <c r="BU49" s="445">
        <v>123</v>
      </c>
      <c r="BV49" s="443">
        <v>160094.28696343402</v>
      </c>
      <c r="BW49" s="444">
        <v>0.006451108586921727</v>
      </c>
      <c r="BX49" s="443">
        <v>899.1801075639484</v>
      </c>
      <c r="BY49" s="443">
        <v>3146494.127712154</v>
      </c>
      <c r="BZ49" s="451">
        <v>1.2133333333333332</v>
      </c>
      <c r="CA49" s="443">
        <v>3817746.208290746</v>
      </c>
      <c r="CB49" s="443">
        <v>2793589.208975243</v>
      </c>
      <c r="CC49" s="443">
        <v>2793589.208975243</v>
      </c>
      <c r="CD49" s="443">
        <v>2713371.2597068283</v>
      </c>
      <c r="CE49" s="443">
        <v>2773735.597589197</v>
      </c>
      <c r="CF49" s="450">
        <v>1469.9181757229449</v>
      </c>
      <c r="CG49" s="446">
        <v>1887</v>
      </c>
      <c r="CH49" s="446">
        <v>0</v>
      </c>
      <c r="CI49" s="446">
        <v>0</v>
      </c>
      <c r="CJ49" s="446">
        <v>0</v>
      </c>
      <c r="CK49" s="446">
        <v>0</v>
      </c>
      <c r="CL49" s="446">
        <v>9</v>
      </c>
      <c r="CM49" s="446">
        <v>0</v>
      </c>
      <c r="CN49" s="446">
        <v>6</v>
      </c>
      <c r="CO49" s="446">
        <v>0</v>
      </c>
      <c r="CP49" s="446">
        <v>0</v>
      </c>
      <c r="CQ49" s="446">
        <v>9</v>
      </c>
      <c r="CR49" s="446">
        <v>959</v>
      </c>
      <c r="CS49" s="446">
        <v>892</v>
      </c>
      <c r="CT49" s="446">
        <v>12</v>
      </c>
      <c r="CU49" s="446">
        <v>0</v>
      </c>
      <c r="CV49" s="446">
        <v>0</v>
      </c>
      <c r="CW49" s="443">
        <v>1701678.593346437</v>
      </c>
      <c r="CX49" s="448">
        <v>1.1845331559060077</v>
      </c>
      <c r="CY49" s="448">
        <v>1.2133333333333332</v>
      </c>
      <c r="CZ49" s="443">
        <v>2015694.714514351</v>
      </c>
      <c r="DA49" s="450">
        <v>1068.2006966159784</v>
      </c>
      <c r="DB49" s="445">
        <v>1887</v>
      </c>
      <c r="DC49" s="448">
        <v>0.9502384737678855</v>
      </c>
      <c r="DD49" s="450">
        <v>354.1</v>
      </c>
      <c r="DE49" s="443">
        <v>80279</v>
      </c>
      <c r="DF49" s="450">
        <v>67.10165425587368</v>
      </c>
      <c r="DG49" s="450">
        <v>69.98702538887625</v>
      </c>
      <c r="DH49" s="450">
        <v>71.52673994743151</v>
      </c>
      <c r="DI49" s="450">
        <v>73.10032822627498</v>
      </c>
      <c r="DJ49" s="450">
        <v>75.51263905774205</v>
      </c>
      <c r="DK49" s="450">
        <v>78.23109406382075</v>
      </c>
      <c r="DL49" s="450">
        <v>80.734489073863</v>
      </c>
      <c r="DM49" s="450">
        <v>84.04460312589138</v>
      </c>
      <c r="DN49" s="450">
        <v>87.7425656634306</v>
      </c>
      <c r="DO49" s="450">
        <v>92.56840677491927</v>
      </c>
      <c r="DP49" s="450">
        <v>91.735291113945</v>
      </c>
      <c r="DQ49" s="450">
        <v>96.41379096075619</v>
      </c>
      <c r="DR49" s="450">
        <v>51.92</v>
      </c>
      <c r="DS49" s="450">
        <v>54.90868999474314</v>
      </c>
      <c r="DT49" s="450">
        <v>58.003753069254984</v>
      </c>
      <c r="DU49" s="450">
        <v>61.8672221876906</v>
      </c>
      <c r="DV49" s="450">
        <v>66.11396388321506</v>
      </c>
      <c r="DW49" s="450">
        <v>70.31375711854211</v>
      </c>
      <c r="DX49" s="450">
        <v>75.36621755350014</v>
      </c>
      <c r="DY49" s="450">
        <v>79.68902385225152</v>
      </c>
      <c r="DZ49" s="450">
        <v>82.16799286542516</v>
      </c>
      <c r="EA49" s="450">
        <v>84.78574809064892</v>
      </c>
      <c r="EB49" s="450">
        <v>90.57061518676885</v>
      </c>
      <c r="EC49" s="450">
        <v>0</v>
      </c>
      <c r="ED49" s="450">
        <v>90.57061518676885</v>
      </c>
      <c r="EE49" s="450">
        <v>4709.67198971198</v>
      </c>
      <c r="EF49" s="443">
        <v>8709408.023694776</v>
      </c>
      <c r="EG49" s="450">
        <v>61.29</v>
      </c>
      <c r="EH49" s="450">
        <v>63.52721599474314</v>
      </c>
      <c r="EI49" s="450">
        <v>65.83320513325498</v>
      </c>
      <c r="EJ49" s="450">
        <v>68.9440681720386</v>
      </c>
      <c r="EK49" s="450">
        <v>72.39820311731609</v>
      </c>
      <c r="EL49" s="450">
        <v>75.718202859869</v>
      </c>
      <c r="EM49" s="450">
        <v>79.86703996687717</v>
      </c>
      <c r="EN49" s="450">
        <v>83.86578705186541</v>
      </c>
      <c r="EO49" s="450">
        <v>86.15123270345693</v>
      </c>
      <c r="EP49" s="450">
        <v>87.4473437605327</v>
      </c>
      <c r="EQ49" s="450">
        <v>92.80848482600713</v>
      </c>
      <c r="ER49" s="443">
        <v>14072928</v>
      </c>
      <c r="ES49" s="443">
        <v>42000</v>
      </c>
      <c r="ET49" s="443">
        <v>0</v>
      </c>
      <c r="EU49" s="443">
        <v>0</v>
      </c>
      <c r="EV49" s="443">
        <v>0</v>
      </c>
      <c r="EW49" s="443">
        <v>0</v>
      </c>
      <c r="EX49" s="443">
        <v>0</v>
      </c>
      <c r="EY49" s="443">
        <v>0</v>
      </c>
      <c r="EZ49" s="443">
        <v>0</v>
      </c>
      <c r="FA49" s="443">
        <v>14093928</v>
      </c>
      <c r="FB49" s="443">
        <v>45895.35168459464</v>
      </c>
      <c r="FC49" s="443">
        <v>0</v>
      </c>
      <c r="FD49" s="443">
        <v>0</v>
      </c>
      <c r="FE49" s="443">
        <v>2368</v>
      </c>
      <c r="FF49" s="452">
        <v>0.036000000000000004</v>
      </c>
      <c r="FG49" s="443">
        <v>85.248</v>
      </c>
      <c r="FH49" s="453">
        <v>85.248</v>
      </c>
    </row>
    <row r="50" spans="2:164" ht="12.75">
      <c r="B50" s="356" t="s">
        <v>738</v>
      </c>
      <c r="C50" s="442">
        <v>7955</v>
      </c>
      <c r="D50" s="443">
        <v>1884315</v>
      </c>
      <c r="E50" s="443">
        <v>1616742.27</v>
      </c>
      <c r="F50" s="443">
        <v>254618.43750953744</v>
      </c>
      <c r="G50" s="443">
        <v>267572.73</v>
      </c>
      <c r="H50" s="444">
        <v>0.46686486486486484</v>
      </c>
      <c r="I50" s="445">
        <v>3138.14</v>
      </c>
      <c r="J50" s="445">
        <v>575.77</v>
      </c>
      <c r="K50" s="443">
        <v>1871360.7075095375</v>
      </c>
      <c r="L50" s="443">
        <v>1497088.56600763</v>
      </c>
      <c r="M50" s="443">
        <v>472806.1636197508</v>
      </c>
      <c r="N50" s="443">
        <v>374272.14150190743</v>
      </c>
      <c r="O50" s="446">
        <v>1.2632683846637334</v>
      </c>
      <c r="P50" s="447">
        <v>0.7974858579509743</v>
      </c>
      <c r="Q50" s="448">
        <v>0.20251414204902576</v>
      </c>
      <c r="R50" s="443">
        <v>1969894.7296273808</v>
      </c>
      <c r="S50" s="443">
        <v>1331648.8372281096</v>
      </c>
      <c r="T50" s="443">
        <v>164731.57209779302</v>
      </c>
      <c r="U50" s="443">
        <v>352608.7972538243</v>
      </c>
      <c r="V50" s="443">
        <v>449135.99835504283</v>
      </c>
      <c r="W50" s="446">
        <v>0.7850824662134661</v>
      </c>
      <c r="X50" s="448">
        <v>14.658648033440707</v>
      </c>
      <c r="Y50" s="443">
        <v>164731.57209779302</v>
      </c>
      <c r="Z50" s="443">
        <v>189109.89404422857</v>
      </c>
      <c r="AA50" s="444">
        <v>0.871089124820016</v>
      </c>
      <c r="AB50" s="444">
        <v>0.07146448774355751</v>
      </c>
      <c r="AC50" s="445">
        <v>570</v>
      </c>
      <c r="AD50" s="445">
        <v>567</v>
      </c>
      <c r="AE50" s="443">
        <v>1848989.206579727</v>
      </c>
      <c r="AF50" s="443">
        <v>0</v>
      </c>
      <c r="AG50" s="447">
        <v>0</v>
      </c>
      <c r="AH50" s="446">
        <v>0.07944746026757718</v>
      </c>
      <c r="AI50" s="448">
        <v>0.0669034942984581</v>
      </c>
      <c r="AJ50" s="443">
        <v>1848989.206579727</v>
      </c>
      <c r="AK50" s="449">
        <v>1</v>
      </c>
      <c r="AL50" s="443">
        <v>1848989.206579727</v>
      </c>
      <c r="AM50" s="443">
        <v>4120963.4571274845</v>
      </c>
      <c r="AN50" s="443">
        <v>4070636.8286483185</v>
      </c>
      <c r="AO50" s="443">
        <v>4026354.3267695913</v>
      </c>
      <c r="AP50" s="443">
        <v>4070636.8286483185</v>
      </c>
      <c r="AQ50" s="443">
        <v>31820</v>
      </c>
      <c r="AR50" s="443">
        <v>4102456.8286483185</v>
      </c>
      <c r="AS50" s="450">
        <v>515.7079608608823</v>
      </c>
      <c r="AT50" s="446">
        <v>7955</v>
      </c>
      <c r="AU50" s="446">
        <v>432</v>
      </c>
      <c r="AV50" s="446">
        <v>251</v>
      </c>
      <c r="AW50" s="446">
        <v>1153</v>
      </c>
      <c r="AX50" s="446">
        <v>10</v>
      </c>
      <c r="AY50" s="446">
        <v>1069</v>
      </c>
      <c r="AZ50" s="446">
        <v>110</v>
      </c>
      <c r="BA50" s="446">
        <v>246</v>
      </c>
      <c r="BB50" s="446">
        <v>614</v>
      </c>
      <c r="BC50" s="446">
        <v>524</v>
      </c>
      <c r="BD50" s="446">
        <v>1391</v>
      </c>
      <c r="BE50" s="446">
        <v>1611</v>
      </c>
      <c r="BF50" s="446">
        <v>0</v>
      </c>
      <c r="BG50" s="446">
        <v>508</v>
      </c>
      <c r="BH50" s="446">
        <v>30</v>
      </c>
      <c r="BI50" s="446">
        <v>6</v>
      </c>
      <c r="BJ50" s="448">
        <v>1.5107620774517305</v>
      </c>
      <c r="BK50" s="448">
        <v>14.409256911274598</v>
      </c>
      <c r="BL50" s="448">
        <v>8.821963872816626</v>
      </c>
      <c r="BM50" s="448">
        <v>11.174586076915944</v>
      </c>
      <c r="BN50" s="445">
        <v>6344</v>
      </c>
      <c r="BO50" s="445">
        <v>1611</v>
      </c>
      <c r="BP50" s="443">
        <v>2402176.665917582</v>
      </c>
      <c r="BQ50" s="443">
        <v>8746807</v>
      </c>
      <c r="BR50" s="443">
        <v>10956232</v>
      </c>
      <c r="BS50" s="444">
        <v>0.07146448774355751</v>
      </c>
      <c r="BT50" s="445">
        <v>570</v>
      </c>
      <c r="BU50" s="445">
        <v>567</v>
      </c>
      <c r="BV50" s="443">
        <v>782981.5074795727</v>
      </c>
      <c r="BW50" s="444">
        <v>0.008197085080155632</v>
      </c>
      <c r="BX50" s="443">
        <v>12107.555349519058</v>
      </c>
      <c r="BY50" s="443">
        <v>11944072.728746675</v>
      </c>
      <c r="BZ50" s="451">
        <v>0.9766666666666666</v>
      </c>
      <c r="CA50" s="443">
        <v>11665377.698409252</v>
      </c>
      <c r="CB50" s="443">
        <v>8535997.805754283</v>
      </c>
      <c r="CC50" s="443">
        <v>8535997.805754283</v>
      </c>
      <c r="CD50" s="443">
        <v>8720076.118257482</v>
      </c>
      <c r="CE50" s="443">
        <v>8720076.118257482</v>
      </c>
      <c r="CF50" s="450">
        <v>1096.1755019808274</v>
      </c>
      <c r="CG50" s="446">
        <v>7955</v>
      </c>
      <c r="CH50" s="446">
        <v>432</v>
      </c>
      <c r="CI50" s="446">
        <v>251</v>
      </c>
      <c r="CJ50" s="446">
        <v>1153</v>
      </c>
      <c r="CK50" s="446">
        <v>10</v>
      </c>
      <c r="CL50" s="446">
        <v>1069</v>
      </c>
      <c r="CM50" s="446">
        <v>110</v>
      </c>
      <c r="CN50" s="446">
        <v>246</v>
      </c>
      <c r="CO50" s="446">
        <v>614</v>
      </c>
      <c r="CP50" s="446">
        <v>524</v>
      </c>
      <c r="CQ50" s="446">
        <v>1391</v>
      </c>
      <c r="CR50" s="446">
        <v>1611</v>
      </c>
      <c r="CS50" s="446">
        <v>0</v>
      </c>
      <c r="CT50" s="446">
        <v>508</v>
      </c>
      <c r="CU50" s="446">
        <v>30</v>
      </c>
      <c r="CV50" s="446">
        <v>6</v>
      </c>
      <c r="CW50" s="443">
        <v>5406432.7060430795</v>
      </c>
      <c r="CX50" s="448">
        <v>0.9534841062650008</v>
      </c>
      <c r="CY50" s="448">
        <v>0.9766666666666666</v>
      </c>
      <c r="CZ50" s="443">
        <v>5154947.656803356</v>
      </c>
      <c r="DA50" s="450">
        <v>648.013533224809</v>
      </c>
      <c r="DB50" s="445">
        <v>7955</v>
      </c>
      <c r="DC50" s="448">
        <v>0.9964299182903833</v>
      </c>
      <c r="DD50" s="450">
        <v>299.6</v>
      </c>
      <c r="DE50" s="443">
        <v>39166</v>
      </c>
      <c r="DF50" s="450">
        <v>48.97460673742641</v>
      </c>
      <c r="DG50" s="450">
        <v>51.080514827135744</v>
      </c>
      <c r="DH50" s="450">
        <v>52.20428615333272</v>
      </c>
      <c r="DI50" s="450">
        <v>53.35278044870603</v>
      </c>
      <c r="DJ50" s="450">
        <v>55.11342220351332</v>
      </c>
      <c r="DK50" s="450">
        <v>57.09750540283979</v>
      </c>
      <c r="DL50" s="450">
        <v>58.92462557573066</v>
      </c>
      <c r="DM50" s="450">
        <v>61.34053522433561</v>
      </c>
      <c r="DN50" s="450">
        <v>64.03951877420637</v>
      </c>
      <c r="DO50" s="450">
        <v>67.56169230678772</v>
      </c>
      <c r="DP50" s="450">
        <v>66.95363707602662</v>
      </c>
      <c r="DQ50" s="450">
        <v>70.36827256690398</v>
      </c>
      <c r="DR50" s="450">
        <v>40.15</v>
      </c>
      <c r="DS50" s="450">
        <v>42.15039861533326</v>
      </c>
      <c r="DT50" s="450">
        <v>44.21938216974119</v>
      </c>
      <c r="DU50" s="450">
        <v>46.857971834113975</v>
      </c>
      <c r="DV50" s="450">
        <v>49.76666547481317</v>
      </c>
      <c r="DW50" s="450">
        <v>52.62010323762776</v>
      </c>
      <c r="DX50" s="450">
        <v>56.09012902116352</v>
      </c>
      <c r="DY50" s="450">
        <v>59.16714181766267</v>
      </c>
      <c r="DZ50" s="450">
        <v>60.92984373389681</v>
      </c>
      <c r="EA50" s="450">
        <v>62.52224450046597</v>
      </c>
      <c r="EB50" s="450">
        <v>66.64235768937259</v>
      </c>
      <c r="EC50" s="450">
        <v>-0.44</v>
      </c>
      <c r="ED50" s="450">
        <v>66.20235768937259</v>
      </c>
      <c r="EE50" s="450">
        <v>3442.5225998473747</v>
      </c>
      <c r="EF50" s="443">
        <v>26837561.936150145</v>
      </c>
      <c r="EG50" s="450">
        <v>45.14</v>
      </c>
      <c r="EH50" s="450">
        <v>46.740200615333265</v>
      </c>
      <c r="EI50" s="450">
        <v>48.38896229774119</v>
      </c>
      <c r="EJ50" s="450">
        <v>50.62675107230997</v>
      </c>
      <c r="EK50" s="450">
        <v>53.11334143833122</v>
      </c>
      <c r="EL50" s="450">
        <v>55.498244566253284</v>
      </c>
      <c r="EM50" s="450">
        <v>58.48704511964285</v>
      </c>
      <c r="EN50" s="450">
        <v>61.39147995705149</v>
      </c>
      <c r="EO50" s="450">
        <v>63.05112087282728</v>
      </c>
      <c r="EP50" s="450">
        <v>63.9396791208203</v>
      </c>
      <c r="EQ50" s="450">
        <v>67.8341367181665</v>
      </c>
      <c r="ER50" s="443">
        <v>23440184</v>
      </c>
      <c r="ES50" s="443">
        <v>1000000</v>
      </c>
      <c r="ET50" s="443">
        <v>0</v>
      </c>
      <c r="EU50" s="443">
        <v>0</v>
      </c>
      <c r="EV50" s="443">
        <v>0</v>
      </c>
      <c r="EW50" s="443">
        <v>0</v>
      </c>
      <c r="EX50" s="443">
        <v>128568</v>
      </c>
      <c r="EY50" s="443">
        <v>0</v>
      </c>
      <c r="EZ50" s="443">
        <v>0</v>
      </c>
      <c r="FA50" s="443">
        <v>23811616</v>
      </c>
      <c r="FB50" s="443">
        <v>50493.72844826448</v>
      </c>
      <c r="FC50" s="443">
        <v>0</v>
      </c>
      <c r="FD50" s="443">
        <v>0</v>
      </c>
      <c r="FE50" s="443">
        <v>14702</v>
      </c>
      <c r="FF50" s="452">
        <v>0.0444</v>
      </c>
      <c r="FG50" s="443">
        <v>652.7688</v>
      </c>
      <c r="FH50" s="453">
        <v>652.7688</v>
      </c>
    </row>
    <row r="51" spans="2:164" ht="12.75">
      <c r="B51" s="356" t="s">
        <v>739</v>
      </c>
      <c r="C51" s="442">
        <v>6310.25</v>
      </c>
      <c r="D51" s="443">
        <v>1501088.25</v>
      </c>
      <c r="E51" s="443">
        <v>1287933.7185</v>
      </c>
      <c r="F51" s="443">
        <v>224130.60674034557</v>
      </c>
      <c r="G51" s="443">
        <v>213154.5315</v>
      </c>
      <c r="H51" s="444">
        <v>0.5158813042272493</v>
      </c>
      <c r="I51" s="445">
        <v>2851.56</v>
      </c>
      <c r="J51" s="445">
        <v>403.78</v>
      </c>
      <c r="K51" s="443">
        <v>1512064.3252403454</v>
      </c>
      <c r="L51" s="443">
        <v>1209651.4601922764</v>
      </c>
      <c r="M51" s="443">
        <v>342398.31316072016</v>
      </c>
      <c r="N51" s="443">
        <v>302412.86504806904</v>
      </c>
      <c r="O51" s="446">
        <v>1.1322213858404977</v>
      </c>
      <c r="P51" s="447">
        <v>0.8982211481320075</v>
      </c>
      <c r="Q51" s="448">
        <v>0.10173923378630007</v>
      </c>
      <c r="R51" s="443">
        <v>1552049.7733529964</v>
      </c>
      <c r="S51" s="443">
        <v>1049185.6467866257</v>
      </c>
      <c r="T51" s="443">
        <v>232692.6380481635</v>
      </c>
      <c r="U51" s="443">
        <v>284548.53847571224</v>
      </c>
      <c r="V51" s="443">
        <v>353867.3483244832</v>
      </c>
      <c r="W51" s="446">
        <v>0.8041107489091981</v>
      </c>
      <c r="X51" s="448">
        <v>15.013934147602507</v>
      </c>
      <c r="Y51" s="443">
        <v>232692.6380481635</v>
      </c>
      <c r="Z51" s="443">
        <v>148996.77824188766</v>
      </c>
      <c r="AA51" s="444">
        <v>1.5617293259213998</v>
      </c>
      <c r="AB51" s="444">
        <v>0.12812487619349472</v>
      </c>
      <c r="AC51" s="445">
        <v>806</v>
      </c>
      <c r="AD51" s="445">
        <v>811</v>
      </c>
      <c r="AE51" s="443">
        <v>1566426.8233105014</v>
      </c>
      <c r="AF51" s="443">
        <v>0</v>
      </c>
      <c r="AG51" s="447">
        <v>0</v>
      </c>
      <c r="AH51" s="446">
        <v>0.054501571672661744</v>
      </c>
      <c r="AI51" s="448">
        <v>0.04589631408452988</v>
      </c>
      <c r="AJ51" s="443">
        <v>1566426.8233105014</v>
      </c>
      <c r="AK51" s="449">
        <v>1.015630059694977</v>
      </c>
      <c r="AL51" s="443">
        <v>1590910.1680666576</v>
      </c>
      <c r="AM51" s="443">
        <v>3545765.78535184</v>
      </c>
      <c r="AN51" s="443">
        <v>3502463.6694243364</v>
      </c>
      <c r="AO51" s="443">
        <v>3345585.508384155</v>
      </c>
      <c r="AP51" s="443">
        <v>3502463.6694243364</v>
      </c>
      <c r="AQ51" s="443">
        <v>25241</v>
      </c>
      <c r="AR51" s="443">
        <v>3527704.6694243364</v>
      </c>
      <c r="AS51" s="450">
        <v>559.0435671208488</v>
      </c>
      <c r="AT51" s="446">
        <v>6303</v>
      </c>
      <c r="AU51" s="446">
        <v>480</v>
      </c>
      <c r="AV51" s="446">
        <v>249</v>
      </c>
      <c r="AW51" s="446">
        <v>41</v>
      </c>
      <c r="AX51" s="446">
        <v>93</v>
      </c>
      <c r="AY51" s="446">
        <v>679</v>
      </c>
      <c r="AZ51" s="446">
        <v>216</v>
      </c>
      <c r="BA51" s="446">
        <v>419</v>
      </c>
      <c r="BB51" s="446">
        <v>89</v>
      </c>
      <c r="BC51" s="446">
        <v>69</v>
      </c>
      <c r="BD51" s="446">
        <v>2493</v>
      </c>
      <c r="BE51" s="446">
        <v>642</v>
      </c>
      <c r="BF51" s="446">
        <v>0</v>
      </c>
      <c r="BG51" s="446">
        <v>833</v>
      </c>
      <c r="BH51" s="446">
        <v>0</v>
      </c>
      <c r="BI51" s="446">
        <v>0</v>
      </c>
      <c r="BJ51" s="448">
        <v>1.3732725422437595</v>
      </c>
      <c r="BK51" s="448">
        <v>12.580308944303669</v>
      </c>
      <c r="BL51" s="448">
        <v>9.067025472160307</v>
      </c>
      <c r="BM51" s="448">
        <v>7.026566944286725</v>
      </c>
      <c r="BN51" s="445">
        <v>5661</v>
      </c>
      <c r="BO51" s="445">
        <v>642</v>
      </c>
      <c r="BP51" s="443">
        <v>1599001.469829993</v>
      </c>
      <c r="BQ51" s="443">
        <v>6457027</v>
      </c>
      <c r="BR51" s="443">
        <v>8175205</v>
      </c>
      <c r="BS51" s="444">
        <v>0.12827225130890052</v>
      </c>
      <c r="BT51" s="445">
        <v>806</v>
      </c>
      <c r="BU51" s="445">
        <v>811</v>
      </c>
      <c r="BV51" s="443">
        <v>1048651.95026178</v>
      </c>
      <c r="BW51" s="444">
        <v>0.010260423013749359</v>
      </c>
      <c r="BX51" s="443">
        <v>10483.809754492684</v>
      </c>
      <c r="BY51" s="443">
        <v>9115164.229846265</v>
      </c>
      <c r="BZ51" s="451">
        <v>1.04</v>
      </c>
      <c r="CA51" s="443">
        <v>9479770.799040116</v>
      </c>
      <c r="CB51" s="443">
        <v>6936706.62294068</v>
      </c>
      <c r="CC51" s="443">
        <v>6936706.62294068</v>
      </c>
      <c r="CD51" s="443">
        <v>6744654.446232954</v>
      </c>
      <c r="CE51" s="443">
        <v>6887408.50955006</v>
      </c>
      <c r="CF51" s="450">
        <v>1092.7191035300746</v>
      </c>
      <c r="CG51" s="446">
        <v>6303</v>
      </c>
      <c r="CH51" s="446">
        <v>480</v>
      </c>
      <c r="CI51" s="446">
        <v>249</v>
      </c>
      <c r="CJ51" s="446">
        <v>41</v>
      </c>
      <c r="CK51" s="446">
        <v>93</v>
      </c>
      <c r="CL51" s="446">
        <v>679</v>
      </c>
      <c r="CM51" s="446">
        <v>216</v>
      </c>
      <c r="CN51" s="446">
        <v>419</v>
      </c>
      <c r="CO51" s="446">
        <v>89</v>
      </c>
      <c r="CP51" s="446">
        <v>69</v>
      </c>
      <c r="CQ51" s="446">
        <v>2493</v>
      </c>
      <c r="CR51" s="446">
        <v>642</v>
      </c>
      <c r="CS51" s="446">
        <v>0</v>
      </c>
      <c r="CT51" s="446">
        <v>833</v>
      </c>
      <c r="CU51" s="446">
        <v>0</v>
      </c>
      <c r="CV51" s="446">
        <v>0</v>
      </c>
      <c r="CW51" s="443">
        <v>4512262.450465336</v>
      </c>
      <c r="CX51" s="448">
        <v>1.015314133633721</v>
      </c>
      <c r="CY51" s="448">
        <v>1.04</v>
      </c>
      <c r="CZ51" s="443">
        <v>4581363.840622184</v>
      </c>
      <c r="DA51" s="450">
        <v>726.8544884375985</v>
      </c>
      <c r="DB51" s="445">
        <v>6310.25</v>
      </c>
      <c r="DC51" s="448">
        <v>0.9906144764470505</v>
      </c>
      <c r="DD51" s="450">
        <v>325.9</v>
      </c>
      <c r="DE51" s="443">
        <v>45812</v>
      </c>
      <c r="DF51" s="450">
        <v>54.10131956872323</v>
      </c>
      <c r="DG51" s="450">
        <v>56.42767631017832</v>
      </c>
      <c r="DH51" s="450">
        <v>57.66908518900223</v>
      </c>
      <c r="DI51" s="450">
        <v>58.93780506316027</v>
      </c>
      <c r="DJ51" s="450">
        <v>60.88275263024455</v>
      </c>
      <c r="DK51" s="450">
        <v>63.074531724933344</v>
      </c>
      <c r="DL51" s="450">
        <v>65.0929167401312</v>
      </c>
      <c r="DM51" s="450">
        <v>67.76172632647658</v>
      </c>
      <c r="DN51" s="450">
        <v>70.74324228484153</v>
      </c>
      <c r="DO51" s="450">
        <v>74.63412061050781</v>
      </c>
      <c r="DP51" s="450">
        <v>73.96241352501323</v>
      </c>
      <c r="DQ51" s="450">
        <v>77.73449661478891</v>
      </c>
      <c r="DR51" s="450">
        <v>43.36</v>
      </c>
      <c r="DS51" s="450">
        <v>45.64943651890022</v>
      </c>
      <c r="DT51" s="450">
        <v>48.01862200463204</v>
      </c>
      <c r="DU51" s="450">
        <v>51.013176043217356</v>
      </c>
      <c r="DV51" s="450">
        <v>54.310347715653194</v>
      </c>
      <c r="DW51" s="450">
        <v>57.55571849215027</v>
      </c>
      <c r="DX51" s="450">
        <v>61.48474762555806</v>
      </c>
      <c r="DY51" s="450">
        <v>64.91820605038914</v>
      </c>
      <c r="DZ51" s="450">
        <v>66.88593721075496</v>
      </c>
      <c r="EA51" s="450">
        <v>68.78508747265136</v>
      </c>
      <c r="EB51" s="450">
        <v>73.38140086996303</v>
      </c>
      <c r="EC51" s="450">
        <v>-0.72</v>
      </c>
      <c r="ED51" s="450">
        <v>72.66140086996303</v>
      </c>
      <c r="EE51" s="450">
        <v>3778.392845238078</v>
      </c>
      <c r="EF51" s="443">
        <v>23365751.382630307</v>
      </c>
      <c r="EG51" s="450">
        <v>48.09</v>
      </c>
      <c r="EH51" s="450">
        <v>50.00009051890022</v>
      </c>
      <c r="EI51" s="450">
        <v>51.97094946063204</v>
      </c>
      <c r="EJ51" s="450">
        <v>54.585586022509354</v>
      </c>
      <c r="EK51" s="450">
        <v>57.48264777726449</v>
      </c>
      <c r="EL51" s="450">
        <v>60.28389654513598</v>
      </c>
      <c r="EM51" s="450">
        <v>63.75677430808456</v>
      </c>
      <c r="EN51" s="450">
        <v>67.02664681177373</v>
      </c>
      <c r="EO51" s="450">
        <v>68.89668688352873</v>
      </c>
      <c r="EP51" s="450">
        <v>70.1286677841295</v>
      </c>
      <c r="EQ51" s="450">
        <v>74.51108319585386</v>
      </c>
      <c r="ER51" s="443">
        <v>30870666</v>
      </c>
      <c r="ES51" s="443">
        <v>0</v>
      </c>
      <c r="ET51" s="443">
        <v>0</v>
      </c>
      <c r="EU51" s="443">
        <v>0</v>
      </c>
      <c r="EV51" s="443">
        <v>0</v>
      </c>
      <c r="EW51" s="443">
        <v>0</v>
      </c>
      <c r="EX51" s="443">
        <v>0</v>
      </c>
      <c r="EY51" s="443">
        <v>0</v>
      </c>
      <c r="EZ51" s="443">
        <v>35710000</v>
      </c>
      <c r="FA51" s="443">
        <v>66580666</v>
      </c>
      <c r="FB51" s="443">
        <v>70731.89679903202</v>
      </c>
      <c r="FC51" s="443">
        <v>0</v>
      </c>
      <c r="FD51" s="443">
        <v>0</v>
      </c>
      <c r="FE51" s="443">
        <v>64768</v>
      </c>
      <c r="FF51" s="452">
        <v>0.0602</v>
      </c>
      <c r="FG51" s="443">
        <v>3899.0335999999998</v>
      </c>
      <c r="FH51" s="453">
        <v>3899.0335999999998</v>
      </c>
    </row>
    <row r="52" spans="2:164" ht="12.75">
      <c r="B52" s="356" t="s">
        <v>740</v>
      </c>
      <c r="C52" s="442">
        <v>4776</v>
      </c>
      <c r="D52" s="443">
        <v>1143608</v>
      </c>
      <c r="E52" s="443">
        <v>981215.664</v>
      </c>
      <c r="F52" s="443">
        <v>122999.27310014624</v>
      </c>
      <c r="G52" s="443">
        <v>162392.336</v>
      </c>
      <c r="H52" s="444">
        <v>0.3716038525963149</v>
      </c>
      <c r="I52" s="445">
        <v>1352.8</v>
      </c>
      <c r="J52" s="445">
        <v>421.98</v>
      </c>
      <c r="K52" s="443">
        <v>1104214.9371001462</v>
      </c>
      <c r="L52" s="443">
        <v>883371.949680117</v>
      </c>
      <c r="M52" s="443">
        <v>248573.20927006926</v>
      </c>
      <c r="N52" s="443">
        <v>220842.98742002918</v>
      </c>
      <c r="O52" s="446">
        <v>1.1255653266331658</v>
      </c>
      <c r="P52" s="447">
        <v>0.8997068676716918</v>
      </c>
      <c r="Q52" s="448">
        <v>0.09819932998324958</v>
      </c>
      <c r="R52" s="443">
        <v>1131945.1589501863</v>
      </c>
      <c r="S52" s="443">
        <v>765194.927450326</v>
      </c>
      <c r="T52" s="443">
        <v>111349.98368202559</v>
      </c>
      <c r="U52" s="443">
        <v>334256.27544638247</v>
      </c>
      <c r="V52" s="443">
        <v>258083.4962406425</v>
      </c>
      <c r="W52" s="446">
        <v>1.2951478119108975</v>
      </c>
      <c r="X52" s="448">
        <v>24.182320639065967</v>
      </c>
      <c r="Y52" s="443">
        <v>111349.98368202559</v>
      </c>
      <c r="Z52" s="443">
        <v>108666.7352592179</v>
      </c>
      <c r="AA52" s="444">
        <v>1.024692454562171</v>
      </c>
      <c r="AB52" s="444">
        <v>0.08406616415410385</v>
      </c>
      <c r="AC52" s="445">
        <v>443</v>
      </c>
      <c r="AD52" s="445">
        <v>360</v>
      </c>
      <c r="AE52" s="443">
        <v>1210801.1865787343</v>
      </c>
      <c r="AF52" s="443">
        <v>73562.74566772554</v>
      </c>
      <c r="AG52" s="447">
        <v>0.5</v>
      </c>
      <c r="AH52" s="446">
        <v>0.29157084807329425</v>
      </c>
      <c r="AI52" s="448">
        <v>0.24553470313549042</v>
      </c>
      <c r="AJ52" s="443">
        <v>1284363.9322464599</v>
      </c>
      <c r="AK52" s="449">
        <v>1.0157322142344678</v>
      </c>
      <c r="AL52" s="443">
        <v>1304569.8207835846</v>
      </c>
      <c r="AM52" s="443">
        <v>2907580.282020803</v>
      </c>
      <c r="AN52" s="443">
        <v>2872071.9077901305</v>
      </c>
      <c r="AO52" s="443">
        <v>2844540.1066191634</v>
      </c>
      <c r="AP52" s="443">
        <v>2872071.9077901305</v>
      </c>
      <c r="AQ52" s="443">
        <v>19104</v>
      </c>
      <c r="AR52" s="443">
        <v>2891175.9077901305</v>
      </c>
      <c r="AS52" s="450">
        <v>605.3550895707979</v>
      </c>
      <c r="AT52" s="446">
        <v>4776</v>
      </c>
      <c r="AU52" s="446">
        <v>100</v>
      </c>
      <c r="AV52" s="446">
        <v>145</v>
      </c>
      <c r="AW52" s="446">
        <v>301</v>
      </c>
      <c r="AX52" s="446">
        <v>4</v>
      </c>
      <c r="AY52" s="446">
        <v>570</v>
      </c>
      <c r="AZ52" s="446">
        <v>539</v>
      </c>
      <c r="BA52" s="446">
        <v>174</v>
      </c>
      <c r="BB52" s="446">
        <v>926</v>
      </c>
      <c r="BC52" s="446">
        <v>14</v>
      </c>
      <c r="BD52" s="446">
        <v>1037</v>
      </c>
      <c r="BE52" s="446">
        <v>469</v>
      </c>
      <c r="BF52" s="446">
        <v>0</v>
      </c>
      <c r="BG52" s="446">
        <v>487</v>
      </c>
      <c r="BH52" s="446">
        <v>0</v>
      </c>
      <c r="BI52" s="446">
        <v>10</v>
      </c>
      <c r="BJ52" s="448">
        <v>1.8262339956996327</v>
      </c>
      <c r="BK52" s="448">
        <v>28.044680698827737</v>
      </c>
      <c r="BL52" s="448">
        <v>23.20244134430504</v>
      </c>
      <c r="BM52" s="448">
        <v>9.684478709045392</v>
      </c>
      <c r="BN52" s="445">
        <v>4307</v>
      </c>
      <c r="BO52" s="445">
        <v>469</v>
      </c>
      <c r="BP52" s="443">
        <v>1748617.2246484025</v>
      </c>
      <c r="BQ52" s="443">
        <v>5129777</v>
      </c>
      <c r="BR52" s="443">
        <v>6739747</v>
      </c>
      <c r="BS52" s="444">
        <v>0.08406616415410385</v>
      </c>
      <c r="BT52" s="445">
        <v>443</v>
      </c>
      <c r="BU52" s="445">
        <v>360</v>
      </c>
      <c r="BV52" s="443">
        <v>566584.677659129</v>
      </c>
      <c r="BW52" s="444">
        <v>0.010011529299250883</v>
      </c>
      <c r="BX52" s="443">
        <v>17279.472967175556</v>
      </c>
      <c r="BY52" s="443">
        <v>7462258.375274707</v>
      </c>
      <c r="BZ52" s="451">
        <v>0.9666666666666667</v>
      </c>
      <c r="CA52" s="443">
        <v>7213516.429432216</v>
      </c>
      <c r="CB52" s="443">
        <v>5278402.637730493</v>
      </c>
      <c r="CC52" s="443">
        <v>5278402.637730493</v>
      </c>
      <c r="CD52" s="443">
        <v>5248609.444636077</v>
      </c>
      <c r="CE52" s="443">
        <v>5248609.444636077</v>
      </c>
      <c r="CF52" s="450">
        <v>1098.9550763475872</v>
      </c>
      <c r="CG52" s="446">
        <v>4776</v>
      </c>
      <c r="CH52" s="446">
        <v>100</v>
      </c>
      <c r="CI52" s="446">
        <v>145</v>
      </c>
      <c r="CJ52" s="446">
        <v>301</v>
      </c>
      <c r="CK52" s="446">
        <v>4</v>
      </c>
      <c r="CL52" s="446">
        <v>570</v>
      </c>
      <c r="CM52" s="446">
        <v>539</v>
      </c>
      <c r="CN52" s="446">
        <v>174</v>
      </c>
      <c r="CO52" s="446">
        <v>926</v>
      </c>
      <c r="CP52" s="446">
        <v>14</v>
      </c>
      <c r="CQ52" s="446">
        <v>1037</v>
      </c>
      <c r="CR52" s="446">
        <v>469</v>
      </c>
      <c r="CS52" s="446">
        <v>0</v>
      </c>
      <c r="CT52" s="446">
        <v>487</v>
      </c>
      <c r="CU52" s="446">
        <v>0</v>
      </c>
      <c r="CV52" s="446">
        <v>10</v>
      </c>
      <c r="CW52" s="443">
        <v>3353929.8343562856</v>
      </c>
      <c r="CX52" s="448">
        <v>0.9437214703646767</v>
      </c>
      <c r="CY52" s="448">
        <v>0.9666666666666667</v>
      </c>
      <c r="CZ52" s="443">
        <v>3165175.5947786705</v>
      </c>
      <c r="DA52" s="450">
        <v>662.7252082869913</v>
      </c>
      <c r="DB52" s="445">
        <v>4776</v>
      </c>
      <c r="DC52" s="448">
        <v>1.0293132328308208</v>
      </c>
      <c r="DD52" s="450">
        <v>328.5</v>
      </c>
      <c r="DE52" s="443">
        <v>23654</v>
      </c>
      <c r="DF52" s="450">
        <v>48.650638810779554</v>
      </c>
      <c r="DG52" s="450">
        <v>50.74261627964307</v>
      </c>
      <c r="DH52" s="450">
        <v>51.85895383779521</v>
      </c>
      <c r="DI52" s="450">
        <v>52.9998508222267</v>
      </c>
      <c r="DJ52" s="450">
        <v>54.74884589936018</v>
      </c>
      <c r="DK52" s="450">
        <v>56.71980435173713</v>
      </c>
      <c r="DL52" s="450">
        <v>58.53483809099271</v>
      </c>
      <c r="DM52" s="450">
        <v>60.9347664527234</v>
      </c>
      <c r="DN52" s="450">
        <v>63.61589617664322</v>
      </c>
      <c r="DO52" s="450">
        <v>67.11477046635859</v>
      </c>
      <c r="DP52" s="450">
        <v>66.51073753216137</v>
      </c>
      <c r="DQ52" s="450">
        <v>69.9027851463016</v>
      </c>
      <c r="DR52" s="450">
        <v>35.3</v>
      </c>
      <c r="DS52" s="450">
        <v>37.65483538377951</v>
      </c>
      <c r="DT52" s="450">
        <v>40.096198324445325</v>
      </c>
      <c r="DU52" s="450">
        <v>43.08555699792804</v>
      </c>
      <c r="DV52" s="450">
        <v>46.362803807265394</v>
      </c>
      <c r="DW52" s="450">
        <v>49.62781762274702</v>
      </c>
      <c r="DX52" s="450">
        <v>53.51699980676839</v>
      </c>
      <c r="DY52" s="450">
        <v>56.73220872919697</v>
      </c>
      <c r="DZ52" s="450">
        <v>58.57793442250142</v>
      </c>
      <c r="EA52" s="450">
        <v>60.806434810569414</v>
      </c>
      <c r="EB52" s="450">
        <v>65.10660741798708</v>
      </c>
      <c r="EC52" s="450">
        <v>-0.67</v>
      </c>
      <c r="ED52" s="450">
        <v>64.43660741798708</v>
      </c>
      <c r="EE52" s="450">
        <v>3350.703585735328</v>
      </c>
      <c r="EF52" s="443">
        <v>15682901.118962487</v>
      </c>
      <c r="EG52" s="450">
        <v>38.34</v>
      </c>
      <c r="EH52" s="450">
        <v>40.45102738377952</v>
      </c>
      <c r="EI52" s="450">
        <v>42.63638341244533</v>
      </c>
      <c r="EJ52" s="450">
        <v>45.381566794344046</v>
      </c>
      <c r="EK52" s="450">
        <v>48.40166050648281</v>
      </c>
      <c r="EL52" s="450">
        <v>51.381234384074</v>
      </c>
      <c r="EM52" s="450">
        <v>54.977245285601505</v>
      </c>
      <c r="EN52" s="450">
        <v>58.0873165335541</v>
      </c>
      <c r="EO52" s="450">
        <v>59.87025556525667</v>
      </c>
      <c r="EP52" s="450">
        <v>61.66996211435243</v>
      </c>
      <c r="EQ52" s="450">
        <v>65.83266117500784</v>
      </c>
      <c r="ER52" s="443">
        <v>1339580</v>
      </c>
      <c r="ES52" s="443">
        <v>0</v>
      </c>
      <c r="ET52" s="443">
        <v>0</v>
      </c>
      <c r="EU52" s="443">
        <v>0</v>
      </c>
      <c r="EV52" s="443">
        <v>0</v>
      </c>
      <c r="EW52" s="443">
        <v>0</v>
      </c>
      <c r="EX52" s="443">
        <v>0</v>
      </c>
      <c r="EY52" s="443">
        <v>0</v>
      </c>
      <c r="EZ52" s="443">
        <v>0</v>
      </c>
      <c r="FA52" s="443">
        <v>1339580</v>
      </c>
      <c r="FB52" s="443">
        <v>39860.03778287657</v>
      </c>
      <c r="FC52" s="443">
        <v>0</v>
      </c>
      <c r="FD52" s="443">
        <v>0</v>
      </c>
      <c r="FE52" s="443">
        <v>52425</v>
      </c>
      <c r="FF52" s="452">
        <v>0.0393</v>
      </c>
      <c r="FG52" s="443">
        <v>2060.3025000000002</v>
      </c>
      <c r="FH52" s="453">
        <v>2060.3025000000002</v>
      </c>
    </row>
    <row r="53" spans="2:164" ht="12.75">
      <c r="B53" s="356" t="s">
        <v>741</v>
      </c>
      <c r="C53" s="442">
        <v>10542</v>
      </c>
      <c r="D53" s="443">
        <v>2487086</v>
      </c>
      <c r="E53" s="443">
        <v>2133919.788</v>
      </c>
      <c r="F53" s="443">
        <v>256811.20410512702</v>
      </c>
      <c r="G53" s="443">
        <v>353166.21200000006</v>
      </c>
      <c r="H53" s="444">
        <v>0.3567615253272624</v>
      </c>
      <c r="I53" s="445">
        <v>2807.95</v>
      </c>
      <c r="J53" s="445">
        <v>953.03</v>
      </c>
      <c r="K53" s="443">
        <v>2390730.9921051273</v>
      </c>
      <c r="L53" s="443">
        <v>1912584.793684102</v>
      </c>
      <c r="M53" s="443">
        <v>502788.2805308853</v>
      </c>
      <c r="N53" s="443">
        <v>478146.19842102536</v>
      </c>
      <c r="O53" s="446">
        <v>1.0515367103016506</v>
      </c>
      <c r="P53" s="447">
        <v>0.9509580724720167</v>
      </c>
      <c r="Q53" s="448">
        <v>0.04372984253462341</v>
      </c>
      <c r="R53" s="443">
        <v>2415373.0742149875</v>
      </c>
      <c r="S53" s="443">
        <v>1632792.1981693315</v>
      </c>
      <c r="T53" s="443">
        <v>179496.22936023245</v>
      </c>
      <c r="U53" s="443">
        <v>465085.5841488607</v>
      </c>
      <c r="V53" s="443">
        <v>550705.0609210172</v>
      </c>
      <c r="W53" s="446">
        <v>0.8445275287120775</v>
      </c>
      <c r="X53" s="448">
        <v>15.768575061483768</v>
      </c>
      <c r="Y53" s="443">
        <v>179496.22936023245</v>
      </c>
      <c r="Z53" s="443">
        <v>231875.81512463882</v>
      </c>
      <c r="AA53" s="444">
        <v>0.7741050064395415</v>
      </c>
      <c r="AB53" s="444">
        <v>0.06350787326882944</v>
      </c>
      <c r="AC53" s="445">
        <v>483</v>
      </c>
      <c r="AD53" s="445">
        <v>856</v>
      </c>
      <c r="AE53" s="443">
        <v>2277374.0116784247</v>
      </c>
      <c r="AF53" s="443">
        <v>106075.12515559042</v>
      </c>
      <c r="AG53" s="447">
        <v>0.5</v>
      </c>
      <c r="AH53" s="446">
        <v>0.1519514848308984</v>
      </c>
      <c r="AI53" s="448">
        <v>0.12795985252124004</v>
      </c>
      <c r="AJ53" s="443">
        <v>2383449.136834015</v>
      </c>
      <c r="AK53" s="449">
        <v>1</v>
      </c>
      <c r="AL53" s="443">
        <v>2383449.136834015</v>
      </c>
      <c r="AM53" s="443">
        <v>5312149.3407655</v>
      </c>
      <c r="AN53" s="443">
        <v>5247275.5390247535</v>
      </c>
      <c r="AO53" s="443">
        <v>4632832.075533078</v>
      </c>
      <c r="AP53" s="443">
        <v>5247275.5390247535</v>
      </c>
      <c r="AQ53" s="443">
        <v>42168</v>
      </c>
      <c r="AR53" s="443">
        <v>5289443.5390247535</v>
      </c>
      <c r="AS53" s="450">
        <v>501.74952940853285</v>
      </c>
      <c r="AT53" s="446">
        <v>10542</v>
      </c>
      <c r="AU53" s="446">
        <v>589</v>
      </c>
      <c r="AV53" s="446">
        <v>465</v>
      </c>
      <c r="AW53" s="446">
        <v>407</v>
      </c>
      <c r="AX53" s="446">
        <v>468</v>
      </c>
      <c r="AY53" s="446">
        <v>1067</v>
      </c>
      <c r="AZ53" s="446">
        <v>703</v>
      </c>
      <c r="BA53" s="446">
        <v>755</v>
      </c>
      <c r="BB53" s="446">
        <v>654</v>
      </c>
      <c r="BC53" s="446">
        <v>136</v>
      </c>
      <c r="BD53" s="446">
        <v>2500</v>
      </c>
      <c r="BE53" s="446">
        <v>519</v>
      </c>
      <c r="BF53" s="446">
        <v>0</v>
      </c>
      <c r="BG53" s="446">
        <v>2279</v>
      </c>
      <c r="BH53" s="446">
        <v>0</v>
      </c>
      <c r="BI53" s="446">
        <v>0</v>
      </c>
      <c r="BJ53" s="448">
        <v>1.2428762673564608</v>
      </c>
      <c r="BK53" s="448">
        <v>9.112995934454183</v>
      </c>
      <c r="BL53" s="448">
        <v>6.320746115364435</v>
      </c>
      <c r="BM53" s="448">
        <v>5.584499638179494</v>
      </c>
      <c r="BN53" s="445">
        <v>10023</v>
      </c>
      <c r="BO53" s="445">
        <v>519</v>
      </c>
      <c r="BP53" s="443">
        <v>2632399.5054983106</v>
      </c>
      <c r="BQ53" s="443">
        <v>10631684</v>
      </c>
      <c r="BR53" s="443">
        <v>14246594</v>
      </c>
      <c r="BS53" s="444">
        <v>0.06350787326882944</v>
      </c>
      <c r="BT53" s="445">
        <v>483</v>
      </c>
      <c r="BU53" s="445">
        <v>856</v>
      </c>
      <c r="BV53" s="443">
        <v>904770.8862644659</v>
      </c>
      <c r="BW53" s="444">
        <v>0.020741263596060783</v>
      </c>
      <c r="BX53" s="443">
        <v>25676.430634402266</v>
      </c>
      <c r="BY53" s="443">
        <v>14194530.822397178</v>
      </c>
      <c r="BZ53" s="451">
        <v>0.9966666666666667</v>
      </c>
      <c r="CA53" s="443">
        <v>14147215.719655855</v>
      </c>
      <c r="CB53" s="443">
        <v>10352052.497792883</v>
      </c>
      <c r="CC53" s="443">
        <v>10352052.497792883</v>
      </c>
      <c r="CD53" s="443">
        <v>9992937.150683146</v>
      </c>
      <c r="CE53" s="443">
        <v>10278482.043454496</v>
      </c>
      <c r="CF53" s="450">
        <v>975.0030395991744</v>
      </c>
      <c r="CG53" s="446">
        <v>10542</v>
      </c>
      <c r="CH53" s="446">
        <v>589</v>
      </c>
      <c r="CI53" s="446">
        <v>465</v>
      </c>
      <c r="CJ53" s="446">
        <v>407</v>
      </c>
      <c r="CK53" s="446">
        <v>468</v>
      </c>
      <c r="CL53" s="446">
        <v>1067</v>
      </c>
      <c r="CM53" s="446">
        <v>703</v>
      </c>
      <c r="CN53" s="446">
        <v>755</v>
      </c>
      <c r="CO53" s="446">
        <v>654</v>
      </c>
      <c r="CP53" s="446">
        <v>136</v>
      </c>
      <c r="CQ53" s="446">
        <v>2500</v>
      </c>
      <c r="CR53" s="446">
        <v>519</v>
      </c>
      <c r="CS53" s="446">
        <v>0</v>
      </c>
      <c r="CT53" s="446">
        <v>2279</v>
      </c>
      <c r="CU53" s="446">
        <v>0</v>
      </c>
      <c r="CV53" s="446">
        <v>0</v>
      </c>
      <c r="CW53" s="443">
        <v>7167106.619069962</v>
      </c>
      <c r="CX53" s="448">
        <v>0.9730093780656495</v>
      </c>
      <c r="CY53" s="448">
        <v>0.9966666666666667</v>
      </c>
      <c r="CZ53" s="443">
        <v>6973661.953951463</v>
      </c>
      <c r="DA53" s="450">
        <v>661.5122323991143</v>
      </c>
      <c r="DB53" s="445">
        <v>10542</v>
      </c>
      <c r="DC53" s="448">
        <v>1.0100834756213244</v>
      </c>
      <c r="DD53" s="450">
        <v>255.5</v>
      </c>
      <c r="DE53" s="443">
        <v>38279</v>
      </c>
      <c r="DF53" s="450">
        <v>43.793959232218576</v>
      </c>
      <c r="DG53" s="450">
        <v>45.677099479203974</v>
      </c>
      <c r="DH53" s="450">
        <v>46.681995667746456</v>
      </c>
      <c r="DI53" s="450">
        <v>47.708999572436866</v>
      </c>
      <c r="DJ53" s="450">
        <v>49.283396558327276</v>
      </c>
      <c r="DK53" s="450">
        <v>51.05759883442705</v>
      </c>
      <c r="DL53" s="450">
        <v>52.691441997128706</v>
      </c>
      <c r="DM53" s="450">
        <v>54.851791119010976</v>
      </c>
      <c r="DN53" s="450">
        <v>57.26526992824745</v>
      </c>
      <c r="DO53" s="450">
        <v>60.41485977430106</v>
      </c>
      <c r="DP53" s="450">
        <v>59.87112603633235</v>
      </c>
      <c r="DQ53" s="450">
        <v>62.924553464185294</v>
      </c>
      <c r="DR53" s="450">
        <v>39.123730754787836</v>
      </c>
      <c r="DS53" s="450">
        <v>40.65420711502849</v>
      </c>
      <c r="DT53" s="450">
        <v>42.23308854943441</v>
      </c>
      <c r="DU53" s="450">
        <v>44.333857482410934</v>
      </c>
      <c r="DV53" s="450">
        <v>46.66240813501334</v>
      </c>
      <c r="DW53" s="450">
        <v>48.91157799563291</v>
      </c>
      <c r="DX53" s="450">
        <v>51.70392037856528</v>
      </c>
      <c r="DY53" s="450">
        <v>54.34404588111384</v>
      </c>
      <c r="DZ53" s="450">
        <v>55.85376240690897</v>
      </c>
      <c r="EA53" s="450">
        <v>56.82340671823883</v>
      </c>
      <c r="EB53" s="450">
        <v>60.362031061532264</v>
      </c>
      <c r="EC53" s="450">
        <v>0</v>
      </c>
      <c r="ED53" s="450">
        <v>60.362031061532264</v>
      </c>
      <c r="EE53" s="450">
        <v>3138.8256151996775</v>
      </c>
      <c r="EF53" s="443">
        <v>32427709.6427263</v>
      </c>
      <c r="EG53" s="450">
        <v>43.75071160345476</v>
      </c>
      <c r="EH53" s="450">
        <v>44.91010409963232</v>
      </c>
      <c r="EI53" s="450">
        <v>46.09933452122563</v>
      </c>
      <c r="EJ53" s="450">
        <v>47.82846056016372</v>
      </c>
      <c r="EK53" s="450">
        <v>49.76561566805781</v>
      </c>
      <c r="EL53" s="450">
        <v>51.58033647405116</v>
      </c>
      <c r="EM53" s="450">
        <v>53.926462439392</v>
      </c>
      <c r="EN53" s="450">
        <v>56.406564913561034</v>
      </c>
      <c r="EO53" s="450">
        <v>57.82071805751945</v>
      </c>
      <c r="EP53" s="450">
        <v>58.13772392116808</v>
      </c>
      <c r="EQ53" s="450">
        <v>61.46710896575517</v>
      </c>
      <c r="ER53" s="443">
        <v>21092980</v>
      </c>
      <c r="ES53" s="443">
        <v>720000</v>
      </c>
      <c r="ET53" s="443">
        <v>0</v>
      </c>
      <c r="EU53" s="443">
        <v>0</v>
      </c>
      <c r="EV53" s="443">
        <v>0</v>
      </c>
      <c r="EW53" s="443">
        <v>0</v>
      </c>
      <c r="EX53" s="443">
        <v>0</v>
      </c>
      <c r="EY53" s="443">
        <v>0</v>
      </c>
      <c r="EZ53" s="443">
        <v>23060000</v>
      </c>
      <c r="FA53" s="443">
        <v>44512980</v>
      </c>
      <c r="FB53" s="443">
        <v>60289.54317228848</v>
      </c>
      <c r="FC53" s="443">
        <v>0</v>
      </c>
      <c r="FD53" s="443">
        <v>0</v>
      </c>
      <c r="FE53" s="443">
        <v>70770</v>
      </c>
      <c r="FF53" s="452">
        <v>0.0426</v>
      </c>
      <c r="FG53" s="443">
        <v>3014.802</v>
      </c>
      <c r="FH53" s="453">
        <v>3014.802</v>
      </c>
    </row>
    <row r="54" spans="2:164" ht="12.75">
      <c r="B54" s="356" t="s">
        <v>742</v>
      </c>
      <c r="C54" s="442">
        <v>8177.18</v>
      </c>
      <c r="D54" s="443">
        <v>1936082.94</v>
      </c>
      <c r="E54" s="443">
        <v>1661159.16252</v>
      </c>
      <c r="F54" s="443">
        <v>231432.11227292198</v>
      </c>
      <c r="G54" s="443">
        <v>274923.77748000005</v>
      </c>
      <c r="H54" s="444">
        <v>0.41300423862505165</v>
      </c>
      <c r="I54" s="445">
        <v>2710.05</v>
      </c>
      <c r="J54" s="445">
        <v>667.16</v>
      </c>
      <c r="K54" s="443">
        <v>1892591.274792922</v>
      </c>
      <c r="L54" s="443">
        <v>1514073.0198343378</v>
      </c>
      <c r="M54" s="443">
        <v>441875.7334446777</v>
      </c>
      <c r="N54" s="443">
        <v>378518.2549585843</v>
      </c>
      <c r="O54" s="446">
        <v>1.1673828874991132</v>
      </c>
      <c r="P54" s="447">
        <v>0.8712049875384912</v>
      </c>
      <c r="Q54" s="448">
        <v>0.12877299998287917</v>
      </c>
      <c r="R54" s="443">
        <v>1955948.7532790154</v>
      </c>
      <c r="S54" s="443">
        <v>1322221.3572166145</v>
      </c>
      <c r="T54" s="443">
        <v>114337.7165944107</v>
      </c>
      <c r="U54" s="443">
        <v>478656.17447497824</v>
      </c>
      <c r="V54" s="443">
        <v>445956.31574761553</v>
      </c>
      <c r="W54" s="446">
        <v>1.0733252508657571</v>
      </c>
      <c r="X54" s="448">
        <v>20.04056612514844</v>
      </c>
      <c r="Y54" s="443">
        <v>114337.7165944107</v>
      </c>
      <c r="Z54" s="443">
        <v>187771.08031478547</v>
      </c>
      <c r="AA54" s="444">
        <v>0.6089208008109197</v>
      </c>
      <c r="AB54" s="444">
        <v>0.04995609733428884</v>
      </c>
      <c r="AC54" s="445">
        <v>410</v>
      </c>
      <c r="AD54" s="445">
        <v>407</v>
      </c>
      <c r="AE54" s="443">
        <v>1915215.2482860032</v>
      </c>
      <c r="AF54" s="443">
        <v>0</v>
      </c>
      <c r="AG54" s="447">
        <v>0</v>
      </c>
      <c r="AH54" s="446">
        <v>0.023062467087242165</v>
      </c>
      <c r="AI54" s="448">
        <v>0.019421132281422615</v>
      </c>
      <c r="AJ54" s="443">
        <v>1915215.2482860032</v>
      </c>
      <c r="AK54" s="449">
        <v>1.1323222768566725</v>
      </c>
      <c r="AL54" s="443">
        <v>2168640.8906098246</v>
      </c>
      <c r="AM54" s="443">
        <v>4833392.1204261705</v>
      </c>
      <c r="AN54" s="443">
        <v>4774365.067148592</v>
      </c>
      <c r="AO54" s="443">
        <v>4771884.758369151</v>
      </c>
      <c r="AP54" s="443">
        <v>4774365.067148592</v>
      </c>
      <c r="AQ54" s="443">
        <v>32708.72</v>
      </c>
      <c r="AR54" s="443">
        <v>4807073.787148592</v>
      </c>
      <c r="AS54" s="450">
        <v>587.8644945015998</v>
      </c>
      <c r="AT54" s="446">
        <v>8086</v>
      </c>
      <c r="AU54" s="446">
        <v>42</v>
      </c>
      <c r="AV54" s="446">
        <v>61</v>
      </c>
      <c r="AW54" s="446">
        <v>0</v>
      </c>
      <c r="AX54" s="446">
        <v>1994</v>
      </c>
      <c r="AY54" s="446">
        <v>423</v>
      </c>
      <c r="AZ54" s="446">
        <v>314</v>
      </c>
      <c r="BA54" s="446">
        <v>1518</v>
      </c>
      <c r="BB54" s="446">
        <v>208</v>
      </c>
      <c r="BC54" s="446">
        <v>14</v>
      </c>
      <c r="BD54" s="446">
        <v>1958</v>
      </c>
      <c r="BE54" s="446">
        <v>962</v>
      </c>
      <c r="BF54" s="446">
        <v>79</v>
      </c>
      <c r="BG54" s="446">
        <v>438</v>
      </c>
      <c r="BH54" s="446">
        <v>69</v>
      </c>
      <c r="BI54" s="446">
        <v>6</v>
      </c>
      <c r="BJ54" s="448">
        <v>1.398239815627369</v>
      </c>
      <c r="BK54" s="448">
        <v>12.758457425677443</v>
      </c>
      <c r="BL54" s="448">
        <v>9.23658998341814</v>
      </c>
      <c r="BM54" s="448">
        <v>7.043734884518606</v>
      </c>
      <c r="BN54" s="445">
        <v>7045</v>
      </c>
      <c r="BO54" s="445">
        <v>1041</v>
      </c>
      <c r="BP54" s="443">
        <v>2141762.227026116</v>
      </c>
      <c r="BQ54" s="443">
        <v>8261244</v>
      </c>
      <c r="BR54" s="443">
        <v>11265485</v>
      </c>
      <c r="BS54" s="444">
        <v>0.050519416275043284</v>
      </c>
      <c r="BT54" s="445">
        <v>410</v>
      </c>
      <c r="BU54" s="445">
        <v>407</v>
      </c>
      <c r="BV54" s="443">
        <v>569125.726255256</v>
      </c>
      <c r="BW54" s="444">
        <v>0.003652556889822823</v>
      </c>
      <c r="BX54" s="443">
        <v>4855.613903239505</v>
      </c>
      <c r="BY54" s="443">
        <v>10976987.567184612</v>
      </c>
      <c r="BZ54" s="451">
        <v>1.0633333333333335</v>
      </c>
      <c r="CA54" s="443">
        <v>11672196.779772973</v>
      </c>
      <c r="CB54" s="443">
        <v>8540987.58534504</v>
      </c>
      <c r="CC54" s="443">
        <v>8540987.58534504</v>
      </c>
      <c r="CD54" s="443">
        <v>8373262.731549806</v>
      </c>
      <c r="CE54" s="443">
        <v>8480288.092439035</v>
      </c>
      <c r="CF54" s="450">
        <v>1048.7618219687156</v>
      </c>
      <c r="CG54" s="446">
        <v>8086</v>
      </c>
      <c r="CH54" s="446">
        <v>42</v>
      </c>
      <c r="CI54" s="446">
        <v>61</v>
      </c>
      <c r="CJ54" s="446">
        <v>0</v>
      </c>
      <c r="CK54" s="446">
        <v>1994</v>
      </c>
      <c r="CL54" s="446">
        <v>423</v>
      </c>
      <c r="CM54" s="446">
        <v>314</v>
      </c>
      <c r="CN54" s="446">
        <v>1518</v>
      </c>
      <c r="CO54" s="446">
        <v>208</v>
      </c>
      <c r="CP54" s="446">
        <v>14</v>
      </c>
      <c r="CQ54" s="446">
        <v>1958</v>
      </c>
      <c r="CR54" s="446">
        <v>962</v>
      </c>
      <c r="CS54" s="446">
        <v>79</v>
      </c>
      <c r="CT54" s="446">
        <v>438</v>
      </c>
      <c r="CU54" s="446">
        <v>69</v>
      </c>
      <c r="CV54" s="446">
        <v>6</v>
      </c>
      <c r="CW54" s="443">
        <v>5766872.589105155</v>
      </c>
      <c r="CX54" s="448">
        <v>1.0380936174011444</v>
      </c>
      <c r="CY54" s="448">
        <v>1.0633333333333335</v>
      </c>
      <c r="CZ54" s="443">
        <v>5986553.627115674</v>
      </c>
      <c r="DA54" s="450">
        <v>740.3603298436401</v>
      </c>
      <c r="DB54" s="445">
        <v>8177.18</v>
      </c>
      <c r="DC54" s="448">
        <v>1.033568173869231</v>
      </c>
      <c r="DD54" s="450">
        <v>332.5</v>
      </c>
      <c r="DE54" s="443">
        <v>67488</v>
      </c>
      <c r="DF54" s="450">
        <v>63.756597932985414</v>
      </c>
      <c r="DG54" s="450">
        <v>66.49813164410378</v>
      </c>
      <c r="DH54" s="450">
        <v>67.96109054027404</v>
      </c>
      <c r="DI54" s="450">
        <v>69.45623453216005</v>
      </c>
      <c r="DJ54" s="450">
        <v>71.74829027172133</v>
      </c>
      <c r="DK54" s="450">
        <v>74.33122872150328</v>
      </c>
      <c r="DL54" s="450">
        <v>76.70982804059138</v>
      </c>
      <c r="DM54" s="450">
        <v>79.85493099025561</v>
      </c>
      <c r="DN54" s="450">
        <v>83.36854795382685</v>
      </c>
      <c r="DO54" s="450">
        <v>87.95381809128732</v>
      </c>
      <c r="DP54" s="450">
        <v>87.16223372846574</v>
      </c>
      <c r="DQ54" s="450">
        <v>91.60750764861749</v>
      </c>
      <c r="DR54" s="450">
        <v>49.02</v>
      </c>
      <c r="DS54" s="450">
        <v>51.8847050540274</v>
      </c>
      <c r="DT54" s="450">
        <v>54.851731450432</v>
      </c>
      <c r="DU54" s="450">
        <v>58.547645048724384</v>
      </c>
      <c r="DV54" s="450">
        <v>62.609055763482</v>
      </c>
      <c r="DW54" s="450">
        <v>66.62875929669308</v>
      </c>
      <c r="DX54" s="450">
        <v>71.45941694033712</v>
      </c>
      <c r="DY54" s="450">
        <v>75.57751091550249</v>
      </c>
      <c r="DZ54" s="450">
        <v>77.93934078250336</v>
      </c>
      <c r="EA54" s="450">
        <v>80.4705730389152</v>
      </c>
      <c r="EB54" s="450">
        <v>85.9811593408434</v>
      </c>
      <c r="EC54" s="450">
        <v>0</v>
      </c>
      <c r="ED54" s="450">
        <v>85.9811593408434</v>
      </c>
      <c r="EE54" s="450">
        <v>4471.020285723857</v>
      </c>
      <c r="EF54" s="443">
        <v>35829130.906815104</v>
      </c>
      <c r="EG54" s="450">
        <v>49.02</v>
      </c>
      <c r="EH54" s="450">
        <v>51.8847050540274</v>
      </c>
      <c r="EI54" s="450">
        <v>54.851731450432</v>
      </c>
      <c r="EJ54" s="450">
        <v>58.547645048724384</v>
      </c>
      <c r="EK54" s="450">
        <v>62.609055763482</v>
      </c>
      <c r="EL54" s="450">
        <v>66.62875929669308</v>
      </c>
      <c r="EM54" s="450">
        <v>71.45941694033712</v>
      </c>
      <c r="EN54" s="450">
        <v>75.57751091550249</v>
      </c>
      <c r="EO54" s="450">
        <v>77.93934078250336</v>
      </c>
      <c r="EP54" s="450">
        <v>80.4705730389152</v>
      </c>
      <c r="EQ54" s="450">
        <v>85.9811593408434</v>
      </c>
      <c r="ER54" s="443">
        <v>2776148</v>
      </c>
      <c r="ES54" s="443">
        <v>0</v>
      </c>
      <c r="ET54" s="443">
        <v>0</v>
      </c>
      <c r="EU54" s="443">
        <v>0</v>
      </c>
      <c r="EV54" s="443">
        <v>0</v>
      </c>
      <c r="EW54" s="443">
        <v>0</v>
      </c>
      <c r="EX54" s="443">
        <v>0</v>
      </c>
      <c r="EY54" s="443">
        <v>0</v>
      </c>
      <c r="EZ54" s="443">
        <v>0</v>
      </c>
      <c r="FA54" s="443">
        <v>2776148</v>
      </c>
      <c r="FB54" s="443">
        <v>40539.816852819094</v>
      </c>
      <c r="FC54" s="443">
        <v>0</v>
      </c>
      <c r="FD54" s="443">
        <v>0</v>
      </c>
      <c r="FE54" s="443">
        <v>145788</v>
      </c>
      <c r="FF54" s="452">
        <v>0.0313</v>
      </c>
      <c r="FG54" s="443">
        <v>4563.164400000001</v>
      </c>
      <c r="FH54" s="453">
        <v>4563.164400000001</v>
      </c>
    </row>
    <row r="55" spans="2:164" ht="12.75">
      <c r="B55" s="356" t="s">
        <v>743</v>
      </c>
      <c r="C55" s="442">
        <v>14058</v>
      </c>
      <c r="D55" s="443">
        <v>3306314</v>
      </c>
      <c r="E55" s="443">
        <v>2836817.412</v>
      </c>
      <c r="F55" s="443">
        <v>568957.0818422635</v>
      </c>
      <c r="G55" s="443">
        <v>469496.58800000005</v>
      </c>
      <c r="H55" s="444">
        <v>0.5945525679328497</v>
      </c>
      <c r="I55" s="445">
        <v>7647.77</v>
      </c>
      <c r="J55" s="445">
        <v>710.45</v>
      </c>
      <c r="K55" s="443">
        <v>3405774.4938422637</v>
      </c>
      <c r="L55" s="443">
        <v>2724619.5950738112</v>
      </c>
      <c r="M55" s="443">
        <v>1085986.1190487412</v>
      </c>
      <c r="N55" s="443">
        <v>681154.8987684526</v>
      </c>
      <c r="O55" s="446">
        <v>1.594330630246123</v>
      </c>
      <c r="P55" s="447">
        <v>0.5428225921183668</v>
      </c>
      <c r="Q55" s="448">
        <v>0.45717740788163325</v>
      </c>
      <c r="R55" s="443">
        <v>3810605.7141225524</v>
      </c>
      <c r="S55" s="443">
        <v>2575969.4627468456</v>
      </c>
      <c r="T55" s="443">
        <v>396323.91160944913</v>
      </c>
      <c r="U55" s="443">
        <v>932099.81061804</v>
      </c>
      <c r="V55" s="443">
        <v>868818.1028199419</v>
      </c>
      <c r="W55" s="446">
        <v>1.0728365437974914</v>
      </c>
      <c r="X55" s="448">
        <v>20.031441243096605</v>
      </c>
      <c r="Y55" s="443">
        <v>396323.91160944913</v>
      </c>
      <c r="Z55" s="443">
        <v>365818.14855576504</v>
      </c>
      <c r="AA55" s="444">
        <v>1.0833905129478119</v>
      </c>
      <c r="AB55" s="444">
        <v>0.08888177550149381</v>
      </c>
      <c r="AC55" s="445">
        <v>1284</v>
      </c>
      <c r="AD55" s="445">
        <v>1215</v>
      </c>
      <c r="AE55" s="443">
        <v>3904393.1849743347</v>
      </c>
      <c r="AF55" s="443">
        <v>305274.57695114263</v>
      </c>
      <c r="AG55" s="447">
        <v>1</v>
      </c>
      <c r="AH55" s="446">
        <v>0.17274984676103072</v>
      </c>
      <c r="AI55" s="448">
        <v>0.1454743593931198</v>
      </c>
      <c r="AJ55" s="443">
        <v>4209667.761925478</v>
      </c>
      <c r="AK55" s="449">
        <v>1.0879518101672272</v>
      </c>
      <c r="AL55" s="443">
        <v>4579915.661789443</v>
      </c>
      <c r="AM55" s="443">
        <v>10207558.27659631</v>
      </c>
      <c r="AN55" s="443">
        <v>10082900.050817288</v>
      </c>
      <c r="AO55" s="443">
        <v>9378506.803722274</v>
      </c>
      <c r="AP55" s="443">
        <v>10082900.050817288</v>
      </c>
      <c r="AQ55" s="443">
        <v>56232</v>
      </c>
      <c r="AR55" s="443">
        <v>10139132.050817288</v>
      </c>
      <c r="AS55" s="450">
        <v>721.2357412731035</v>
      </c>
      <c r="AT55" s="446">
        <v>14054</v>
      </c>
      <c r="AU55" s="446">
        <v>244</v>
      </c>
      <c r="AV55" s="446">
        <v>874</v>
      </c>
      <c r="AW55" s="446">
        <v>1043</v>
      </c>
      <c r="AX55" s="446">
        <v>11</v>
      </c>
      <c r="AY55" s="446">
        <v>1659</v>
      </c>
      <c r="AZ55" s="446">
        <v>694</v>
      </c>
      <c r="BA55" s="446">
        <v>597</v>
      </c>
      <c r="BB55" s="446">
        <v>108</v>
      </c>
      <c r="BC55" s="446">
        <v>491</v>
      </c>
      <c r="BD55" s="446">
        <v>1675</v>
      </c>
      <c r="BE55" s="446">
        <v>4811</v>
      </c>
      <c r="BF55" s="446">
        <v>1616</v>
      </c>
      <c r="BG55" s="446">
        <v>231</v>
      </c>
      <c r="BH55" s="446">
        <v>0</v>
      </c>
      <c r="BI55" s="446">
        <v>0</v>
      </c>
      <c r="BJ55" s="448">
        <v>1.8521388850534488</v>
      </c>
      <c r="BK55" s="448">
        <v>17.02012792022221</v>
      </c>
      <c r="BL55" s="448">
        <v>8.39808006003443</v>
      </c>
      <c r="BM55" s="448">
        <v>17.244095720375565</v>
      </c>
      <c r="BN55" s="445">
        <v>7627</v>
      </c>
      <c r="BO55" s="445">
        <v>6427</v>
      </c>
      <c r="BP55" s="443">
        <v>5084952.849831106</v>
      </c>
      <c r="BQ55" s="443">
        <v>16468675</v>
      </c>
      <c r="BR55" s="443">
        <v>19175051</v>
      </c>
      <c r="BS55" s="444">
        <v>0.08890707271951045</v>
      </c>
      <c r="BT55" s="445">
        <v>1284</v>
      </c>
      <c r="BU55" s="445">
        <v>1215</v>
      </c>
      <c r="BV55" s="443">
        <v>1704797.6536573216</v>
      </c>
      <c r="BW55" s="444">
        <v>0.01005533492841031</v>
      </c>
      <c r="BX55" s="443">
        <v>30993.781107394938</v>
      </c>
      <c r="BY55" s="443">
        <v>23289419.284595825</v>
      </c>
      <c r="BZ55" s="451">
        <v>1.1533333333333333</v>
      </c>
      <c r="CA55" s="443">
        <v>26860463.57490052</v>
      </c>
      <c r="CB55" s="443">
        <v>19654816.506126463</v>
      </c>
      <c r="CC55" s="443">
        <v>19654816.506126463</v>
      </c>
      <c r="CD55" s="443">
        <v>18395143.99679523</v>
      </c>
      <c r="CE55" s="443">
        <v>19515132.730314694</v>
      </c>
      <c r="CF55" s="450">
        <v>1388.5820926650558</v>
      </c>
      <c r="CG55" s="446">
        <v>14054</v>
      </c>
      <c r="CH55" s="446">
        <v>244</v>
      </c>
      <c r="CI55" s="446">
        <v>874</v>
      </c>
      <c r="CJ55" s="446">
        <v>1043</v>
      </c>
      <c r="CK55" s="446">
        <v>11</v>
      </c>
      <c r="CL55" s="446">
        <v>1659</v>
      </c>
      <c r="CM55" s="446">
        <v>694</v>
      </c>
      <c r="CN55" s="446">
        <v>597</v>
      </c>
      <c r="CO55" s="446">
        <v>108</v>
      </c>
      <c r="CP55" s="446">
        <v>491</v>
      </c>
      <c r="CQ55" s="446">
        <v>1675</v>
      </c>
      <c r="CR55" s="446">
        <v>4811</v>
      </c>
      <c r="CS55" s="446">
        <v>1616</v>
      </c>
      <c r="CT55" s="446">
        <v>231</v>
      </c>
      <c r="CU55" s="446">
        <v>0</v>
      </c>
      <c r="CV55" s="446">
        <v>0</v>
      </c>
      <c r="CW55" s="443">
        <v>10632036.30758569</v>
      </c>
      <c r="CX55" s="448">
        <v>1.1259573405040626</v>
      </c>
      <c r="CY55" s="448">
        <v>1.1533333333333333</v>
      </c>
      <c r="CZ55" s="443">
        <v>11971219.325031817</v>
      </c>
      <c r="DA55" s="450">
        <v>851.801574287165</v>
      </c>
      <c r="DB55" s="445">
        <v>14058</v>
      </c>
      <c r="DC55" s="448">
        <v>1.0013586569924597</v>
      </c>
      <c r="DD55" s="450">
        <v>354.1</v>
      </c>
      <c r="DE55" s="443">
        <v>68791</v>
      </c>
      <c r="DF55" s="450">
        <v>65.50530509760887</v>
      </c>
      <c r="DG55" s="450">
        <v>68.32203321680605</v>
      </c>
      <c r="DH55" s="450">
        <v>69.82511794757576</v>
      </c>
      <c r="DI55" s="450">
        <v>71.36127054242242</v>
      </c>
      <c r="DJ55" s="450">
        <v>73.71619247032235</v>
      </c>
      <c r="DK55" s="450">
        <v>76.36997539925395</v>
      </c>
      <c r="DL55" s="450">
        <v>78.81381461203006</v>
      </c>
      <c r="DM55" s="450">
        <v>82.04518101112329</v>
      </c>
      <c r="DN55" s="450">
        <v>85.6551689756127</v>
      </c>
      <c r="DO55" s="450">
        <v>90.3662032692714</v>
      </c>
      <c r="DP55" s="450">
        <v>89.55290743984796</v>
      </c>
      <c r="DQ55" s="450">
        <v>94.12010571928019</v>
      </c>
      <c r="DR55" s="450">
        <v>54.28</v>
      </c>
      <c r="DS55" s="450">
        <v>56.90925579475757</v>
      </c>
      <c r="DT55" s="450">
        <v>59.62792732448447</v>
      </c>
      <c r="DU55" s="450">
        <v>63.11071686920869</v>
      </c>
      <c r="DV55" s="450">
        <v>66.952313065465</v>
      </c>
      <c r="DW55" s="450">
        <v>70.71462500497158</v>
      </c>
      <c r="DX55" s="450">
        <v>75.30017590636498</v>
      </c>
      <c r="DY55" s="450">
        <v>79.39580423839699</v>
      </c>
      <c r="DZ55" s="450">
        <v>81.74154552663603</v>
      </c>
      <c r="EA55" s="450">
        <v>83.78992237355808</v>
      </c>
      <c r="EB55" s="450">
        <v>89.27458787554367</v>
      </c>
      <c r="EC55" s="450">
        <v>-0.93</v>
      </c>
      <c r="ED55" s="450">
        <v>88.34458787554367</v>
      </c>
      <c r="EE55" s="450">
        <v>4593.91856952827</v>
      </c>
      <c r="EF55" s="443">
        <v>63289681.10541985</v>
      </c>
      <c r="EG55" s="450">
        <v>67.34</v>
      </c>
      <c r="EH55" s="450">
        <v>68.92184379475756</v>
      </c>
      <c r="EI55" s="450">
        <v>70.54069615648446</v>
      </c>
      <c r="EJ55" s="450">
        <v>72.97449579723268</v>
      </c>
      <c r="EK55" s="450">
        <v>75.71134875355031</v>
      </c>
      <c r="EL55" s="450">
        <v>78.24739569672492</v>
      </c>
      <c r="EM55" s="450">
        <v>81.57346733845716</v>
      </c>
      <c r="EN55" s="450">
        <v>85.21741868737854</v>
      </c>
      <c r="EO55" s="450">
        <v>87.29342517281476</v>
      </c>
      <c r="EP55" s="450">
        <v>87.4996811194153</v>
      </c>
      <c r="EQ55" s="450">
        <v>92.39375302906042</v>
      </c>
      <c r="ER55" s="443">
        <v>103310242.6</v>
      </c>
      <c r="ES55" s="443">
        <v>3256000</v>
      </c>
      <c r="ET55" s="443">
        <v>0</v>
      </c>
      <c r="EU55" s="443">
        <v>77700</v>
      </c>
      <c r="EV55" s="443">
        <v>0</v>
      </c>
      <c r="EW55" s="443">
        <v>0</v>
      </c>
      <c r="EX55" s="443">
        <v>0</v>
      </c>
      <c r="EY55" s="443">
        <v>0</v>
      </c>
      <c r="EZ55" s="443">
        <v>0</v>
      </c>
      <c r="FA55" s="443">
        <v>105015942.6</v>
      </c>
      <c r="FB55" s="443">
        <v>88919.33838211879</v>
      </c>
      <c r="FC55" s="443">
        <v>0</v>
      </c>
      <c r="FD55" s="443">
        <v>0</v>
      </c>
      <c r="FE55" s="443">
        <v>169119</v>
      </c>
      <c r="FF55" s="452">
        <v>0.0481</v>
      </c>
      <c r="FG55" s="443">
        <v>8134.6239</v>
      </c>
      <c r="FH55" s="453">
        <v>8134.6239</v>
      </c>
    </row>
    <row r="56" spans="2:164" ht="12.75">
      <c r="B56" s="356" t="s">
        <v>744</v>
      </c>
      <c r="C56" s="442">
        <v>10620.25</v>
      </c>
      <c r="D56" s="443">
        <v>2505318.25</v>
      </c>
      <c r="E56" s="443">
        <v>2149563.0585</v>
      </c>
      <c r="F56" s="443">
        <v>296116.5877813478</v>
      </c>
      <c r="G56" s="443">
        <v>355755.1915</v>
      </c>
      <c r="H56" s="444">
        <v>0.4083708010640051</v>
      </c>
      <c r="I56" s="445">
        <v>3462.1</v>
      </c>
      <c r="J56" s="445">
        <v>874.9</v>
      </c>
      <c r="K56" s="443">
        <v>2445679.6462813476</v>
      </c>
      <c r="L56" s="443">
        <v>1956543.7170250781</v>
      </c>
      <c r="M56" s="443">
        <v>593185.4040406955</v>
      </c>
      <c r="N56" s="443">
        <v>489135.9292562694</v>
      </c>
      <c r="O56" s="446">
        <v>1.2127209811445117</v>
      </c>
      <c r="P56" s="447">
        <v>0.83632682846449</v>
      </c>
      <c r="Q56" s="448">
        <v>0.16364963160000942</v>
      </c>
      <c r="R56" s="443">
        <v>2549729.1210657735</v>
      </c>
      <c r="S56" s="443">
        <v>1723616.885840463</v>
      </c>
      <c r="T56" s="443">
        <v>175302.22708152828</v>
      </c>
      <c r="U56" s="443">
        <v>311545.76108027087</v>
      </c>
      <c r="V56" s="443">
        <v>581338.2396029964</v>
      </c>
      <c r="W56" s="446">
        <v>0.5359113504954183</v>
      </c>
      <c r="X56" s="448">
        <v>10.006255650985613</v>
      </c>
      <c r="Y56" s="443">
        <v>175302.22708152828</v>
      </c>
      <c r="Z56" s="443">
        <v>244773.99562231425</v>
      </c>
      <c r="AA56" s="444">
        <v>0.7161799464679215</v>
      </c>
      <c r="AB56" s="444">
        <v>0.05875567900943952</v>
      </c>
      <c r="AC56" s="445">
        <v>644</v>
      </c>
      <c r="AD56" s="445">
        <v>604</v>
      </c>
      <c r="AE56" s="443">
        <v>2210464.874002262</v>
      </c>
      <c r="AF56" s="443">
        <v>0</v>
      </c>
      <c r="AG56" s="447">
        <v>0</v>
      </c>
      <c r="AH56" s="446">
        <v>0.0023430222918462713</v>
      </c>
      <c r="AI56" s="448">
        <v>0.001973082311451435</v>
      </c>
      <c r="AJ56" s="443">
        <v>2210464.874002262</v>
      </c>
      <c r="AK56" s="449">
        <v>1.100569719284341</v>
      </c>
      <c r="AL56" s="443">
        <v>2432770.705868566</v>
      </c>
      <c r="AM56" s="443">
        <v>5422075.554999899</v>
      </c>
      <c r="AN56" s="443">
        <v>5355859.2963794805</v>
      </c>
      <c r="AO56" s="443">
        <v>5358003.665284567</v>
      </c>
      <c r="AP56" s="443">
        <v>5358003.665284567</v>
      </c>
      <c r="AQ56" s="443">
        <v>42481</v>
      </c>
      <c r="AR56" s="443">
        <v>5400484.665284567</v>
      </c>
      <c r="AS56" s="450">
        <v>508.50824277060957</v>
      </c>
      <c r="AT56" s="446">
        <v>10620</v>
      </c>
      <c r="AU56" s="446">
        <v>127</v>
      </c>
      <c r="AV56" s="446">
        <v>521</v>
      </c>
      <c r="AW56" s="446">
        <v>190</v>
      </c>
      <c r="AX56" s="446">
        <v>1006</v>
      </c>
      <c r="AY56" s="446">
        <v>2690</v>
      </c>
      <c r="AZ56" s="446">
        <v>490</v>
      </c>
      <c r="BA56" s="446">
        <v>666</v>
      </c>
      <c r="BB56" s="446">
        <v>476</v>
      </c>
      <c r="BC56" s="446">
        <v>49</v>
      </c>
      <c r="BD56" s="446">
        <v>2103</v>
      </c>
      <c r="BE56" s="446">
        <v>1604</v>
      </c>
      <c r="BF56" s="446">
        <v>134</v>
      </c>
      <c r="BG56" s="446">
        <v>564</v>
      </c>
      <c r="BH56" s="446">
        <v>0</v>
      </c>
      <c r="BI56" s="446">
        <v>0</v>
      </c>
      <c r="BJ56" s="448">
        <v>1.4025085334689449</v>
      </c>
      <c r="BK56" s="448">
        <v>12.117537296431788</v>
      </c>
      <c r="BL56" s="448">
        <v>7.900001863479406</v>
      </c>
      <c r="BM56" s="448">
        <v>8.435070865904763</v>
      </c>
      <c r="BN56" s="445">
        <v>8882</v>
      </c>
      <c r="BO56" s="445">
        <v>1738</v>
      </c>
      <c r="BP56" s="443">
        <v>3010633.2329956377</v>
      </c>
      <c r="BQ56" s="443">
        <v>11189736</v>
      </c>
      <c r="BR56" s="443">
        <v>15050983</v>
      </c>
      <c r="BS56" s="444">
        <v>0.05875706214689266</v>
      </c>
      <c r="BT56" s="445">
        <v>644</v>
      </c>
      <c r="BU56" s="445">
        <v>604</v>
      </c>
      <c r="BV56" s="443">
        <v>884351.5435028248</v>
      </c>
      <c r="BW56" s="444">
        <v>0.017582952728929527</v>
      </c>
      <c r="BX56" s="443">
        <v>29157.208467779754</v>
      </c>
      <c r="BY56" s="443">
        <v>15113877.98496624</v>
      </c>
      <c r="BZ56" s="451">
        <v>1.0833333333333333</v>
      </c>
      <c r="CA56" s="443">
        <v>16373367.81704676</v>
      </c>
      <c r="CB56" s="443">
        <v>11981012.13458161</v>
      </c>
      <c r="CC56" s="443">
        <v>11981012.13458161</v>
      </c>
      <c r="CD56" s="443">
        <v>11700423.612576831</v>
      </c>
      <c r="CE56" s="443">
        <v>11895864.913162204</v>
      </c>
      <c r="CF56" s="450">
        <v>1120.1379390924862</v>
      </c>
      <c r="CG56" s="446">
        <v>10620</v>
      </c>
      <c r="CH56" s="446">
        <v>127</v>
      </c>
      <c r="CI56" s="446">
        <v>521</v>
      </c>
      <c r="CJ56" s="446">
        <v>190</v>
      </c>
      <c r="CK56" s="446">
        <v>1006</v>
      </c>
      <c r="CL56" s="446">
        <v>2690</v>
      </c>
      <c r="CM56" s="446">
        <v>490</v>
      </c>
      <c r="CN56" s="446">
        <v>666</v>
      </c>
      <c r="CO56" s="446">
        <v>476</v>
      </c>
      <c r="CP56" s="446">
        <v>49</v>
      </c>
      <c r="CQ56" s="446">
        <v>2103</v>
      </c>
      <c r="CR56" s="446">
        <v>1604</v>
      </c>
      <c r="CS56" s="446">
        <v>134</v>
      </c>
      <c r="CT56" s="446">
        <v>564</v>
      </c>
      <c r="CU56" s="446">
        <v>0</v>
      </c>
      <c r="CV56" s="446">
        <v>0</v>
      </c>
      <c r="CW56" s="443">
        <v>7787914.545516529</v>
      </c>
      <c r="CX56" s="448">
        <v>1.0576188892017928</v>
      </c>
      <c r="CY56" s="448">
        <v>1.0833333333333333</v>
      </c>
      <c r="CZ56" s="443">
        <v>8236645.530827677</v>
      </c>
      <c r="DA56" s="450">
        <v>775.5786752191786</v>
      </c>
      <c r="DB56" s="445">
        <v>10620.25</v>
      </c>
      <c r="DC56" s="448">
        <v>1.0160165721145926</v>
      </c>
      <c r="DD56" s="450">
        <v>343.7</v>
      </c>
      <c r="DE56" s="443">
        <v>75568</v>
      </c>
      <c r="DF56" s="450">
        <v>67.08775976212445</v>
      </c>
      <c r="DG56" s="450">
        <v>69.9725334318958</v>
      </c>
      <c r="DH56" s="450">
        <v>71.5119291673975</v>
      </c>
      <c r="DI56" s="450">
        <v>73.08519160908023</v>
      </c>
      <c r="DJ56" s="450">
        <v>75.49700293217987</v>
      </c>
      <c r="DK56" s="450">
        <v>78.21489503773833</v>
      </c>
      <c r="DL56" s="450">
        <v>80.71777167894594</v>
      </c>
      <c r="DM56" s="450">
        <v>84.02720031778271</v>
      </c>
      <c r="DN56" s="450">
        <v>87.72439713176514</v>
      </c>
      <c r="DO56" s="450">
        <v>92.54923897401223</v>
      </c>
      <c r="DP56" s="450">
        <v>91.71629582324611</v>
      </c>
      <c r="DQ56" s="450">
        <v>96.39382691023165</v>
      </c>
      <c r="DR56" s="450">
        <v>48.23</v>
      </c>
      <c r="DS56" s="450">
        <v>51.513146916739736</v>
      </c>
      <c r="DT56" s="450">
        <v>54.917408977816024</v>
      </c>
      <c r="DU56" s="450">
        <v>59.07559840634594</v>
      </c>
      <c r="DV56" s="450">
        <v>63.632687818797805</v>
      </c>
      <c r="DW56" s="450">
        <v>68.17707347065709</v>
      </c>
      <c r="DX56" s="450">
        <v>73.58330684991977</v>
      </c>
      <c r="DY56" s="450">
        <v>78.03246399358832</v>
      </c>
      <c r="DZ56" s="450">
        <v>80.58690909348621</v>
      </c>
      <c r="EA56" s="450">
        <v>83.7230825831762</v>
      </c>
      <c r="EB56" s="450">
        <v>89.67313321798088</v>
      </c>
      <c r="EC56" s="450">
        <v>-5.07</v>
      </c>
      <c r="ED56" s="450">
        <v>84.60313321798088</v>
      </c>
      <c r="EE56" s="450">
        <v>4399.362927335006</v>
      </c>
      <c r="EF56" s="443">
        <v>45787887.44644901</v>
      </c>
      <c r="EG56" s="450">
        <v>48.23</v>
      </c>
      <c r="EH56" s="450">
        <v>51.513146916739736</v>
      </c>
      <c r="EI56" s="450">
        <v>54.917408977816024</v>
      </c>
      <c r="EJ56" s="450">
        <v>59.07559840634594</v>
      </c>
      <c r="EK56" s="450">
        <v>63.632687818797805</v>
      </c>
      <c r="EL56" s="450">
        <v>68.17707347065709</v>
      </c>
      <c r="EM56" s="450">
        <v>73.58330684991977</v>
      </c>
      <c r="EN56" s="450">
        <v>78.03246399358832</v>
      </c>
      <c r="EO56" s="450">
        <v>80.58690909348621</v>
      </c>
      <c r="EP56" s="450">
        <v>83.7230825831762</v>
      </c>
      <c r="EQ56" s="450">
        <v>89.67313321798088</v>
      </c>
      <c r="ER56" s="443">
        <v>-5880604</v>
      </c>
      <c r="ES56" s="443">
        <v>0</v>
      </c>
      <c r="ET56" s="443">
        <v>0</v>
      </c>
      <c r="EU56" s="443">
        <v>0</v>
      </c>
      <c r="EV56" s="443">
        <v>0</v>
      </c>
      <c r="EW56" s="443">
        <v>0</v>
      </c>
      <c r="EX56" s="443">
        <v>0</v>
      </c>
      <c r="EY56" s="443">
        <v>0</v>
      </c>
      <c r="EZ56" s="443">
        <v>0</v>
      </c>
      <c r="FA56" s="443">
        <v>-5880604</v>
      </c>
      <c r="FB56" s="443">
        <v>0</v>
      </c>
      <c r="FC56" s="443">
        <v>5880604</v>
      </c>
      <c r="FD56" s="443">
        <v>42634.379</v>
      </c>
      <c r="FE56" s="443">
        <v>110000</v>
      </c>
      <c r="FF56" s="452">
        <v>0.0313</v>
      </c>
      <c r="FG56" s="443">
        <v>3443</v>
      </c>
      <c r="FH56" s="453">
        <v>46077.379</v>
      </c>
    </row>
    <row r="57" spans="2:164" ht="12.75">
      <c r="B57" s="356" t="s">
        <v>745</v>
      </c>
      <c r="C57" s="442">
        <v>5453</v>
      </c>
      <c r="D57" s="443">
        <v>1301349</v>
      </c>
      <c r="E57" s="443">
        <v>1116557.442</v>
      </c>
      <c r="F57" s="443">
        <v>170490.27879019149</v>
      </c>
      <c r="G57" s="443">
        <v>184791.55800000002</v>
      </c>
      <c r="H57" s="444">
        <v>0.45264808362369335</v>
      </c>
      <c r="I57" s="445">
        <v>2060.35</v>
      </c>
      <c r="J57" s="445">
        <v>407.94</v>
      </c>
      <c r="K57" s="443">
        <v>1287047.7207901916</v>
      </c>
      <c r="L57" s="443">
        <v>1029638.1766321533</v>
      </c>
      <c r="M57" s="443">
        <v>282447.1422180829</v>
      </c>
      <c r="N57" s="443">
        <v>257409.54415803825</v>
      </c>
      <c r="O57" s="446">
        <v>1.0972675591417569</v>
      </c>
      <c r="P57" s="447">
        <v>0.9251788006601871</v>
      </c>
      <c r="Q57" s="448">
        <v>0.07482119933981295</v>
      </c>
      <c r="R57" s="443">
        <v>1312085.3188502362</v>
      </c>
      <c r="S57" s="443">
        <v>886969.6755427597</v>
      </c>
      <c r="T57" s="443">
        <v>201174.23167845825</v>
      </c>
      <c r="U57" s="443">
        <v>240956.309127113</v>
      </c>
      <c r="V57" s="443">
        <v>299155.45269785385</v>
      </c>
      <c r="W57" s="446">
        <v>0.8054551804224614</v>
      </c>
      <c r="X57" s="448">
        <v>15.039036667663929</v>
      </c>
      <c r="Y57" s="443">
        <v>201174.23167845825</v>
      </c>
      <c r="Z57" s="443">
        <v>125960.19060962269</v>
      </c>
      <c r="AA57" s="444">
        <v>1.5971254942122135</v>
      </c>
      <c r="AB57" s="444">
        <v>0.13102879149092242</v>
      </c>
      <c r="AC57" s="445">
        <v>710</v>
      </c>
      <c r="AD57" s="445">
        <v>719</v>
      </c>
      <c r="AE57" s="443">
        <v>1329100.216348331</v>
      </c>
      <c r="AF57" s="443">
        <v>127434.7688865017</v>
      </c>
      <c r="AG57" s="447">
        <v>0.75</v>
      </c>
      <c r="AH57" s="446">
        <v>0.2962032656533784</v>
      </c>
      <c r="AI57" s="448">
        <v>0.24943570792675018</v>
      </c>
      <c r="AJ57" s="443">
        <v>1456534.9852348326</v>
      </c>
      <c r="AK57" s="449">
        <v>1</v>
      </c>
      <c r="AL57" s="443">
        <v>1456534.9852348326</v>
      </c>
      <c r="AM57" s="443">
        <v>3246275.006268756</v>
      </c>
      <c r="AN57" s="443">
        <v>3206630.3751330143</v>
      </c>
      <c r="AO57" s="443">
        <v>3059138.4078449802</v>
      </c>
      <c r="AP57" s="443">
        <v>3206630.3751330143</v>
      </c>
      <c r="AQ57" s="443">
        <v>21812</v>
      </c>
      <c r="AR57" s="443">
        <v>3228442.3751330143</v>
      </c>
      <c r="AS57" s="450">
        <v>592.0488492816825</v>
      </c>
      <c r="AT57" s="446">
        <v>5453</v>
      </c>
      <c r="AU57" s="446">
        <v>60</v>
      </c>
      <c r="AV57" s="446">
        <v>220</v>
      </c>
      <c r="AW57" s="446">
        <v>156</v>
      </c>
      <c r="AX57" s="446">
        <v>2</v>
      </c>
      <c r="AY57" s="446">
        <v>1461</v>
      </c>
      <c r="AZ57" s="446">
        <v>333</v>
      </c>
      <c r="BA57" s="446">
        <v>143</v>
      </c>
      <c r="BB57" s="446">
        <v>420</v>
      </c>
      <c r="BC57" s="446">
        <v>0</v>
      </c>
      <c r="BD57" s="446">
        <v>1907</v>
      </c>
      <c r="BE57" s="446">
        <v>408</v>
      </c>
      <c r="BF57" s="446">
        <v>0</v>
      </c>
      <c r="BG57" s="446">
        <v>343</v>
      </c>
      <c r="BH57" s="446">
        <v>0</v>
      </c>
      <c r="BI57" s="446">
        <v>0</v>
      </c>
      <c r="BJ57" s="448">
        <v>1.5386834445021225</v>
      </c>
      <c r="BK57" s="448">
        <v>19.1566386820068</v>
      </c>
      <c r="BL57" s="448">
        <v>13.352316522776329</v>
      </c>
      <c r="BM57" s="448">
        <v>11.608644318460945</v>
      </c>
      <c r="BN57" s="445">
        <v>5045</v>
      </c>
      <c r="BO57" s="445">
        <v>408</v>
      </c>
      <c r="BP57" s="443">
        <v>1624509.6683530062</v>
      </c>
      <c r="BQ57" s="443">
        <v>5653609</v>
      </c>
      <c r="BR57" s="443">
        <v>7536775</v>
      </c>
      <c r="BS57" s="444">
        <v>0.13102879149092242</v>
      </c>
      <c r="BT57" s="445">
        <v>710</v>
      </c>
      <c r="BU57" s="445">
        <v>719</v>
      </c>
      <c r="BV57" s="443">
        <v>987534.5199889968</v>
      </c>
      <c r="BW57" s="444">
        <v>0.015997051315438014</v>
      </c>
      <c r="BX57" s="443">
        <v>21533.27045960414</v>
      </c>
      <c r="BY57" s="443">
        <v>8287186.458801607</v>
      </c>
      <c r="BZ57" s="451">
        <v>0.9533333333333333</v>
      </c>
      <c r="CA57" s="443">
        <v>7900451.090724198</v>
      </c>
      <c r="CB57" s="443">
        <v>5781058.695089401</v>
      </c>
      <c r="CC57" s="443">
        <v>5781058.695089401</v>
      </c>
      <c r="CD57" s="443">
        <v>5912486.1088256035</v>
      </c>
      <c r="CE57" s="443">
        <v>5912486.1088256035</v>
      </c>
      <c r="CF57" s="450">
        <v>1084.2629944664595</v>
      </c>
      <c r="CG57" s="446">
        <v>5453</v>
      </c>
      <c r="CH57" s="446">
        <v>60</v>
      </c>
      <c r="CI57" s="446">
        <v>220</v>
      </c>
      <c r="CJ57" s="446">
        <v>156</v>
      </c>
      <c r="CK57" s="446">
        <v>2</v>
      </c>
      <c r="CL57" s="446">
        <v>1461</v>
      </c>
      <c r="CM57" s="446">
        <v>333</v>
      </c>
      <c r="CN57" s="446">
        <v>143</v>
      </c>
      <c r="CO57" s="446">
        <v>420</v>
      </c>
      <c r="CP57" s="446">
        <v>0</v>
      </c>
      <c r="CQ57" s="446">
        <v>1907</v>
      </c>
      <c r="CR57" s="446">
        <v>408</v>
      </c>
      <c r="CS57" s="446">
        <v>0</v>
      </c>
      <c r="CT57" s="446">
        <v>343</v>
      </c>
      <c r="CU57" s="446">
        <v>0</v>
      </c>
      <c r="CV57" s="446">
        <v>0</v>
      </c>
      <c r="CW57" s="443">
        <v>4054458.9126572073</v>
      </c>
      <c r="CX57" s="448">
        <v>0.9307046224975776</v>
      </c>
      <c r="CY57" s="448">
        <v>0.9533333333333333</v>
      </c>
      <c r="CZ57" s="443">
        <v>3773503.651736565</v>
      </c>
      <c r="DA57" s="450">
        <v>692.005070921798</v>
      </c>
      <c r="DB57" s="445">
        <v>5453</v>
      </c>
      <c r="DC57" s="448">
        <v>0.9912891986062717</v>
      </c>
      <c r="DD57" s="450">
        <v>289.7</v>
      </c>
      <c r="DE57" s="443">
        <v>27077</v>
      </c>
      <c r="DF57" s="450">
        <v>43.620875023877986</v>
      </c>
      <c r="DG57" s="450">
        <v>45.496572649904735</v>
      </c>
      <c r="DH57" s="450">
        <v>46.49749724820263</v>
      </c>
      <c r="DI57" s="450">
        <v>47.52044218766308</v>
      </c>
      <c r="DJ57" s="450">
        <v>49.088616779855954</v>
      </c>
      <c r="DK57" s="450">
        <v>50.85580698393076</v>
      </c>
      <c r="DL57" s="450">
        <v>52.483192807416536</v>
      </c>
      <c r="DM57" s="450">
        <v>54.63500371252061</v>
      </c>
      <c r="DN57" s="450">
        <v>57.0389438758715</v>
      </c>
      <c r="DO57" s="450">
        <v>60.176085789044436</v>
      </c>
      <c r="DP57" s="450">
        <v>59.634501016943034</v>
      </c>
      <c r="DQ57" s="450">
        <v>62.675860568807124</v>
      </c>
      <c r="DR57" s="450">
        <v>34.7</v>
      </c>
      <c r="DS57" s="450">
        <v>36.56680972482026</v>
      </c>
      <c r="DT57" s="450">
        <v>38.49896427753261</v>
      </c>
      <c r="DU57" s="450">
        <v>40.934328433836775</v>
      </c>
      <c r="DV57" s="450">
        <v>43.61479893266573</v>
      </c>
      <c r="DW57" s="450">
        <v>46.25592588332861</v>
      </c>
      <c r="DX57" s="450">
        <v>49.44893581814018</v>
      </c>
      <c r="DY57" s="450">
        <v>52.226272869886465</v>
      </c>
      <c r="DZ57" s="450">
        <v>53.81819461285136</v>
      </c>
      <c r="EA57" s="450">
        <v>55.38616641690812</v>
      </c>
      <c r="EB57" s="450">
        <v>59.10386083709777</v>
      </c>
      <c r="EC57" s="450">
        <v>-0.39</v>
      </c>
      <c r="ED57" s="450">
        <v>58.71386083709777</v>
      </c>
      <c r="EE57" s="450">
        <v>3053.120763529084</v>
      </c>
      <c r="EF57" s="443">
        <v>16315694.173053613</v>
      </c>
      <c r="EG57" s="450">
        <v>40.62</v>
      </c>
      <c r="EH57" s="450">
        <v>42.012025724820255</v>
      </c>
      <c r="EI57" s="450">
        <v>43.4456405015326</v>
      </c>
      <c r="EJ57" s="450">
        <v>45.40550540580477</v>
      </c>
      <c r="EK57" s="450">
        <v>47.585204083773306</v>
      </c>
      <c r="EL57" s="450">
        <v>49.670474313281126</v>
      </c>
      <c r="EM57" s="450">
        <v>52.29257175060464</v>
      </c>
      <c r="EN57" s="450">
        <v>54.86516701521348</v>
      </c>
      <c r="EO57" s="450">
        <v>56.334819996111555</v>
      </c>
      <c r="EP57" s="450">
        <v>57.06777221901186</v>
      </c>
      <c r="EQ57" s="450">
        <v>60.51775499550659</v>
      </c>
      <c r="ER57" s="443">
        <v>32714490</v>
      </c>
      <c r="ES57" s="443">
        <v>0</v>
      </c>
      <c r="ET57" s="443">
        <v>0</v>
      </c>
      <c r="EU57" s="443">
        <v>0</v>
      </c>
      <c r="EV57" s="443">
        <v>0</v>
      </c>
      <c r="EW57" s="443">
        <v>0</v>
      </c>
      <c r="EX57" s="443">
        <v>0</v>
      </c>
      <c r="EY57" s="443">
        <v>0</v>
      </c>
      <c r="EZ57" s="443">
        <v>0</v>
      </c>
      <c r="FA57" s="443">
        <v>32714490</v>
      </c>
      <c r="FB57" s="443">
        <v>54706.53801073247</v>
      </c>
      <c r="FC57" s="443">
        <v>0</v>
      </c>
      <c r="FD57" s="443">
        <v>0</v>
      </c>
      <c r="FE57" s="443">
        <v>17316</v>
      </c>
      <c r="FF57" s="452">
        <v>0.0452</v>
      </c>
      <c r="FG57" s="443">
        <v>782.6831999999999</v>
      </c>
      <c r="FH57" s="453">
        <v>782.6831999999999</v>
      </c>
    </row>
    <row r="58" spans="2:164" ht="12.75">
      <c r="B58" s="356" t="s">
        <v>746</v>
      </c>
      <c r="C58" s="442">
        <v>4344.25</v>
      </c>
      <c r="D58" s="443">
        <v>1043010.25</v>
      </c>
      <c r="E58" s="443">
        <v>894902.7945</v>
      </c>
      <c r="F58" s="443">
        <v>141750.15379483387</v>
      </c>
      <c r="G58" s="443">
        <v>148107.4555</v>
      </c>
      <c r="H58" s="444">
        <v>0.46955861195833576</v>
      </c>
      <c r="I58" s="445">
        <v>1727.49</v>
      </c>
      <c r="J58" s="445">
        <v>312.39</v>
      </c>
      <c r="K58" s="443">
        <v>1036652.9482948338</v>
      </c>
      <c r="L58" s="443">
        <v>829322.358635867</v>
      </c>
      <c r="M58" s="443">
        <v>264087.89040177065</v>
      </c>
      <c r="N58" s="443">
        <v>207330.5896589667</v>
      </c>
      <c r="O58" s="446">
        <v>1.2737526615641364</v>
      </c>
      <c r="P58" s="447">
        <v>0.7893192150543822</v>
      </c>
      <c r="Q58" s="448">
        <v>0.21062323761293664</v>
      </c>
      <c r="R58" s="443">
        <v>1093410.2490376376</v>
      </c>
      <c r="S58" s="443">
        <v>739145.328349443</v>
      </c>
      <c r="T58" s="443">
        <v>115745.581406284</v>
      </c>
      <c r="U58" s="443">
        <v>240385.99205981015</v>
      </c>
      <c r="V58" s="443">
        <v>249297.53678058137</v>
      </c>
      <c r="W58" s="446">
        <v>0.9642533783692588</v>
      </c>
      <c r="X58" s="448">
        <v>18.004033330083114</v>
      </c>
      <c r="Y58" s="443">
        <v>115745.581406284</v>
      </c>
      <c r="Z58" s="443">
        <v>104967.38390761321</v>
      </c>
      <c r="AA58" s="444">
        <v>1.1026813958529937</v>
      </c>
      <c r="AB58" s="444">
        <v>0.09046440697473672</v>
      </c>
      <c r="AC58" s="445">
        <v>394</v>
      </c>
      <c r="AD58" s="445">
        <v>392</v>
      </c>
      <c r="AE58" s="443">
        <v>1095276.9018155374</v>
      </c>
      <c r="AF58" s="443">
        <v>0</v>
      </c>
      <c r="AG58" s="447">
        <v>0</v>
      </c>
      <c r="AH58" s="446">
        <v>0.07037077194927047</v>
      </c>
      <c r="AI58" s="448">
        <v>0.05925992503762245</v>
      </c>
      <c r="AJ58" s="443">
        <v>1095276.9018155374</v>
      </c>
      <c r="AK58" s="449">
        <v>1.0752460753535806</v>
      </c>
      <c r="AL58" s="443">
        <v>1177692.1901025856</v>
      </c>
      <c r="AM58" s="443">
        <v>2624799.7889261465</v>
      </c>
      <c r="AN58" s="443">
        <v>2592744.8277056077</v>
      </c>
      <c r="AO58" s="443">
        <v>2591767.5766326548</v>
      </c>
      <c r="AP58" s="443">
        <v>2592744.8277056077</v>
      </c>
      <c r="AQ58" s="443">
        <v>17377</v>
      </c>
      <c r="AR58" s="443">
        <v>2610121.8277056077</v>
      </c>
      <c r="AS58" s="450">
        <v>600.8221966290172</v>
      </c>
      <c r="AT58" s="446">
        <v>4344</v>
      </c>
      <c r="AU58" s="446">
        <v>218</v>
      </c>
      <c r="AV58" s="446">
        <v>385</v>
      </c>
      <c r="AW58" s="446">
        <v>410</v>
      </c>
      <c r="AX58" s="446">
        <v>0</v>
      </c>
      <c r="AY58" s="446">
        <v>798</v>
      </c>
      <c r="AZ58" s="446">
        <v>114</v>
      </c>
      <c r="BA58" s="446">
        <v>95</v>
      </c>
      <c r="BB58" s="446">
        <v>144</v>
      </c>
      <c r="BC58" s="446">
        <v>14</v>
      </c>
      <c r="BD58" s="446">
        <v>1012</v>
      </c>
      <c r="BE58" s="446">
        <v>915</v>
      </c>
      <c r="BF58" s="446">
        <v>0</v>
      </c>
      <c r="BG58" s="446">
        <v>239</v>
      </c>
      <c r="BH58" s="446">
        <v>0</v>
      </c>
      <c r="BI58" s="446">
        <v>0</v>
      </c>
      <c r="BJ58" s="448">
        <v>1.5352766442441068</v>
      </c>
      <c r="BK58" s="448">
        <v>14.904903771649014</v>
      </c>
      <c r="BL58" s="448">
        <v>9.439709914607006</v>
      </c>
      <c r="BM58" s="448">
        <v>10.930387714084015</v>
      </c>
      <c r="BN58" s="445">
        <v>3429</v>
      </c>
      <c r="BO58" s="445">
        <v>915</v>
      </c>
      <c r="BP58" s="443">
        <v>1366459.159719669</v>
      </c>
      <c r="BQ58" s="443">
        <v>4793593</v>
      </c>
      <c r="BR58" s="443">
        <v>6003169</v>
      </c>
      <c r="BS58" s="444">
        <v>0.09046961325966851</v>
      </c>
      <c r="BT58" s="445">
        <v>394</v>
      </c>
      <c r="BU58" s="445">
        <v>392</v>
      </c>
      <c r="BV58" s="443">
        <v>543104.3777624309</v>
      </c>
      <c r="BW58" s="444">
        <v>0.006534558652164673</v>
      </c>
      <c r="BX58" s="443">
        <v>5451.932937695662</v>
      </c>
      <c r="BY58" s="443">
        <v>6708608.470419796</v>
      </c>
      <c r="BZ58" s="451">
        <v>1.0633333333333335</v>
      </c>
      <c r="CA58" s="443">
        <v>7133487.006879717</v>
      </c>
      <c r="CB58" s="443">
        <v>5219842.084187759</v>
      </c>
      <c r="CC58" s="443">
        <v>5219842.084187759</v>
      </c>
      <c r="CD58" s="443">
        <v>5131238.12319605</v>
      </c>
      <c r="CE58" s="443">
        <v>5182745.464576314</v>
      </c>
      <c r="CF58" s="450">
        <v>1193.0813684567943</v>
      </c>
      <c r="CG58" s="446">
        <v>4344</v>
      </c>
      <c r="CH58" s="446">
        <v>218</v>
      </c>
      <c r="CI58" s="446">
        <v>385</v>
      </c>
      <c r="CJ58" s="446">
        <v>410</v>
      </c>
      <c r="CK58" s="446">
        <v>0</v>
      </c>
      <c r="CL58" s="446">
        <v>798</v>
      </c>
      <c r="CM58" s="446">
        <v>114</v>
      </c>
      <c r="CN58" s="446">
        <v>95</v>
      </c>
      <c r="CO58" s="446">
        <v>144</v>
      </c>
      <c r="CP58" s="446">
        <v>14</v>
      </c>
      <c r="CQ58" s="446">
        <v>1012</v>
      </c>
      <c r="CR58" s="446">
        <v>915</v>
      </c>
      <c r="CS58" s="446">
        <v>0</v>
      </c>
      <c r="CT58" s="446">
        <v>239</v>
      </c>
      <c r="CU58" s="446">
        <v>0</v>
      </c>
      <c r="CV58" s="446">
        <v>0</v>
      </c>
      <c r="CW58" s="443">
        <v>3068771.2995316954</v>
      </c>
      <c r="CX58" s="448">
        <v>1.0380936174011444</v>
      </c>
      <c r="CY58" s="448">
        <v>1.0633333333333335</v>
      </c>
      <c r="CZ58" s="443">
        <v>3185671.899307668</v>
      </c>
      <c r="DA58" s="450">
        <v>733.3498847393344</v>
      </c>
      <c r="DB58" s="445">
        <v>4344.25</v>
      </c>
      <c r="DC58" s="448">
        <v>1.000972549922311</v>
      </c>
      <c r="DD58" s="450">
        <v>316.4</v>
      </c>
      <c r="DE58" s="443">
        <v>51712</v>
      </c>
      <c r="DF58" s="450">
        <v>55.30340220237285</v>
      </c>
      <c r="DG58" s="450">
        <v>57.68144849707488</v>
      </c>
      <c r="DH58" s="450">
        <v>58.95044036401052</v>
      </c>
      <c r="DI58" s="450">
        <v>60.24735005201874</v>
      </c>
      <c r="DJ58" s="450">
        <v>62.23551260373535</v>
      </c>
      <c r="DK58" s="450">
        <v>64.47599105746981</v>
      </c>
      <c r="DL58" s="450">
        <v>66.53922277130883</v>
      </c>
      <c r="DM58" s="450">
        <v>69.26733090493249</v>
      </c>
      <c r="DN58" s="450">
        <v>72.31509346474951</v>
      </c>
      <c r="DO58" s="450">
        <v>76.29242360531073</v>
      </c>
      <c r="DP58" s="450">
        <v>75.60579179286293</v>
      </c>
      <c r="DQ58" s="450">
        <v>79.46168717429893</v>
      </c>
      <c r="DR58" s="450">
        <v>48.22</v>
      </c>
      <c r="DS58" s="450">
        <v>50.247800036401046</v>
      </c>
      <c r="DT58" s="450">
        <v>52.34148479440373</v>
      </c>
      <c r="DU58" s="450">
        <v>55.08959864400859</v>
      </c>
      <c r="DV58" s="450">
        <v>58.13041946123245</v>
      </c>
      <c r="DW58" s="450">
        <v>61.082031198544705</v>
      </c>
      <c r="DX58" s="450">
        <v>64.72258176313453</v>
      </c>
      <c r="DY58" s="450">
        <v>68.09756626116099</v>
      </c>
      <c r="DZ58" s="450">
        <v>70.02854059808125</v>
      </c>
      <c r="EA58" s="450">
        <v>71.42027332884328</v>
      </c>
      <c r="EB58" s="450">
        <v>75.94250324975121</v>
      </c>
      <c r="EC58" s="450">
        <v>0</v>
      </c>
      <c r="ED58" s="450">
        <v>75.94250324975121</v>
      </c>
      <c r="EE58" s="450">
        <v>3949.010168987063</v>
      </c>
      <c r="EF58" s="443">
        <v>16812377.678089608</v>
      </c>
      <c r="EG58" s="450">
        <v>51.59</v>
      </c>
      <c r="EH58" s="450">
        <v>53.34752603640105</v>
      </c>
      <c r="EI58" s="450">
        <v>55.15741365840374</v>
      </c>
      <c r="EJ58" s="450">
        <v>57.634846345956596</v>
      </c>
      <c r="EK58" s="450">
        <v>60.390599420562275</v>
      </c>
      <c r="EL58" s="450">
        <v>63.02578596356835</v>
      </c>
      <c r="EM58" s="450">
        <v>66.34134073144622</v>
      </c>
      <c r="EN58" s="450">
        <v>69.59977458375425</v>
      </c>
      <c r="EO58" s="450">
        <v>71.46114660172769</v>
      </c>
      <c r="EP58" s="450">
        <v>72.3775387938922</v>
      </c>
      <c r="EQ58" s="450">
        <v>76.74737205276435</v>
      </c>
      <c r="ER58" s="443">
        <v>-817540</v>
      </c>
      <c r="ES58" s="443">
        <v>0</v>
      </c>
      <c r="ET58" s="443">
        <v>0</v>
      </c>
      <c r="EU58" s="443">
        <v>0</v>
      </c>
      <c r="EV58" s="443">
        <v>0</v>
      </c>
      <c r="EW58" s="443">
        <v>0</v>
      </c>
      <c r="EX58" s="443">
        <v>0</v>
      </c>
      <c r="EY58" s="443">
        <v>0</v>
      </c>
      <c r="EZ58" s="443">
        <v>0</v>
      </c>
      <c r="FA58" s="443">
        <v>-817540</v>
      </c>
      <c r="FB58" s="443">
        <v>0</v>
      </c>
      <c r="FC58" s="443">
        <v>817540</v>
      </c>
      <c r="FD58" s="443">
        <v>5927.165</v>
      </c>
      <c r="FE58" s="443">
        <v>64950</v>
      </c>
      <c r="FF58" s="452">
        <v>0.0313</v>
      </c>
      <c r="FG58" s="443">
        <v>2032.935</v>
      </c>
      <c r="FH58" s="453">
        <v>7960.1</v>
      </c>
    </row>
    <row r="59" spans="2:164" ht="12.75">
      <c r="B59" s="356" t="s">
        <v>747</v>
      </c>
      <c r="C59" s="442">
        <v>13575</v>
      </c>
      <c r="D59" s="443">
        <v>3193775</v>
      </c>
      <c r="E59" s="443">
        <v>2740258.95</v>
      </c>
      <c r="F59" s="443">
        <v>343476.9706156323</v>
      </c>
      <c r="G59" s="443">
        <v>453516.05</v>
      </c>
      <c r="H59" s="444">
        <v>0.3715764272559852</v>
      </c>
      <c r="I59" s="445">
        <v>3840.35</v>
      </c>
      <c r="J59" s="445">
        <v>1203.8</v>
      </c>
      <c r="K59" s="443">
        <v>3083735.920615632</v>
      </c>
      <c r="L59" s="443">
        <v>2466988.7364925058</v>
      </c>
      <c r="M59" s="443">
        <v>686913.250506902</v>
      </c>
      <c r="N59" s="443">
        <v>616747.1841231263</v>
      </c>
      <c r="O59" s="446">
        <v>1.1137679558011049</v>
      </c>
      <c r="P59" s="447">
        <v>0.9124861878453039</v>
      </c>
      <c r="Q59" s="448">
        <v>0.08751381215469613</v>
      </c>
      <c r="R59" s="443">
        <v>3153901.986999408</v>
      </c>
      <c r="S59" s="443">
        <v>2132037.7432116</v>
      </c>
      <c r="T59" s="443">
        <v>365249.4452936175</v>
      </c>
      <c r="U59" s="443">
        <v>781585.3553286643</v>
      </c>
      <c r="V59" s="443">
        <v>719089.653035865</v>
      </c>
      <c r="W59" s="446">
        <v>1.0869094723153836</v>
      </c>
      <c r="X59" s="448">
        <v>20.294203583132692</v>
      </c>
      <c r="Y59" s="443">
        <v>365249.4452936175</v>
      </c>
      <c r="Z59" s="443">
        <v>302774.5907519432</v>
      </c>
      <c r="AA59" s="444">
        <v>1.20634114106642</v>
      </c>
      <c r="AB59" s="444">
        <v>0.09896869244935544</v>
      </c>
      <c r="AC59" s="445">
        <v>1326</v>
      </c>
      <c r="AD59" s="445">
        <v>1361</v>
      </c>
      <c r="AE59" s="443">
        <v>3278872.5438338816</v>
      </c>
      <c r="AF59" s="443">
        <v>374988.4875353547</v>
      </c>
      <c r="AG59" s="447">
        <v>0.75</v>
      </c>
      <c r="AH59" s="446">
        <v>0.3703435525676906</v>
      </c>
      <c r="AI59" s="448">
        <v>0.3118699789047241</v>
      </c>
      <c r="AJ59" s="443">
        <v>3653861.0313692363</v>
      </c>
      <c r="AK59" s="449">
        <v>1</v>
      </c>
      <c r="AL59" s="443">
        <v>3653861.0313692363</v>
      </c>
      <c r="AM59" s="443">
        <v>8143599.613297959</v>
      </c>
      <c r="AN59" s="443">
        <v>8044147.163285892</v>
      </c>
      <c r="AO59" s="443">
        <v>7998846.901955145</v>
      </c>
      <c r="AP59" s="443">
        <v>8044147.163285892</v>
      </c>
      <c r="AQ59" s="443">
        <v>54300</v>
      </c>
      <c r="AR59" s="443">
        <v>8098447.163285892</v>
      </c>
      <c r="AS59" s="450">
        <v>596.5706934280583</v>
      </c>
      <c r="AT59" s="446">
        <v>13551</v>
      </c>
      <c r="AU59" s="446">
        <v>1296</v>
      </c>
      <c r="AV59" s="446">
        <v>2403</v>
      </c>
      <c r="AW59" s="446">
        <v>277</v>
      </c>
      <c r="AX59" s="446">
        <v>174</v>
      </c>
      <c r="AY59" s="446">
        <v>1270</v>
      </c>
      <c r="AZ59" s="446">
        <v>303</v>
      </c>
      <c r="BA59" s="446">
        <v>526</v>
      </c>
      <c r="BB59" s="446">
        <v>1672</v>
      </c>
      <c r="BC59" s="446">
        <v>81</v>
      </c>
      <c r="BD59" s="446">
        <v>3041</v>
      </c>
      <c r="BE59" s="446">
        <v>1100</v>
      </c>
      <c r="BF59" s="446">
        <v>79</v>
      </c>
      <c r="BG59" s="446">
        <v>1329</v>
      </c>
      <c r="BH59" s="446">
        <v>0</v>
      </c>
      <c r="BI59" s="446">
        <v>0</v>
      </c>
      <c r="BJ59" s="448">
        <v>1.556131887191387</v>
      </c>
      <c r="BK59" s="448">
        <v>19.297399275660624</v>
      </c>
      <c r="BL59" s="448">
        <v>12.961735306210857</v>
      </c>
      <c r="BM59" s="448">
        <v>12.671327938899537</v>
      </c>
      <c r="BN59" s="445">
        <v>12372</v>
      </c>
      <c r="BO59" s="445">
        <v>1179</v>
      </c>
      <c r="BP59" s="443">
        <v>4496776.100263371</v>
      </c>
      <c r="BQ59" s="443">
        <v>14287077</v>
      </c>
      <c r="BR59" s="443">
        <v>19051864</v>
      </c>
      <c r="BS59" s="444">
        <v>0.0991439746144196</v>
      </c>
      <c r="BT59" s="445">
        <v>1326</v>
      </c>
      <c r="BU59" s="445">
        <v>1361</v>
      </c>
      <c r="BV59" s="443">
        <v>1888877.5207733745</v>
      </c>
      <c r="BW59" s="444">
        <v>0.019868991526149057</v>
      </c>
      <c r="BX59" s="443">
        <v>66951.63761786948</v>
      </c>
      <c r="BY59" s="443">
        <v>20739682.258654617</v>
      </c>
      <c r="BZ59" s="451">
        <v>0.92</v>
      </c>
      <c r="CA59" s="443">
        <v>19080507.677962247</v>
      </c>
      <c r="CB59" s="443">
        <v>13961928.698971609</v>
      </c>
      <c r="CC59" s="443">
        <v>13961928.698971609</v>
      </c>
      <c r="CD59" s="443">
        <v>13717417.20433991</v>
      </c>
      <c r="CE59" s="443">
        <v>13862703.40639871</v>
      </c>
      <c r="CF59" s="450">
        <v>1023.0022438490672</v>
      </c>
      <c r="CG59" s="446">
        <v>13551</v>
      </c>
      <c r="CH59" s="446">
        <v>1296</v>
      </c>
      <c r="CI59" s="446">
        <v>2403</v>
      </c>
      <c r="CJ59" s="446">
        <v>277</v>
      </c>
      <c r="CK59" s="446">
        <v>174</v>
      </c>
      <c r="CL59" s="446">
        <v>1270</v>
      </c>
      <c r="CM59" s="446">
        <v>303</v>
      </c>
      <c r="CN59" s="446">
        <v>526</v>
      </c>
      <c r="CO59" s="446">
        <v>1672</v>
      </c>
      <c r="CP59" s="446">
        <v>81</v>
      </c>
      <c r="CQ59" s="446">
        <v>3041</v>
      </c>
      <c r="CR59" s="446">
        <v>1100</v>
      </c>
      <c r="CS59" s="446">
        <v>79</v>
      </c>
      <c r="CT59" s="446">
        <v>1329</v>
      </c>
      <c r="CU59" s="446">
        <v>0</v>
      </c>
      <c r="CV59" s="446">
        <v>0</v>
      </c>
      <c r="CW59" s="443">
        <v>8858044.174642656</v>
      </c>
      <c r="CX59" s="448">
        <v>0.8981625028298302</v>
      </c>
      <c r="CY59" s="448">
        <v>0.92</v>
      </c>
      <c r="CZ59" s="443">
        <v>7955963.126074246</v>
      </c>
      <c r="DA59" s="450">
        <v>587.1126209190647</v>
      </c>
      <c r="DB59" s="445">
        <v>13575</v>
      </c>
      <c r="DC59" s="448">
        <v>1.0169208103130756</v>
      </c>
      <c r="DD59" s="450">
        <v>321.1</v>
      </c>
      <c r="DE59" s="443">
        <v>27627</v>
      </c>
      <c r="DF59" s="450">
        <v>48.557929313260516</v>
      </c>
      <c r="DG59" s="450">
        <v>50.64592027373072</v>
      </c>
      <c r="DH59" s="450">
        <v>51.760130519752785</v>
      </c>
      <c r="DI59" s="450">
        <v>52.89885339118734</v>
      </c>
      <c r="DJ59" s="450">
        <v>54.64451555309652</v>
      </c>
      <c r="DK59" s="450">
        <v>56.61171811300798</v>
      </c>
      <c r="DL59" s="450">
        <v>58.42329309262423</v>
      </c>
      <c r="DM59" s="450">
        <v>60.818648109421815</v>
      </c>
      <c r="DN59" s="450">
        <v>63.49466862623636</v>
      </c>
      <c r="DO59" s="450">
        <v>66.98687540067935</v>
      </c>
      <c r="DP59" s="450">
        <v>66.38399352207324</v>
      </c>
      <c r="DQ59" s="450">
        <v>69.76957719169897</v>
      </c>
      <c r="DR59" s="450">
        <v>36.21</v>
      </c>
      <c r="DS59" s="450">
        <v>38.48197105197527</v>
      </c>
      <c r="DT59" s="450">
        <v>40.836383190237456</v>
      </c>
      <c r="DU59" s="450">
        <v>43.741550300212936</v>
      </c>
      <c r="DV59" s="450">
        <v>46.92988496844736</v>
      </c>
      <c r="DW59" s="450">
        <v>50.09691658830209</v>
      </c>
      <c r="DX59" s="450">
        <v>53.884441756622344</v>
      </c>
      <c r="DY59" s="450">
        <v>57.05972513083846</v>
      </c>
      <c r="DZ59" s="450">
        <v>58.881749559821564</v>
      </c>
      <c r="EA59" s="450">
        <v>60.968158995636614</v>
      </c>
      <c r="EB59" s="450">
        <v>65.21594352187105</v>
      </c>
      <c r="EC59" s="450">
        <v>-1.7</v>
      </c>
      <c r="ED59" s="450">
        <v>63.51594352187105</v>
      </c>
      <c r="EE59" s="450">
        <v>3302.8290631372947</v>
      </c>
      <c r="EF59" s="443">
        <v>43939186.441447005</v>
      </c>
      <c r="EG59" s="450">
        <v>41.78</v>
      </c>
      <c r="EH59" s="450">
        <v>43.60525705197527</v>
      </c>
      <c r="EI59" s="450">
        <v>45.49060389423746</v>
      </c>
      <c r="EJ59" s="450">
        <v>47.948384039040945</v>
      </c>
      <c r="EK59" s="450">
        <v>50.665553328526634</v>
      </c>
      <c r="EL59" s="450">
        <v>53.309591377970264</v>
      </c>
      <c r="EM59" s="450">
        <v>56.55995732145799</v>
      </c>
      <c r="EN59" s="450">
        <v>59.542603575005934</v>
      </c>
      <c r="EO59" s="450">
        <v>61.24958796940929</v>
      </c>
      <c r="EP59" s="450">
        <v>62.55034553579166</v>
      </c>
      <c r="EQ59" s="450">
        <v>66.54624596483342</v>
      </c>
      <c r="ER59" s="443">
        <v>111264305</v>
      </c>
      <c r="ES59" s="443">
        <v>0</v>
      </c>
      <c r="ET59" s="443">
        <v>0</v>
      </c>
      <c r="EU59" s="443">
        <v>0</v>
      </c>
      <c r="EV59" s="443">
        <v>0</v>
      </c>
      <c r="EW59" s="443">
        <v>0</v>
      </c>
      <c r="EX59" s="443">
        <v>0</v>
      </c>
      <c r="EY59" s="443">
        <v>0</v>
      </c>
      <c r="EZ59" s="443">
        <v>97176000</v>
      </c>
      <c r="FA59" s="443">
        <v>208440305</v>
      </c>
      <c r="FB59" s="443">
        <v>137859.39334761354</v>
      </c>
      <c r="FC59" s="443">
        <v>0</v>
      </c>
      <c r="FD59" s="443">
        <v>0</v>
      </c>
      <c r="FE59" s="443">
        <v>56615</v>
      </c>
      <c r="FF59" s="452">
        <v>0.0473</v>
      </c>
      <c r="FG59" s="443">
        <v>2677.8895</v>
      </c>
      <c r="FH59" s="453">
        <v>2677.8895</v>
      </c>
    </row>
    <row r="60" spans="2:164" ht="12.75">
      <c r="B60" s="356" t="s">
        <v>748</v>
      </c>
      <c r="C60" s="442">
        <v>20780</v>
      </c>
      <c r="D60" s="443">
        <v>4872540</v>
      </c>
      <c r="E60" s="443">
        <v>4180639.32</v>
      </c>
      <c r="F60" s="443">
        <v>387533.61892772815</v>
      </c>
      <c r="G60" s="443">
        <v>691900.68</v>
      </c>
      <c r="H60" s="444">
        <v>0.27479499518768047</v>
      </c>
      <c r="I60" s="445">
        <v>3523.51</v>
      </c>
      <c r="J60" s="445">
        <v>2186.73</v>
      </c>
      <c r="K60" s="443">
        <v>4568172.938927728</v>
      </c>
      <c r="L60" s="443">
        <v>3654538.3511421825</v>
      </c>
      <c r="M60" s="443">
        <v>994740.5417840052</v>
      </c>
      <c r="N60" s="443">
        <v>913634.5877855454</v>
      </c>
      <c r="O60" s="446">
        <v>1.0887728585178056</v>
      </c>
      <c r="P60" s="447">
        <v>0.9317131857555342</v>
      </c>
      <c r="Q60" s="448">
        <v>0.06828681424446584</v>
      </c>
      <c r="R60" s="443">
        <v>4649278.892926188</v>
      </c>
      <c r="S60" s="443">
        <v>3142912.5316181034</v>
      </c>
      <c r="T60" s="443">
        <v>410384.6846390868</v>
      </c>
      <c r="U60" s="443">
        <v>1116010.0442136042</v>
      </c>
      <c r="V60" s="443">
        <v>1060035.587587171</v>
      </c>
      <c r="W60" s="446">
        <v>1.0528043183473124</v>
      </c>
      <c r="X60" s="448">
        <v>19.65741003639167</v>
      </c>
      <c r="Y60" s="443">
        <v>410384.6846390868</v>
      </c>
      <c r="Z60" s="443">
        <v>446330.7737209141</v>
      </c>
      <c r="AA60" s="444">
        <v>0.9194631174943271</v>
      </c>
      <c r="AB60" s="444">
        <v>0.07543310875842156</v>
      </c>
      <c r="AC60" s="445">
        <v>1593</v>
      </c>
      <c r="AD60" s="445">
        <v>1542</v>
      </c>
      <c r="AE60" s="443">
        <v>4669307.2604707945</v>
      </c>
      <c r="AF60" s="443">
        <v>889618.1358267048</v>
      </c>
      <c r="AG60" s="447">
        <v>1</v>
      </c>
      <c r="AH60" s="446">
        <v>0.4485132988775688</v>
      </c>
      <c r="AI60" s="448">
        <v>0.37769749760627747</v>
      </c>
      <c r="AJ60" s="443">
        <v>5558925.3962975</v>
      </c>
      <c r="AK60" s="449">
        <v>1</v>
      </c>
      <c r="AL60" s="443">
        <v>5558925.3962975</v>
      </c>
      <c r="AM60" s="443">
        <v>12389541.45190254</v>
      </c>
      <c r="AN60" s="443">
        <v>12238236.094268588</v>
      </c>
      <c r="AO60" s="443">
        <v>12381743.242502656</v>
      </c>
      <c r="AP60" s="443">
        <v>12381743.242502656</v>
      </c>
      <c r="AQ60" s="443">
        <v>83120</v>
      </c>
      <c r="AR60" s="443">
        <v>12464863.242502656</v>
      </c>
      <c r="AS60" s="450">
        <v>599.8490492060951</v>
      </c>
      <c r="AT60" s="446">
        <v>20780</v>
      </c>
      <c r="AU60" s="446">
        <v>372</v>
      </c>
      <c r="AV60" s="446">
        <v>2338</v>
      </c>
      <c r="AW60" s="446">
        <v>2299</v>
      </c>
      <c r="AX60" s="446">
        <v>59</v>
      </c>
      <c r="AY60" s="446">
        <v>2499</v>
      </c>
      <c r="AZ60" s="446">
        <v>490</v>
      </c>
      <c r="BA60" s="446">
        <v>919</v>
      </c>
      <c r="BB60" s="446">
        <v>1958</v>
      </c>
      <c r="BC60" s="446">
        <v>16</v>
      </c>
      <c r="BD60" s="446">
        <v>2524</v>
      </c>
      <c r="BE60" s="446">
        <v>821</v>
      </c>
      <c r="BF60" s="446">
        <v>598</v>
      </c>
      <c r="BG60" s="446">
        <v>5887</v>
      </c>
      <c r="BH60" s="446">
        <v>0</v>
      </c>
      <c r="BI60" s="446">
        <v>0</v>
      </c>
      <c r="BJ60" s="448">
        <v>1.741418958634875</v>
      </c>
      <c r="BK60" s="448">
        <v>26.722614802296093</v>
      </c>
      <c r="BL60" s="448">
        <v>17.660121155382647</v>
      </c>
      <c r="BM60" s="448">
        <v>18.124987293826887</v>
      </c>
      <c r="BN60" s="445">
        <v>19361</v>
      </c>
      <c r="BO60" s="445">
        <v>1419</v>
      </c>
      <c r="BP60" s="443">
        <v>8112018.848048624</v>
      </c>
      <c r="BQ60" s="443">
        <v>21635087</v>
      </c>
      <c r="BR60" s="443">
        <v>28755469</v>
      </c>
      <c r="BS60" s="444">
        <v>0.07543310875842156</v>
      </c>
      <c r="BT60" s="445">
        <v>1593</v>
      </c>
      <c r="BU60" s="445">
        <v>1542</v>
      </c>
      <c r="BV60" s="443">
        <v>2169114.42047642</v>
      </c>
      <c r="BW60" s="444">
        <v>0.015488887789184724</v>
      </c>
      <c r="BX60" s="443">
        <v>110830.6753969699</v>
      </c>
      <c r="BY60" s="443">
        <v>32027050.943922013</v>
      </c>
      <c r="BZ60" s="451">
        <v>0.95</v>
      </c>
      <c r="CA60" s="443">
        <v>30425698.396725915</v>
      </c>
      <c r="CB60" s="443">
        <v>22263633.588855837</v>
      </c>
      <c r="CC60" s="443">
        <v>22263633.588855837</v>
      </c>
      <c r="CD60" s="443">
        <v>22653329.36514081</v>
      </c>
      <c r="CE60" s="443">
        <v>22653329.36514081</v>
      </c>
      <c r="CF60" s="450">
        <v>1090.150595050087</v>
      </c>
      <c r="CG60" s="446">
        <v>20780</v>
      </c>
      <c r="CH60" s="446">
        <v>372</v>
      </c>
      <c r="CI60" s="446">
        <v>2338</v>
      </c>
      <c r="CJ60" s="446">
        <v>2299</v>
      </c>
      <c r="CK60" s="446">
        <v>59</v>
      </c>
      <c r="CL60" s="446">
        <v>2499</v>
      </c>
      <c r="CM60" s="446">
        <v>490</v>
      </c>
      <c r="CN60" s="446">
        <v>919</v>
      </c>
      <c r="CO60" s="446">
        <v>1958</v>
      </c>
      <c r="CP60" s="446">
        <v>16</v>
      </c>
      <c r="CQ60" s="446">
        <v>2524</v>
      </c>
      <c r="CR60" s="446">
        <v>821</v>
      </c>
      <c r="CS60" s="446">
        <v>598</v>
      </c>
      <c r="CT60" s="446">
        <v>5887</v>
      </c>
      <c r="CU60" s="446">
        <v>0</v>
      </c>
      <c r="CV60" s="446">
        <v>0</v>
      </c>
      <c r="CW60" s="443">
        <v>13545042.908979733</v>
      </c>
      <c r="CX60" s="448">
        <v>0.927450410530803</v>
      </c>
      <c r="CY60" s="448">
        <v>0.95</v>
      </c>
      <c r="CZ60" s="443">
        <v>12562355.606590595</v>
      </c>
      <c r="DA60" s="450">
        <v>604.540693291174</v>
      </c>
      <c r="DB60" s="445">
        <v>20780</v>
      </c>
      <c r="DC60" s="448">
        <v>1.0220211742059675</v>
      </c>
      <c r="DD60" s="450">
        <v>299.1</v>
      </c>
      <c r="DE60" s="443">
        <v>24872</v>
      </c>
      <c r="DF60" s="450">
        <v>45.13138898723503</v>
      </c>
      <c r="DG60" s="450">
        <v>47.07203871368613</v>
      </c>
      <c r="DH60" s="450">
        <v>48.10762356538722</v>
      </c>
      <c r="DI60" s="450">
        <v>49.16599128382573</v>
      </c>
      <c r="DJ60" s="450">
        <v>50.78846899619198</v>
      </c>
      <c r="DK60" s="450">
        <v>52.61685388005488</v>
      </c>
      <c r="DL60" s="450">
        <v>54.30059320421663</v>
      </c>
      <c r="DM60" s="450">
        <v>56.52691752558951</v>
      </c>
      <c r="DN60" s="450">
        <v>59.01410189671544</v>
      </c>
      <c r="DO60" s="450">
        <v>62.25987750103479</v>
      </c>
      <c r="DP60" s="450">
        <v>61.699538603525475</v>
      </c>
      <c r="DQ60" s="450">
        <v>64.84621507230527</v>
      </c>
      <c r="DR60" s="450">
        <v>34.28</v>
      </c>
      <c r="DS60" s="450">
        <v>36.341506356538716</v>
      </c>
      <c r="DT60" s="450">
        <v>38.47712747276513</v>
      </c>
      <c r="DU60" s="450">
        <v>41.12707221896957</v>
      </c>
      <c r="DV60" s="450">
        <v>44.03753354188139</v>
      </c>
      <c r="DW60" s="450">
        <v>46.92237771338743</v>
      </c>
      <c r="DX60" s="450">
        <v>50.382339664826944</v>
      </c>
      <c r="DY60" s="450">
        <v>53.31193364192777</v>
      </c>
      <c r="DZ60" s="450">
        <v>54.99247254992077</v>
      </c>
      <c r="EA60" s="450">
        <v>56.84346808412262</v>
      </c>
      <c r="EB60" s="450">
        <v>60.76323097959135</v>
      </c>
      <c r="EC60" s="450">
        <v>-1.79</v>
      </c>
      <c r="ED60" s="450">
        <v>58.97323097959135</v>
      </c>
      <c r="EE60" s="450">
        <v>3066.6080109387503</v>
      </c>
      <c r="EF60" s="443">
        <v>62449632.17796109</v>
      </c>
      <c r="EG60" s="450">
        <v>36.9</v>
      </c>
      <c r="EH60" s="450">
        <v>38.75138235653871</v>
      </c>
      <c r="EI60" s="450">
        <v>40.66636593676513</v>
      </c>
      <c r="EJ60" s="450">
        <v>43.10587013561758</v>
      </c>
      <c r="EK60" s="450">
        <v>45.79470609186481</v>
      </c>
      <c r="EL60" s="450">
        <v>48.433546106373164</v>
      </c>
      <c r="EM60" s="450">
        <v>51.64084070250547</v>
      </c>
      <c r="EN60" s="450">
        <v>54.47982260489345</v>
      </c>
      <c r="EO60" s="450">
        <v>56.106249324269044</v>
      </c>
      <c r="EP60" s="450">
        <v>57.587692273567185</v>
      </c>
      <c r="EQ60" s="450">
        <v>61.388974678076345</v>
      </c>
      <c r="ER60" s="443">
        <v>297422605</v>
      </c>
      <c r="ES60" s="443">
        <v>3200000</v>
      </c>
      <c r="ET60" s="443">
        <v>0</v>
      </c>
      <c r="EU60" s="443">
        <v>0</v>
      </c>
      <c r="EV60" s="443">
        <v>30000000</v>
      </c>
      <c r="EW60" s="443">
        <v>0</v>
      </c>
      <c r="EX60" s="443">
        <v>0</v>
      </c>
      <c r="EY60" s="443">
        <v>250000</v>
      </c>
      <c r="EZ60" s="443">
        <v>0</v>
      </c>
      <c r="FA60" s="443">
        <v>313772605</v>
      </c>
      <c r="FB60" s="443">
        <v>187702.2778674603</v>
      </c>
      <c r="FC60" s="443">
        <v>0</v>
      </c>
      <c r="FD60" s="443">
        <v>0</v>
      </c>
      <c r="FE60" s="443">
        <v>37469</v>
      </c>
      <c r="FF60" s="452">
        <v>0.0492</v>
      </c>
      <c r="FG60" s="443">
        <v>1843.4748</v>
      </c>
      <c r="FH60" s="453">
        <v>1843.4748</v>
      </c>
    </row>
    <row r="61" spans="2:164" ht="12.75">
      <c r="B61" s="356" t="s">
        <v>749</v>
      </c>
      <c r="C61" s="442">
        <v>4471</v>
      </c>
      <c r="D61" s="443">
        <v>1072543</v>
      </c>
      <c r="E61" s="443">
        <v>920241.894</v>
      </c>
      <c r="F61" s="443">
        <v>125681.03825197538</v>
      </c>
      <c r="G61" s="443">
        <v>152301.10600000003</v>
      </c>
      <c r="H61" s="444">
        <v>0.404864683515992</v>
      </c>
      <c r="I61" s="445">
        <v>1439.13</v>
      </c>
      <c r="J61" s="445">
        <v>371.02</v>
      </c>
      <c r="K61" s="443">
        <v>1045922.9322519754</v>
      </c>
      <c r="L61" s="443">
        <v>836738.3458015803</v>
      </c>
      <c r="M61" s="443">
        <v>227431.50855186093</v>
      </c>
      <c r="N61" s="443">
        <v>209184.58645039503</v>
      </c>
      <c r="O61" s="446">
        <v>1.087228807872959</v>
      </c>
      <c r="P61" s="447">
        <v>0.9329009170208007</v>
      </c>
      <c r="Q61" s="448">
        <v>0.06709908297919928</v>
      </c>
      <c r="R61" s="443">
        <v>1064169.8543534414</v>
      </c>
      <c r="S61" s="443">
        <v>719378.8215429265</v>
      </c>
      <c r="T61" s="443">
        <v>86757.66863011707</v>
      </c>
      <c r="U61" s="443">
        <v>176356.47278577805</v>
      </c>
      <c r="V61" s="443">
        <v>242630.72679258464</v>
      </c>
      <c r="W61" s="446">
        <v>0.7268513560384221</v>
      </c>
      <c r="X61" s="448">
        <v>13.57138728646539</v>
      </c>
      <c r="Y61" s="443">
        <v>86757.66863011707</v>
      </c>
      <c r="Z61" s="443">
        <v>102160.30601793037</v>
      </c>
      <c r="AA61" s="444">
        <v>0.8492307042902754</v>
      </c>
      <c r="AB61" s="444">
        <v>0.06967121449340193</v>
      </c>
      <c r="AC61" s="445">
        <v>304</v>
      </c>
      <c r="AD61" s="445">
        <v>319</v>
      </c>
      <c r="AE61" s="443">
        <v>982492.9629588216</v>
      </c>
      <c r="AF61" s="443">
        <v>0</v>
      </c>
      <c r="AG61" s="447">
        <v>0</v>
      </c>
      <c r="AH61" s="446">
        <v>0.11268063972492012</v>
      </c>
      <c r="AI61" s="448">
        <v>0.09488948434591293</v>
      </c>
      <c r="AJ61" s="443">
        <v>982492.9629588216</v>
      </c>
      <c r="AK61" s="449">
        <v>1.0108730912711368</v>
      </c>
      <c r="AL61" s="443">
        <v>993175.6986183225</v>
      </c>
      <c r="AM61" s="443">
        <v>2213555.788183389</v>
      </c>
      <c r="AN61" s="443">
        <v>2186523.080679726</v>
      </c>
      <c r="AO61" s="443">
        <v>2091159.5458350037</v>
      </c>
      <c r="AP61" s="443">
        <v>2186523.080679726</v>
      </c>
      <c r="AQ61" s="443">
        <v>17884</v>
      </c>
      <c r="AR61" s="443">
        <v>2204407.080679726</v>
      </c>
      <c r="AS61" s="450">
        <v>493.0456454215446</v>
      </c>
      <c r="AT61" s="446">
        <v>4471</v>
      </c>
      <c r="AU61" s="446">
        <v>254</v>
      </c>
      <c r="AV61" s="446">
        <v>358</v>
      </c>
      <c r="AW61" s="446">
        <v>203</v>
      </c>
      <c r="AX61" s="446">
        <v>113</v>
      </c>
      <c r="AY61" s="446">
        <v>696</v>
      </c>
      <c r="AZ61" s="446">
        <v>291</v>
      </c>
      <c r="BA61" s="446">
        <v>177</v>
      </c>
      <c r="BB61" s="446">
        <v>190</v>
      </c>
      <c r="BC61" s="446">
        <v>116</v>
      </c>
      <c r="BD61" s="446">
        <v>1201</v>
      </c>
      <c r="BE61" s="446">
        <v>290</v>
      </c>
      <c r="BF61" s="446">
        <v>10</v>
      </c>
      <c r="BG61" s="446">
        <v>572</v>
      </c>
      <c r="BH61" s="446">
        <v>0</v>
      </c>
      <c r="BI61" s="446">
        <v>0</v>
      </c>
      <c r="BJ61" s="448">
        <v>1.3099131675784592</v>
      </c>
      <c r="BK61" s="448">
        <v>11.19755931463994</v>
      </c>
      <c r="BL61" s="448">
        <v>8.586831031222616</v>
      </c>
      <c r="BM61" s="448">
        <v>5.221456566834649</v>
      </c>
      <c r="BN61" s="445">
        <v>4171</v>
      </c>
      <c r="BO61" s="445">
        <v>300</v>
      </c>
      <c r="BP61" s="443">
        <v>1166365.0231962062</v>
      </c>
      <c r="BQ61" s="443">
        <v>4560231</v>
      </c>
      <c r="BR61" s="443">
        <v>6134121</v>
      </c>
      <c r="BS61" s="444">
        <v>0.06967121449340193</v>
      </c>
      <c r="BT61" s="445">
        <v>304</v>
      </c>
      <c r="BU61" s="445">
        <v>319</v>
      </c>
      <c r="BV61" s="443">
        <v>427371.65991948114</v>
      </c>
      <c r="BW61" s="444">
        <v>0.009480885439199529</v>
      </c>
      <c r="BX61" s="443">
        <v>6116.348064842662</v>
      </c>
      <c r="BY61" s="443">
        <v>6160084.03118053</v>
      </c>
      <c r="BZ61" s="451">
        <v>1.0633333333333335</v>
      </c>
      <c r="CA61" s="443">
        <v>6550222.686488631</v>
      </c>
      <c r="CB61" s="443">
        <v>4793045.533938726</v>
      </c>
      <c r="CC61" s="443">
        <v>4793045.533938726</v>
      </c>
      <c r="CD61" s="443">
        <v>4608004.982987542</v>
      </c>
      <c r="CE61" s="443">
        <v>4758982.092155405</v>
      </c>
      <c r="CF61" s="450">
        <v>1064.4111143268633</v>
      </c>
      <c r="CG61" s="446">
        <v>4471</v>
      </c>
      <c r="CH61" s="446">
        <v>254</v>
      </c>
      <c r="CI61" s="446">
        <v>358</v>
      </c>
      <c r="CJ61" s="446">
        <v>203</v>
      </c>
      <c r="CK61" s="446">
        <v>113</v>
      </c>
      <c r="CL61" s="446">
        <v>696</v>
      </c>
      <c r="CM61" s="446">
        <v>291</v>
      </c>
      <c r="CN61" s="446">
        <v>177</v>
      </c>
      <c r="CO61" s="446">
        <v>190</v>
      </c>
      <c r="CP61" s="446">
        <v>116</v>
      </c>
      <c r="CQ61" s="446">
        <v>1201</v>
      </c>
      <c r="CR61" s="446">
        <v>290</v>
      </c>
      <c r="CS61" s="446">
        <v>10</v>
      </c>
      <c r="CT61" s="446">
        <v>572</v>
      </c>
      <c r="CU61" s="446">
        <v>0</v>
      </c>
      <c r="CV61" s="446">
        <v>0</v>
      </c>
      <c r="CW61" s="443">
        <v>3090471.316082908</v>
      </c>
      <c r="CX61" s="448">
        <v>1.0380936174011444</v>
      </c>
      <c r="CY61" s="448">
        <v>1.0633333333333335</v>
      </c>
      <c r="CZ61" s="443">
        <v>3208198.547986981</v>
      </c>
      <c r="DA61" s="450">
        <v>717.5572686170837</v>
      </c>
      <c r="DB61" s="445">
        <v>4471</v>
      </c>
      <c r="DC61" s="448">
        <v>1.0143144710355627</v>
      </c>
      <c r="DD61" s="450">
        <v>316.4</v>
      </c>
      <c r="DE61" s="443">
        <v>40155</v>
      </c>
      <c r="DF61" s="450">
        <v>52.00702471170436</v>
      </c>
      <c r="DG61" s="450">
        <v>54.24332677430765</v>
      </c>
      <c r="DH61" s="450">
        <v>55.43667996334241</v>
      </c>
      <c r="DI61" s="450">
        <v>56.65628692253593</v>
      </c>
      <c r="DJ61" s="450">
        <v>58.52594439097961</v>
      </c>
      <c r="DK61" s="450">
        <v>60.632878389054866</v>
      </c>
      <c r="DL61" s="450">
        <v>62.57313049750461</v>
      </c>
      <c r="DM61" s="450">
        <v>65.1386288479023</v>
      </c>
      <c r="DN61" s="450">
        <v>68.00472851720998</v>
      </c>
      <c r="DO61" s="450">
        <v>71.74498858565653</v>
      </c>
      <c r="DP61" s="450">
        <v>71.09928368838563</v>
      </c>
      <c r="DQ61" s="450">
        <v>74.72534715649329</v>
      </c>
      <c r="DR61" s="450">
        <v>44.81</v>
      </c>
      <c r="DS61" s="450">
        <v>46.75990599633423</v>
      </c>
      <c r="DT61" s="450">
        <v>48.773919816507174</v>
      </c>
      <c r="DU61" s="450">
        <v>51.40126982301787</v>
      </c>
      <c r="DV61" s="450">
        <v>54.30616737270484</v>
      </c>
      <c r="DW61" s="450">
        <v>57.13215902344359</v>
      </c>
      <c r="DX61" s="450">
        <v>60.60738780430428</v>
      </c>
      <c r="DY61" s="450">
        <v>63.79973682875103</v>
      </c>
      <c r="DZ61" s="450">
        <v>65.62668159472933</v>
      </c>
      <c r="EA61" s="450">
        <v>67.01103892878356</v>
      </c>
      <c r="EB61" s="450">
        <v>71.28795096261987</v>
      </c>
      <c r="EC61" s="450">
        <v>0</v>
      </c>
      <c r="ED61" s="450">
        <v>71.28795096261987</v>
      </c>
      <c r="EE61" s="450">
        <v>3706.9734500562336</v>
      </c>
      <c r="EF61" s="443">
        <v>16242400.729297392</v>
      </c>
      <c r="EG61" s="450">
        <v>55.29</v>
      </c>
      <c r="EH61" s="450">
        <v>56.39940999633423</v>
      </c>
      <c r="EI61" s="450">
        <v>57.53087367250716</v>
      </c>
      <c r="EJ61" s="450">
        <v>59.31646148960986</v>
      </c>
      <c r="EK61" s="450">
        <v>61.334857572638526</v>
      </c>
      <c r="EL61" s="450">
        <v>63.17683259538656</v>
      </c>
      <c r="EM61" s="450">
        <v>65.64139195501838</v>
      </c>
      <c r="EN61" s="450">
        <v>68.4712926806137</v>
      </c>
      <c r="EO61" s="450">
        <v>70.08178869212237</v>
      </c>
      <c r="EP61" s="450">
        <v>69.98793568656178</v>
      </c>
      <c r="EQ61" s="450">
        <v>73.7909257565598</v>
      </c>
      <c r="ER61" s="443">
        <v>295384</v>
      </c>
      <c r="ES61" s="443">
        <v>187000</v>
      </c>
      <c r="ET61" s="443">
        <v>0</v>
      </c>
      <c r="EU61" s="443">
        <v>0</v>
      </c>
      <c r="EV61" s="443">
        <v>0</v>
      </c>
      <c r="EW61" s="443">
        <v>0</v>
      </c>
      <c r="EX61" s="443">
        <v>83981</v>
      </c>
      <c r="EY61" s="443">
        <v>0</v>
      </c>
      <c r="EZ61" s="443">
        <v>0</v>
      </c>
      <c r="FA61" s="443">
        <v>304903</v>
      </c>
      <c r="FB61" s="443">
        <v>39370.432161178935</v>
      </c>
      <c r="FC61" s="443">
        <v>0</v>
      </c>
      <c r="FD61" s="443">
        <v>0</v>
      </c>
      <c r="FE61" s="443">
        <v>0</v>
      </c>
      <c r="FF61" s="452">
        <v>0</v>
      </c>
      <c r="FG61" s="443">
        <v>0</v>
      </c>
      <c r="FH61" s="453">
        <v>0</v>
      </c>
    </row>
    <row r="62" spans="2:164" ht="12.75">
      <c r="B62" s="356" t="s">
        <v>750</v>
      </c>
      <c r="C62" s="442">
        <v>23048</v>
      </c>
      <c r="D62" s="443">
        <v>5400984</v>
      </c>
      <c r="E62" s="443">
        <v>4634044.272</v>
      </c>
      <c r="F62" s="443">
        <v>606155.8916658437</v>
      </c>
      <c r="G62" s="443">
        <v>766939.7280000001</v>
      </c>
      <c r="H62" s="444">
        <v>0.38776292953835473</v>
      </c>
      <c r="I62" s="445">
        <v>6957.13</v>
      </c>
      <c r="J62" s="445">
        <v>1980.03</v>
      </c>
      <c r="K62" s="443">
        <v>5240200.163665843</v>
      </c>
      <c r="L62" s="443">
        <v>4192160.1309326747</v>
      </c>
      <c r="M62" s="443">
        <v>1309381.6016383811</v>
      </c>
      <c r="N62" s="443">
        <v>1048040.0327331685</v>
      </c>
      <c r="O62" s="446">
        <v>1.249362200624783</v>
      </c>
      <c r="P62" s="447">
        <v>0.8081829225963207</v>
      </c>
      <c r="Q62" s="448">
        <v>0.1918170774036793</v>
      </c>
      <c r="R62" s="443">
        <v>5501541.732571056</v>
      </c>
      <c r="S62" s="443">
        <v>3719042.2112180344</v>
      </c>
      <c r="T62" s="443">
        <v>572317.0241304239</v>
      </c>
      <c r="U62" s="443">
        <v>791342.6804046185</v>
      </c>
      <c r="V62" s="443">
        <v>1254351.5150262008</v>
      </c>
      <c r="W62" s="446">
        <v>0.6308779245091349</v>
      </c>
      <c r="X62" s="448">
        <v>11.779421711008482</v>
      </c>
      <c r="Y62" s="443">
        <v>572317.0241304239</v>
      </c>
      <c r="Z62" s="443">
        <v>528148.0063268214</v>
      </c>
      <c r="AA62" s="444">
        <v>1.0836300000653045</v>
      </c>
      <c r="AB62" s="444">
        <v>0.08890142311697327</v>
      </c>
      <c r="AC62" s="445">
        <v>2013</v>
      </c>
      <c r="AD62" s="445">
        <v>2085</v>
      </c>
      <c r="AE62" s="443">
        <v>5082701.915753077</v>
      </c>
      <c r="AF62" s="443">
        <v>524715.7143196508</v>
      </c>
      <c r="AG62" s="447">
        <v>0.75</v>
      </c>
      <c r="AH62" s="446">
        <v>0.2856856576818377</v>
      </c>
      <c r="AI62" s="448">
        <v>0.24057872593402863</v>
      </c>
      <c r="AJ62" s="443">
        <v>5607417.630072728</v>
      </c>
      <c r="AK62" s="449">
        <v>1.011974155871452</v>
      </c>
      <c r="AL62" s="443">
        <v>5674561.722811546</v>
      </c>
      <c r="AM62" s="443">
        <v>12647267.713464847</v>
      </c>
      <c r="AN62" s="443">
        <v>12492814.913746074</v>
      </c>
      <c r="AO62" s="443">
        <v>12257963.98111788</v>
      </c>
      <c r="AP62" s="443">
        <v>12492814.913746074</v>
      </c>
      <c r="AQ62" s="443">
        <v>92192</v>
      </c>
      <c r="AR62" s="443">
        <v>12585006.913746074</v>
      </c>
      <c r="AS62" s="450">
        <v>546.0346630400066</v>
      </c>
      <c r="AT62" s="446">
        <v>23048</v>
      </c>
      <c r="AU62" s="446">
        <v>227</v>
      </c>
      <c r="AV62" s="446">
        <v>4912</v>
      </c>
      <c r="AW62" s="446">
        <v>2174</v>
      </c>
      <c r="AX62" s="446">
        <v>0</v>
      </c>
      <c r="AY62" s="446">
        <v>3997</v>
      </c>
      <c r="AZ62" s="446">
        <v>454</v>
      </c>
      <c r="BA62" s="446">
        <v>524</v>
      </c>
      <c r="BB62" s="446">
        <v>939</v>
      </c>
      <c r="BC62" s="446">
        <v>22</v>
      </c>
      <c r="BD62" s="446">
        <v>3374</v>
      </c>
      <c r="BE62" s="446">
        <v>2932</v>
      </c>
      <c r="BF62" s="446">
        <v>1489</v>
      </c>
      <c r="BG62" s="446">
        <v>1995</v>
      </c>
      <c r="BH62" s="446">
        <v>0</v>
      </c>
      <c r="BI62" s="446">
        <v>9</v>
      </c>
      <c r="BJ62" s="448">
        <v>1.511247687360334</v>
      </c>
      <c r="BK62" s="448">
        <v>14.67710020901136</v>
      </c>
      <c r="BL62" s="448">
        <v>8.912546482759893</v>
      </c>
      <c r="BM62" s="448">
        <v>11.529107452502936</v>
      </c>
      <c r="BN62" s="445">
        <v>18627</v>
      </c>
      <c r="BO62" s="445">
        <v>4421</v>
      </c>
      <c r="BP62" s="443">
        <v>7791449.026862432</v>
      </c>
      <c r="BQ62" s="443">
        <v>25222200</v>
      </c>
      <c r="BR62" s="443">
        <v>33017910</v>
      </c>
      <c r="BS62" s="444">
        <v>0.08890142311697327</v>
      </c>
      <c r="BT62" s="445">
        <v>2013</v>
      </c>
      <c r="BU62" s="445">
        <v>2085</v>
      </c>
      <c r="BV62" s="443">
        <v>2935339.1873481427</v>
      </c>
      <c r="BW62" s="444">
        <v>0.016049035399495128</v>
      </c>
      <c r="BX62" s="443">
        <v>69958.04931570623</v>
      </c>
      <c r="BY62" s="443">
        <v>36018946.26352628</v>
      </c>
      <c r="BZ62" s="451">
        <v>0.9366666666666665</v>
      </c>
      <c r="CA62" s="443">
        <v>33737746.33350295</v>
      </c>
      <c r="CB62" s="443">
        <v>24687184.25749274</v>
      </c>
      <c r="CC62" s="443">
        <v>24687184.25749274</v>
      </c>
      <c r="CD62" s="443">
        <v>24312413.602430116</v>
      </c>
      <c r="CE62" s="443">
        <v>24511736.21348925</v>
      </c>
      <c r="CF62" s="450">
        <v>1063.508166152779</v>
      </c>
      <c r="CG62" s="446">
        <v>23048</v>
      </c>
      <c r="CH62" s="446">
        <v>227</v>
      </c>
      <c r="CI62" s="446">
        <v>4912</v>
      </c>
      <c r="CJ62" s="446">
        <v>2174</v>
      </c>
      <c r="CK62" s="446">
        <v>0</v>
      </c>
      <c r="CL62" s="446">
        <v>3997</v>
      </c>
      <c r="CM62" s="446">
        <v>454</v>
      </c>
      <c r="CN62" s="446">
        <v>524</v>
      </c>
      <c r="CO62" s="446">
        <v>939</v>
      </c>
      <c r="CP62" s="446">
        <v>22</v>
      </c>
      <c r="CQ62" s="446">
        <v>3374</v>
      </c>
      <c r="CR62" s="446">
        <v>2932</v>
      </c>
      <c r="CS62" s="446">
        <v>1489</v>
      </c>
      <c r="CT62" s="446">
        <v>1995</v>
      </c>
      <c r="CU62" s="446">
        <v>0</v>
      </c>
      <c r="CV62" s="446">
        <v>9</v>
      </c>
      <c r="CW62" s="443">
        <v>15790963.062267387</v>
      </c>
      <c r="CX62" s="448">
        <v>0.9144335626637038</v>
      </c>
      <c r="CY62" s="448">
        <v>0.9366666666666665</v>
      </c>
      <c r="CZ62" s="443">
        <v>14439786.610920116</v>
      </c>
      <c r="DA62" s="450">
        <v>626.5093114769228</v>
      </c>
      <c r="DB62" s="445">
        <v>23048</v>
      </c>
      <c r="DC62" s="448">
        <v>1.0169819507115585</v>
      </c>
      <c r="DD62" s="450">
        <v>320.6</v>
      </c>
      <c r="DE62" s="443">
        <v>35743</v>
      </c>
      <c r="DF62" s="450">
        <v>51.17199649670163</v>
      </c>
      <c r="DG62" s="450">
        <v>53.3723923460598</v>
      </c>
      <c r="DH62" s="450">
        <v>54.5465849776731</v>
      </c>
      <c r="DI62" s="450">
        <v>55.746609847181894</v>
      </c>
      <c r="DJ62" s="450">
        <v>57.58624797213889</v>
      </c>
      <c r="DK62" s="450">
        <v>59.65935289913588</v>
      </c>
      <c r="DL62" s="450">
        <v>61.56845219190822</v>
      </c>
      <c r="DM62" s="450">
        <v>64.09275873177646</v>
      </c>
      <c r="DN62" s="450">
        <v>66.9128401159746</v>
      </c>
      <c r="DO62" s="450">
        <v>70.5930463223532</v>
      </c>
      <c r="DP62" s="450">
        <v>69.95770890545202</v>
      </c>
      <c r="DQ62" s="450">
        <v>73.52555205963007</v>
      </c>
      <c r="DR62" s="450">
        <v>37.92</v>
      </c>
      <c r="DS62" s="450">
        <v>40.333474497767305</v>
      </c>
      <c r="DT62" s="450">
        <v>42.83478859343637</v>
      </c>
      <c r="DU62" s="450">
        <v>45.915575536409655</v>
      </c>
      <c r="DV62" s="450">
        <v>49.29579577620832</v>
      </c>
      <c r="DW62" s="450">
        <v>52.655793066190526</v>
      </c>
      <c r="DX62" s="450">
        <v>56.67029621187876</v>
      </c>
      <c r="DY62" s="450">
        <v>60.024794897509544</v>
      </c>
      <c r="DZ62" s="450">
        <v>61.94984915541515</v>
      </c>
      <c r="EA62" s="450">
        <v>64.1823358199987</v>
      </c>
      <c r="EB62" s="450">
        <v>68.66961836938093</v>
      </c>
      <c r="EC62" s="450">
        <v>-0.45</v>
      </c>
      <c r="ED62" s="450">
        <v>68.21961836938092</v>
      </c>
      <c r="EE62" s="450">
        <v>3547.420155207808</v>
      </c>
      <c r="EF62" s="443">
        <v>80125720.94248496</v>
      </c>
      <c r="EG62" s="450">
        <v>44.09</v>
      </c>
      <c r="EH62" s="450">
        <v>46.0086404977673</v>
      </c>
      <c r="EI62" s="450">
        <v>47.99036161743637</v>
      </c>
      <c r="EJ62" s="450">
        <v>50.575569103477655</v>
      </c>
      <c r="EK62" s="450">
        <v>53.4338700637647</v>
      </c>
      <c r="EL62" s="450">
        <v>56.214536953489</v>
      </c>
      <c r="EM62" s="450">
        <v>59.63401812122093</v>
      </c>
      <c r="EN62" s="450">
        <v>62.77512882937908</v>
      </c>
      <c r="EO62" s="450">
        <v>64.5727509484414</v>
      </c>
      <c r="EP62" s="450">
        <v>65.93495538063722</v>
      </c>
      <c r="EQ62" s="450">
        <v>70.14322089596578</v>
      </c>
      <c r="ER62" s="443">
        <v>95756228</v>
      </c>
      <c r="ES62" s="443">
        <v>3210000</v>
      </c>
      <c r="ET62" s="443">
        <v>0</v>
      </c>
      <c r="EU62" s="443">
        <v>0</v>
      </c>
      <c r="EV62" s="443">
        <v>0</v>
      </c>
      <c r="EW62" s="443">
        <v>0</v>
      </c>
      <c r="EX62" s="443">
        <v>0</v>
      </c>
      <c r="EY62" s="443">
        <v>0</v>
      </c>
      <c r="EZ62" s="443">
        <v>0</v>
      </c>
      <c r="FA62" s="443">
        <v>97361228</v>
      </c>
      <c r="FB62" s="443">
        <v>85297.15358372185</v>
      </c>
      <c r="FC62" s="443">
        <v>0</v>
      </c>
      <c r="FD62" s="443">
        <v>0</v>
      </c>
      <c r="FE62" s="443">
        <v>128394</v>
      </c>
      <c r="FF62" s="452">
        <v>0.051500000000000004</v>
      </c>
      <c r="FG62" s="443">
        <v>6612.291</v>
      </c>
      <c r="FH62" s="453">
        <v>6612.291</v>
      </c>
    </row>
    <row r="63" spans="2:164" ht="12.75">
      <c r="B63" s="356" t="s">
        <v>751</v>
      </c>
      <c r="C63" s="442">
        <v>18822.75</v>
      </c>
      <c r="D63" s="443">
        <v>4416500.75</v>
      </c>
      <c r="E63" s="443">
        <v>3789357.6435</v>
      </c>
      <c r="F63" s="443">
        <v>264232.35231999785</v>
      </c>
      <c r="G63" s="443">
        <v>627143.1065000001</v>
      </c>
      <c r="H63" s="444">
        <v>0.20671049660650012</v>
      </c>
      <c r="I63" s="445">
        <v>1691</v>
      </c>
      <c r="J63" s="445">
        <v>2199.86</v>
      </c>
      <c r="K63" s="443">
        <v>4053589.9958199975</v>
      </c>
      <c r="L63" s="443">
        <v>3242871.9966559983</v>
      </c>
      <c r="M63" s="443">
        <v>832914.7302935721</v>
      </c>
      <c r="N63" s="443">
        <v>810717.9991639993</v>
      </c>
      <c r="O63" s="446">
        <v>1.0273791024159593</v>
      </c>
      <c r="P63" s="447">
        <v>0.9788686562802991</v>
      </c>
      <c r="Q63" s="448">
        <v>0.021091498319852308</v>
      </c>
      <c r="R63" s="443">
        <v>4075786.7269495702</v>
      </c>
      <c r="S63" s="443">
        <v>2755231.8274179096</v>
      </c>
      <c r="T63" s="443">
        <v>463051.5070792778</v>
      </c>
      <c r="U63" s="443">
        <v>1213995.4629150499</v>
      </c>
      <c r="V63" s="443">
        <v>929279.3737445021</v>
      </c>
      <c r="W63" s="446">
        <v>1.3063837390722375</v>
      </c>
      <c r="X63" s="448">
        <v>24.392111977779518</v>
      </c>
      <c r="Y63" s="443">
        <v>463051.5070792778</v>
      </c>
      <c r="Z63" s="443">
        <v>391275.52578715875</v>
      </c>
      <c r="AA63" s="444">
        <v>1.1834410193372609</v>
      </c>
      <c r="AB63" s="444">
        <v>0.09708995763105815</v>
      </c>
      <c r="AC63" s="445">
        <v>1769</v>
      </c>
      <c r="AD63" s="445">
        <v>1886</v>
      </c>
      <c r="AE63" s="443">
        <v>4432278.797412237</v>
      </c>
      <c r="AF63" s="443">
        <v>315518.253247097</v>
      </c>
      <c r="AG63" s="447">
        <v>0.5</v>
      </c>
      <c r="AH63" s="446">
        <v>0.327126830855197</v>
      </c>
      <c r="AI63" s="448">
        <v>0.27547674890150103</v>
      </c>
      <c r="AJ63" s="443">
        <v>4747797.050659334</v>
      </c>
      <c r="AK63" s="449">
        <v>1</v>
      </c>
      <c r="AL63" s="443">
        <v>4747797.050659334</v>
      </c>
      <c r="AM63" s="443">
        <v>10581726.533610847</v>
      </c>
      <c r="AN63" s="443">
        <v>10452498.835897561</v>
      </c>
      <c r="AO63" s="443">
        <v>9729510.895087343</v>
      </c>
      <c r="AP63" s="443">
        <v>10452498.835897561</v>
      </c>
      <c r="AQ63" s="443">
        <v>75291</v>
      </c>
      <c r="AR63" s="443">
        <v>10527789.835897561</v>
      </c>
      <c r="AS63" s="450">
        <v>559.3119940443113</v>
      </c>
      <c r="AT63" s="446">
        <v>18821</v>
      </c>
      <c r="AU63" s="446">
        <v>570</v>
      </c>
      <c r="AV63" s="446">
        <v>2427</v>
      </c>
      <c r="AW63" s="446">
        <v>608</v>
      </c>
      <c r="AX63" s="446">
        <v>285</v>
      </c>
      <c r="AY63" s="446">
        <v>4807</v>
      </c>
      <c r="AZ63" s="446">
        <v>1278</v>
      </c>
      <c r="BA63" s="446">
        <v>618</v>
      </c>
      <c r="BB63" s="446">
        <v>860</v>
      </c>
      <c r="BC63" s="446">
        <v>21</v>
      </c>
      <c r="BD63" s="446">
        <v>1482</v>
      </c>
      <c r="BE63" s="446">
        <v>397</v>
      </c>
      <c r="BF63" s="446">
        <v>0</v>
      </c>
      <c r="BG63" s="446">
        <v>5468</v>
      </c>
      <c r="BH63" s="446">
        <v>0</v>
      </c>
      <c r="BI63" s="446">
        <v>0</v>
      </c>
      <c r="BJ63" s="448">
        <v>1.9592734784208283</v>
      </c>
      <c r="BK63" s="448">
        <v>38.314076727191235</v>
      </c>
      <c r="BL63" s="448">
        <v>29.31161640422705</v>
      </c>
      <c r="BM63" s="448">
        <v>18.00492064592837</v>
      </c>
      <c r="BN63" s="445">
        <v>18424</v>
      </c>
      <c r="BO63" s="445">
        <v>397</v>
      </c>
      <c r="BP63" s="443">
        <v>8449043.595565883</v>
      </c>
      <c r="BQ63" s="443">
        <v>18629505</v>
      </c>
      <c r="BR63" s="443">
        <v>26580840</v>
      </c>
      <c r="BS63" s="444">
        <v>0.09709898517613304</v>
      </c>
      <c r="BT63" s="445">
        <v>1769</v>
      </c>
      <c r="BU63" s="445">
        <v>1886</v>
      </c>
      <c r="BV63" s="443">
        <v>2580972.589129164</v>
      </c>
      <c r="BW63" s="444">
        <v>0.018232173631239003</v>
      </c>
      <c r="BX63" s="443">
        <v>169416.1308499122</v>
      </c>
      <c r="BY63" s="443">
        <v>29828937.315544963</v>
      </c>
      <c r="BZ63" s="451">
        <v>0.9533333333333333</v>
      </c>
      <c r="CA63" s="443">
        <v>28436920.24081953</v>
      </c>
      <c r="CB63" s="443">
        <v>20808369.437634747</v>
      </c>
      <c r="CC63" s="443">
        <v>20808369.437634747</v>
      </c>
      <c r="CD63" s="443">
        <v>19727616.913040437</v>
      </c>
      <c r="CE63" s="443">
        <v>20660487.537509706</v>
      </c>
      <c r="CF63" s="450">
        <v>1097.7359086929337</v>
      </c>
      <c r="CG63" s="446">
        <v>18821</v>
      </c>
      <c r="CH63" s="446">
        <v>570</v>
      </c>
      <c r="CI63" s="446">
        <v>2427</v>
      </c>
      <c r="CJ63" s="446">
        <v>608</v>
      </c>
      <c r="CK63" s="446">
        <v>285</v>
      </c>
      <c r="CL63" s="446">
        <v>4807</v>
      </c>
      <c r="CM63" s="446">
        <v>1278</v>
      </c>
      <c r="CN63" s="446">
        <v>618</v>
      </c>
      <c r="CO63" s="446">
        <v>860</v>
      </c>
      <c r="CP63" s="446">
        <v>21</v>
      </c>
      <c r="CQ63" s="446">
        <v>1482</v>
      </c>
      <c r="CR63" s="446">
        <v>397</v>
      </c>
      <c r="CS63" s="446">
        <v>0</v>
      </c>
      <c r="CT63" s="446">
        <v>5468</v>
      </c>
      <c r="CU63" s="446">
        <v>0</v>
      </c>
      <c r="CV63" s="446">
        <v>0</v>
      </c>
      <c r="CW63" s="443">
        <v>12493527.585253723</v>
      </c>
      <c r="CX63" s="448">
        <v>0.9307046224975776</v>
      </c>
      <c r="CY63" s="448">
        <v>0.9533333333333333</v>
      </c>
      <c r="CZ63" s="443">
        <v>11627783.874896638</v>
      </c>
      <c r="DA63" s="450">
        <v>617.809036443156</v>
      </c>
      <c r="DB63" s="445">
        <v>18822.75</v>
      </c>
      <c r="DC63" s="448">
        <v>1.0091657701451702</v>
      </c>
      <c r="DD63" s="450">
        <v>289.7</v>
      </c>
      <c r="DE63" s="443">
        <v>21657</v>
      </c>
      <c r="DF63" s="450">
        <v>42.461521810018425</v>
      </c>
      <c r="DG63" s="450">
        <v>44.28736724784921</v>
      </c>
      <c r="DH63" s="450">
        <v>45.26168932730189</v>
      </c>
      <c r="DI63" s="450">
        <v>46.25744649250252</v>
      </c>
      <c r="DJ63" s="450">
        <v>47.783942226755094</v>
      </c>
      <c r="DK63" s="450">
        <v>49.50416414691827</v>
      </c>
      <c r="DL63" s="450">
        <v>51.08829739961965</v>
      </c>
      <c r="DM63" s="450">
        <v>53.18291759300405</v>
      </c>
      <c r="DN63" s="450">
        <v>55.52296596709622</v>
      </c>
      <c r="DO63" s="450">
        <v>58.57672909528651</v>
      </c>
      <c r="DP63" s="450">
        <v>58.04953853342893</v>
      </c>
      <c r="DQ63" s="450">
        <v>61.0100649986338</v>
      </c>
      <c r="DR63" s="450">
        <v>34.721581452702395</v>
      </c>
      <c r="DS63" s="450">
        <v>36.46307955292585</v>
      </c>
      <c r="DT63" s="450">
        <v>38.264398324136025</v>
      </c>
      <c r="DU63" s="450">
        <v>40.55922581357284</v>
      </c>
      <c r="DV63" s="450">
        <v>43.08861597201243</v>
      </c>
      <c r="DW63" s="450">
        <v>45.570925969200616</v>
      </c>
      <c r="DX63" s="450">
        <v>48.588050665751084</v>
      </c>
      <c r="DY63" s="450">
        <v>51.258929458605465</v>
      </c>
      <c r="DZ63" s="450">
        <v>52.78904766670918</v>
      </c>
      <c r="EA63" s="450">
        <v>54.18221734380656</v>
      </c>
      <c r="EB63" s="450">
        <v>57.758421342399316</v>
      </c>
      <c r="EC63" s="450">
        <v>-1.01</v>
      </c>
      <c r="ED63" s="450">
        <v>56.74842134239932</v>
      </c>
      <c r="EE63" s="450">
        <v>2950.9179098047643</v>
      </c>
      <c r="EF63" s="443">
        <v>54433502.28504208</v>
      </c>
      <c r="EG63" s="450">
        <v>39.33194857241298</v>
      </c>
      <c r="EH63" s="450">
        <v>40.70369522963564</v>
      </c>
      <c r="EI63" s="450">
        <v>42.11676207666705</v>
      </c>
      <c r="EJ63" s="450">
        <v>44.041281100391814</v>
      </c>
      <c r="EK63" s="450">
        <v>46.18068106670768</v>
      </c>
      <c r="EL63" s="450">
        <v>48.230101950638534</v>
      </c>
      <c r="EM63" s="450">
        <v>50.80261242309258</v>
      </c>
      <c r="EN63" s="450">
        <v>53.31404276941838</v>
      </c>
      <c r="EO63" s="450">
        <v>54.74894072745443</v>
      </c>
      <c r="EP63" s="450">
        <v>55.491815333389944</v>
      </c>
      <c r="EQ63" s="450">
        <v>58.85953133204102</v>
      </c>
      <c r="ER63" s="443">
        <v>161056475</v>
      </c>
      <c r="ES63" s="443">
        <v>2048000</v>
      </c>
      <c r="ET63" s="443">
        <v>0</v>
      </c>
      <c r="EU63" s="443">
        <v>56170</v>
      </c>
      <c r="EV63" s="443">
        <v>14500000</v>
      </c>
      <c r="EW63" s="443">
        <v>0</v>
      </c>
      <c r="EX63" s="443">
        <v>0</v>
      </c>
      <c r="EY63" s="443">
        <v>0</v>
      </c>
      <c r="EZ63" s="443">
        <v>0</v>
      </c>
      <c r="FA63" s="443">
        <v>169386645</v>
      </c>
      <c r="FB63" s="443">
        <v>119379.33485219133</v>
      </c>
      <c r="FC63" s="443">
        <v>0</v>
      </c>
      <c r="FD63" s="443">
        <v>0</v>
      </c>
      <c r="FE63" s="443">
        <v>30306</v>
      </c>
      <c r="FF63" s="452">
        <v>0.055999999999999994</v>
      </c>
      <c r="FG63" s="443">
        <v>1697.1359999999997</v>
      </c>
      <c r="FH63" s="453">
        <v>1697.1359999999997</v>
      </c>
    </row>
    <row r="64" spans="2:164" ht="12.75">
      <c r="B64" s="356" t="s">
        <v>752</v>
      </c>
      <c r="C64" s="442">
        <v>13079</v>
      </c>
      <c r="D64" s="443">
        <v>3078207</v>
      </c>
      <c r="E64" s="443">
        <v>2641101.606</v>
      </c>
      <c r="F64" s="443">
        <v>636372.715541297</v>
      </c>
      <c r="G64" s="443">
        <v>437105.39400000003</v>
      </c>
      <c r="H64" s="444">
        <v>0.7142801437418764</v>
      </c>
      <c r="I64" s="445">
        <v>8948.95</v>
      </c>
      <c r="J64" s="445">
        <v>393.12</v>
      </c>
      <c r="K64" s="443">
        <v>3277474.3215412972</v>
      </c>
      <c r="L64" s="443">
        <v>2621979.457233038</v>
      </c>
      <c r="M64" s="443">
        <v>1195226.8998391489</v>
      </c>
      <c r="N64" s="443">
        <v>655494.8643082593</v>
      </c>
      <c r="O64" s="446">
        <v>1.8233962841195808</v>
      </c>
      <c r="P64" s="447">
        <v>0.36661824298493767</v>
      </c>
      <c r="Q64" s="448">
        <v>0.6333817570150623</v>
      </c>
      <c r="R64" s="443">
        <v>3817206.3570721867</v>
      </c>
      <c r="S64" s="443">
        <v>2580431.497380798</v>
      </c>
      <c r="T64" s="443">
        <v>302756.4319675911</v>
      </c>
      <c r="U64" s="443">
        <v>1181564.551091099</v>
      </c>
      <c r="V64" s="443">
        <v>870323.0494124586</v>
      </c>
      <c r="W64" s="446">
        <v>1.3576160620918343</v>
      </c>
      <c r="X64" s="448">
        <v>25.348695041851688</v>
      </c>
      <c r="Y64" s="443">
        <v>302756.4319675911</v>
      </c>
      <c r="Z64" s="443">
        <v>366451.81027892994</v>
      </c>
      <c r="AA64" s="444">
        <v>0.8261834802702811</v>
      </c>
      <c r="AB64" s="444">
        <v>0.06778041134643321</v>
      </c>
      <c r="AC64" s="445">
        <v>787</v>
      </c>
      <c r="AD64" s="445">
        <v>986</v>
      </c>
      <c r="AE64" s="443">
        <v>4064752.480439488</v>
      </c>
      <c r="AF64" s="443">
        <v>377670.34738701896</v>
      </c>
      <c r="AG64" s="447">
        <v>1</v>
      </c>
      <c r="AH64" s="446">
        <v>0.2663540839423963</v>
      </c>
      <c r="AI64" s="448">
        <v>0.22429941594600677</v>
      </c>
      <c r="AJ64" s="443">
        <v>4442422.827826506</v>
      </c>
      <c r="AK64" s="449">
        <v>1.141284291320443</v>
      </c>
      <c r="AL64" s="443">
        <v>5070067.388801733</v>
      </c>
      <c r="AM64" s="443">
        <v>11299991.562998232</v>
      </c>
      <c r="AN64" s="443">
        <v>11161992.164768886</v>
      </c>
      <c r="AO64" s="443">
        <v>10456596.246205674</v>
      </c>
      <c r="AP64" s="443">
        <v>11161992.164768886</v>
      </c>
      <c r="AQ64" s="443">
        <v>52316</v>
      </c>
      <c r="AR64" s="443">
        <v>11214308.164768886</v>
      </c>
      <c r="AS64" s="450">
        <v>857.4285621812743</v>
      </c>
      <c r="AT64" s="446">
        <v>13074</v>
      </c>
      <c r="AU64" s="446">
        <v>197</v>
      </c>
      <c r="AV64" s="446">
        <v>339</v>
      </c>
      <c r="AW64" s="446">
        <v>822</v>
      </c>
      <c r="AX64" s="446">
        <v>17</v>
      </c>
      <c r="AY64" s="446">
        <v>615</v>
      </c>
      <c r="AZ64" s="446">
        <v>103</v>
      </c>
      <c r="BA64" s="446">
        <v>438</v>
      </c>
      <c r="BB64" s="446">
        <v>120</v>
      </c>
      <c r="BC64" s="446">
        <v>590</v>
      </c>
      <c r="BD64" s="446">
        <v>1181</v>
      </c>
      <c r="BE64" s="446">
        <v>5603</v>
      </c>
      <c r="BF64" s="446">
        <v>2681</v>
      </c>
      <c r="BG64" s="446">
        <v>225</v>
      </c>
      <c r="BH64" s="446">
        <v>57</v>
      </c>
      <c r="BI64" s="446">
        <v>86</v>
      </c>
      <c r="BJ64" s="448">
        <v>2.1311897269799385</v>
      </c>
      <c r="BK64" s="448">
        <v>18.79572137436399</v>
      </c>
      <c r="BL64" s="448">
        <v>6.774273059370027</v>
      </c>
      <c r="BM64" s="448">
        <v>24.042896629987922</v>
      </c>
      <c r="BN64" s="445">
        <v>4790</v>
      </c>
      <c r="BO64" s="445">
        <v>8284</v>
      </c>
      <c r="BP64" s="443">
        <v>5111170.517713904</v>
      </c>
      <c r="BQ64" s="443">
        <v>16034701</v>
      </c>
      <c r="BR64" s="443">
        <v>17142021</v>
      </c>
      <c r="BS64" s="444">
        <v>0.06780633318035796</v>
      </c>
      <c r="BT64" s="445">
        <v>787</v>
      </c>
      <c r="BU64" s="445">
        <v>986</v>
      </c>
      <c r="BV64" s="443">
        <v>1162337.587310693</v>
      </c>
      <c r="BW64" s="444">
        <v>0.03355055811513127</v>
      </c>
      <c r="BX64" s="443">
        <v>106238.63444020128</v>
      </c>
      <c r="BY64" s="443">
        <v>22414447.739464797</v>
      </c>
      <c r="BZ64" s="451">
        <v>1.1533333333333333</v>
      </c>
      <c r="CA64" s="443">
        <v>25851329.726182733</v>
      </c>
      <c r="CB64" s="443">
        <v>18916395.124404546</v>
      </c>
      <c r="CC64" s="443">
        <v>18916395.124404546</v>
      </c>
      <c r="CD64" s="443">
        <v>17703285.668298997</v>
      </c>
      <c r="CE64" s="443">
        <v>18781959.19645271</v>
      </c>
      <c r="CF64" s="450">
        <v>1436.588587766002</v>
      </c>
      <c r="CG64" s="446">
        <v>13074</v>
      </c>
      <c r="CH64" s="446">
        <v>197</v>
      </c>
      <c r="CI64" s="446">
        <v>339</v>
      </c>
      <c r="CJ64" s="446">
        <v>822</v>
      </c>
      <c r="CK64" s="446">
        <v>17</v>
      </c>
      <c r="CL64" s="446">
        <v>615</v>
      </c>
      <c r="CM64" s="446">
        <v>103</v>
      </c>
      <c r="CN64" s="446">
        <v>438</v>
      </c>
      <c r="CO64" s="446">
        <v>120</v>
      </c>
      <c r="CP64" s="446">
        <v>590</v>
      </c>
      <c r="CQ64" s="446">
        <v>1181</v>
      </c>
      <c r="CR64" s="446">
        <v>5603</v>
      </c>
      <c r="CS64" s="446">
        <v>2681</v>
      </c>
      <c r="CT64" s="446">
        <v>225</v>
      </c>
      <c r="CU64" s="446">
        <v>57</v>
      </c>
      <c r="CV64" s="446">
        <v>86</v>
      </c>
      <c r="CW64" s="443">
        <v>10355615.65879569</v>
      </c>
      <c r="CX64" s="448">
        <v>1.1259573405040626</v>
      </c>
      <c r="CY64" s="448">
        <v>1.1533333333333333</v>
      </c>
      <c r="CZ64" s="443">
        <v>11659981.466459822</v>
      </c>
      <c r="DA64" s="450">
        <v>891.8449951399589</v>
      </c>
      <c r="DB64" s="445">
        <v>13079</v>
      </c>
      <c r="DC64" s="448">
        <v>0.9860539796620535</v>
      </c>
      <c r="DD64" s="450">
        <v>354.1</v>
      </c>
      <c r="DE64" s="443">
        <v>64626</v>
      </c>
      <c r="DF64" s="450">
        <v>63.47860976298615</v>
      </c>
      <c r="DG64" s="450">
        <v>66.20818998279455</v>
      </c>
      <c r="DH64" s="450">
        <v>67.66477016241602</v>
      </c>
      <c r="DI64" s="450">
        <v>69.15339510598916</v>
      </c>
      <c r="DJ64" s="450">
        <v>71.4354571444868</v>
      </c>
      <c r="DK64" s="450">
        <v>74.00713360168831</v>
      </c>
      <c r="DL64" s="450">
        <v>76.37536187694232</v>
      </c>
      <c r="DM64" s="450">
        <v>79.50675171389695</v>
      </c>
      <c r="DN64" s="450">
        <v>83.0050487893084</v>
      </c>
      <c r="DO64" s="450">
        <v>87.57032647272037</v>
      </c>
      <c r="DP64" s="450">
        <v>86.78219353446589</v>
      </c>
      <c r="DQ64" s="450">
        <v>91.20808540472365</v>
      </c>
      <c r="DR64" s="450">
        <v>52.75</v>
      </c>
      <c r="DS64" s="450">
        <v>55.285927016241594</v>
      </c>
      <c r="DT64" s="450">
        <v>57.90790382119781</v>
      </c>
      <c r="DU64" s="450">
        <v>61.27093870944602</v>
      </c>
      <c r="DV64" s="450">
        <v>64.9810412313721</v>
      </c>
      <c r="DW64" s="450">
        <v>68.61292243847038</v>
      </c>
      <c r="DX64" s="450">
        <v>73.04219214953751</v>
      </c>
      <c r="DY64" s="450">
        <v>77.00593751358285</v>
      </c>
      <c r="DZ64" s="450">
        <v>79.2760175069682</v>
      </c>
      <c r="EA64" s="450">
        <v>81.23994709046751</v>
      </c>
      <c r="EB64" s="450">
        <v>86.5481645946098</v>
      </c>
      <c r="EC64" s="450">
        <v>-0.75</v>
      </c>
      <c r="ED64" s="450">
        <v>85.7981645946098</v>
      </c>
      <c r="EE64" s="450">
        <v>4461.50455891971</v>
      </c>
      <c r="EF64" s="443">
        <v>57184977.76358866</v>
      </c>
      <c r="EG64" s="450">
        <v>66.35</v>
      </c>
      <c r="EH64" s="450">
        <v>67.79520701624158</v>
      </c>
      <c r="EI64" s="450">
        <v>69.2718897411978</v>
      </c>
      <c r="EJ64" s="450">
        <v>71.54256148288601</v>
      </c>
      <c r="EK64" s="450">
        <v>74.1022422541868</v>
      </c>
      <c r="EL64" s="450">
        <v>76.45715531809103</v>
      </c>
      <c r="EM64" s="450">
        <v>79.57486929168559</v>
      </c>
      <c r="EN64" s="450">
        <v>83.06826190149626</v>
      </c>
      <c r="EO64" s="450">
        <v>85.05745419824162</v>
      </c>
      <c r="EP64" s="450">
        <v>85.10309555475986</v>
      </c>
      <c r="EQ64" s="450">
        <v>89.79629982338682</v>
      </c>
      <c r="ER64" s="443">
        <v>382054059.9</v>
      </c>
      <c r="ES64" s="443">
        <v>5900000</v>
      </c>
      <c r="ET64" s="443">
        <v>0</v>
      </c>
      <c r="EU64" s="443">
        <v>0</v>
      </c>
      <c r="EV64" s="443">
        <v>26473000</v>
      </c>
      <c r="EW64" s="443">
        <v>0</v>
      </c>
      <c r="EX64" s="443">
        <v>0</v>
      </c>
      <c r="EY64" s="443">
        <v>0</v>
      </c>
      <c r="EZ64" s="443">
        <v>0</v>
      </c>
      <c r="FA64" s="443">
        <v>398240559.9</v>
      </c>
      <c r="FB64" s="443">
        <v>227672.22556354522</v>
      </c>
      <c r="FC64" s="443">
        <v>0</v>
      </c>
      <c r="FD64" s="443">
        <v>0</v>
      </c>
      <c r="FE64" s="443">
        <v>151532</v>
      </c>
      <c r="FF64" s="452">
        <v>0.0541</v>
      </c>
      <c r="FG64" s="443">
        <v>8197.8812</v>
      </c>
      <c r="FH64" s="453">
        <v>8197.8812</v>
      </c>
    </row>
    <row r="65" spans="2:164" ht="12.75">
      <c r="B65" s="356" t="s">
        <v>753</v>
      </c>
      <c r="C65" s="442">
        <v>4290</v>
      </c>
      <c r="D65" s="443">
        <v>1030370</v>
      </c>
      <c r="E65" s="443">
        <v>884057.46</v>
      </c>
      <c r="F65" s="443">
        <v>103012.09997181722</v>
      </c>
      <c r="G65" s="443">
        <v>146312.54</v>
      </c>
      <c r="H65" s="444">
        <v>0.3454219114219115</v>
      </c>
      <c r="I65" s="445">
        <v>1082.24</v>
      </c>
      <c r="J65" s="445">
        <v>399.62</v>
      </c>
      <c r="K65" s="443">
        <v>987069.5599718172</v>
      </c>
      <c r="L65" s="443">
        <v>789655.6479774538</v>
      </c>
      <c r="M65" s="443">
        <v>206686.38361834103</v>
      </c>
      <c r="N65" s="443">
        <v>197413.91199436339</v>
      </c>
      <c r="O65" s="446">
        <v>1.0469696969696969</v>
      </c>
      <c r="P65" s="447">
        <v>0.9638694638694638</v>
      </c>
      <c r="Q65" s="448">
        <v>0.03613053613053613</v>
      </c>
      <c r="R65" s="443">
        <v>996342.0315957948</v>
      </c>
      <c r="S65" s="443">
        <v>673527.2133587573</v>
      </c>
      <c r="T65" s="443">
        <v>67669.66811732465</v>
      </c>
      <c r="U65" s="443">
        <v>105886.87985390304</v>
      </c>
      <c r="V65" s="443">
        <v>227165.98320384123</v>
      </c>
      <c r="W65" s="446">
        <v>0.4661211963187654</v>
      </c>
      <c r="X65" s="448">
        <v>8.703170497130003</v>
      </c>
      <c r="Y65" s="443">
        <v>67669.66811732465</v>
      </c>
      <c r="Z65" s="443">
        <v>95648.8350331963</v>
      </c>
      <c r="AA65" s="444">
        <v>0.7074803168678313</v>
      </c>
      <c r="AB65" s="444">
        <v>0.05804195804195804</v>
      </c>
      <c r="AC65" s="445">
        <v>248</v>
      </c>
      <c r="AD65" s="445">
        <v>250</v>
      </c>
      <c r="AE65" s="443">
        <v>847083.761329985</v>
      </c>
      <c r="AF65" s="443">
        <v>0</v>
      </c>
      <c r="AG65" s="447">
        <v>0</v>
      </c>
      <c r="AH65" s="446">
        <v>0.012848055731916032</v>
      </c>
      <c r="AI65" s="448">
        <v>0.010819475166499615</v>
      </c>
      <c r="AJ65" s="443">
        <v>847083.761329985</v>
      </c>
      <c r="AK65" s="449">
        <v>1</v>
      </c>
      <c r="AL65" s="443">
        <v>847083.761329985</v>
      </c>
      <c r="AM65" s="443">
        <v>1887951.1103389708</v>
      </c>
      <c r="AN65" s="443">
        <v>1864894.7995744275</v>
      </c>
      <c r="AO65" s="443">
        <v>1846670.8864795407</v>
      </c>
      <c r="AP65" s="443">
        <v>1864894.7995744275</v>
      </c>
      <c r="AQ65" s="443">
        <v>17160</v>
      </c>
      <c r="AR65" s="443">
        <v>1882054.7995744275</v>
      </c>
      <c r="AS65" s="450">
        <v>438.70741248821156</v>
      </c>
      <c r="AT65" s="446">
        <v>4290</v>
      </c>
      <c r="AU65" s="446">
        <v>266</v>
      </c>
      <c r="AV65" s="446">
        <v>322</v>
      </c>
      <c r="AW65" s="446">
        <v>37</v>
      </c>
      <c r="AX65" s="446">
        <v>238</v>
      </c>
      <c r="AY65" s="446">
        <v>582</v>
      </c>
      <c r="AZ65" s="446">
        <v>179</v>
      </c>
      <c r="BA65" s="446">
        <v>245</v>
      </c>
      <c r="BB65" s="446">
        <v>214</v>
      </c>
      <c r="BC65" s="446">
        <v>73</v>
      </c>
      <c r="BD65" s="446">
        <v>988</v>
      </c>
      <c r="BE65" s="446">
        <v>155</v>
      </c>
      <c r="BF65" s="446">
        <v>0</v>
      </c>
      <c r="BG65" s="446">
        <v>991</v>
      </c>
      <c r="BH65" s="446">
        <v>0</v>
      </c>
      <c r="BI65" s="446">
        <v>0</v>
      </c>
      <c r="BJ65" s="448">
        <v>1.1396284010268969</v>
      </c>
      <c r="BK65" s="448">
        <v>5.391076254529054</v>
      </c>
      <c r="BL65" s="448">
        <v>3.143402718253231</v>
      </c>
      <c r="BM65" s="448">
        <v>4.495347072551645</v>
      </c>
      <c r="BN65" s="445">
        <v>4135</v>
      </c>
      <c r="BO65" s="445">
        <v>155</v>
      </c>
      <c r="BP65" s="443">
        <v>999262.650129216</v>
      </c>
      <c r="BQ65" s="443">
        <v>4251416</v>
      </c>
      <c r="BR65" s="443">
        <v>5783758</v>
      </c>
      <c r="BS65" s="444">
        <v>0.05804195804195804</v>
      </c>
      <c r="BT65" s="445">
        <v>248</v>
      </c>
      <c r="BU65" s="445">
        <v>250</v>
      </c>
      <c r="BV65" s="443">
        <v>335700.63916083914</v>
      </c>
      <c r="BW65" s="444">
        <v>0.01008657336920648</v>
      </c>
      <c r="BX65" s="443">
        <v>3006.0186483157354</v>
      </c>
      <c r="BY65" s="443">
        <v>5589385.307938371</v>
      </c>
      <c r="BZ65" s="451">
        <v>0.99</v>
      </c>
      <c r="CA65" s="443">
        <v>5533491.454858987</v>
      </c>
      <c r="CB65" s="443">
        <v>4049064.8599639796</v>
      </c>
      <c r="CC65" s="443">
        <v>4049064.8599639796</v>
      </c>
      <c r="CD65" s="443">
        <v>3944133.4523433703</v>
      </c>
      <c r="CE65" s="443">
        <v>4020288.7750806524</v>
      </c>
      <c r="CF65" s="450">
        <v>937.1302506015506</v>
      </c>
      <c r="CG65" s="446">
        <v>4290</v>
      </c>
      <c r="CH65" s="446">
        <v>266</v>
      </c>
      <c r="CI65" s="446">
        <v>322</v>
      </c>
      <c r="CJ65" s="446">
        <v>37</v>
      </c>
      <c r="CK65" s="446">
        <v>238</v>
      </c>
      <c r="CL65" s="446">
        <v>582</v>
      </c>
      <c r="CM65" s="446">
        <v>179</v>
      </c>
      <c r="CN65" s="446">
        <v>245</v>
      </c>
      <c r="CO65" s="446">
        <v>214</v>
      </c>
      <c r="CP65" s="446">
        <v>73</v>
      </c>
      <c r="CQ65" s="446">
        <v>988</v>
      </c>
      <c r="CR65" s="446">
        <v>155</v>
      </c>
      <c r="CS65" s="446">
        <v>0</v>
      </c>
      <c r="CT65" s="446">
        <v>991</v>
      </c>
      <c r="CU65" s="446">
        <v>0</v>
      </c>
      <c r="CV65" s="446">
        <v>0</v>
      </c>
      <c r="CW65" s="443">
        <v>2904066.2565035345</v>
      </c>
      <c r="CX65" s="448">
        <v>0.9665009541320998</v>
      </c>
      <c r="CY65" s="448">
        <v>0.99</v>
      </c>
      <c r="CZ65" s="443">
        <v>2806782.807773501</v>
      </c>
      <c r="DA65" s="450">
        <v>654.2617267537298</v>
      </c>
      <c r="DB65" s="445">
        <v>4290</v>
      </c>
      <c r="DC65" s="448">
        <v>1.012097902097902</v>
      </c>
      <c r="DD65" s="450">
        <v>278</v>
      </c>
      <c r="DE65" s="443">
        <v>49226</v>
      </c>
      <c r="DF65" s="450">
        <v>50.213542090176105</v>
      </c>
      <c r="DG65" s="450">
        <v>52.37272440005368</v>
      </c>
      <c r="DH65" s="450">
        <v>53.524924336854845</v>
      </c>
      <c r="DI65" s="450">
        <v>54.70247267226564</v>
      </c>
      <c r="DJ65" s="450">
        <v>56.5076542704504</v>
      </c>
      <c r="DK65" s="450">
        <v>58.5419298241866</v>
      </c>
      <c r="DL65" s="450">
        <v>60.415271578560564</v>
      </c>
      <c r="DM65" s="450">
        <v>62.89229771328154</v>
      </c>
      <c r="DN65" s="450">
        <v>65.65955881266592</v>
      </c>
      <c r="DO65" s="450">
        <v>69.27083454736254</v>
      </c>
      <c r="DP65" s="450">
        <v>68.64739703643627</v>
      </c>
      <c r="DQ65" s="450">
        <v>72.14841428529452</v>
      </c>
      <c r="DR65" s="450">
        <v>41.69</v>
      </c>
      <c r="DS65" s="450">
        <v>43.69895443368548</v>
      </c>
      <c r="DT65" s="450">
        <v>45.77612490245312</v>
      </c>
      <c r="DU65" s="450">
        <v>48.439351680011114</v>
      </c>
      <c r="DV65" s="450">
        <v>51.37727712387652</v>
      </c>
      <c r="DW65" s="450">
        <v>54.253670256293894</v>
      </c>
      <c r="DX65" s="450">
        <v>57.76091613209786</v>
      </c>
      <c r="DY65" s="450">
        <v>60.897636705327464</v>
      </c>
      <c r="DZ65" s="450">
        <v>62.694101841138135</v>
      </c>
      <c r="EA65" s="450">
        <v>64.25283281116997</v>
      </c>
      <c r="EB65" s="450">
        <v>68.45346468469062</v>
      </c>
      <c r="EC65" s="450">
        <v>-0.86</v>
      </c>
      <c r="ED65" s="450">
        <v>67.59346468469062</v>
      </c>
      <c r="EE65" s="450">
        <v>3514.860163603912</v>
      </c>
      <c r="EF65" s="443">
        <v>14777175.099823566</v>
      </c>
      <c r="EG65" s="450">
        <v>42.11</v>
      </c>
      <c r="EH65" s="450">
        <v>44.08527043368548</v>
      </c>
      <c r="EI65" s="450">
        <v>46.127071526453115</v>
      </c>
      <c r="EJ65" s="450">
        <v>48.75656355977911</v>
      </c>
      <c r="EK65" s="450">
        <v>51.6589612731105</v>
      </c>
      <c r="EL65" s="450">
        <v>54.49591862463512</v>
      </c>
      <c r="EM65" s="450">
        <v>57.96266057325243</v>
      </c>
      <c r="EN65" s="450">
        <v>61.0848555467189</v>
      </c>
      <c r="EO65" s="450">
        <v>62.872646209545096</v>
      </c>
      <c r="EP65" s="450">
        <v>64.3721359255084</v>
      </c>
      <c r="EQ65" s="450">
        <v>68.55377474322636</v>
      </c>
      <c r="ER65" s="443">
        <v>2452871</v>
      </c>
      <c r="ES65" s="443">
        <v>0</v>
      </c>
      <c r="ET65" s="443">
        <v>0</v>
      </c>
      <c r="EU65" s="443">
        <v>368000</v>
      </c>
      <c r="EV65" s="443">
        <v>0</v>
      </c>
      <c r="EW65" s="443">
        <v>0</v>
      </c>
      <c r="EX65" s="443">
        <v>0</v>
      </c>
      <c r="EY65" s="443">
        <v>0</v>
      </c>
      <c r="EZ65" s="443">
        <v>0</v>
      </c>
      <c r="FA65" s="443">
        <v>2820871</v>
      </c>
      <c r="FB65" s="443">
        <v>40560.9796236347</v>
      </c>
      <c r="FC65" s="443">
        <v>0</v>
      </c>
      <c r="FD65" s="443">
        <v>0</v>
      </c>
      <c r="FE65" s="443">
        <v>7186</v>
      </c>
      <c r="FF65" s="452">
        <v>0.0313</v>
      </c>
      <c r="FG65" s="443">
        <v>224.92180000000002</v>
      </c>
      <c r="FH65" s="453">
        <v>224.92180000000002</v>
      </c>
    </row>
    <row r="66" spans="2:164" ht="12.75">
      <c r="B66" s="356" t="s">
        <v>754</v>
      </c>
      <c r="C66" s="442">
        <v>11006</v>
      </c>
      <c r="D66" s="443">
        <v>2595198</v>
      </c>
      <c r="E66" s="443">
        <v>2226679.884</v>
      </c>
      <c r="F66" s="443">
        <v>286498.51062815543</v>
      </c>
      <c r="G66" s="443">
        <v>368518.11600000004</v>
      </c>
      <c r="H66" s="444">
        <v>0.3814228602580411</v>
      </c>
      <c r="I66" s="445">
        <v>3240.49</v>
      </c>
      <c r="J66" s="445">
        <v>957.45</v>
      </c>
      <c r="K66" s="443">
        <v>2513178.3946281555</v>
      </c>
      <c r="L66" s="443">
        <v>2010542.7157025244</v>
      </c>
      <c r="M66" s="443">
        <v>547697.5201391436</v>
      </c>
      <c r="N66" s="443">
        <v>502635.678925631</v>
      </c>
      <c r="O66" s="446">
        <v>1.089651099400327</v>
      </c>
      <c r="P66" s="447">
        <v>0.9310376158459023</v>
      </c>
      <c r="Q66" s="448">
        <v>0.06896238415409776</v>
      </c>
      <c r="R66" s="443">
        <v>2558240.235841668</v>
      </c>
      <c r="S66" s="443">
        <v>1729370.3994289679</v>
      </c>
      <c r="T66" s="443">
        <v>290622.9340802945</v>
      </c>
      <c r="U66" s="443">
        <v>352893.8394804607</v>
      </c>
      <c r="V66" s="443">
        <v>583278.7737719003</v>
      </c>
      <c r="W66" s="446">
        <v>0.6050174553728317</v>
      </c>
      <c r="X66" s="448">
        <v>11.296568595109632</v>
      </c>
      <c r="Y66" s="443">
        <v>290622.9340802945</v>
      </c>
      <c r="Z66" s="443">
        <v>245591.06264080014</v>
      </c>
      <c r="AA66" s="444">
        <v>1.1833611979005836</v>
      </c>
      <c r="AB66" s="444">
        <v>0.0970834090496093</v>
      </c>
      <c r="AC66" s="445">
        <v>1092</v>
      </c>
      <c r="AD66" s="445">
        <v>1045</v>
      </c>
      <c r="AE66" s="443">
        <v>2372887.172989723</v>
      </c>
      <c r="AF66" s="443">
        <v>81953.36180057736</v>
      </c>
      <c r="AG66" s="447">
        <v>0.5</v>
      </c>
      <c r="AH66" s="446">
        <v>0.08356193544003296</v>
      </c>
      <c r="AI66" s="448">
        <v>0.07036833465099335</v>
      </c>
      <c r="AJ66" s="443">
        <v>2454840.5347903003</v>
      </c>
      <c r="AK66" s="449">
        <v>1</v>
      </c>
      <c r="AL66" s="443">
        <v>2454840.5347903003</v>
      </c>
      <c r="AM66" s="443">
        <v>5471264.02952851</v>
      </c>
      <c r="AN66" s="443">
        <v>5404447.064275089</v>
      </c>
      <c r="AO66" s="443">
        <v>5297943.456455141</v>
      </c>
      <c r="AP66" s="443">
        <v>5404447.064275089</v>
      </c>
      <c r="AQ66" s="443">
        <v>44024</v>
      </c>
      <c r="AR66" s="443">
        <v>5448471.064275089</v>
      </c>
      <c r="AS66" s="450">
        <v>495.045526465118</v>
      </c>
      <c r="AT66" s="446">
        <v>11006</v>
      </c>
      <c r="AU66" s="446">
        <v>411</v>
      </c>
      <c r="AV66" s="446">
        <v>567</v>
      </c>
      <c r="AW66" s="446">
        <v>608</v>
      </c>
      <c r="AX66" s="446">
        <v>324</v>
      </c>
      <c r="AY66" s="446">
        <v>2027</v>
      </c>
      <c r="AZ66" s="446">
        <v>296</v>
      </c>
      <c r="BA66" s="446">
        <v>316</v>
      </c>
      <c r="BB66" s="446">
        <v>192</v>
      </c>
      <c r="BC66" s="446">
        <v>106</v>
      </c>
      <c r="BD66" s="446">
        <v>2776</v>
      </c>
      <c r="BE66" s="446">
        <v>694</v>
      </c>
      <c r="BF66" s="446">
        <v>65</v>
      </c>
      <c r="BG66" s="446">
        <v>2624</v>
      </c>
      <c r="BH66" s="446">
        <v>0</v>
      </c>
      <c r="BI66" s="446">
        <v>0</v>
      </c>
      <c r="BJ66" s="448">
        <v>1.2353771229922714</v>
      </c>
      <c r="BK66" s="448">
        <v>8.471750794517547</v>
      </c>
      <c r="BL66" s="448">
        <v>5.681105719582489</v>
      </c>
      <c r="BM66" s="448">
        <v>5.581290149870114</v>
      </c>
      <c r="BN66" s="445">
        <v>10247</v>
      </c>
      <c r="BO66" s="445">
        <v>759</v>
      </c>
      <c r="BP66" s="443">
        <v>2762822.1054023756</v>
      </c>
      <c r="BQ66" s="443">
        <v>11120714</v>
      </c>
      <c r="BR66" s="443">
        <v>14647013</v>
      </c>
      <c r="BS66" s="444">
        <v>0.0970834090496093</v>
      </c>
      <c r="BT66" s="445">
        <v>1092</v>
      </c>
      <c r="BU66" s="445">
        <v>1045</v>
      </c>
      <c r="BV66" s="443">
        <v>1421981.954433945</v>
      </c>
      <c r="BW66" s="444">
        <v>0.010071892696982344</v>
      </c>
      <c r="BX66" s="443">
        <v>12101.216264207154</v>
      </c>
      <c r="BY66" s="443">
        <v>15317619.276100527</v>
      </c>
      <c r="BZ66" s="451">
        <v>0.9366666666666666</v>
      </c>
      <c r="CA66" s="443">
        <v>14347503.388614161</v>
      </c>
      <c r="CB66" s="443">
        <v>10498610.55591567</v>
      </c>
      <c r="CC66" s="443">
        <v>10498610.55591567</v>
      </c>
      <c r="CD66" s="443">
        <v>10719149.842154453</v>
      </c>
      <c r="CE66" s="443">
        <v>10719149.842154453</v>
      </c>
      <c r="CF66" s="450">
        <v>973.9369291435992</v>
      </c>
      <c r="CG66" s="446">
        <v>11006</v>
      </c>
      <c r="CH66" s="446">
        <v>411</v>
      </c>
      <c r="CI66" s="446">
        <v>567</v>
      </c>
      <c r="CJ66" s="446">
        <v>608</v>
      </c>
      <c r="CK66" s="446">
        <v>324</v>
      </c>
      <c r="CL66" s="446">
        <v>2027</v>
      </c>
      <c r="CM66" s="446">
        <v>296</v>
      </c>
      <c r="CN66" s="446">
        <v>316</v>
      </c>
      <c r="CO66" s="446">
        <v>192</v>
      </c>
      <c r="CP66" s="446">
        <v>106</v>
      </c>
      <c r="CQ66" s="446">
        <v>2776</v>
      </c>
      <c r="CR66" s="446">
        <v>694</v>
      </c>
      <c r="CS66" s="446">
        <v>65</v>
      </c>
      <c r="CT66" s="446">
        <v>2624</v>
      </c>
      <c r="CU66" s="446">
        <v>0</v>
      </c>
      <c r="CV66" s="446">
        <v>0</v>
      </c>
      <c r="CW66" s="443">
        <v>7670380.034048679</v>
      </c>
      <c r="CX66" s="448">
        <v>0.9144335626637039</v>
      </c>
      <c r="CY66" s="448">
        <v>0.9366666666666666</v>
      </c>
      <c r="CZ66" s="443">
        <v>7014052.941519677</v>
      </c>
      <c r="DA66" s="450">
        <v>637.2935618316988</v>
      </c>
      <c r="DB66" s="445">
        <v>11006</v>
      </c>
      <c r="DC66" s="448">
        <v>1.0023623478102852</v>
      </c>
      <c r="DD66" s="450">
        <v>318.4</v>
      </c>
      <c r="DE66" s="443">
        <v>30218</v>
      </c>
      <c r="DF66" s="450">
        <v>48.51938135264622</v>
      </c>
      <c r="DG66" s="450">
        <v>50.60571475081</v>
      </c>
      <c r="DH66" s="450">
        <v>51.71904047532781</v>
      </c>
      <c r="DI66" s="450">
        <v>52.85685936578501</v>
      </c>
      <c r="DJ66" s="450">
        <v>54.601135724855915</v>
      </c>
      <c r="DK66" s="450">
        <v>56.56677661095072</v>
      </c>
      <c r="DL66" s="450">
        <v>58.37691346250113</v>
      </c>
      <c r="DM66" s="450">
        <v>60.77036691446367</v>
      </c>
      <c r="DN66" s="450">
        <v>63.44426305870006</v>
      </c>
      <c r="DO66" s="450">
        <v>66.93369752692855</v>
      </c>
      <c r="DP66" s="450">
        <v>66.3312942491862</v>
      </c>
      <c r="DQ66" s="450">
        <v>69.71419025589469</v>
      </c>
      <c r="DR66" s="450">
        <v>37.79</v>
      </c>
      <c r="DS66" s="450">
        <v>39.93114604753278</v>
      </c>
      <c r="DT66" s="450">
        <v>42.14821216115699</v>
      </c>
      <c r="DU66" s="450">
        <v>44.92185723277276</v>
      </c>
      <c r="DV66" s="450">
        <v>47.97157730998087</v>
      </c>
      <c r="DW66" s="450">
        <v>50.98504206366706</v>
      </c>
      <c r="DX66" s="450">
        <v>54.61441641351466</v>
      </c>
      <c r="DY66" s="450">
        <v>57.73154099381938</v>
      </c>
      <c r="DZ66" s="450">
        <v>59.51889276290098</v>
      </c>
      <c r="EA66" s="450">
        <v>61.37673136684638</v>
      </c>
      <c r="EB66" s="450">
        <v>65.54839378442337</v>
      </c>
      <c r="EC66" s="450">
        <v>-2.18</v>
      </c>
      <c r="ED66" s="450">
        <v>63.36839378442337</v>
      </c>
      <c r="EE66" s="450">
        <v>3295.156476790015</v>
      </c>
      <c r="EF66" s="443">
        <v>35541162.339879885</v>
      </c>
      <c r="EG66" s="450">
        <v>39.81</v>
      </c>
      <c r="EH66" s="450">
        <v>41.78914204753278</v>
      </c>
      <c r="EI66" s="450">
        <v>43.836098305156995</v>
      </c>
      <c r="EJ66" s="450">
        <v>46.44749532118077</v>
      </c>
      <c r="EK66" s="450">
        <v>49.32634393248719</v>
      </c>
      <c r="EL66" s="450">
        <v>52.1501413590225</v>
      </c>
      <c r="EM66" s="450">
        <v>55.58471110668667</v>
      </c>
      <c r="EN66" s="450">
        <v>58.631974469083005</v>
      </c>
      <c r="EO66" s="450">
        <v>60.37760615381073</v>
      </c>
      <c r="EP66" s="450">
        <v>61.950522535807465</v>
      </c>
      <c r="EQ66" s="450">
        <v>66.03083739928586</v>
      </c>
      <c r="ER66" s="443">
        <v>15954415</v>
      </c>
      <c r="ES66" s="443">
        <v>668000</v>
      </c>
      <c r="ET66" s="443">
        <v>0</v>
      </c>
      <c r="EU66" s="443">
        <v>2574000</v>
      </c>
      <c r="EV66" s="443">
        <v>0</v>
      </c>
      <c r="EW66" s="443">
        <v>0</v>
      </c>
      <c r="EX66" s="443">
        <v>0</v>
      </c>
      <c r="EY66" s="443">
        <v>0</v>
      </c>
      <c r="EZ66" s="443">
        <v>0</v>
      </c>
      <c r="FA66" s="443">
        <v>18862415</v>
      </c>
      <c r="FB66" s="443">
        <v>48151.78344271053</v>
      </c>
      <c r="FC66" s="443">
        <v>0</v>
      </c>
      <c r="FD66" s="443">
        <v>0</v>
      </c>
      <c r="FE66" s="443">
        <v>33100</v>
      </c>
      <c r="FF66" s="452">
        <v>0.0626</v>
      </c>
      <c r="FG66" s="443">
        <v>2072.06</v>
      </c>
      <c r="FH66" s="453">
        <v>2072.06</v>
      </c>
    </row>
    <row r="67" spans="2:164" ht="12.75">
      <c r="B67" s="356" t="s">
        <v>755</v>
      </c>
      <c r="C67" s="442">
        <v>3726.38</v>
      </c>
      <c r="D67" s="443">
        <v>899046.54</v>
      </c>
      <c r="E67" s="443">
        <v>771381.93132</v>
      </c>
      <c r="F67" s="443">
        <v>134976.62332383668</v>
      </c>
      <c r="G67" s="443">
        <v>127664.60868000002</v>
      </c>
      <c r="H67" s="444">
        <v>0.5187178977989362</v>
      </c>
      <c r="I67" s="445">
        <v>1696.34</v>
      </c>
      <c r="J67" s="445">
        <v>236.6</v>
      </c>
      <c r="K67" s="443">
        <v>906358.5546438367</v>
      </c>
      <c r="L67" s="443">
        <v>725086.8437150693</v>
      </c>
      <c r="M67" s="443">
        <v>249108.86825689394</v>
      </c>
      <c r="N67" s="443">
        <v>181271.7109287673</v>
      </c>
      <c r="O67" s="446">
        <v>1.374229144639033</v>
      </c>
      <c r="P67" s="447">
        <v>0.7119510087538039</v>
      </c>
      <c r="Q67" s="448">
        <v>0.28794701560227354</v>
      </c>
      <c r="R67" s="443">
        <v>974195.7119719633</v>
      </c>
      <c r="S67" s="443">
        <v>658556.3012930473</v>
      </c>
      <c r="T67" s="443">
        <v>86268.39565412799</v>
      </c>
      <c r="U67" s="443">
        <v>244075.23513883853</v>
      </c>
      <c r="V67" s="443">
        <v>222116.62232960764</v>
      </c>
      <c r="W67" s="446">
        <v>1.0988607362156158</v>
      </c>
      <c r="X67" s="448">
        <v>20.51735131424077</v>
      </c>
      <c r="Y67" s="443">
        <v>86268.39565412799</v>
      </c>
      <c r="Z67" s="443">
        <v>93522.78834930848</v>
      </c>
      <c r="AA67" s="444">
        <v>0.9224318177075167</v>
      </c>
      <c r="AB67" s="444">
        <v>0.07567666206881746</v>
      </c>
      <c r="AC67" s="445">
        <v>260</v>
      </c>
      <c r="AD67" s="445">
        <v>304</v>
      </c>
      <c r="AE67" s="443">
        <v>988899.9320860137</v>
      </c>
      <c r="AF67" s="443">
        <v>21238.343932719952</v>
      </c>
      <c r="AG67" s="447">
        <v>0.25</v>
      </c>
      <c r="AH67" s="446">
        <v>0.18689973146020813</v>
      </c>
      <c r="AI67" s="448">
        <v>0.15739011764526367</v>
      </c>
      <c r="AJ67" s="443">
        <v>1010138.2760187336</v>
      </c>
      <c r="AK67" s="449">
        <v>1.0101799959369813</v>
      </c>
      <c r="AL67" s="443">
        <v>1020421.4795643936</v>
      </c>
      <c r="AM67" s="443">
        <v>2274280.246303593</v>
      </c>
      <c r="AN67" s="443">
        <v>2246505.9507525694</v>
      </c>
      <c r="AO67" s="443">
        <v>2157947.095999368</v>
      </c>
      <c r="AP67" s="443">
        <v>2246505.9507525694</v>
      </c>
      <c r="AQ67" s="443">
        <v>14905.52</v>
      </c>
      <c r="AR67" s="443">
        <v>2261411.4707525694</v>
      </c>
      <c r="AS67" s="450">
        <v>606.8655023783322</v>
      </c>
      <c r="AT67" s="446">
        <v>3713</v>
      </c>
      <c r="AU67" s="446">
        <v>40</v>
      </c>
      <c r="AV67" s="446">
        <v>283</v>
      </c>
      <c r="AW67" s="446">
        <v>4</v>
      </c>
      <c r="AX67" s="446">
        <v>421</v>
      </c>
      <c r="AY67" s="446">
        <v>52</v>
      </c>
      <c r="AZ67" s="446">
        <v>87</v>
      </c>
      <c r="BA67" s="446">
        <v>564</v>
      </c>
      <c r="BB67" s="446">
        <v>332</v>
      </c>
      <c r="BC67" s="446">
        <v>40</v>
      </c>
      <c r="BD67" s="446">
        <v>793</v>
      </c>
      <c r="BE67" s="446">
        <v>1067</v>
      </c>
      <c r="BF67" s="446">
        <v>0</v>
      </c>
      <c r="BG67" s="446">
        <v>30</v>
      </c>
      <c r="BH67" s="446">
        <v>0</v>
      </c>
      <c r="BI67" s="446">
        <v>0</v>
      </c>
      <c r="BJ67" s="448">
        <v>1.437523002625259</v>
      </c>
      <c r="BK67" s="448">
        <v>10.852434660073179</v>
      </c>
      <c r="BL67" s="448">
        <v>8.270070017556813</v>
      </c>
      <c r="BM67" s="448">
        <v>5.164729285032732</v>
      </c>
      <c r="BN67" s="445">
        <v>2646</v>
      </c>
      <c r="BO67" s="445">
        <v>1067</v>
      </c>
      <c r="BP67" s="443">
        <v>1057246.4176027835</v>
      </c>
      <c r="BQ67" s="443">
        <v>4145507</v>
      </c>
      <c r="BR67" s="443">
        <v>5081697</v>
      </c>
      <c r="BS67" s="444">
        <v>0.0759493670886076</v>
      </c>
      <c r="BT67" s="445">
        <v>260</v>
      </c>
      <c r="BU67" s="445">
        <v>304</v>
      </c>
      <c r="BV67" s="443">
        <v>385951.67088607594</v>
      </c>
      <c r="BW67" s="444">
        <v>0.03717813653304891</v>
      </c>
      <c r="BX67" s="443">
        <v>19304.341800868027</v>
      </c>
      <c r="BY67" s="443">
        <v>5608009.430289727</v>
      </c>
      <c r="BZ67" s="451">
        <v>1.0733333333333335</v>
      </c>
      <c r="CA67" s="443">
        <v>6019263.455177641</v>
      </c>
      <c r="CB67" s="443">
        <v>4404522.5944685675</v>
      </c>
      <c r="CC67" s="443">
        <v>4404522.5944685675</v>
      </c>
      <c r="CD67" s="443">
        <v>4295748.590112922</v>
      </c>
      <c r="CE67" s="443">
        <v>4373220.325813358</v>
      </c>
      <c r="CF67" s="450">
        <v>1177.8131768955986</v>
      </c>
      <c r="CG67" s="446">
        <v>3713</v>
      </c>
      <c r="CH67" s="446">
        <v>40</v>
      </c>
      <c r="CI67" s="446">
        <v>283</v>
      </c>
      <c r="CJ67" s="446">
        <v>4</v>
      </c>
      <c r="CK67" s="446">
        <v>421</v>
      </c>
      <c r="CL67" s="446">
        <v>52</v>
      </c>
      <c r="CM67" s="446">
        <v>87</v>
      </c>
      <c r="CN67" s="446">
        <v>564</v>
      </c>
      <c r="CO67" s="446">
        <v>332</v>
      </c>
      <c r="CP67" s="446">
        <v>40</v>
      </c>
      <c r="CQ67" s="446">
        <v>793</v>
      </c>
      <c r="CR67" s="446">
        <v>1067</v>
      </c>
      <c r="CS67" s="446">
        <v>0</v>
      </c>
      <c r="CT67" s="446">
        <v>30</v>
      </c>
      <c r="CU67" s="446">
        <v>0</v>
      </c>
      <c r="CV67" s="446">
        <v>0</v>
      </c>
      <c r="CW67" s="443">
        <v>2646348.042262692</v>
      </c>
      <c r="CX67" s="448">
        <v>1.0478562533014688</v>
      </c>
      <c r="CY67" s="448">
        <v>1.0733333333333335</v>
      </c>
      <c r="CZ67" s="443">
        <v>2772992.3444970613</v>
      </c>
      <c r="DA67" s="450">
        <v>746.833381227326</v>
      </c>
      <c r="DB67" s="445">
        <v>3726.38</v>
      </c>
      <c r="DC67" s="448">
        <v>0.9873303313135002</v>
      </c>
      <c r="DD67" s="450">
        <v>281.5</v>
      </c>
      <c r="DE67" s="443">
        <v>43033</v>
      </c>
      <c r="DF67" s="450">
        <v>47.75932246385813</v>
      </c>
      <c r="DG67" s="450">
        <v>49.81297332980403</v>
      </c>
      <c r="DH67" s="450">
        <v>50.90885874305971</v>
      </c>
      <c r="DI67" s="450">
        <v>52.02885363540701</v>
      </c>
      <c r="DJ67" s="450">
        <v>53.74580580537544</v>
      </c>
      <c r="DK67" s="450">
        <v>55.68065481436894</v>
      </c>
      <c r="DL67" s="450">
        <v>57.46243576842874</v>
      </c>
      <c r="DM67" s="450">
        <v>59.81839563493431</v>
      </c>
      <c r="DN67" s="450">
        <v>62.45040504287141</v>
      </c>
      <c r="DO67" s="450">
        <v>65.88517732022933</v>
      </c>
      <c r="DP67" s="450">
        <v>65.29221072434727</v>
      </c>
      <c r="DQ67" s="450">
        <v>68.62211347128898</v>
      </c>
      <c r="DR67" s="450">
        <v>43.71</v>
      </c>
      <c r="DS67" s="450">
        <v>45.29534387430596</v>
      </c>
      <c r="DT67" s="450">
        <v>46.92928723908138</v>
      </c>
      <c r="DU67" s="450">
        <v>49.13643522889661</v>
      </c>
      <c r="DV67" s="450">
        <v>51.58753374245575</v>
      </c>
      <c r="DW67" s="450">
        <v>53.94235164658339</v>
      </c>
      <c r="DX67" s="450">
        <v>56.8868695782615</v>
      </c>
      <c r="DY67" s="450">
        <v>59.729948862279045</v>
      </c>
      <c r="DZ67" s="450">
        <v>61.35480638634207</v>
      </c>
      <c r="EA67" s="450">
        <v>62.26502276908723</v>
      </c>
      <c r="EB67" s="450">
        <v>66.07685383850634</v>
      </c>
      <c r="EC67" s="450">
        <v>0</v>
      </c>
      <c r="ED67" s="450">
        <v>66.07685383850634</v>
      </c>
      <c r="EE67" s="450">
        <v>3435.99639960233</v>
      </c>
      <c r="EF67" s="443">
        <v>12547751.698279127</v>
      </c>
      <c r="EG67" s="450">
        <v>45.91</v>
      </c>
      <c r="EH67" s="450">
        <v>47.31890387430596</v>
      </c>
      <c r="EI67" s="450">
        <v>48.767579079081386</v>
      </c>
      <c r="EJ67" s="450">
        <v>50.79802126577661</v>
      </c>
      <c r="EK67" s="450">
        <v>53.06302214320518</v>
      </c>
      <c r="EL67" s="450">
        <v>55.211271671227905</v>
      </c>
      <c r="EM67" s="450">
        <v>57.94362617478546</v>
      </c>
      <c r="EN67" s="450">
        <v>60.71061898385327</v>
      </c>
      <c r="EO67" s="450">
        <v>62.29003879228337</v>
      </c>
      <c r="EP67" s="450">
        <v>62.889943844193354</v>
      </c>
      <c r="EQ67" s="450">
        <v>66.60228747845557</v>
      </c>
      <c r="ER67" s="443">
        <v>68027510</v>
      </c>
      <c r="ES67" s="443">
        <v>0</v>
      </c>
      <c r="ET67" s="443">
        <v>0</v>
      </c>
      <c r="EU67" s="443">
        <v>0</v>
      </c>
      <c r="EV67" s="443">
        <v>4873000</v>
      </c>
      <c r="EW67" s="443">
        <v>0</v>
      </c>
      <c r="EX67" s="443">
        <v>0</v>
      </c>
      <c r="EY67" s="443">
        <v>0</v>
      </c>
      <c r="EZ67" s="443">
        <v>0</v>
      </c>
      <c r="FA67" s="443">
        <v>70464010</v>
      </c>
      <c r="FB67" s="443">
        <v>72569.48191340663</v>
      </c>
      <c r="FC67" s="443">
        <v>0</v>
      </c>
      <c r="FD67" s="443">
        <v>0</v>
      </c>
      <c r="FE67" s="443">
        <v>56596</v>
      </c>
      <c r="FF67" s="452">
        <v>0.061200000000000004</v>
      </c>
      <c r="FG67" s="443">
        <v>3463.6752</v>
      </c>
      <c r="FH67" s="453">
        <v>3463.6752</v>
      </c>
    </row>
    <row r="68" spans="2:164" ht="12.75">
      <c r="B68" s="356" t="s">
        <v>756</v>
      </c>
      <c r="C68" s="442">
        <v>11582.75</v>
      </c>
      <c r="D68" s="443">
        <v>2729580.75</v>
      </c>
      <c r="E68" s="443">
        <v>2341980.2835</v>
      </c>
      <c r="F68" s="443">
        <v>530726.7418645453</v>
      </c>
      <c r="G68" s="443">
        <v>387600.46650000004</v>
      </c>
      <c r="H68" s="444">
        <v>0.6717843344628867</v>
      </c>
      <c r="I68" s="445">
        <v>7348.73</v>
      </c>
      <c r="J68" s="445">
        <v>432.38</v>
      </c>
      <c r="K68" s="443">
        <v>2872707.025364545</v>
      </c>
      <c r="L68" s="443">
        <v>2298165.6202916363</v>
      </c>
      <c r="M68" s="443">
        <v>1000471.6383948575</v>
      </c>
      <c r="N68" s="443">
        <v>574541.405072909</v>
      </c>
      <c r="O68" s="446">
        <v>1.741339491916859</v>
      </c>
      <c r="P68" s="447">
        <v>0.42977703913146703</v>
      </c>
      <c r="Q68" s="448">
        <v>0.5702445446893009</v>
      </c>
      <c r="R68" s="443">
        <v>3298637.258686494</v>
      </c>
      <c r="S68" s="443">
        <v>2229878.7868720703</v>
      </c>
      <c r="T68" s="443">
        <v>236272.2147995251</v>
      </c>
      <c r="U68" s="443">
        <v>616151.0561917649</v>
      </c>
      <c r="V68" s="443">
        <v>752089.2949805207</v>
      </c>
      <c r="W68" s="446">
        <v>0.8192525279963243</v>
      </c>
      <c r="X68" s="448">
        <v>15.296653504855286</v>
      </c>
      <c r="Y68" s="443">
        <v>236272.2147995251</v>
      </c>
      <c r="Z68" s="443">
        <v>316669.1768339034</v>
      </c>
      <c r="AA68" s="444">
        <v>0.74611686922549</v>
      </c>
      <c r="AB68" s="444">
        <v>0.061211715697912845</v>
      </c>
      <c r="AC68" s="445">
        <v>708</v>
      </c>
      <c r="AD68" s="445">
        <v>710</v>
      </c>
      <c r="AE68" s="443">
        <v>3082302.0578633603</v>
      </c>
      <c r="AF68" s="443">
        <v>375678.9771110614</v>
      </c>
      <c r="AG68" s="447">
        <v>1</v>
      </c>
      <c r="AH68" s="446">
        <v>0.31286733115047427</v>
      </c>
      <c r="AI68" s="448">
        <v>0.2634686827659607</v>
      </c>
      <c r="AJ68" s="443">
        <v>3457981.034974422</v>
      </c>
      <c r="AK68" s="449">
        <v>1.0879518101672272</v>
      </c>
      <c r="AL68" s="443">
        <v>3762116.726524364</v>
      </c>
      <c r="AM68" s="443">
        <v>8384876.1779056275</v>
      </c>
      <c r="AN68" s="443">
        <v>8282477.175187121</v>
      </c>
      <c r="AO68" s="443">
        <v>8365819.494030797</v>
      </c>
      <c r="AP68" s="443">
        <v>8365819.494030797</v>
      </c>
      <c r="AQ68" s="443">
        <v>46331</v>
      </c>
      <c r="AR68" s="443">
        <v>8412150.494030796</v>
      </c>
      <c r="AS68" s="450">
        <v>726.2653941448099</v>
      </c>
      <c r="AT68" s="446">
        <v>11581</v>
      </c>
      <c r="AU68" s="446">
        <v>393</v>
      </c>
      <c r="AV68" s="446">
        <v>666</v>
      </c>
      <c r="AW68" s="446">
        <v>846</v>
      </c>
      <c r="AX68" s="446">
        <v>238</v>
      </c>
      <c r="AY68" s="446">
        <v>568</v>
      </c>
      <c r="AZ68" s="446">
        <v>117</v>
      </c>
      <c r="BA68" s="446">
        <v>212</v>
      </c>
      <c r="BB68" s="446">
        <v>179</v>
      </c>
      <c r="BC68" s="446">
        <v>153</v>
      </c>
      <c r="BD68" s="446">
        <v>1427</v>
      </c>
      <c r="BE68" s="446">
        <v>3827</v>
      </c>
      <c r="BF68" s="446">
        <v>2778</v>
      </c>
      <c r="BG68" s="446">
        <v>105</v>
      </c>
      <c r="BH68" s="446">
        <v>38</v>
      </c>
      <c r="BI68" s="446">
        <v>34</v>
      </c>
      <c r="BJ68" s="448">
        <v>2.1259236142151545</v>
      </c>
      <c r="BK68" s="448">
        <v>19.909643288443718</v>
      </c>
      <c r="BL68" s="448">
        <v>7.852417673771492</v>
      </c>
      <c r="BM68" s="448">
        <v>24.11445122934445</v>
      </c>
      <c r="BN68" s="445">
        <v>4976</v>
      </c>
      <c r="BO68" s="445">
        <v>6605</v>
      </c>
      <c r="BP68" s="443">
        <v>4567589.403613544</v>
      </c>
      <c r="BQ68" s="443">
        <v>14055510</v>
      </c>
      <c r="BR68" s="443">
        <v>15631366</v>
      </c>
      <c r="BS68" s="444">
        <v>0.06122096537432001</v>
      </c>
      <c r="BT68" s="445">
        <v>708</v>
      </c>
      <c r="BU68" s="445">
        <v>710</v>
      </c>
      <c r="BV68" s="443">
        <v>956967.316639323</v>
      </c>
      <c r="BW68" s="444">
        <v>0.02913277099634183</v>
      </c>
      <c r="BX68" s="443">
        <v>86557.87526293601</v>
      </c>
      <c r="BY68" s="443">
        <v>19666624.595515803</v>
      </c>
      <c r="BZ68" s="451">
        <v>1.1533333333333333</v>
      </c>
      <c r="CA68" s="443">
        <v>22682173.700161558</v>
      </c>
      <c r="CB68" s="443">
        <v>16597403.868090687</v>
      </c>
      <c r="CC68" s="443">
        <v>16597403.868090687</v>
      </c>
      <c r="CD68" s="443">
        <v>15522043.367768597</v>
      </c>
      <c r="CE68" s="443">
        <v>16479448.656438362</v>
      </c>
      <c r="CF68" s="450">
        <v>1422.9728569586705</v>
      </c>
      <c r="CG68" s="446">
        <v>11581</v>
      </c>
      <c r="CH68" s="446">
        <v>393</v>
      </c>
      <c r="CI68" s="446">
        <v>666</v>
      </c>
      <c r="CJ68" s="446">
        <v>846</v>
      </c>
      <c r="CK68" s="446">
        <v>238</v>
      </c>
      <c r="CL68" s="446">
        <v>568</v>
      </c>
      <c r="CM68" s="446">
        <v>117</v>
      </c>
      <c r="CN68" s="446">
        <v>212</v>
      </c>
      <c r="CO68" s="446">
        <v>179</v>
      </c>
      <c r="CP68" s="446">
        <v>153</v>
      </c>
      <c r="CQ68" s="446">
        <v>1427</v>
      </c>
      <c r="CR68" s="446">
        <v>3827</v>
      </c>
      <c r="CS68" s="446">
        <v>2778</v>
      </c>
      <c r="CT68" s="446">
        <v>105</v>
      </c>
      <c r="CU68" s="446">
        <v>38</v>
      </c>
      <c r="CV68" s="446">
        <v>34</v>
      </c>
      <c r="CW68" s="443">
        <v>9102161.917503504</v>
      </c>
      <c r="CX68" s="448">
        <v>1.1259573405040626</v>
      </c>
      <c r="CY68" s="448">
        <v>1.1533333333333333</v>
      </c>
      <c r="CZ68" s="443">
        <v>10248646.025469605</v>
      </c>
      <c r="DA68" s="450">
        <v>884.9534604498407</v>
      </c>
      <c r="DB68" s="445">
        <v>11582.75</v>
      </c>
      <c r="DC68" s="448">
        <v>0.9939133625434373</v>
      </c>
      <c r="DD68" s="450">
        <v>354.1</v>
      </c>
      <c r="DE68" s="443">
        <v>59762</v>
      </c>
      <c r="DF68" s="450">
        <v>62.212870075527434</v>
      </c>
      <c r="DG68" s="450">
        <v>64.8880234887751</v>
      </c>
      <c r="DH68" s="450">
        <v>66.31556000552814</v>
      </c>
      <c r="DI68" s="450">
        <v>67.77450232564975</v>
      </c>
      <c r="DJ68" s="450">
        <v>70.01106090239618</v>
      </c>
      <c r="DK68" s="450">
        <v>72.53145909488244</v>
      </c>
      <c r="DL68" s="450">
        <v>74.85246578591865</v>
      </c>
      <c r="DM68" s="450">
        <v>77.92141688314132</v>
      </c>
      <c r="DN68" s="450">
        <v>81.34995922599953</v>
      </c>
      <c r="DO68" s="450">
        <v>85.82420698342949</v>
      </c>
      <c r="DP68" s="450">
        <v>85.05178912057862</v>
      </c>
      <c r="DQ68" s="450">
        <v>89.38943036572812</v>
      </c>
      <c r="DR68" s="450">
        <v>52.21</v>
      </c>
      <c r="DS68" s="450">
        <v>54.6543140005528</v>
      </c>
      <c r="DT68" s="450">
        <v>57.18090817712993</v>
      </c>
      <c r="DU68" s="450">
        <v>60.435775991402835</v>
      </c>
      <c r="DV68" s="450">
        <v>64.02860609392035</v>
      </c>
      <c r="DW68" s="450">
        <v>67.54001220509126</v>
      </c>
      <c r="DX68" s="450">
        <v>71.83160554102827</v>
      </c>
      <c r="DY68" s="450">
        <v>75.69861430051861</v>
      </c>
      <c r="DZ68" s="450">
        <v>77.91285897015656</v>
      </c>
      <c r="EA68" s="450">
        <v>79.76543668605495</v>
      </c>
      <c r="EB68" s="450">
        <v>84.94466523878063</v>
      </c>
      <c r="EC68" s="450">
        <v>-0.69</v>
      </c>
      <c r="ED68" s="450">
        <v>84.25466523878063</v>
      </c>
      <c r="EE68" s="450">
        <v>4381.242592416593</v>
      </c>
      <c r="EF68" s="443">
        <v>49731900.88456702</v>
      </c>
      <c r="EG68" s="450">
        <v>57.55</v>
      </c>
      <c r="EH68" s="450">
        <v>59.5660460005528</v>
      </c>
      <c r="EI68" s="450">
        <v>61.642943825129926</v>
      </c>
      <c r="EJ68" s="450">
        <v>64.46889846273884</v>
      </c>
      <c r="EK68" s="450">
        <v>67.61001884846671</v>
      </c>
      <c r="EL68" s="450">
        <v>70.62002717400114</v>
      </c>
      <c r="EM68" s="450">
        <v>74.3966420071364</v>
      </c>
      <c r="EN68" s="450">
        <v>78.07896814106697</v>
      </c>
      <c r="EO68" s="450">
        <v>80.18292308275949</v>
      </c>
      <c r="EP68" s="450">
        <v>81.28229056835796</v>
      </c>
      <c r="EQ68" s="450">
        <v>86.220035983021</v>
      </c>
      <c r="ER68" s="443">
        <v>135827305</v>
      </c>
      <c r="ES68" s="443">
        <v>4797000</v>
      </c>
      <c r="ET68" s="443">
        <v>0</v>
      </c>
      <c r="EU68" s="443">
        <v>0</v>
      </c>
      <c r="EV68" s="443">
        <v>34000000</v>
      </c>
      <c r="EW68" s="443">
        <v>0</v>
      </c>
      <c r="EX68" s="443">
        <v>0</v>
      </c>
      <c r="EY68" s="443">
        <v>0</v>
      </c>
      <c r="EZ68" s="443">
        <v>0</v>
      </c>
      <c r="FA68" s="443">
        <v>155225805</v>
      </c>
      <c r="FB68" s="443">
        <v>112678.47374098399</v>
      </c>
      <c r="FC68" s="443">
        <v>0</v>
      </c>
      <c r="FD68" s="443">
        <v>0</v>
      </c>
      <c r="FE68" s="443">
        <v>13276</v>
      </c>
      <c r="FF68" s="452">
        <v>0.056900000000000006</v>
      </c>
      <c r="FG68" s="443">
        <v>755.4044000000001</v>
      </c>
      <c r="FH68" s="453">
        <v>755.4044000000001</v>
      </c>
    </row>
    <row r="69" spans="2:164" ht="12.75">
      <c r="B69" s="356" t="s">
        <v>757</v>
      </c>
      <c r="C69" s="442">
        <v>6578</v>
      </c>
      <c r="D69" s="443">
        <v>1563474</v>
      </c>
      <c r="E69" s="443">
        <v>1341460.692</v>
      </c>
      <c r="F69" s="443">
        <v>218184.0979078004</v>
      </c>
      <c r="G69" s="443">
        <v>222013.30800000002</v>
      </c>
      <c r="H69" s="444">
        <v>0.48215567041654006</v>
      </c>
      <c r="I69" s="445">
        <v>2712.72</v>
      </c>
      <c r="J69" s="445">
        <v>458.9</v>
      </c>
      <c r="K69" s="443">
        <v>1559644.7899078005</v>
      </c>
      <c r="L69" s="443">
        <v>1247715.8319262404</v>
      </c>
      <c r="M69" s="443">
        <v>395582.63307661476</v>
      </c>
      <c r="N69" s="443">
        <v>311928.95798156003</v>
      </c>
      <c r="O69" s="446">
        <v>1.268181818181818</v>
      </c>
      <c r="P69" s="447">
        <v>0.7937062937062938</v>
      </c>
      <c r="Q69" s="448">
        <v>0.2062937062937063</v>
      </c>
      <c r="R69" s="443">
        <v>1643298.465002855</v>
      </c>
      <c r="S69" s="443">
        <v>1110869.76234193</v>
      </c>
      <c r="T69" s="443">
        <v>150547.4311103824</v>
      </c>
      <c r="U69" s="443">
        <v>251167.6164385881</v>
      </c>
      <c r="V69" s="443">
        <v>374672.05002065096</v>
      </c>
      <c r="W69" s="446">
        <v>0.6703665683755817</v>
      </c>
      <c r="X69" s="448">
        <v>12.516732957491906</v>
      </c>
      <c r="Y69" s="443">
        <v>150547.4311103824</v>
      </c>
      <c r="Z69" s="443">
        <v>157756.6526402741</v>
      </c>
      <c r="AA69" s="444">
        <v>0.9543016322339789</v>
      </c>
      <c r="AB69" s="444">
        <v>0.07829127394344786</v>
      </c>
      <c r="AC69" s="445">
        <v>510</v>
      </c>
      <c r="AD69" s="445">
        <v>520</v>
      </c>
      <c r="AE69" s="443">
        <v>1512584.8098909005</v>
      </c>
      <c r="AF69" s="443">
        <v>0</v>
      </c>
      <c r="AG69" s="447">
        <v>0</v>
      </c>
      <c r="AH69" s="446">
        <v>0.01916797654134338</v>
      </c>
      <c r="AI69" s="448">
        <v>0.01614154316484928</v>
      </c>
      <c r="AJ69" s="443">
        <v>1512584.8098909005</v>
      </c>
      <c r="AK69" s="449">
        <v>1.0752460753535806</v>
      </c>
      <c r="AL69" s="443">
        <v>1626400.8804746326</v>
      </c>
      <c r="AM69" s="443">
        <v>3624866.2627263027</v>
      </c>
      <c r="AN69" s="443">
        <v>3580598.144460083</v>
      </c>
      <c r="AO69" s="443">
        <v>3529835.381782707</v>
      </c>
      <c r="AP69" s="443">
        <v>3580598.144460083</v>
      </c>
      <c r="AQ69" s="443">
        <v>26312</v>
      </c>
      <c r="AR69" s="443">
        <v>3606910.144460083</v>
      </c>
      <c r="AS69" s="450">
        <v>548.3293013773309</v>
      </c>
      <c r="AT69" s="446">
        <v>6578</v>
      </c>
      <c r="AU69" s="446">
        <v>4</v>
      </c>
      <c r="AV69" s="446">
        <v>310</v>
      </c>
      <c r="AW69" s="446">
        <v>32</v>
      </c>
      <c r="AX69" s="446">
        <v>36</v>
      </c>
      <c r="AY69" s="446">
        <v>1338</v>
      </c>
      <c r="AZ69" s="446">
        <v>243</v>
      </c>
      <c r="BA69" s="446">
        <v>259</v>
      </c>
      <c r="BB69" s="446">
        <v>516</v>
      </c>
      <c r="BC69" s="446">
        <v>14</v>
      </c>
      <c r="BD69" s="446">
        <v>1634</v>
      </c>
      <c r="BE69" s="446">
        <v>1357</v>
      </c>
      <c r="BF69" s="446">
        <v>0</v>
      </c>
      <c r="BG69" s="446">
        <v>792</v>
      </c>
      <c r="BH69" s="446">
        <v>29</v>
      </c>
      <c r="BI69" s="446">
        <v>14</v>
      </c>
      <c r="BJ69" s="448">
        <v>1.4368857783692348</v>
      </c>
      <c r="BK69" s="448">
        <v>12.250163602134265</v>
      </c>
      <c r="BL69" s="448">
        <v>4.360633821171814</v>
      </c>
      <c r="BM69" s="448">
        <v>15.779059561924903</v>
      </c>
      <c r="BN69" s="445">
        <v>5221</v>
      </c>
      <c r="BO69" s="445">
        <v>1357</v>
      </c>
      <c r="BP69" s="443">
        <v>1885393.8683436294</v>
      </c>
      <c r="BQ69" s="443">
        <v>7078147</v>
      </c>
      <c r="BR69" s="443">
        <v>8804313</v>
      </c>
      <c r="BS69" s="444">
        <v>0.07829127394344786</v>
      </c>
      <c r="BT69" s="445">
        <v>510</v>
      </c>
      <c r="BU69" s="445">
        <v>520</v>
      </c>
      <c r="BV69" s="443">
        <v>689300.8809668592</v>
      </c>
      <c r="BW69" s="444">
        <v>0.008233847395243868</v>
      </c>
      <c r="BX69" s="443">
        <v>8549.758017322429</v>
      </c>
      <c r="BY69" s="443">
        <v>9661391.507327812</v>
      </c>
      <c r="BZ69" s="451">
        <v>1.04</v>
      </c>
      <c r="CA69" s="443">
        <v>10047847.167620925</v>
      </c>
      <c r="CB69" s="443">
        <v>7352389.574755252</v>
      </c>
      <c r="CC69" s="443">
        <v>7352389.574755252</v>
      </c>
      <c r="CD69" s="443">
        <v>7180264.399146697</v>
      </c>
      <c r="CE69" s="443">
        <v>7300137.266181383</v>
      </c>
      <c r="CF69" s="450">
        <v>1109.7806728764645</v>
      </c>
      <c r="CG69" s="446">
        <v>6578</v>
      </c>
      <c r="CH69" s="446">
        <v>4</v>
      </c>
      <c r="CI69" s="446">
        <v>310</v>
      </c>
      <c r="CJ69" s="446">
        <v>32</v>
      </c>
      <c r="CK69" s="446">
        <v>36</v>
      </c>
      <c r="CL69" s="446">
        <v>1338</v>
      </c>
      <c r="CM69" s="446">
        <v>243</v>
      </c>
      <c r="CN69" s="446">
        <v>259</v>
      </c>
      <c r="CO69" s="446">
        <v>516</v>
      </c>
      <c r="CP69" s="446">
        <v>14</v>
      </c>
      <c r="CQ69" s="446">
        <v>1634</v>
      </c>
      <c r="CR69" s="446">
        <v>1357</v>
      </c>
      <c r="CS69" s="446">
        <v>0</v>
      </c>
      <c r="CT69" s="446">
        <v>792</v>
      </c>
      <c r="CU69" s="446">
        <v>29</v>
      </c>
      <c r="CV69" s="446">
        <v>14</v>
      </c>
      <c r="CW69" s="443">
        <v>4874312.476899195</v>
      </c>
      <c r="CX69" s="448">
        <v>1.015314133633721</v>
      </c>
      <c r="CY69" s="448">
        <v>1.04</v>
      </c>
      <c r="CZ69" s="443">
        <v>4948958.349542944</v>
      </c>
      <c r="DA69" s="450">
        <v>752.350007531612</v>
      </c>
      <c r="DB69" s="445">
        <v>6578</v>
      </c>
      <c r="DC69" s="448">
        <v>0.9881118881118881</v>
      </c>
      <c r="DD69" s="450">
        <v>325.9</v>
      </c>
      <c r="DE69" s="443">
        <v>67992</v>
      </c>
      <c r="DF69" s="450">
        <v>61.308119050037604</v>
      </c>
      <c r="DG69" s="450">
        <v>63.94436816918922</v>
      </c>
      <c r="DH69" s="450">
        <v>65.35114426891137</v>
      </c>
      <c r="DI69" s="450">
        <v>66.7888694428274</v>
      </c>
      <c r="DJ69" s="450">
        <v>68.9929021344407</v>
      </c>
      <c r="DK69" s="450">
        <v>71.47664661128054</v>
      </c>
      <c r="DL69" s="450">
        <v>73.76389930284151</v>
      </c>
      <c r="DM69" s="450">
        <v>76.788219174258</v>
      </c>
      <c r="DN69" s="450">
        <v>80.16690081792534</v>
      </c>
      <c r="DO69" s="450">
        <v>84.57608036291123</v>
      </c>
      <c r="DP69" s="450">
        <v>83.81489563964503</v>
      </c>
      <c r="DQ69" s="450">
        <v>88.08945531726692</v>
      </c>
      <c r="DR69" s="450">
        <v>48.92</v>
      </c>
      <c r="DS69" s="450">
        <v>51.53173042689113</v>
      </c>
      <c r="DT69" s="450">
        <v>54.234699712565465</v>
      </c>
      <c r="DU69" s="450">
        <v>57.645501969500195</v>
      </c>
      <c r="DV69" s="450">
        <v>61.400155264813385</v>
      </c>
      <c r="DW69" s="450">
        <v>65.09811674487975</v>
      </c>
      <c r="DX69" s="450">
        <v>69.57135545998746</v>
      </c>
      <c r="DY69" s="450">
        <v>73.46965129108227</v>
      </c>
      <c r="DZ69" s="450">
        <v>75.70396280545621</v>
      </c>
      <c r="EA69" s="450">
        <v>77.88655824751588</v>
      </c>
      <c r="EB69" s="450">
        <v>83.10490923796473</v>
      </c>
      <c r="EC69" s="450">
        <v>-2.06</v>
      </c>
      <c r="ED69" s="450">
        <v>81.04490923796473</v>
      </c>
      <c r="EE69" s="450">
        <v>4214.335280374166</v>
      </c>
      <c r="EF69" s="443">
        <v>27167459.524815243</v>
      </c>
      <c r="EG69" s="450">
        <v>52.3</v>
      </c>
      <c r="EH69" s="450">
        <v>54.640654426891125</v>
      </c>
      <c r="EI69" s="450">
        <v>57.05898444856546</v>
      </c>
      <c r="EJ69" s="450">
        <v>60.198302335252194</v>
      </c>
      <c r="EK69" s="450">
        <v>63.66704198960116</v>
      </c>
      <c r="EL69" s="450">
        <v>67.04763932819723</v>
      </c>
      <c r="EM69" s="450">
        <v>71.19491786737426</v>
      </c>
      <c r="EN69" s="450">
        <v>74.97631720513724</v>
      </c>
      <c r="EO69" s="450">
        <v>77.1408198654933</v>
      </c>
      <c r="EP69" s="450">
        <v>78.8466642629062</v>
      </c>
      <c r="EQ69" s="450">
        <v>83.91216637570491</v>
      </c>
      <c r="ER69" s="443">
        <v>-16005859</v>
      </c>
      <c r="ES69" s="443">
        <v>0</v>
      </c>
      <c r="ET69" s="443">
        <v>0</v>
      </c>
      <c r="EU69" s="443">
        <v>0</v>
      </c>
      <c r="EV69" s="443">
        <v>0</v>
      </c>
      <c r="EW69" s="443">
        <v>0</v>
      </c>
      <c r="EX69" s="443">
        <v>0</v>
      </c>
      <c r="EY69" s="443">
        <v>0</v>
      </c>
      <c r="EZ69" s="443">
        <v>0</v>
      </c>
      <c r="FA69" s="443">
        <v>-16005859</v>
      </c>
      <c r="FB69" s="443">
        <v>0</v>
      </c>
      <c r="FC69" s="443">
        <v>16005859</v>
      </c>
      <c r="FD69" s="443">
        <v>116042.47775</v>
      </c>
      <c r="FE69" s="443">
        <v>36709</v>
      </c>
      <c r="FF69" s="452">
        <v>0.0313</v>
      </c>
      <c r="FG69" s="443">
        <v>1148.9917</v>
      </c>
      <c r="FH69" s="453">
        <v>117191.46945</v>
      </c>
    </row>
    <row r="70" spans="2:164" ht="12.75">
      <c r="B70" s="356" t="s">
        <v>758</v>
      </c>
      <c r="C70" s="442">
        <v>5046</v>
      </c>
      <c r="D70" s="443">
        <v>1206518</v>
      </c>
      <c r="E70" s="443">
        <v>1035192.444</v>
      </c>
      <c r="F70" s="443">
        <v>183406.04198335018</v>
      </c>
      <c r="G70" s="443">
        <v>171325.556</v>
      </c>
      <c r="H70" s="444">
        <v>0.5252120491478399</v>
      </c>
      <c r="I70" s="445">
        <v>2335.36</v>
      </c>
      <c r="J70" s="445">
        <v>314.86</v>
      </c>
      <c r="K70" s="443">
        <v>1218598.4859833503</v>
      </c>
      <c r="L70" s="443">
        <v>974878.7887866803</v>
      </c>
      <c r="M70" s="443">
        <v>340603.8312844227</v>
      </c>
      <c r="N70" s="443">
        <v>243719.69719667002</v>
      </c>
      <c r="O70" s="446">
        <v>1.3975227903289733</v>
      </c>
      <c r="P70" s="447">
        <v>0.694213238208482</v>
      </c>
      <c r="Q70" s="448">
        <v>0.30578676179151804</v>
      </c>
      <c r="R70" s="443">
        <v>1315482.620071103</v>
      </c>
      <c r="S70" s="443">
        <v>889266.2511680657</v>
      </c>
      <c r="T70" s="443">
        <v>109668.09585342473</v>
      </c>
      <c r="U70" s="443">
        <v>269479.25131772785</v>
      </c>
      <c r="V70" s="443">
        <v>299930.0373762115</v>
      </c>
      <c r="W70" s="446">
        <v>0.8984737029846454</v>
      </c>
      <c r="X70" s="448">
        <v>16.775829732736625</v>
      </c>
      <c r="Y70" s="443">
        <v>109668.09585342473</v>
      </c>
      <c r="Z70" s="443">
        <v>126286.3315268259</v>
      </c>
      <c r="AA70" s="444">
        <v>0.868408279245398</v>
      </c>
      <c r="AB70" s="444">
        <v>0.07124455013872374</v>
      </c>
      <c r="AC70" s="445">
        <v>359</v>
      </c>
      <c r="AD70" s="445">
        <v>360</v>
      </c>
      <c r="AE70" s="443">
        <v>1268413.5983392182</v>
      </c>
      <c r="AF70" s="443">
        <v>0</v>
      </c>
      <c r="AG70" s="447">
        <v>0</v>
      </c>
      <c r="AH70" s="446">
        <v>0.15581722377702562</v>
      </c>
      <c r="AI70" s="448">
        <v>0.13121522963047028</v>
      </c>
      <c r="AJ70" s="443">
        <v>1268413.5983392182</v>
      </c>
      <c r="AK70" s="449">
        <v>1</v>
      </c>
      <c r="AL70" s="443">
        <v>1268413.5983392182</v>
      </c>
      <c r="AM70" s="443">
        <v>2826996.5388000277</v>
      </c>
      <c r="AN70" s="443">
        <v>2792472.281062676</v>
      </c>
      <c r="AO70" s="443">
        <v>2732193.3037592964</v>
      </c>
      <c r="AP70" s="443">
        <v>2792472.281062676</v>
      </c>
      <c r="AQ70" s="443">
        <v>20184</v>
      </c>
      <c r="AR70" s="443">
        <v>2812656.281062676</v>
      </c>
      <c r="AS70" s="450">
        <v>557.4031472577637</v>
      </c>
      <c r="AT70" s="446">
        <v>5035</v>
      </c>
      <c r="AU70" s="446">
        <v>71</v>
      </c>
      <c r="AV70" s="446">
        <v>742</v>
      </c>
      <c r="AW70" s="446">
        <v>158</v>
      </c>
      <c r="AX70" s="446">
        <v>0</v>
      </c>
      <c r="AY70" s="446">
        <v>601</v>
      </c>
      <c r="AZ70" s="446">
        <v>53</v>
      </c>
      <c r="BA70" s="446">
        <v>254</v>
      </c>
      <c r="BB70" s="446">
        <v>268</v>
      </c>
      <c r="BC70" s="446">
        <v>51</v>
      </c>
      <c r="BD70" s="446">
        <v>1030</v>
      </c>
      <c r="BE70" s="446">
        <v>1482</v>
      </c>
      <c r="BF70" s="446">
        <v>61</v>
      </c>
      <c r="BG70" s="446">
        <v>264</v>
      </c>
      <c r="BH70" s="446">
        <v>0</v>
      </c>
      <c r="BI70" s="446">
        <v>0</v>
      </c>
      <c r="BJ70" s="448">
        <v>1.5367610245135404</v>
      </c>
      <c r="BK70" s="448">
        <v>12.961863236237008</v>
      </c>
      <c r="BL70" s="448">
        <v>7.9738094250088745</v>
      </c>
      <c r="BM70" s="448">
        <v>9.976107622456269</v>
      </c>
      <c r="BN70" s="445">
        <v>3492</v>
      </c>
      <c r="BO70" s="445">
        <v>1543</v>
      </c>
      <c r="BP70" s="443">
        <v>1616462.0615278862</v>
      </c>
      <c r="BQ70" s="443">
        <v>5686904</v>
      </c>
      <c r="BR70" s="443">
        <v>6816449</v>
      </c>
      <c r="BS70" s="444">
        <v>0.07140019860973187</v>
      </c>
      <c r="BT70" s="445">
        <v>359</v>
      </c>
      <c r="BU70" s="445">
        <v>360</v>
      </c>
      <c r="BV70" s="443">
        <v>486695.81241310824</v>
      </c>
      <c r="BW70" s="444">
        <v>0.006962008736855373</v>
      </c>
      <c r="BX70" s="443">
        <v>5854.862837180483</v>
      </c>
      <c r="BY70" s="443">
        <v>7795916.736778175</v>
      </c>
      <c r="BZ70" s="451">
        <v>0.99</v>
      </c>
      <c r="CA70" s="443">
        <v>7717957.569410393</v>
      </c>
      <c r="CB70" s="443">
        <v>5647521.287405512</v>
      </c>
      <c r="CC70" s="443">
        <v>5647521.287405512</v>
      </c>
      <c r="CD70" s="443">
        <v>5454232.9377099145</v>
      </c>
      <c r="CE70" s="443">
        <v>5607385.217086247</v>
      </c>
      <c r="CF70" s="450">
        <v>1113.681274495779</v>
      </c>
      <c r="CG70" s="446">
        <v>5035</v>
      </c>
      <c r="CH70" s="446">
        <v>71</v>
      </c>
      <c r="CI70" s="446">
        <v>742</v>
      </c>
      <c r="CJ70" s="446">
        <v>158</v>
      </c>
      <c r="CK70" s="446">
        <v>0</v>
      </c>
      <c r="CL70" s="446">
        <v>601</v>
      </c>
      <c r="CM70" s="446">
        <v>53</v>
      </c>
      <c r="CN70" s="446">
        <v>254</v>
      </c>
      <c r="CO70" s="446">
        <v>268</v>
      </c>
      <c r="CP70" s="446">
        <v>51</v>
      </c>
      <c r="CQ70" s="446">
        <v>1030</v>
      </c>
      <c r="CR70" s="446">
        <v>1482</v>
      </c>
      <c r="CS70" s="446">
        <v>61</v>
      </c>
      <c r="CT70" s="446">
        <v>264</v>
      </c>
      <c r="CU70" s="446">
        <v>0</v>
      </c>
      <c r="CV70" s="446">
        <v>0</v>
      </c>
      <c r="CW70" s="443">
        <v>3601635.862704693</v>
      </c>
      <c r="CX70" s="448">
        <v>0.9665009541320998</v>
      </c>
      <c r="CY70" s="448">
        <v>0.99</v>
      </c>
      <c r="CZ70" s="443">
        <v>3480984.497740474</v>
      </c>
      <c r="DA70" s="450">
        <v>691.3573977637486</v>
      </c>
      <c r="DB70" s="445">
        <v>5046</v>
      </c>
      <c r="DC70" s="448">
        <v>1.0002774474831548</v>
      </c>
      <c r="DD70" s="450">
        <v>278</v>
      </c>
      <c r="DE70" s="443">
        <v>39029</v>
      </c>
      <c r="DF70" s="450">
        <v>46.45789547719346</v>
      </c>
      <c r="DG70" s="450">
        <v>48.45558498271278</v>
      </c>
      <c r="DH70" s="450">
        <v>49.52160785233245</v>
      </c>
      <c r="DI70" s="450">
        <v>50.61108322508375</v>
      </c>
      <c r="DJ70" s="450">
        <v>52.281248971511516</v>
      </c>
      <c r="DK70" s="450">
        <v>54.16337393448592</v>
      </c>
      <c r="DL70" s="450">
        <v>55.896601900389456</v>
      </c>
      <c r="DM70" s="450">
        <v>58.18836257830542</v>
      </c>
      <c r="DN70" s="450">
        <v>60.74865053175085</v>
      </c>
      <c r="DO70" s="450">
        <v>64.08982631099714</v>
      </c>
      <c r="DP70" s="450">
        <v>63.51301787419816</v>
      </c>
      <c r="DQ70" s="450">
        <v>66.75218178578227</v>
      </c>
      <c r="DR70" s="450">
        <v>40.34</v>
      </c>
      <c r="DS70" s="450">
        <v>42.05689278523324</v>
      </c>
      <c r="DT70" s="450">
        <v>43.82980429301674</v>
      </c>
      <c r="DU70" s="450">
        <v>46.151820476789446</v>
      </c>
      <c r="DV70" s="450">
        <v>48.72044143117272</v>
      </c>
      <c r="DW70" s="450">
        <v>51.21567994754011</v>
      </c>
      <c r="DX70" s="450">
        <v>54.29009077597249</v>
      </c>
      <c r="DY70" s="450">
        <v>57.131054299185884</v>
      </c>
      <c r="DZ70" s="450">
        <v>58.75663720405675</v>
      </c>
      <c r="EA70" s="450">
        <v>59.94938786172119</v>
      </c>
      <c r="EB70" s="450">
        <v>63.75588167129163</v>
      </c>
      <c r="EC70" s="450">
        <v>-0.62</v>
      </c>
      <c r="ED70" s="450">
        <v>63.135881671291635</v>
      </c>
      <c r="EE70" s="450">
        <v>3283.065846907165</v>
      </c>
      <c r="EF70" s="443">
        <v>16235023.258223683</v>
      </c>
      <c r="EG70" s="450">
        <v>41.04</v>
      </c>
      <c r="EH70" s="450">
        <v>42.700752785233234</v>
      </c>
      <c r="EI70" s="450">
        <v>44.41471533301674</v>
      </c>
      <c r="EJ70" s="450">
        <v>46.68050694306944</v>
      </c>
      <c r="EK70" s="450">
        <v>49.18991501322935</v>
      </c>
      <c r="EL70" s="450">
        <v>51.61942722810881</v>
      </c>
      <c r="EM70" s="450">
        <v>54.6263315112301</v>
      </c>
      <c r="EN70" s="450">
        <v>57.44308570150495</v>
      </c>
      <c r="EO70" s="450">
        <v>59.054211151401695</v>
      </c>
      <c r="EP70" s="450">
        <v>60.148226385618585</v>
      </c>
      <c r="EQ70" s="450">
        <v>63.92306510218455</v>
      </c>
      <c r="ER70" s="443">
        <v>-4677854</v>
      </c>
      <c r="ES70" s="443">
        <v>0</v>
      </c>
      <c r="ET70" s="443">
        <v>0</v>
      </c>
      <c r="EU70" s="443">
        <v>0</v>
      </c>
      <c r="EV70" s="443">
        <v>0</v>
      </c>
      <c r="EW70" s="443">
        <v>0</v>
      </c>
      <c r="EX70" s="443">
        <v>0</v>
      </c>
      <c r="EY70" s="443">
        <v>0</v>
      </c>
      <c r="EZ70" s="443">
        <v>0</v>
      </c>
      <c r="FA70" s="443">
        <v>-4677854</v>
      </c>
      <c r="FB70" s="443">
        <v>0</v>
      </c>
      <c r="FC70" s="443">
        <v>4677854</v>
      </c>
      <c r="FD70" s="443">
        <v>33914.4415</v>
      </c>
      <c r="FE70" s="443">
        <v>131321</v>
      </c>
      <c r="FF70" s="452">
        <v>0.0313</v>
      </c>
      <c r="FG70" s="443">
        <v>4110.3473</v>
      </c>
      <c r="FH70" s="453">
        <v>38024.7888</v>
      </c>
    </row>
    <row r="71" spans="2:164" ht="12.75">
      <c r="B71" s="356" t="s">
        <v>759</v>
      </c>
      <c r="C71" s="442">
        <v>2407.75</v>
      </c>
      <c r="D71" s="443">
        <v>591805.75</v>
      </c>
      <c r="E71" s="443">
        <v>507769.3335</v>
      </c>
      <c r="F71" s="443">
        <v>99196.6945299475</v>
      </c>
      <c r="G71" s="443">
        <v>84036.4165</v>
      </c>
      <c r="H71" s="444">
        <v>0.5791257397985672</v>
      </c>
      <c r="I71" s="445">
        <v>1266.47</v>
      </c>
      <c r="J71" s="445">
        <v>127.92</v>
      </c>
      <c r="K71" s="443">
        <v>606966.0280299475</v>
      </c>
      <c r="L71" s="443">
        <v>485572.82242395804</v>
      </c>
      <c r="M71" s="443">
        <v>160877.82359802796</v>
      </c>
      <c r="N71" s="443">
        <v>121393.20560598948</v>
      </c>
      <c r="O71" s="446">
        <v>1.325262174229052</v>
      </c>
      <c r="P71" s="447">
        <v>0.7492472225106427</v>
      </c>
      <c r="Q71" s="448">
        <v>0.25044128335583016</v>
      </c>
      <c r="R71" s="443">
        <v>646450.646021986</v>
      </c>
      <c r="S71" s="443">
        <v>437000.6367108626</v>
      </c>
      <c r="T71" s="443">
        <v>58750.17013067629</v>
      </c>
      <c r="U71" s="443">
        <v>101859.89496642876</v>
      </c>
      <c r="V71" s="443">
        <v>147390.74729301283</v>
      </c>
      <c r="W71" s="446">
        <v>0.6910874450207602</v>
      </c>
      <c r="X71" s="448">
        <v>12.903622298112367</v>
      </c>
      <c r="Y71" s="443">
        <v>58750.17013067629</v>
      </c>
      <c r="Z71" s="443">
        <v>62059.26201811066</v>
      </c>
      <c r="AA71" s="444">
        <v>0.9466785169557981</v>
      </c>
      <c r="AB71" s="444">
        <v>0.07766587062610321</v>
      </c>
      <c r="AC71" s="445">
        <v>201</v>
      </c>
      <c r="AD71" s="445">
        <v>173</v>
      </c>
      <c r="AE71" s="443">
        <v>597610.7018079676</v>
      </c>
      <c r="AF71" s="443">
        <v>0</v>
      </c>
      <c r="AG71" s="447">
        <v>0</v>
      </c>
      <c r="AH71" s="446">
        <v>0.008469828379432429</v>
      </c>
      <c r="AI71" s="448">
        <v>0.007132526487112045</v>
      </c>
      <c r="AJ71" s="443">
        <v>597610.7018079676</v>
      </c>
      <c r="AK71" s="449">
        <v>1.0421109271193911</v>
      </c>
      <c r="AL71" s="443">
        <v>622776.6425175711</v>
      </c>
      <c r="AM71" s="443">
        <v>1388023.1299537306</v>
      </c>
      <c r="AN71" s="443">
        <v>1371072.1122831292</v>
      </c>
      <c r="AO71" s="443">
        <v>1368437.3540363736</v>
      </c>
      <c r="AP71" s="443">
        <v>1371072.1122831292</v>
      </c>
      <c r="AQ71" s="443">
        <v>9631</v>
      </c>
      <c r="AR71" s="443">
        <v>1380703.1122831292</v>
      </c>
      <c r="AS71" s="450">
        <v>573.4412261585004</v>
      </c>
      <c r="AT71" s="446">
        <v>2372</v>
      </c>
      <c r="AU71" s="446">
        <v>1</v>
      </c>
      <c r="AV71" s="446">
        <v>102</v>
      </c>
      <c r="AW71" s="446">
        <v>21</v>
      </c>
      <c r="AX71" s="446">
        <v>3</v>
      </c>
      <c r="AY71" s="446">
        <v>360</v>
      </c>
      <c r="AZ71" s="446">
        <v>101</v>
      </c>
      <c r="BA71" s="446">
        <v>74</v>
      </c>
      <c r="BB71" s="446">
        <v>124</v>
      </c>
      <c r="BC71" s="446">
        <v>4</v>
      </c>
      <c r="BD71" s="446">
        <v>816</v>
      </c>
      <c r="BE71" s="446">
        <v>603</v>
      </c>
      <c r="BF71" s="446">
        <v>0</v>
      </c>
      <c r="BG71" s="446">
        <v>163</v>
      </c>
      <c r="BH71" s="446">
        <v>0</v>
      </c>
      <c r="BI71" s="446">
        <v>0</v>
      </c>
      <c r="BJ71" s="448">
        <v>1.2549279676803367</v>
      </c>
      <c r="BK71" s="448">
        <v>6.636436155957936</v>
      </c>
      <c r="BL71" s="448">
        <v>4.554065571194938</v>
      </c>
      <c r="BM71" s="448">
        <v>4.164741169525997</v>
      </c>
      <c r="BN71" s="445">
        <v>1769</v>
      </c>
      <c r="BO71" s="445">
        <v>603</v>
      </c>
      <c r="BP71" s="443">
        <v>558680.1270036414</v>
      </c>
      <c r="BQ71" s="443">
        <v>2607094</v>
      </c>
      <c r="BR71" s="443">
        <v>3088466</v>
      </c>
      <c r="BS71" s="444">
        <v>0.07883642495784149</v>
      </c>
      <c r="BT71" s="445">
        <v>201</v>
      </c>
      <c r="BU71" s="445">
        <v>173</v>
      </c>
      <c r="BV71" s="443">
        <v>243483.61804384488</v>
      </c>
      <c r="BW71" s="444">
        <v>0.01099166974636326</v>
      </c>
      <c r="BX71" s="443">
        <v>2229.6080729950863</v>
      </c>
      <c r="BY71" s="443">
        <v>3411487.353120481</v>
      </c>
      <c r="BZ71" s="451">
        <v>1.0233333333333334</v>
      </c>
      <c r="CA71" s="443">
        <v>3491088.7246932928</v>
      </c>
      <c r="CB71" s="443">
        <v>2554561.580782689</v>
      </c>
      <c r="CC71" s="443">
        <v>2554561.580782689</v>
      </c>
      <c r="CD71" s="443">
        <v>2517924.543443306</v>
      </c>
      <c r="CE71" s="443">
        <v>2536406.7022043937</v>
      </c>
      <c r="CF71" s="450">
        <v>1069.3114258871813</v>
      </c>
      <c r="CG71" s="446">
        <v>2372</v>
      </c>
      <c r="CH71" s="446">
        <v>1</v>
      </c>
      <c r="CI71" s="446">
        <v>102</v>
      </c>
      <c r="CJ71" s="446">
        <v>21</v>
      </c>
      <c r="CK71" s="446">
        <v>3</v>
      </c>
      <c r="CL71" s="446">
        <v>360</v>
      </c>
      <c r="CM71" s="446">
        <v>101</v>
      </c>
      <c r="CN71" s="446">
        <v>74</v>
      </c>
      <c r="CO71" s="446">
        <v>124</v>
      </c>
      <c r="CP71" s="446">
        <v>4</v>
      </c>
      <c r="CQ71" s="446">
        <v>816</v>
      </c>
      <c r="CR71" s="446">
        <v>603</v>
      </c>
      <c r="CS71" s="446">
        <v>0</v>
      </c>
      <c r="CT71" s="446">
        <v>163</v>
      </c>
      <c r="CU71" s="446">
        <v>0</v>
      </c>
      <c r="CV71" s="446">
        <v>0</v>
      </c>
      <c r="CW71" s="443">
        <v>1806515.3617448062</v>
      </c>
      <c r="CX71" s="448">
        <v>0.9990430737998475</v>
      </c>
      <c r="CY71" s="448">
        <v>1.0233333333333334</v>
      </c>
      <c r="CZ71" s="443">
        <v>1804786.6598641744</v>
      </c>
      <c r="DA71" s="450">
        <v>760.8712731299217</v>
      </c>
      <c r="DB71" s="445">
        <v>2407.75</v>
      </c>
      <c r="DC71" s="448">
        <v>0.9820176513342334</v>
      </c>
      <c r="DD71" s="450">
        <v>328.7</v>
      </c>
      <c r="DE71" s="443">
        <v>51202</v>
      </c>
      <c r="DF71" s="450">
        <v>55.870316335447015</v>
      </c>
      <c r="DG71" s="450">
        <v>58.27273993787123</v>
      </c>
      <c r="DH71" s="450">
        <v>59.554740216504385</v>
      </c>
      <c r="DI71" s="450">
        <v>60.864944501267466</v>
      </c>
      <c r="DJ71" s="450">
        <v>62.873487669809286</v>
      </c>
      <c r="DK71" s="450">
        <v>65.1369332259224</v>
      </c>
      <c r="DL71" s="450">
        <v>67.22131508915191</v>
      </c>
      <c r="DM71" s="450">
        <v>69.97738900780713</v>
      </c>
      <c r="DN71" s="450">
        <v>73.05639412415063</v>
      </c>
      <c r="DO71" s="450">
        <v>77.07449580097891</v>
      </c>
      <c r="DP71" s="450">
        <v>76.3808253387701</v>
      </c>
      <c r="DQ71" s="450">
        <v>80.27624743104737</v>
      </c>
      <c r="DR71" s="450">
        <v>43.18</v>
      </c>
      <c r="DS71" s="450">
        <v>45.67243802165043</v>
      </c>
      <c r="DT71" s="450">
        <v>48.253644196253475</v>
      </c>
      <c r="DU71" s="450">
        <v>51.474448606614764</v>
      </c>
      <c r="DV71" s="450">
        <v>55.01458653780568</v>
      </c>
      <c r="DW71" s="450">
        <v>58.51609693737153</v>
      </c>
      <c r="DX71" s="450">
        <v>62.727683331004435</v>
      </c>
      <c r="DY71" s="450">
        <v>66.32866725607772</v>
      </c>
      <c r="DZ71" s="450">
        <v>68.39373872661139</v>
      </c>
      <c r="EA71" s="450">
        <v>70.5803547721104</v>
      </c>
      <c r="EB71" s="450">
        <v>75.39921177859989</v>
      </c>
      <c r="EC71" s="450">
        <v>-1.5</v>
      </c>
      <c r="ED71" s="450">
        <v>73.89921177859989</v>
      </c>
      <c r="EE71" s="450">
        <v>3842.7590124871945</v>
      </c>
      <c r="EF71" s="443">
        <v>9067354.952069722</v>
      </c>
      <c r="EG71" s="450">
        <v>49.51</v>
      </c>
      <c r="EH71" s="450">
        <v>51.49477202165043</v>
      </c>
      <c r="EI71" s="450">
        <v>53.542911172253476</v>
      </c>
      <c r="EJ71" s="450">
        <v>56.25528479454677</v>
      </c>
      <c r="EK71" s="450">
        <v>59.259969072689294</v>
      </c>
      <c r="EL71" s="450">
        <v>62.167125917371436</v>
      </c>
      <c r="EM71" s="450">
        <v>65.76826026554835</v>
      </c>
      <c r="EN71" s="450">
        <v>69.15032265133449</v>
      </c>
      <c r="EO71" s="450">
        <v>71.08465742188791</v>
      </c>
      <c r="EP71" s="450">
        <v>72.37842313821118</v>
      </c>
      <c r="EQ71" s="450">
        <v>76.91102766081742</v>
      </c>
      <c r="ER71" s="443">
        <v>7125063</v>
      </c>
      <c r="ES71" s="443">
        <v>123000</v>
      </c>
      <c r="ET71" s="443">
        <v>0</v>
      </c>
      <c r="EU71" s="443">
        <v>0</v>
      </c>
      <c r="EV71" s="443">
        <v>0</v>
      </c>
      <c r="EW71" s="443">
        <v>0</v>
      </c>
      <c r="EX71" s="443">
        <v>0</v>
      </c>
      <c r="EY71" s="443">
        <v>0</v>
      </c>
      <c r="EZ71" s="443">
        <v>0</v>
      </c>
      <c r="FA71" s="443">
        <v>7186563</v>
      </c>
      <c r="FB71" s="443">
        <v>42626.81016379398</v>
      </c>
      <c r="FC71" s="443">
        <v>0</v>
      </c>
      <c r="FD71" s="443">
        <v>0</v>
      </c>
      <c r="FE71" s="443">
        <v>5256</v>
      </c>
      <c r="FF71" s="452">
        <v>0.0313</v>
      </c>
      <c r="FG71" s="443">
        <v>164.5128</v>
      </c>
      <c r="FH71" s="453">
        <v>164.5128</v>
      </c>
    </row>
    <row r="72" spans="2:164" ht="12.75">
      <c r="B72" s="356" t="s">
        <v>760</v>
      </c>
      <c r="C72" s="442">
        <v>21308</v>
      </c>
      <c r="D72" s="443">
        <v>4995564</v>
      </c>
      <c r="E72" s="443">
        <v>4286193.912</v>
      </c>
      <c r="F72" s="443">
        <v>510690.912640141</v>
      </c>
      <c r="G72" s="443">
        <v>709370.0880000001</v>
      </c>
      <c r="H72" s="444">
        <v>0.35320630749014453</v>
      </c>
      <c r="I72" s="445">
        <v>5569.62</v>
      </c>
      <c r="J72" s="445">
        <v>1956.5</v>
      </c>
      <c r="K72" s="443">
        <v>4796884.824640141</v>
      </c>
      <c r="L72" s="443">
        <v>3837507.8597121127</v>
      </c>
      <c r="M72" s="443">
        <v>1167515.121182453</v>
      </c>
      <c r="N72" s="443">
        <v>959376.9649280279</v>
      </c>
      <c r="O72" s="446">
        <v>1.216951379763469</v>
      </c>
      <c r="P72" s="447">
        <v>0.8331143232588699</v>
      </c>
      <c r="Q72" s="448">
        <v>0.16688567674113008</v>
      </c>
      <c r="R72" s="443">
        <v>5005022.980894566</v>
      </c>
      <c r="S72" s="443">
        <v>3383395.5350847268</v>
      </c>
      <c r="T72" s="443">
        <v>502988.4554951571</v>
      </c>
      <c r="U72" s="443">
        <v>691311.4710665807</v>
      </c>
      <c r="V72" s="443">
        <v>1141145.239643961</v>
      </c>
      <c r="W72" s="446">
        <v>0.605804981741212</v>
      </c>
      <c r="X72" s="448">
        <v>11.311272874402505</v>
      </c>
      <c r="Y72" s="443">
        <v>502988.4554951571</v>
      </c>
      <c r="Z72" s="443">
        <v>480482.20616587834</v>
      </c>
      <c r="AA72" s="444">
        <v>1.0468409631833668</v>
      </c>
      <c r="AB72" s="444">
        <v>0.0858832363431575</v>
      </c>
      <c r="AC72" s="445">
        <v>1839</v>
      </c>
      <c r="AD72" s="445">
        <v>1821</v>
      </c>
      <c r="AE72" s="443">
        <v>4577695.461646465</v>
      </c>
      <c r="AF72" s="443">
        <v>657865.3345774002</v>
      </c>
      <c r="AG72" s="447">
        <v>0.75</v>
      </c>
      <c r="AH72" s="446">
        <v>0.4269995739036513</v>
      </c>
      <c r="AI72" s="448">
        <v>0.3595805764198303</v>
      </c>
      <c r="AJ72" s="443">
        <v>5235560.796223865</v>
      </c>
      <c r="AK72" s="449">
        <v>1</v>
      </c>
      <c r="AL72" s="443">
        <v>5235560.796223865</v>
      </c>
      <c r="AM72" s="443">
        <v>11668837.569213524</v>
      </c>
      <c r="AN72" s="443">
        <v>11526333.696214154</v>
      </c>
      <c r="AO72" s="443">
        <v>12250979.3573285</v>
      </c>
      <c r="AP72" s="443">
        <v>12250979.3573285</v>
      </c>
      <c r="AQ72" s="443">
        <v>85232</v>
      </c>
      <c r="AR72" s="443">
        <v>12336211.3573285</v>
      </c>
      <c r="AS72" s="450">
        <v>578.947407421086</v>
      </c>
      <c r="AT72" s="446">
        <v>21308</v>
      </c>
      <c r="AU72" s="446">
        <v>672</v>
      </c>
      <c r="AV72" s="446">
        <v>3074</v>
      </c>
      <c r="AW72" s="446">
        <v>896</v>
      </c>
      <c r="AX72" s="446">
        <v>114</v>
      </c>
      <c r="AY72" s="446">
        <v>4215</v>
      </c>
      <c r="AZ72" s="446">
        <v>1185</v>
      </c>
      <c r="BA72" s="446">
        <v>504</v>
      </c>
      <c r="BB72" s="446">
        <v>1290</v>
      </c>
      <c r="BC72" s="446">
        <v>524</v>
      </c>
      <c r="BD72" s="446">
        <v>2178</v>
      </c>
      <c r="BE72" s="446">
        <v>1276</v>
      </c>
      <c r="BF72" s="446">
        <v>2280</v>
      </c>
      <c r="BG72" s="446">
        <v>3100</v>
      </c>
      <c r="BH72" s="446">
        <v>0</v>
      </c>
      <c r="BI72" s="446">
        <v>0</v>
      </c>
      <c r="BJ72" s="448">
        <v>1.5677539559896974</v>
      </c>
      <c r="BK72" s="448">
        <v>16.99735741036111</v>
      </c>
      <c r="BL72" s="448">
        <v>13.398282114323601</v>
      </c>
      <c r="BM72" s="448">
        <v>7.198150592075019</v>
      </c>
      <c r="BN72" s="445">
        <v>17752</v>
      </c>
      <c r="BO72" s="445">
        <v>3556</v>
      </c>
      <c r="BP72" s="443">
        <v>7184036.53407829</v>
      </c>
      <c r="BQ72" s="443">
        <v>22437924</v>
      </c>
      <c r="BR72" s="443">
        <v>30442437</v>
      </c>
      <c r="BS72" s="444">
        <v>0.0858832363431575</v>
      </c>
      <c r="BT72" s="445">
        <v>1839</v>
      </c>
      <c r="BU72" s="445">
        <v>1821</v>
      </c>
      <c r="BV72" s="443">
        <v>2614495.0117326826</v>
      </c>
      <c r="BW72" s="444">
        <v>0.013515401748284651</v>
      </c>
      <c r="BX72" s="443">
        <v>63076.60441446813</v>
      </c>
      <c r="BY72" s="443">
        <v>32299532.15022544</v>
      </c>
      <c r="BZ72" s="451">
        <v>0.9533333333333333</v>
      </c>
      <c r="CA72" s="443">
        <v>30792220.649881583</v>
      </c>
      <c r="CB72" s="443">
        <v>22531831.775796972</v>
      </c>
      <c r="CC72" s="443">
        <v>22531831.775796972</v>
      </c>
      <c r="CD72" s="443">
        <v>23184276.94846775</v>
      </c>
      <c r="CE72" s="443">
        <v>23184276.94846775</v>
      </c>
      <c r="CF72" s="450">
        <v>1088.055047328128</v>
      </c>
      <c r="CG72" s="446">
        <v>21308</v>
      </c>
      <c r="CH72" s="446">
        <v>672</v>
      </c>
      <c r="CI72" s="446">
        <v>3074</v>
      </c>
      <c r="CJ72" s="446">
        <v>896</v>
      </c>
      <c r="CK72" s="446">
        <v>114</v>
      </c>
      <c r="CL72" s="446">
        <v>4215</v>
      </c>
      <c r="CM72" s="446">
        <v>1185</v>
      </c>
      <c r="CN72" s="446">
        <v>504</v>
      </c>
      <c r="CO72" s="446">
        <v>1290</v>
      </c>
      <c r="CP72" s="446">
        <v>524</v>
      </c>
      <c r="CQ72" s="446">
        <v>2178</v>
      </c>
      <c r="CR72" s="446">
        <v>1276</v>
      </c>
      <c r="CS72" s="446">
        <v>2280</v>
      </c>
      <c r="CT72" s="446">
        <v>3100</v>
      </c>
      <c r="CU72" s="446">
        <v>0</v>
      </c>
      <c r="CV72" s="446">
        <v>0</v>
      </c>
      <c r="CW72" s="443">
        <v>14889372.094152981</v>
      </c>
      <c r="CX72" s="448">
        <v>0.9307046224975776</v>
      </c>
      <c r="CY72" s="448">
        <v>0.9533333333333333</v>
      </c>
      <c r="CZ72" s="443">
        <v>13857607.434114616</v>
      </c>
      <c r="DA72" s="450">
        <v>650.3476362922197</v>
      </c>
      <c r="DB72" s="445">
        <v>21308</v>
      </c>
      <c r="DC72" s="448">
        <v>1.0122817721043742</v>
      </c>
      <c r="DD72" s="450">
        <v>307.9</v>
      </c>
      <c r="DE72" s="443">
        <v>28314</v>
      </c>
      <c r="DF72" s="450">
        <v>46.98951262634579</v>
      </c>
      <c r="DG72" s="450">
        <v>49.010061669278656</v>
      </c>
      <c r="DH72" s="450">
        <v>50.08828302600278</v>
      </c>
      <c r="DI72" s="450">
        <v>51.19022525257483</v>
      </c>
      <c r="DJ72" s="450">
        <v>52.87950268590979</v>
      </c>
      <c r="DK72" s="450">
        <v>54.78316478260253</v>
      </c>
      <c r="DL72" s="450">
        <v>56.536226055645805</v>
      </c>
      <c r="DM72" s="450">
        <v>58.85421132392728</v>
      </c>
      <c r="DN72" s="450">
        <v>61.44379662218007</v>
      </c>
      <c r="DO72" s="450">
        <v>64.82320543639997</v>
      </c>
      <c r="DP72" s="450">
        <v>64.23979658747237</v>
      </c>
      <c r="DQ72" s="450">
        <v>67.51602621343346</v>
      </c>
      <c r="DR72" s="450">
        <v>36.05</v>
      </c>
      <c r="DS72" s="450">
        <v>38.167618302600275</v>
      </c>
      <c r="DT72" s="450">
        <v>40.36096361051496</v>
      </c>
      <c r="DU72" s="450">
        <v>43.091203819192934</v>
      </c>
      <c r="DV72" s="450">
        <v>46.091155388957965</v>
      </c>
      <c r="DW72" s="450">
        <v>49.06109797711147</v>
      </c>
      <c r="DX72" s="450">
        <v>52.628924660123886</v>
      </c>
      <c r="DY72" s="450">
        <v>55.666730598170524</v>
      </c>
      <c r="DZ72" s="450">
        <v>57.40905244288196</v>
      </c>
      <c r="EA72" s="450">
        <v>59.285669217337826</v>
      </c>
      <c r="EB72" s="450">
        <v>63.350595920624336</v>
      </c>
      <c r="EC72" s="450">
        <v>-1.01</v>
      </c>
      <c r="ED72" s="450">
        <v>62.34059592062434</v>
      </c>
      <c r="EE72" s="450">
        <v>3241.7109878724655</v>
      </c>
      <c r="EF72" s="443">
        <v>67692890.17499477</v>
      </c>
      <c r="EG72" s="450">
        <v>38.52</v>
      </c>
      <c r="EH72" s="450">
        <v>40.439524302600276</v>
      </c>
      <c r="EI72" s="450">
        <v>42.42486399451496</v>
      </c>
      <c r="EJ72" s="450">
        <v>44.95671177878093</v>
      </c>
      <c r="EK72" s="450">
        <v>47.747726457072105</v>
      </c>
      <c r="EL72" s="450">
        <v>50.485749095689634</v>
      </c>
      <c r="EM72" s="450">
        <v>53.81537411167578</v>
      </c>
      <c r="EN72" s="450">
        <v>56.76775568921068</v>
      </c>
      <c r="EO72" s="450">
        <v>58.45906337137059</v>
      </c>
      <c r="EP72" s="450">
        <v>59.98728515166152</v>
      </c>
      <c r="EQ72" s="450">
        <v>63.94051459820369</v>
      </c>
      <c r="ER72" s="443">
        <v>343579653</v>
      </c>
      <c r="ES72" s="443">
        <v>2422000</v>
      </c>
      <c r="ET72" s="443">
        <v>0</v>
      </c>
      <c r="EU72" s="443">
        <v>0</v>
      </c>
      <c r="EV72" s="443">
        <v>16500000</v>
      </c>
      <c r="EW72" s="443">
        <v>0</v>
      </c>
      <c r="EX72" s="443">
        <v>0</v>
      </c>
      <c r="EY72" s="443">
        <v>0</v>
      </c>
      <c r="EZ72" s="443">
        <v>0</v>
      </c>
      <c r="FA72" s="443">
        <v>353040653</v>
      </c>
      <c r="FB72" s="443">
        <v>206283.78403208219</v>
      </c>
      <c r="FC72" s="443">
        <v>0</v>
      </c>
      <c r="FD72" s="443">
        <v>0</v>
      </c>
      <c r="FE72" s="443">
        <v>5475</v>
      </c>
      <c r="FF72" s="452">
        <v>0.0535</v>
      </c>
      <c r="FG72" s="443">
        <v>292.9125</v>
      </c>
      <c r="FH72" s="453">
        <v>292.9125</v>
      </c>
    </row>
    <row r="73" spans="2:164" ht="12.75">
      <c r="B73" s="356" t="s">
        <v>761</v>
      </c>
      <c r="C73" s="442">
        <v>0</v>
      </c>
      <c r="D73" s="443">
        <v>0</v>
      </c>
      <c r="E73" s="443">
        <v>0</v>
      </c>
      <c r="F73" s="443">
        <v>0</v>
      </c>
      <c r="G73" s="443">
        <v>0</v>
      </c>
      <c r="H73" s="444">
        <v>0</v>
      </c>
      <c r="I73" s="445">
        <v>0</v>
      </c>
      <c r="J73" s="445">
        <v>0</v>
      </c>
      <c r="K73" s="443">
        <v>0</v>
      </c>
      <c r="L73" s="443">
        <v>0</v>
      </c>
      <c r="M73" s="443">
        <v>0</v>
      </c>
      <c r="N73" s="443">
        <v>0</v>
      </c>
      <c r="O73" s="446">
        <v>0</v>
      </c>
      <c r="P73" s="447">
        <v>0</v>
      </c>
      <c r="Q73" s="448">
        <v>0</v>
      </c>
      <c r="R73" s="443">
        <v>0</v>
      </c>
      <c r="S73" s="443">
        <v>0</v>
      </c>
      <c r="T73" s="443">
        <v>0</v>
      </c>
      <c r="U73" s="443">
        <v>0</v>
      </c>
      <c r="V73" s="443">
        <v>0</v>
      </c>
      <c r="W73" s="446">
        <v>0.5670483804409375</v>
      </c>
      <c r="X73" s="448">
        <v>10.587629942758378</v>
      </c>
      <c r="Y73" s="443">
        <v>0</v>
      </c>
      <c r="Z73" s="443">
        <v>0</v>
      </c>
      <c r="AA73" s="444">
        <v>0</v>
      </c>
      <c r="AB73" s="444">
        <v>0</v>
      </c>
      <c r="AC73" s="445">
        <v>0</v>
      </c>
      <c r="AD73" s="445">
        <v>0</v>
      </c>
      <c r="AE73" s="443">
        <v>0</v>
      </c>
      <c r="AF73" s="443">
        <v>0</v>
      </c>
      <c r="AG73" s="447">
        <v>0</v>
      </c>
      <c r="AH73" s="446">
        <v>0.03818402354571617</v>
      </c>
      <c r="AI73" s="448">
        <v>0.03215514495968819</v>
      </c>
      <c r="AJ73" s="443">
        <v>0</v>
      </c>
      <c r="AK73" s="449">
        <v>1</v>
      </c>
      <c r="AL73" s="443">
        <v>0</v>
      </c>
      <c r="AM73" s="443">
        <v>0</v>
      </c>
      <c r="AN73" s="443">
        <v>0</v>
      </c>
      <c r="AO73" s="443">
        <v>0</v>
      </c>
      <c r="AP73" s="443">
        <v>0</v>
      </c>
      <c r="AQ73" s="443">
        <v>0</v>
      </c>
      <c r="AR73" s="443">
        <v>0</v>
      </c>
      <c r="AS73" s="450">
        <v>0</v>
      </c>
      <c r="AT73" s="446">
        <v>0</v>
      </c>
      <c r="AU73" s="446">
        <v>0</v>
      </c>
      <c r="AV73" s="446">
        <v>0</v>
      </c>
      <c r="AW73" s="446">
        <v>0</v>
      </c>
      <c r="AX73" s="446">
        <v>0</v>
      </c>
      <c r="AY73" s="446">
        <v>0</v>
      </c>
      <c r="AZ73" s="446">
        <v>0</v>
      </c>
      <c r="BA73" s="446">
        <v>0</v>
      </c>
      <c r="BB73" s="446">
        <v>0</v>
      </c>
      <c r="BC73" s="446">
        <v>0</v>
      </c>
      <c r="BD73" s="446">
        <v>0</v>
      </c>
      <c r="BE73" s="446">
        <v>0</v>
      </c>
      <c r="BF73" s="446">
        <v>0</v>
      </c>
      <c r="BG73" s="446">
        <v>0</v>
      </c>
      <c r="BH73" s="446">
        <v>0</v>
      </c>
      <c r="BI73" s="446">
        <v>0</v>
      </c>
      <c r="BJ73" s="448">
        <v>1</v>
      </c>
      <c r="BK73" s="448">
        <v>18.341130180718068</v>
      </c>
      <c r="BL73" s="448">
        <v>10.437830301304457</v>
      </c>
      <c r="BM73" s="448">
        <v>15.806599758827225</v>
      </c>
      <c r="BN73" s="445">
        <v>0</v>
      </c>
      <c r="BO73" s="445">
        <v>0</v>
      </c>
      <c r="BP73" s="443">
        <v>0</v>
      </c>
      <c r="BQ73" s="443">
        <v>0</v>
      </c>
      <c r="BR73" s="443">
        <v>0</v>
      </c>
      <c r="BS73" s="444">
        <v>0</v>
      </c>
      <c r="BT73" s="445">
        <v>0</v>
      </c>
      <c r="BU73" s="445">
        <v>0</v>
      </c>
      <c r="BV73" s="443">
        <v>0</v>
      </c>
      <c r="BW73" s="444">
        <v>0</v>
      </c>
      <c r="BX73" s="443">
        <v>0</v>
      </c>
      <c r="BY73" s="443">
        <v>0</v>
      </c>
      <c r="BZ73" s="451">
        <v>0.9066666666666667</v>
      </c>
      <c r="CA73" s="443">
        <v>0</v>
      </c>
      <c r="CB73" s="443">
        <v>0</v>
      </c>
      <c r="CC73" s="443">
        <v>0</v>
      </c>
      <c r="CD73" s="443">
        <v>0</v>
      </c>
      <c r="CE73" s="443">
        <v>0</v>
      </c>
      <c r="CF73" s="450">
        <v>0</v>
      </c>
      <c r="CG73" s="446">
        <v>0</v>
      </c>
      <c r="CH73" s="446">
        <v>0</v>
      </c>
      <c r="CI73" s="446">
        <v>0</v>
      </c>
      <c r="CJ73" s="446">
        <v>0</v>
      </c>
      <c r="CK73" s="446">
        <v>0</v>
      </c>
      <c r="CL73" s="446">
        <v>0</v>
      </c>
      <c r="CM73" s="446">
        <v>0</v>
      </c>
      <c r="CN73" s="446">
        <v>0</v>
      </c>
      <c r="CO73" s="446">
        <v>0</v>
      </c>
      <c r="CP73" s="446">
        <v>0</v>
      </c>
      <c r="CQ73" s="446">
        <v>0</v>
      </c>
      <c r="CR73" s="446">
        <v>0</v>
      </c>
      <c r="CS73" s="446">
        <v>0</v>
      </c>
      <c r="CT73" s="446">
        <v>0</v>
      </c>
      <c r="CU73" s="446">
        <v>0</v>
      </c>
      <c r="CV73" s="446">
        <v>0</v>
      </c>
      <c r="CW73" s="443">
        <v>0</v>
      </c>
      <c r="CX73" s="448">
        <v>0.8851456549627312</v>
      </c>
      <c r="CY73" s="448">
        <v>0.9066666666666667</v>
      </c>
      <c r="CZ73" s="443">
        <v>0</v>
      </c>
      <c r="DA73" s="450">
        <v>0</v>
      </c>
      <c r="DB73" s="445">
        <v>0</v>
      </c>
      <c r="DC73" s="448">
        <v>0</v>
      </c>
      <c r="DD73" s="450">
        <v>298</v>
      </c>
      <c r="DE73" s="443">
        <v>0</v>
      </c>
      <c r="DF73" s="450">
        <v>0</v>
      </c>
      <c r="DG73" s="450">
        <v>0</v>
      </c>
      <c r="DH73" s="450">
        <v>0</v>
      </c>
      <c r="DI73" s="450">
        <v>0</v>
      </c>
      <c r="DJ73" s="450">
        <v>0</v>
      </c>
      <c r="DK73" s="450">
        <v>0</v>
      </c>
      <c r="DL73" s="450">
        <v>0</v>
      </c>
      <c r="DM73" s="450">
        <v>0</v>
      </c>
      <c r="DN73" s="450">
        <v>0</v>
      </c>
      <c r="DO73" s="450">
        <v>0</v>
      </c>
      <c r="DP73" s="450">
        <v>0</v>
      </c>
      <c r="DQ73" s="450">
        <v>0</v>
      </c>
      <c r="DR73" s="450">
        <v>0</v>
      </c>
      <c r="DS73" s="450">
        <v>0</v>
      </c>
      <c r="DT73" s="450">
        <v>0</v>
      </c>
      <c r="DU73" s="450">
        <v>0</v>
      </c>
      <c r="DV73" s="450">
        <v>0</v>
      </c>
      <c r="DW73" s="450">
        <v>0</v>
      </c>
      <c r="DX73" s="450">
        <v>0</v>
      </c>
      <c r="DY73" s="450">
        <v>0</v>
      </c>
      <c r="DZ73" s="450">
        <v>0</v>
      </c>
      <c r="EA73" s="450">
        <v>0</v>
      </c>
      <c r="EB73" s="450">
        <v>0</v>
      </c>
      <c r="EC73" s="450">
        <v>0</v>
      </c>
      <c r="ED73" s="450">
        <v>0</v>
      </c>
      <c r="EE73" s="450">
        <v>0</v>
      </c>
      <c r="EF73" s="443">
        <v>0</v>
      </c>
      <c r="EG73" s="450">
        <v>0</v>
      </c>
      <c r="EH73" s="450">
        <v>0</v>
      </c>
      <c r="EI73" s="450">
        <v>0</v>
      </c>
      <c r="EJ73" s="450">
        <v>0</v>
      </c>
      <c r="EK73" s="450">
        <v>0</v>
      </c>
      <c r="EL73" s="450">
        <v>0</v>
      </c>
      <c r="EM73" s="450">
        <v>0</v>
      </c>
      <c r="EN73" s="450">
        <v>0</v>
      </c>
      <c r="EO73" s="450">
        <v>0</v>
      </c>
      <c r="EP73" s="450">
        <v>0</v>
      </c>
      <c r="EQ73" s="450">
        <v>0</v>
      </c>
      <c r="ER73" s="443">
        <v>0</v>
      </c>
      <c r="ES73" s="443">
        <v>0</v>
      </c>
      <c r="ET73" s="443">
        <v>0</v>
      </c>
      <c r="EU73" s="443">
        <v>0</v>
      </c>
      <c r="EV73" s="443">
        <v>0</v>
      </c>
      <c r="EW73" s="443">
        <v>0</v>
      </c>
      <c r="EX73" s="443">
        <v>0</v>
      </c>
      <c r="EY73" s="443">
        <v>0</v>
      </c>
      <c r="EZ73" s="443">
        <v>0</v>
      </c>
      <c r="FA73" s="443">
        <v>0</v>
      </c>
      <c r="FB73" s="443">
        <v>0</v>
      </c>
      <c r="FC73" s="443">
        <v>0</v>
      </c>
      <c r="FD73" s="443">
        <v>0</v>
      </c>
      <c r="FE73" s="443">
        <v>0</v>
      </c>
      <c r="FF73" s="452">
        <v>0</v>
      </c>
      <c r="FG73" s="443">
        <v>0</v>
      </c>
      <c r="FH73" s="453">
        <v>0</v>
      </c>
    </row>
    <row r="74" spans="2:164" ht="12.75">
      <c r="B74" s="356" t="s">
        <v>762</v>
      </c>
      <c r="C74" s="442">
        <v>4543.52</v>
      </c>
      <c r="D74" s="443">
        <v>1089440.16</v>
      </c>
      <c r="E74" s="443">
        <v>934739.6572800002</v>
      </c>
      <c r="F74" s="443">
        <v>155071.01050074236</v>
      </c>
      <c r="G74" s="443">
        <v>154700.50272000005</v>
      </c>
      <c r="H74" s="444">
        <v>0.49179270697608896</v>
      </c>
      <c r="I74" s="445">
        <v>1925.07</v>
      </c>
      <c r="J74" s="445">
        <v>309.4</v>
      </c>
      <c r="K74" s="443">
        <v>1089810.6677807425</v>
      </c>
      <c r="L74" s="443">
        <v>871848.534224594</v>
      </c>
      <c r="M74" s="443">
        <v>244815.94802644034</v>
      </c>
      <c r="N74" s="443">
        <v>217962.13355614844</v>
      </c>
      <c r="O74" s="446">
        <v>1.1232040356375672</v>
      </c>
      <c r="P74" s="447">
        <v>0.9050251787160615</v>
      </c>
      <c r="Q74" s="448">
        <v>0.09486037257456773</v>
      </c>
      <c r="R74" s="443">
        <v>1116664.4822510344</v>
      </c>
      <c r="S74" s="443">
        <v>754865.1900016993</v>
      </c>
      <c r="T74" s="443">
        <v>117911.90478741337</v>
      </c>
      <c r="U74" s="443">
        <v>320117.5208010887</v>
      </c>
      <c r="V74" s="443">
        <v>254599.50195323583</v>
      </c>
      <c r="W74" s="446">
        <v>1.2573375766457198</v>
      </c>
      <c r="X74" s="448">
        <v>23.47634775766025</v>
      </c>
      <c r="Y74" s="443">
        <v>117911.90478741337</v>
      </c>
      <c r="Z74" s="443">
        <v>107199.7902960993</v>
      </c>
      <c r="AA74" s="444">
        <v>1.0999266366261153</v>
      </c>
      <c r="AB74" s="444">
        <v>0.09023840546536605</v>
      </c>
      <c r="AC74" s="445">
        <v>417</v>
      </c>
      <c r="AD74" s="445">
        <v>403</v>
      </c>
      <c r="AE74" s="443">
        <v>1192894.6155902012</v>
      </c>
      <c r="AF74" s="443">
        <v>32179.654999745195</v>
      </c>
      <c r="AG74" s="447">
        <v>0.25</v>
      </c>
      <c r="AH74" s="446">
        <v>0.2592176955973347</v>
      </c>
      <c r="AI74" s="448">
        <v>0.2182897925376892</v>
      </c>
      <c r="AJ74" s="443">
        <v>1225074.2705899463</v>
      </c>
      <c r="AK74" s="449">
        <v>1.0162713835684478</v>
      </c>
      <c r="AL74" s="443">
        <v>1245007.9239465517</v>
      </c>
      <c r="AM74" s="443">
        <v>2774830.7778976024</v>
      </c>
      <c r="AN74" s="443">
        <v>2740943.586442343</v>
      </c>
      <c r="AO74" s="443">
        <v>2744574.4558830447</v>
      </c>
      <c r="AP74" s="443">
        <v>2744574.4558830447</v>
      </c>
      <c r="AQ74" s="443">
        <v>18174.08</v>
      </c>
      <c r="AR74" s="443">
        <v>2762748.535883045</v>
      </c>
      <c r="AS74" s="450">
        <v>608.0634697069771</v>
      </c>
      <c r="AT74" s="446">
        <v>4517</v>
      </c>
      <c r="AU74" s="446">
        <v>37</v>
      </c>
      <c r="AV74" s="446">
        <v>654</v>
      </c>
      <c r="AW74" s="446">
        <v>87</v>
      </c>
      <c r="AX74" s="446">
        <v>31</v>
      </c>
      <c r="AY74" s="446">
        <v>127</v>
      </c>
      <c r="AZ74" s="446">
        <v>18</v>
      </c>
      <c r="BA74" s="446">
        <v>275</v>
      </c>
      <c r="BB74" s="446">
        <v>520</v>
      </c>
      <c r="BC74" s="446">
        <v>36</v>
      </c>
      <c r="BD74" s="446">
        <v>1696</v>
      </c>
      <c r="BE74" s="446">
        <v>354</v>
      </c>
      <c r="BF74" s="446">
        <v>77</v>
      </c>
      <c r="BG74" s="446">
        <v>605</v>
      </c>
      <c r="BH74" s="446">
        <v>0</v>
      </c>
      <c r="BI74" s="446">
        <v>0</v>
      </c>
      <c r="BJ74" s="448">
        <v>1.541600152125139</v>
      </c>
      <c r="BK74" s="448">
        <v>18.48356458782578</v>
      </c>
      <c r="BL74" s="448">
        <v>11.872346476065028</v>
      </c>
      <c r="BM74" s="448">
        <v>13.222436223521504</v>
      </c>
      <c r="BN74" s="445">
        <v>4086</v>
      </c>
      <c r="BO74" s="445">
        <v>431</v>
      </c>
      <c r="BP74" s="443">
        <v>1384905.7462625315</v>
      </c>
      <c r="BQ74" s="443">
        <v>4747667</v>
      </c>
      <c r="BR74" s="443">
        <v>5946190</v>
      </c>
      <c r="BS74" s="444">
        <v>0.09076820898826655</v>
      </c>
      <c r="BT74" s="445">
        <v>417</v>
      </c>
      <c r="BU74" s="445">
        <v>403</v>
      </c>
      <c r="BV74" s="443">
        <v>539725.0166039407</v>
      </c>
      <c r="BW74" s="444">
        <v>0.006338713320012041</v>
      </c>
      <c r="BX74" s="443">
        <v>6819.494477464912</v>
      </c>
      <c r="BY74" s="443">
        <v>6679117.257343938</v>
      </c>
      <c r="BZ74" s="451">
        <v>1.0133333333333334</v>
      </c>
      <c r="CA74" s="443">
        <v>6768172.154108524</v>
      </c>
      <c r="CB74" s="443">
        <v>4952527.397746909</v>
      </c>
      <c r="CC74" s="443">
        <v>4952527.397746909</v>
      </c>
      <c r="CD74" s="443">
        <v>4804077.691810027</v>
      </c>
      <c r="CE74" s="443">
        <v>4917330.5427412735</v>
      </c>
      <c r="CF74" s="450">
        <v>1088.627527726649</v>
      </c>
      <c r="CG74" s="446">
        <v>4517</v>
      </c>
      <c r="CH74" s="446">
        <v>37</v>
      </c>
      <c r="CI74" s="446">
        <v>654</v>
      </c>
      <c r="CJ74" s="446">
        <v>87</v>
      </c>
      <c r="CK74" s="446">
        <v>31</v>
      </c>
      <c r="CL74" s="446">
        <v>127</v>
      </c>
      <c r="CM74" s="446">
        <v>18</v>
      </c>
      <c r="CN74" s="446">
        <v>275</v>
      </c>
      <c r="CO74" s="446">
        <v>520</v>
      </c>
      <c r="CP74" s="446">
        <v>36</v>
      </c>
      <c r="CQ74" s="446">
        <v>1696</v>
      </c>
      <c r="CR74" s="446">
        <v>354</v>
      </c>
      <c r="CS74" s="446">
        <v>77</v>
      </c>
      <c r="CT74" s="446">
        <v>605</v>
      </c>
      <c r="CU74" s="446">
        <v>0</v>
      </c>
      <c r="CV74" s="446">
        <v>0</v>
      </c>
      <c r="CW74" s="443">
        <v>3135642.2687074034</v>
      </c>
      <c r="CX74" s="448">
        <v>0.9892804378995232</v>
      </c>
      <c r="CY74" s="448">
        <v>1.0133333333333334</v>
      </c>
      <c r="CZ74" s="443">
        <v>3102029.5566831147</v>
      </c>
      <c r="DA74" s="450">
        <v>686.7455294848604</v>
      </c>
      <c r="DB74" s="445">
        <v>4543.52</v>
      </c>
      <c r="DC74" s="448">
        <v>0.9940794802267846</v>
      </c>
      <c r="DD74" s="450">
        <v>308</v>
      </c>
      <c r="DE74" s="443">
        <v>34170</v>
      </c>
      <c r="DF74" s="450">
        <v>48.25304731803399</v>
      </c>
      <c r="DG74" s="450">
        <v>50.32792835270945</v>
      </c>
      <c r="DH74" s="450">
        <v>51.43514277646905</v>
      </c>
      <c r="DI74" s="450">
        <v>52.566715917551356</v>
      </c>
      <c r="DJ74" s="450">
        <v>54.30141754283055</v>
      </c>
      <c r="DK74" s="450">
        <v>56.25626857437244</v>
      </c>
      <c r="DL74" s="450">
        <v>58.05646916875235</v>
      </c>
      <c r="DM74" s="450">
        <v>60.436784404671194</v>
      </c>
      <c r="DN74" s="450">
        <v>63.096002918476714</v>
      </c>
      <c r="DO74" s="450">
        <v>66.56628307899292</v>
      </c>
      <c r="DP74" s="450">
        <v>65.96718653128198</v>
      </c>
      <c r="DQ74" s="450">
        <v>69.33151304437736</v>
      </c>
      <c r="DR74" s="450">
        <v>38.31</v>
      </c>
      <c r="DS74" s="450">
        <v>40.381052277646894</v>
      </c>
      <c r="DT74" s="450">
        <v>42.52468881551026</v>
      </c>
      <c r="DU74" s="450">
        <v>45.22468029597315</v>
      </c>
      <c r="DV74" s="450">
        <v>48.19612589916307</v>
      </c>
      <c r="DW74" s="450">
        <v>51.12474646807229</v>
      </c>
      <c r="DX74" s="450">
        <v>54.66404573954484</v>
      </c>
      <c r="DY74" s="450">
        <v>57.738901437239456</v>
      </c>
      <c r="DZ74" s="450">
        <v>59.50141787591355</v>
      </c>
      <c r="EA74" s="450">
        <v>61.24645280762044</v>
      </c>
      <c r="EB74" s="450">
        <v>65.36232012952273</v>
      </c>
      <c r="EC74" s="450">
        <v>0</v>
      </c>
      <c r="ED74" s="450">
        <v>65.36232012952273</v>
      </c>
      <c r="EE74" s="450">
        <v>3398.840646735182</v>
      </c>
      <c r="EF74" s="443">
        <v>15133846.446149152</v>
      </c>
      <c r="EG74" s="450">
        <v>48.37</v>
      </c>
      <c r="EH74" s="450">
        <v>49.63424027764689</v>
      </c>
      <c r="EI74" s="450">
        <v>50.930696047510246</v>
      </c>
      <c r="EJ74" s="450">
        <v>52.82266008279714</v>
      </c>
      <c r="EK74" s="450">
        <v>54.943131949862774</v>
      </c>
      <c r="EL74" s="450">
        <v>56.92717167167403</v>
      </c>
      <c r="EM74" s="450">
        <v>59.49630544910437</v>
      </c>
      <c r="EN74" s="450">
        <v>62.2232384477107</v>
      </c>
      <c r="EO74" s="450">
        <v>63.77798060489963</v>
      </c>
      <c r="EP74" s="450">
        <v>64.10404645106024</v>
      </c>
      <c r="EQ74" s="450">
        <v>67.76498486492692</v>
      </c>
      <c r="ER74" s="443">
        <v>58424918.6</v>
      </c>
      <c r="ES74" s="443">
        <v>0</v>
      </c>
      <c r="ET74" s="443">
        <v>0</v>
      </c>
      <c r="EU74" s="443">
        <v>131850</v>
      </c>
      <c r="EV74" s="443">
        <v>2769000</v>
      </c>
      <c r="EW74" s="443">
        <v>0</v>
      </c>
      <c r="EX74" s="443">
        <v>0</v>
      </c>
      <c r="EY74" s="443">
        <v>0</v>
      </c>
      <c r="EZ74" s="443">
        <v>0</v>
      </c>
      <c r="FA74" s="443">
        <v>59941268.6</v>
      </c>
      <c r="FB74" s="443">
        <v>67590.15663111041</v>
      </c>
      <c r="FC74" s="443">
        <v>0</v>
      </c>
      <c r="FD74" s="443">
        <v>0</v>
      </c>
      <c r="FE74" s="443">
        <v>14653</v>
      </c>
      <c r="FF74" s="452">
        <v>0.0489</v>
      </c>
      <c r="FG74" s="443">
        <v>716.5317</v>
      </c>
      <c r="FH74" s="453">
        <v>716.5317</v>
      </c>
    </row>
    <row r="75" spans="2:164" ht="12.75">
      <c r="B75" s="356" t="s">
        <v>763</v>
      </c>
      <c r="C75" s="442">
        <v>3219</v>
      </c>
      <c r="D75" s="443">
        <v>780827</v>
      </c>
      <c r="E75" s="443">
        <v>669949.566</v>
      </c>
      <c r="F75" s="443">
        <v>107334.21738167596</v>
      </c>
      <c r="G75" s="443">
        <v>110877.43400000001</v>
      </c>
      <c r="H75" s="444">
        <v>0.4749394221808015</v>
      </c>
      <c r="I75" s="445">
        <v>1300.29</v>
      </c>
      <c r="J75" s="445">
        <v>228.54</v>
      </c>
      <c r="K75" s="443">
        <v>777283.783381676</v>
      </c>
      <c r="L75" s="443">
        <v>621827.0267053408</v>
      </c>
      <c r="M75" s="443">
        <v>191053.89098702997</v>
      </c>
      <c r="N75" s="443">
        <v>155456.75667633515</v>
      </c>
      <c r="O75" s="446">
        <v>1.2289841565703634</v>
      </c>
      <c r="P75" s="447">
        <v>0.8238583410997204</v>
      </c>
      <c r="Q75" s="448">
        <v>0.17614165890027958</v>
      </c>
      <c r="R75" s="443">
        <v>812880.9176923708</v>
      </c>
      <c r="S75" s="443">
        <v>549507.5003600427</v>
      </c>
      <c r="T75" s="443">
        <v>86875.40098823314</v>
      </c>
      <c r="U75" s="443">
        <v>234681.9901872861</v>
      </c>
      <c r="V75" s="443">
        <v>185336.84923386056</v>
      </c>
      <c r="W75" s="446">
        <v>1.2662457096762294</v>
      </c>
      <c r="X75" s="448">
        <v>23.64267574529079</v>
      </c>
      <c r="Y75" s="443">
        <v>86875.40098823314</v>
      </c>
      <c r="Z75" s="443">
        <v>78036.5680984676</v>
      </c>
      <c r="AA75" s="444">
        <v>1.113265269157052</v>
      </c>
      <c r="AB75" s="444">
        <v>0.09133271202236719</v>
      </c>
      <c r="AC75" s="445">
        <v>246</v>
      </c>
      <c r="AD75" s="445">
        <v>342</v>
      </c>
      <c r="AE75" s="443">
        <v>871064.8915355619</v>
      </c>
      <c r="AF75" s="443">
        <v>0</v>
      </c>
      <c r="AG75" s="447">
        <v>0</v>
      </c>
      <c r="AH75" s="446">
        <v>0.11075689787702095</v>
      </c>
      <c r="AI75" s="448">
        <v>0.093269482254982</v>
      </c>
      <c r="AJ75" s="443">
        <v>871064.8915355619</v>
      </c>
      <c r="AK75" s="449">
        <v>1.0421109271193911</v>
      </c>
      <c r="AL75" s="443">
        <v>907746.2416992763</v>
      </c>
      <c r="AM75" s="443">
        <v>2023153.5571304217</v>
      </c>
      <c r="AN75" s="443">
        <v>1998446.1074077352</v>
      </c>
      <c r="AO75" s="443">
        <v>1984260.2769454373</v>
      </c>
      <c r="AP75" s="443">
        <v>1998446.1074077352</v>
      </c>
      <c r="AQ75" s="443">
        <v>12876</v>
      </c>
      <c r="AR75" s="443">
        <v>2011322.1074077352</v>
      </c>
      <c r="AS75" s="450">
        <v>624.8282408846645</v>
      </c>
      <c r="AT75" s="446">
        <v>3219</v>
      </c>
      <c r="AU75" s="446">
        <v>14</v>
      </c>
      <c r="AV75" s="446">
        <v>186</v>
      </c>
      <c r="AW75" s="446">
        <v>22</v>
      </c>
      <c r="AX75" s="446">
        <v>95</v>
      </c>
      <c r="AY75" s="446">
        <v>409</v>
      </c>
      <c r="AZ75" s="446">
        <v>43</v>
      </c>
      <c r="BA75" s="446">
        <v>258</v>
      </c>
      <c r="BB75" s="446">
        <v>290</v>
      </c>
      <c r="BC75" s="446">
        <v>43</v>
      </c>
      <c r="BD75" s="446">
        <v>851</v>
      </c>
      <c r="BE75" s="446">
        <v>567</v>
      </c>
      <c r="BF75" s="446">
        <v>0</v>
      </c>
      <c r="BG75" s="446">
        <v>441</v>
      </c>
      <c r="BH75" s="446">
        <v>0</v>
      </c>
      <c r="BI75" s="446">
        <v>0</v>
      </c>
      <c r="BJ75" s="448">
        <v>1.474642115832849</v>
      </c>
      <c r="BK75" s="448">
        <v>13.98738663869952</v>
      </c>
      <c r="BL75" s="448">
        <v>10.160243503485068</v>
      </c>
      <c r="BM75" s="448">
        <v>7.654286270428905</v>
      </c>
      <c r="BN75" s="445">
        <v>2652</v>
      </c>
      <c r="BO75" s="445">
        <v>567</v>
      </c>
      <c r="BP75" s="443">
        <v>948396.906450391</v>
      </c>
      <c r="BQ75" s="443">
        <v>3427235</v>
      </c>
      <c r="BR75" s="443">
        <v>4278376</v>
      </c>
      <c r="BS75" s="444">
        <v>0.09133271202236719</v>
      </c>
      <c r="BT75" s="445">
        <v>246</v>
      </c>
      <c r="BU75" s="445">
        <v>342</v>
      </c>
      <c r="BV75" s="443">
        <v>390755.68313140725</v>
      </c>
      <c r="BW75" s="444">
        <v>0.010913838639562702</v>
      </c>
      <c r="BX75" s="443">
        <v>6332.137495905746</v>
      </c>
      <c r="BY75" s="443">
        <v>4772719.727077704</v>
      </c>
      <c r="BZ75" s="451">
        <v>1.0233333333333334</v>
      </c>
      <c r="CA75" s="443">
        <v>4884083.187376184</v>
      </c>
      <c r="CB75" s="443">
        <v>3573868.283428973</v>
      </c>
      <c r="CC75" s="443">
        <v>3573868.283428973</v>
      </c>
      <c r="CD75" s="443">
        <v>3502715.1272942675</v>
      </c>
      <c r="CE75" s="443">
        <v>3548469.3479605257</v>
      </c>
      <c r="CF75" s="450">
        <v>1102.3514594471965</v>
      </c>
      <c r="CG75" s="446">
        <v>3219</v>
      </c>
      <c r="CH75" s="446">
        <v>14</v>
      </c>
      <c r="CI75" s="446">
        <v>186</v>
      </c>
      <c r="CJ75" s="446">
        <v>22</v>
      </c>
      <c r="CK75" s="446">
        <v>95</v>
      </c>
      <c r="CL75" s="446">
        <v>409</v>
      </c>
      <c r="CM75" s="446">
        <v>43</v>
      </c>
      <c r="CN75" s="446">
        <v>258</v>
      </c>
      <c r="CO75" s="446">
        <v>290</v>
      </c>
      <c r="CP75" s="446">
        <v>43</v>
      </c>
      <c r="CQ75" s="446">
        <v>851</v>
      </c>
      <c r="CR75" s="446">
        <v>567</v>
      </c>
      <c r="CS75" s="446">
        <v>0</v>
      </c>
      <c r="CT75" s="446">
        <v>441</v>
      </c>
      <c r="CU75" s="446">
        <v>0</v>
      </c>
      <c r="CV75" s="446">
        <v>0</v>
      </c>
      <c r="CW75" s="443">
        <v>2312218.282994556</v>
      </c>
      <c r="CX75" s="448">
        <v>0.9990430737998475</v>
      </c>
      <c r="CY75" s="448">
        <v>1.0233333333333334</v>
      </c>
      <c r="CZ75" s="443">
        <v>2310005.6607390866</v>
      </c>
      <c r="DA75" s="450">
        <v>717.6159244296634</v>
      </c>
      <c r="DB75" s="445">
        <v>3219</v>
      </c>
      <c r="DC75" s="448">
        <v>0.9863622242932589</v>
      </c>
      <c r="DD75" s="450">
        <v>328.7</v>
      </c>
      <c r="DE75" s="443">
        <v>38333</v>
      </c>
      <c r="DF75" s="450">
        <v>51.8042624646654</v>
      </c>
      <c r="DG75" s="450">
        <v>54.031845750646006</v>
      </c>
      <c r="DH75" s="450">
        <v>55.22054635716021</v>
      </c>
      <c r="DI75" s="450">
        <v>56.43539837701772</v>
      </c>
      <c r="DJ75" s="450">
        <v>58.2977665234593</v>
      </c>
      <c r="DK75" s="450">
        <v>60.39648611830383</v>
      </c>
      <c r="DL75" s="450">
        <v>62.32917367408954</v>
      </c>
      <c r="DM75" s="450">
        <v>64.8846697947272</v>
      </c>
      <c r="DN75" s="450">
        <v>67.73959526569519</v>
      </c>
      <c r="DO75" s="450">
        <v>71.46527300530842</v>
      </c>
      <c r="DP75" s="450">
        <v>70.82208554826065</v>
      </c>
      <c r="DQ75" s="450">
        <v>74.43401191122193</v>
      </c>
      <c r="DR75" s="450">
        <v>43.43</v>
      </c>
      <c r="DS75" s="450">
        <v>45.46896863571601</v>
      </c>
      <c r="DT75" s="450">
        <v>47.57663177140353</v>
      </c>
      <c r="DU75" s="450">
        <v>50.29054885780977</v>
      </c>
      <c r="DV75" s="450">
        <v>53.28607683120704</v>
      </c>
      <c r="DW75" s="450">
        <v>56.2142216871863</v>
      </c>
      <c r="DX75" s="450">
        <v>59.79213778003419</v>
      </c>
      <c r="DY75" s="450">
        <v>63.01372555606007</v>
      </c>
      <c r="DZ75" s="450">
        <v>64.8584411389832</v>
      </c>
      <c r="EA75" s="450">
        <v>66.40740910343212</v>
      </c>
      <c r="EB75" s="450">
        <v>70.7221519564101</v>
      </c>
      <c r="EC75" s="450">
        <v>-1.09</v>
      </c>
      <c r="ED75" s="450">
        <v>69.6321519564101</v>
      </c>
      <c r="EE75" s="450">
        <v>3620.871901733325</v>
      </c>
      <c r="EF75" s="443">
        <v>11422474.918645982</v>
      </c>
      <c r="EG75" s="450">
        <v>51.01</v>
      </c>
      <c r="EH75" s="450">
        <v>52.44105263571601</v>
      </c>
      <c r="EI75" s="450">
        <v>53.910382747403524</v>
      </c>
      <c r="EJ75" s="450">
        <v>56.01546802124177</v>
      </c>
      <c r="EK75" s="450">
        <v>58.36980504833466</v>
      </c>
      <c r="EL75" s="450">
        <v>60.58622795391606</v>
      </c>
      <c r="EM75" s="450">
        <v>63.43314459896673</v>
      </c>
      <c r="EN75" s="450">
        <v>66.39257988402947</v>
      </c>
      <c r="EO75" s="450">
        <v>68.08074188309</v>
      </c>
      <c r="EP75" s="450">
        <v>68.56054626220683</v>
      </c>
      <c r="EQ75" s="450">
        <v>72.53250967950788</v>
      </c>
      <c r="ER75" s="443">
        <v>-89530</v>
      </c>
      <c r="ES75" s="443">
        <v>0</v>
      </c>
      <c r="ET75" s="443">
        <v>0</v>
      </c>
      <c r="EU75" s="443">
        <v>0</v>
      </c>
      <c r="EV75" s="443">
        <v>0</v>
      </c>
      <c r="EW75" s="443">
        <v>0</v>
      </c>
      <c r="EX75" s="443">
        <v>0</v>
      </c>
      <c r="EY75" s="443">
        <v>0</v>
      </c>
      <c r="EZ75" s="443">
        <v>0</v>
      </c>
      <c r="FA75" s="443">
        <v>-89530</v>
      </c>
      <c r="FB75" s="443">
        <v>0</v>
      </c>
      <c r="FC75" s="443">
        <v>89530</v>
      </c>
      <c r="FD75" s="443">
        <v>649.0925</v>
      </c>
      <c r="FE75" s="443">
        <v>42000</v>
      </c>
      <c r="FF75" s="452">
        <v>0.042800000000000005</v>
      </c>
      <c r="FG75" s="443">
        <v>1797.6</v>
      </c>
      <c r="FH75" s="453">
        <v>2446.6925</v>
      </c>
    </row>
    <row r="76" spans="2:164" ht="12.75">
      <c r="B76" s="356" t="s">
        <v>764</v>
      </c>
      <c r="C76" s="442">
        <v>5883</v>
      </c>
      <c r="D76" s="443">
        <v>1401539</v>
      </c>
      <c r="E76" s="443">
        <v>1202520.462</v>
      </c>
      <c r="F76" s="443">
        <v>187517.64973752733</v>
      </c>
      <c r="G76" s="443">
        <v>199018.53800000003</v>
      </c>
      <c r="H76" s="444">
        <v>0.46226585075641674</v>
      </c>
      <c r="I76" s="445">
        <v>2289.08</v>
      </c>
      <c r="J76" s="445">
        <v>430.43</v>
      </c>
      <c r="K76" s="443">
        <v>1390038.1117375274</v>
      </c>
      <c r="L76" s="443">
        <v>1112030.489390022</v>
      </c>
      <c r="M76" s="443">
        <v>371324.23833418207</v>
      </c>
      <c r="N76" s="443">
        <v>278007.6223475054</v>
      </c>
      <c r="O76" s="446">
        <v>1.335662077171511</v>
      </c>
      <c r="P76" s="447">
        <v>0.7417984021757607</v>
      </c>
      <c r="Q76" s="448">
        <v>0.25820159782423935</v>
      </c>
      <c r="R76" s="443">
        <v>1483354.7277242038</v>
      </c>
      <c r="S76" s="443">
        <v>1002747.7959415618</v>
      </c>
      <c r="T76" s="443">
        <v>145752.7173993622</v>
      </c>
      <c r="U76" s="443">
        <v>322933.7101707999</v>
      </c>
      <c r="V76" s="443">
        <v>338204.87792111846</v>
      </c>
      <c r="W76" s="446">
        <v>0.9548464000750447</v>
      </c>
      <c r="X76" s="448">
        <v>17.828391165332988</v>
      </c>
      <c r="Y76" s="443">
        <v>145752.7173993622</v>
      </c>
      <c r="Z76" s="443">
        <v>142402.05386152357</v>
      </c>
      <c r="AA76" s="444">
        <v>1.0235296012029218</v>
      </c>
      <c r="AB76" s="444">
        <v>0.08397076321604624</v>
      </c>
      <c r="AC76" s="445">
        <v>502</v>
      </c>
      <c r="AD76" s="445">
        <v>486</v>
      </c>
      <c r="AE76" s="443">
        <v>1471434.223511724</v>
      </c>
      <c r="AF76" s="443">
        <v>0</v>
      </c>
      <c r="AG76" s="447">
        <v>0</v>
      </c>
      <c r="AH76" s="446">
        <v>0.17998008955101336</v>
      </c>
      <c r="AI76" s="448">
        <v>0.15156301856040955</v>
      </c>
      <c r="AJ76" s="443">
        <v>1471434.223511724</v>
      </c>
      <c r="AK76" s="449">
        <v>1.0108730912711368</v>
      </c>
      <c r="AL76" s="443">
        <v>1487433.2621234413</v>
      </c>
      <c r="AM76" s="443">
        <v>3315140.021539289</v>
      </c>
      <c r="AN76" s="443">
        <v>3274654.3870617836</v>
      </c>
      <c r="AO76" s="443">
        <v>3204126.3914060285</v>
      </c>
      <c r="AP76" s="443">
        <v>3274654.3870617836</v>
      </c>
      <c r="AQ76" s="443">
        <v>23532</v>
      </c>
      <c r="AR76" s="443">
        <v>3298186.3870617836</v>
      </c>
      <c r="AS76" s="450">
        <v>560.6300164986884</v>
      </c>
      <c r="AT76" s="446">
        <v>5883</v>
      </c>
      <c r="AU76" s="446">
        <v>528</v>
      </c>
      <c r="AV76" s="446">
        <v>353</v>
      </c>
      <c r="AW76" s="446">
        <v>157</v>
      </c>
      <c r="AX76" s="446">
        <v>77</v>
      </c>
      <c r="AY76" s="446">
        <v>1285</v>
      </c>
      <c r="AZ76" s="446">
        <v>227</v>
      </c>
      <c r="BA76" s="446">
        <v>264</v>
      </c>
      <c r="BB76" s="446">
        <v>143</v>
      </c>
      <c r="BC76" s="446">
        <v>12</v>
      </c>
      <c r="BD76" s="446">
        <v>1041</v>
      </c>
      <c r="BE76" s="446">
        <v>1141</v>
      </c>
      <c r="BF76" s="446">
        <v>378</v>
      </c>
      <c r="BG76" s="446">
        <v>277</v>
      </c>
      <c r="BH76" s="446">
        <v>0</v>
      </c>
      <c r="BI76" s="446">
        <v>0</v>
      </c>
      <c r="BJ76" s="448">
        <v>1.676540236264486</v>
      </c>
      <c r="BK76" s="448">
        <v>17.507862436420215</v>
      </c>
      <c r="BL76" s="448">
        <v>11.975423585833871</v>
      </c>
      <c r="BM76" s="448">
        <v>11.064877701172685</v>
      </c>
      <c r="BN76" s="445">
        <v>4364</v>
      </c>
      <c r="BO76" s="445">
        <v>1519</v>
      </c>
      <c r="BP76" s="443">
        <v>1976892.4195912685</v>
      </c>
      <c r="BQ76" s="443">
        <v>6441344</v>
      </c>
      <c r="BR76" s="443">
        <v>8255140</v>
      </c>
      <c r="BS76" s="444">
        <v>0.08397076321604624</v>
      </c>
      <c r="BT76" s="445">
        <v>502</v>
      </c>
      <c r="BU76" s="445">
        <v>486</v>
      </c>
      <c r="BV76" s="443">
        <v>693190.4062553119</v>
      </c>
      <c r="BW76" s="444">
        <v>0.015653671784275132</v>
      </c>
      <c r="BX76" s="443">
        <v>20776.07235787312</v>
      </c>
      <c r="BY76" s="443">
        <v>9132202.898204453</v>
      </c>
      <c r="BZ76" s="451">
        <v>1.0633333333333335</v>
      </c>
      <c r="CA76" s="443">
        <v>9710575.74842407</v>
      </c>
      <c r="CB76" s="443">
        <v>7105595.328684628</v>
      </c>
      <c r="CC76" s="443">
        <v>7105595.328684628</v>
      </c>
      <c r="CD76" s="443">
        <v>7039363.783470594</v>
      </c>
      <c r="CE76" s="443">
        <v>7055096.9490843015</v>
      </c>
      <c r="CF76" s="450">
        <v>1199.2345655421216</v>
      </c>
      <c r="CG76" s="446">
        <v>5883</v>
      </c>
      <c r="CH76" s="446">
        <v>528</v>
      </c>
      <c r="CI76" s="446">
        <v>353</v>
      </c>
      <c r="CJ76" s="446">
        <v>157</v>
      </c>
      <c r="CK76" s="446">
        <v>77</v>
      </c>
      <c r="CL76" s="446">
        <v>1285</v>
      </c>
      <c r="CM76" s="446">
        <v>227</v>
      </c>
      <c r="CN76" s="446">
        <v>264</v>
      </c>
      <c r="CO76" s="446">
        <v>143</v>
      </c>
      <c r="CP76" s="446">
        <v>12</v>
      </c>
      <c r="CQ76" s="446">
        <v>1041</v>
      </c>
      <c r="CR76" s="446">
        <v>1141</v>
      </c>
      <c r="CS76" s="446">
        <v>378</v>
      </c>
      <c r="CT76" s="446">
        <v>277</v>
      </c>
      <c r="CU76" s="446">
        <v>0</v>
      </c>
      <c r="CV76" s="446">
        <v>0</v>
      </c>
      <c r="CW76" s="443">
        <v>4282272.762944317</v>
      </c>
      <c r="CX76" s="448">
        <v>1.0380936174011444</v>
      </c>
      <c r="CY76" s="448">
        <v>1.0633333333333335</v>
      </c>
      <c r="CZ76" s="443">
        <v>4445400.023183259</v>
      </c>
      <c r="DA76" s="450">
        <v>755.6348841039027</v>
      </c>
      <c r="DB76" s="445">
        <v>5883</v>
      </c>
      <c r="DC76" s="448">
        <v>1.0151113377528473</v>
      </c>
      <c r="DD76" s="450">
        <v>316.4</v>
      </c>
      <c r="DE76" s="443">
        <v>49921</v>
      </c>
      <c r="DF76" s="450">
        <v>55.25408861628558</v>
      </c>
      <c r="DG76" s="450">
        <v>57.630014426785856</v>
      </c>
      <c r="DH76" s="450">
        <v>58.897874744175134</v>
      </c>
      <c r="DI76" s="450">
        <v>60.19362798854697</v>
      </c>
      <c r="DJ76" s="450">
        <v>62.18001771216902</v>
      </c>
      <c r="DK76" s="450">
        <v>64.4184983498071</v>
      </c>
      <c r="DL76" s="450">
        <v>66.4798902970009</v>
      </c>
      <c r="DM76" s="450">
        <v>69.20556579917793</v>
      </c>
      <c r="DN76" s="450">
        <v>72.25061069434174</v>
      </c>
      <c r="DO76" s="450">
        <v>76.22439428253054</v>
      </c>
      <c r="DP76" s="450">
        <v>75.53837473398777</v>
      </c>
      <c r="DQ76" s="450">
        <v>79.39083184542113</v>
      </c>
      <c r="DR76" s="450">
        <v>46.81</v>
      </c>
      <c r="DS76" s="450">
        <v>48.94562547441751</v>
      </c>
      <c r="DT76" s="450">
        <v>51.152562429709384</v>
      </c>
      <c r="DU76" s="450">
        <v>54.00802458017469</v>
      </c>
      <c r="DV76" s="450">
        <v>57.16176844859613</v>
      </c>
      <c r="DW76" s="450">
        <v>60.23910258195948</v>
      </c>
      <c r="DX76" s="450">
        <v>64.00823779009144</v>
      </c>
      <c r="DY76" s="450">
        <v>67.42749030190949</v>
      </c>
      <c r="DZ76" s="450">
        <v>69.38497620342305</v>
      </c>
      <c r="EA76" s="450">
        <v>70.96828448482205</v>
      </c>
      <c r="EB76" s="450">
        <v>75.5482999639226</v>
      </c>
      <c r="EC76" s="450">
        <v>-1.58</v>
      </c>
      <c r="ED76" s="450">
        <v>73.9682999639226</v>
      </c>
      <c r="EE76" s="450">
        <v>3846.3515981239752</v>
      </c>
      <c r="EF76" s="443">
        <v>22175524.72272808</v>
      </c>
      <c r="EG76" s="450">
        <v>52.06</v>
      </c>
      <c r="EH76" s="450">
        <v>53.77457547441751</v>
      </c>
      <c r="EI76" s="450">
        <v>55.53939522970938</v>
      </c>
      <c r="EJ76" s="450">
        <v>57.97317307727469</v>
      </c>
      <c r="EK76" s="450">
        <v>60.68282031402092</v>
      </c>
      <c r="EL76" s="450">
        <v>63.2672071862248</v>
      </c>
      <c r="EM76" s="450">
        <v>66.5300433045236</v>
      </c>
      <c r="EN76" s="450">
        <v>69.76772581930253</v>
      </c>
      <c r="EO76" s="450">
        <v>71.61678080851021</v>
      </c>
      <c r="EP76" s="450">
        <v>72.45957341405256</v>
      </c>
      <c r="EQ76" s="450">
        <v>76.80217569561961</v>
      </c>
      <c r="ER76" s="443">
        <v>10449579</v>
      </c>
      <c r="ES76" s="443">
        <v>403000</v>
      </c>
      <c r="ET76" s="443">
        <v>0</v>
      </c>
      <c r="EU76" s="443">
        <v>0</v>
      </c>
      <c r="EV76" s="443">
        <v>0</v>
      </c>
      <c r="EW76" s="443">
        <v>0</v>
      </c>
      <c r="EX76" s="443">
        <v>0</v>
      </c>
      <c r="EY76" s="443">
        <v>0</v>
      </c>
      <c r="EZ76" s="443">
        <v>0</v>
      </c>
      <c r="FA76" s="443">
        <v>10651079</v>
      </c>
      <c r="FB76" s="443">
        <v>44266.2072993845</v>
      </c>
      <c r="FC76" s="443">
        <v>0</v>
      </c>
      <c r="FD76" s="443">
        <v>0</v>
      </c>
      <c r="FE76" s="443">
        <v>42544</v>
      </c>
      <c r="FF76" s="452">
        <v>0.08529999999999999</v>
      </c>
      <c r="FG76" s="443">
        <v>3629.0031999999997</v>
      </c>
      <c r="FH76" s="453">
        <v>3629.0031999999997</v>
      </c>
    </row>
    <row r="77" spans="2:164" ht="12.75">
      <c r="B77" s="356" t="s">
        <v>765</v>
      </c>
      <c r="C77" s="442">
        <v>6063</v>
      </c>
      <c r="D77" s="443">
        <v>1443479</v>
      </c>
      <c r="E77" s="443">
        <v>1238504.982</v>
      </c>
      <c r="F77" s="443">
        <v>195606.35577039712</v>
      </c>
      <c r="G77" s="443">
        <v>204974.018</v>
      </c>
      <c r="H77" s="444">
        <v>0.4681956127329705</v>
      </c>
      <c r="I77" s="445">
        <v>2401.22</v>
      </c>
      <c r="J77" s="445">
        <v>437.45</v>
      </c>
      <c r="K77" s="443">
        <v>1434111.3377703973</v>
      </c>
      <c r="L77" s="443">
        <v>1147289.070216318</v>
      </c>
      <c r="M77" s="443">
        <v>372613.4900857177</v>
      </c>
      <c r="N77" s="443">
        <v>286822.2675540794</v>
      </c>
      <c r="O77" s="446">
        <v>1.2991093518060366</v>
      </c>
      <c r="P77" s="447">
        <v>0.7699158832261257</v>
      </c>
      <c r="Q77" s="448">
        <v>0.23008411677387433</v>
      </c>
      <c r="R77" s="443">
        <v>1519902.5603020357</v>
      </c>
      <c r="S77" s="443">
        <v>1027454.1307641761</v>
      </c>
      <c r="T77" s="443">
        <v>127309.6861921818</v>
      </c>
      <c r="U77" s="443">
        <v>350517.75093927426</v>
      </c>
      <c r="V77" s="443">
        <v>346537.78374886414</v>
      </c>
      <c r="W77" s="446">
        <v>1.0114849444333447</v>
      </c>
      <c r="X77" s="448">
        <v>18.885916358678717</v>
      </c>
      <c r="Y77" s="443">
        <v>127309.6861921818</v>
      </c>
      <c r="Z77" s="443">
        <v>145910.64578899543</v>
      </c>
      <c r="AA77" s="444">
        <v>0.8725181463200918</v>
      </c>
      <c r="AB77" s="444">
        <v>0.07158172521853867</v>
      </c>
      <c r="AC77" s="445">
        <v>432</v>
      </c>
      <c r="AD77" s="445">
        <v>436</v>
      </c>
      <c r="AE77" s="443">
        <v>1505281.5678956322</v>
      </c>
      <c r="AF77" s="443">
        <v>156291.6229333973</v>
      </c>
      <c r="AG77" s="447">
        <v>0.75</v>
      </c>
      <c r="AH77" s="446">
        <v>0.338177525045547</v>
      </c>
      <c r="AI77" s="448">
        <v>0.28478264808654785</v>
      </c>
      <c r="AJ77" s="443">
        <v>1661573.1908290295</v>
      </c>
      <c r="AK77" s="449">
        <v>1</v>
      </c>
      <c r="AL77" s="443">
        <v>1661573.1908290295</v>
      </c>
      <c r="AM77" s="443">
        <v>3703257.0965707763</v>
      </c>
      <c r="AN77" s="443">
        <v>3658031.6423776294</v>
      </c>
      <c r="AO77" s="443">
        <v>3555181.879527251</v>
      </c>
      <c r="AP77" s="443">
        <v>3658031.6423776294</v>
      </c>
      <c r="AQ77" s="443">
        <v>24252</v>
      </c>
      <c r="AR77" s="443">
        <v>3682283.6423776294</v>
      </c>
      <c r="AS77" s="450">
        <v>607.3369029156572</v>
      </c>
      <c r="AT77" s="446">
        <v>6063</v>
      </c>
      <c r="AU77" s="446">
        <v>792</v>
      </c>
      <c r="AV77" s="446">
        <v>136</v>
      </c>
      <c r="AW77" s="446">
        <v>864</v>
      </c>
      <c r="AX77" s="446">
        <v>0</v>
      </c>
      <c r="AY77" s="446">
        <v>194</v>
      </c>
      <c r="AZ77" s="446">
        <v>300</v>
      </c>
      <c r="BA77" s="446">
        <v>194</v>
      </c>
      <c r="BB77" s="446">
        <v>0</v>
      </c>
      <c r="BC77" s="446">
        <v>75</v>
      </c>
      <c r="BD77" s="446">
        <v>1228</v>
      </c>
      <c r="BE77" s="446">
        <v>1395</v>
      </c>
      <c r="BF77" s="446">
        <v>0</v>
      </c>
      <c r="BG77" s="446">
        <v>885</v>
      </c>
      <c r="BH77" s="446">
        <v>0</v>
      </c>
      <c r="BI77" s="446">
        <v>0</v>
      </c>
      <c r="BJ77" s="448">
        <v>1.540803175123536</v>
      </c>
      <c r="BK77" s="448">
        <v>14.604959960679702</v>
      </c>
      <c r="BL77" s="448">
        <v>11.342578014092867</v>
      </c>
      <c r="BM77" s="448">
        <v>6.52476389317367</v>
      </c>
      <c r="BN77" s="445">
        <v>4668</v>
      </c>
      <c r="BO77" s="445">
        <v>1395</v>
      </c>
      <c r="BP77" s="443">
        <v>1834936.3380419186</v>
      </c>
      <c r="BQ77" s="443">
        <v>6711286</v>
      </c>
      <c r="BR77" s="443">
        <v>8063883</v>
      </c>
      <c r="BS77" s="444">
        <v>0.07158172521853867</v>
      </c>
      <c r="BT77" s="445">
        <v>432</v>
      </c>
      <c r="BU77" s="445">
        <v>436</v>
      </c>
      <c r="BV77" s="443">
        <v>577226.6571004452</v>
      </c>
      <c r="BW77" s="444">
        <v>0.018715140767922994</v>
      </c>
      <c r="BX77" s="443">
        <v>21354.838364462223</v>
      </c>
      <c r="BY77" s="443">
        <v>9144803.833506826</v>
      </c>
      <c r="BZ77" s="451">
        <v>0.9333333333333332</v>
      </c>
      <c r="CA77" s="443">
        <v>8535150.24460637</v>
      </c>
      <c r="CB77" s="443">
        <v>6245492.057207724</v>
      </c>
      <c r="CC77" s="443">
        <v>6245492.057207724</v>
      </c>
      <c r="CD77" s="443">
        <v>6100037.292570132</v>
      </c>
      <c r="CE77" s="443">
        <v>6201106.300053428</v>
      </c>
      <c r="CF77" s="450">
        <v>1022.7785419847316</v>
      </c>
      <c r="CG77" s="446">
        <v>6063</v>
      </c>
      <c r="CH77" s="446">
        <v>792</v>
      </c>
      <c r="CI77" s="446">
        <v>136</v>
      </c>
      <c r="CJ77" s="446">
        <v>864</v>
      </c>
      <c r="CK77" s="446">
        <v>0</v>
      </c>
      <c r="CL77" s="446">
        <v>194</v>
      </c>
      <c r="CM77" s="446">
        <v>300</v>
      </c>
      <c r="CN77" s="446">
        <v>194</v>
      </c>
      <c r="CO77" s="446">
        <v>0</v>
      </c>
      <c r="CP77" s="446">
        <v>75</v>
      </c>
      <c r="CQ77" s="446">
        <v>1228</v>
      </c>
      <c r="CR77" s="446">
        <v>1395</v>
      </c>
      <c r="CS77" s="446">
        <v>0</v>
      </c>
      <c r="CT77" s="446">
        <v>885</v>
      </c>
      <c r="CU77" s="446">
        <v>0</v>
      </c>
      <c r="CV77" s="446">
        <v>0</v>
      </c>
      <c r="CW77" s="443">
        <v>4059094.029523313</v>
      </c>
      <c r="CX77" s="448">
        <v>0.9111793506969291</v>
      </c>
      <c r="CY77" s="448">
        <v>0.9333333333333332</v>
      </c>
      <c r="CZ77" s="443">
        <v>3698562.662238834</v>
      </c>
      <c r="DA77" s="450">
        <v>610.0218806265601</v>
      </c>
      <c r="DB77" s="445">
        <v>6063</v>
      </c>
      <c r="DC77" s="448">
        <v>1.003249216559459</v>
      </c>
      <c r="DD77" s="450">
        <v>302.5</v>
      </c>
      <c r="DE77" s="443">
        <v>29373</v>
      </c>
      <c r="DF77" s="450">
        <v>46.34757906227858</v>
      </c>
      <c r="DG77" s="450">
        <v>48.340524961956554</v>
      </c>
      <c r="DH77" s="450">
        <v>49.404016511119586</v>
      </c>
      <c r="DI77" s="450">
        <v>50.490904874364205</v>
      </c>
      <c r="DJ77" s="450">
        <v>52.15710473521822</v>
      </c>
      <c r="DK77" s="450">
        <v>54.034760505686066</v>
      </c>
      <c r="DL77" s="450">
        <v>55.76387284186801</v>
      </c>
      <c r="DM77" s="450">
        <v>58.05019162838459</v>
      </c>
      <c r="DN77" s="450">
        <v>60.6044000600335</v>
      </c>
      <c r="DO77" s="450">
        <v>63.93764206333534</v>
      </c>
      <c r="DP77" s="450">
        <v>63.36220328476532</v>
      </c>
      <c r="DQ77" s="450">
        <v>66.59367565228835</v>
      </c>
      <c r="DR77" s="450">
        <v>37.11</v>
      </c>
      <c r="DS77" s="450">
        <v>39.074179651111955</v>
      </c>
      <c r="DT77" s="450">
        <v>41.10682196687283</v>
      </c>
      <c r="DU77" s="450">
        <v>43.67506679720945</v>
      </c>
      <c r="DV77" s="450">
        <v>46.502710816734286</v>
      </c>
      <c r="DW77" s="450">
        <v>49.28631010936948</v>
      </c>
      <c r="DX77" s="450">
        <v>52.65567738475982</v>
      </c>
      <c r="DY77" s="450">
        <v>55.59829084194972</v>
      </c>
      <c r="DZ77" s="450">
        <v>57.28474617049507</v>
      </c>
      <c r="EA77" s="450">
        <v>58.91674691743771</v>
      </c>
      <c r="EB77" s="450">
        <v>62.8559359386393</v>
      </c>
      <c r="EC77" s="450">
        <v>-3.53</v>
      </c>
      <c r="ED77" s="450">
        <v>59.3259359386393</v>
      </c>
      <c r="EE77" s="450">
        <v>3084.9486688092434</v>
      </c>
      <c r="EF77" s="443">
        <v>18329962.903410636</v>
      </c>
      <c r="EG77" s="450">
        <v>38.55</v>
      </c>
      <c r="EH77" s="450">
        <v>40.39869165111195</v>
      </c>
      <c r="EI77" s="450">
        <v>42.31006753487283</v>
      </c>
      <c r="EJ77" s="450">
        <v>44.762650384985456</v>
      </c>
      <c r="EK77" s="450">
        <v>47.46848504267937</v>
      </c>
      <c r="EL77" s="450">
        <v>50.116875943682246</v>
      </c>
      <c r="EM77" s="450">
        <v>53.34737261157549</v>
      </c>
      <c r="EN77" s="450">
        <v>56.24018401243465</v>
      </c>
      <c r="EO77" s="450">
        <v>57.896898290747544</v>
      </c>
      <c r="EP77" s="450">
        <v>59.325786166598085</v>
      </c>
      <c r="EQ77" s="450">
        <v>63.19985613933334</v>
      </c>
      <c r="ER77" s="443">
        <v>31464601</v>
      </c>
      <c r="ES77" s="443">
        <v>300000</v>
      </c>
      <c r="ET77" s="443">
        <v>0</v>
      </c>
      <c r="EU77" s="443">
        <v>0</v>
      </c>
      <c r="EV77" s="443">
        <v>0</v>
      </c>
      <c r="EW77" s="443">
        <v>0</v>
      </c>
      <c r="EX77" s="443">
        <v>0</v>
      </c>
      <c r="EY77" s="443">
        <v>0</v>
      </c>
      <c r="EZ77" s="443">
        <v>0</v>
      </c>
      <c r="FA77" s="443">
        <v>31614601</v>
      </c>
      <c r="FB77" s="443">
        <v>54186.07429341452</v>
      </c>
      <c r="FC77" s="443">
        <v>0</v>
      </c>
      <c r="FD77" s="443">
        <v>0</v>
      </c>
      <c r="FE77" s="443">
        <v>0</v>
      </c>
      <c r="FF77" s="452">
        <v>0</v>
      </c>
      <c r="FG77" s="443">
        <v>0</v>
      </c>
      <c r="FH77" s="453">
        <v>0</v>
      </c>
    </row>
    <row r="78" spans="2:164" ht="12.75">
      <c r="B78" s="356" t="s">
        <v>766</v>
      </c>
      <c r="C78" s="442">
        <v>23745</v>
      </c>
      <c r="D78" s="443">
        <v>5563385</v>
      </c>
      <c r="E78" s="443">
        <v>4773384.33</v>
      </c>
      <c r="F78" s="443">
        <v>1067122.9103984232</v>
      </c>
      <c r="G78" s="443">
        <v>790000.67</v>
      </c>
      <c r="H78" s="444">
        <v>0.6627201516108654</v>
      </c>
      <c r="I78" s="445">
        <v>14813.16</v>
      </c>
      <c r="J78" s="445">
        <v>923.13</v>
      </c>
      <c r="K78" s="443">
        <v>5840507.240398424</v>
      </c>
      <c r="L78" s="443">
        <v>4672405.792318739</v>
      </c>
      <c r="M78" s="443">
        <v>2041105.3953551739</v>
      </c>
      <c r="N78" s="443">
        <v>1168101.4480796845</v>
      </c>
      <c r="O78" s="446">
        <v>1.7473699726258156</v>
      </c>
      <c r="P78" s="447">
        <v>0.4251000210570646</v>
      </c>
      <c r="Q78" s="448">
        <v>0.5748999789429353</v>
      </c>
      <c r="R78" s="443">
        <v>6713511.187673913</v>
      </c>
      <c r="S78" s="443">
        <v>4538333.562867566</v>
      </c>
      <c r="T78" s="443">
        <v>613216.2757553053</v>
      </c>
      <c r="U78" s="443">
        <v>2469499.3298939173</v>
      </c>
      <c r="V78" s="443">
        <v>1530680.5507896524</v>
      </c>
      <c r="W78" s="446">
        <v>1.6133342313782872</v>
      </c>
      <c r="X78" s="448">
        <v>30.123330574606914</v>
      </c>
      <c r="Y78" s="443">
        <v>613216.2757553053</v>
      </c>
      <c r="Z78" s="443">
        <v>644497.0740166957</v>
      </c>
      <c r="AA78" s="444">
        <v>0.9514647939882189</v>
      </c>
      <c r="AB78" s="444">
        <v>0.07805853863971363</v>
      </c>
      <c r="AC78" s="445">
        <v>1890</v>
      </c>
      <c r="AD78" s="445">
        <v>1817</v>
      </c>
      <c r="AE78" s="443">
        <v>7621049.168516789</v>
      </c>
      <c r="AF78" s="443">
        <v>1158831.223189108</v>
      </c>
      <c r="AG78" s="447">
        <v>1</v>
      </c>
      <c r="AH78" s="446">
        <v>0.5268387968511338</v>
      </c>
      <c r="AI78" s="448">
        <v>0.44365617632865906</v>
      </c>
      <c r="AJ78" s="443">
        <v>8779880.391705897</v>
      </c>
      <c r="AK78" s="449">
        <v>1.2520966078131373</v>
      </c>
      <c r="AL78" s="443">
        <v>10993258.455460032</v>
      </c>
      <c r="AM78" s="443">
        <v>24501395.794251278</v>
      </c>
      <c r="AN78" s="443">
        <v>24202176.28983524</v>
      </c>
      <c r="AO78" s="443">
        <v>23887615.45031414</v>
      </c>
      <c r="AP78" s="443">
        <v>24202176.28983524</v>
      </c>
      <c r="AQ78" s="443">
        <v>94980</v>
      </c>
      <c r="AR78" s="443">
        <v>24297156.28983524</v>
      </c>
      <c r="AS78" s="450">
        <v>1023.2535813786161</v>
      </c>
      <c r="AT78" s="446">
        <v>23744</v>
      </c>
      <c r="AU78" s="446">
        <v>778</v>
      </c>
      <c r="AV78" s="446">
        <v>682</v>
      </c>
      <c r="AW78" s="446">
        <v>822</v>
      </c>
      <c r="AX78" s="446">
        <v>340</v>
      </c>
      <c r="AY78" s="446">
        <v>1332</v>
      </c>
      <c r="AZ78" s="446">
        <v>388</v>
      </c>
      <c r="BA78" s="446">
        <v>1630</v>
      </c>
      <c r="BB78" s="446">
        <v>835</v>
      </c>
      <c r="BC78" s="446">
        <v>853</v>
      </c>
      <c r="BD78" s="446">
        <v>2140</v>
      </c>
      <c r="BE78" s="446">
        <v>9480</v>
      </c>
      <c r="BF78" s="446">
        <v>4171</v>
      </c>
      <c r="BG78" s="446">
        <v>275</v>
      </c>
      <c r="BH78" s="446">
        <v>18</v>
      </c>
      <c r="BI78" s="446">
        <v>0</v>
      </c>
      <c r="BJ78" s="448">
        <v>2.374468720643285</v>
      </c>
      <c r="BK78" s="448">
        <v>24.191902029034615</v>
      </c>
      <c r="BL78" s="448">
        <v>13.670543206338335</v>
      </c>
      <c r="BM78" s="448">
        <v>21.04271764539256</v>
      </c>
      <c r="BN78" s="445">
        <v>10093</v>
      </c>
      <c r="BO78" s="445">
        <v>13651</v>
      </c>
      <c r="BP78" s="443">
        <v>10599599.875326976</v>
      </c>
      <c r="BQ78" s="443">
        <v>28664908</v>
      </c>
      <c r="BR78" s="443">
        <v>31795665</v>
      </c>
      <c r="BS78" s="444">
        <v>0.07806182614555256</v>
      </c>
      <c r="BT78" s="445">
        <v>1890</v>
      </c>
      <c r="BU78" s="445">
        <v>1817</v>
      </c>
      <c r="BV78" s="443">
        <v>2482027.6734122303</v>
      </c>
      <c r="BW78" s="444">
        <v>0.022925497101887776</v>
      </c>
      <c r="BX78" s="443">
        <v>169690.6493801727</v>
      </c>
      <c r="BY78" s="443">
        <v>41916226.19811938</v>
      </c>
      <c r="BZ78" s="451">
        <v>1.2133333333333332</v>
      </c>
      <c r="CA78" s="443">
        <v>50858354.45371817</v>
      </c>
      <c r="CB78" s="443">
        <v>37214980.36710903</v>
      </c>
      <c r="CC78" s="443">
        <v>37214980.36710903</v>
      </c>
      <c r="CD78" s="443">
        <v>35218947.81732714</v>
      </c>
      <c r="CE78" s="443">
        <v>36950499.19157538</v>
      </c>
      <c r="CF78" s="450">
        <v>1556.2036384592056</v>
      </c>
      <c r="CG78" s="446">
        <v>23744</v>
      </c>
      <c r="CH78" s="446">
        <v>778</v>
      </c>
      <c r="CI78" s="446">
        <v>682</v>
      </c>
      <c r="CJ78" s="446">
        <v>822</v>
      </c>
      <c r="CK78" s="446">
        <v>340</v>
      </c>
      <c r="CL78" s="446">
        <v>1332</v>
      </c>
      <c r="CM78" s="446">
        <v>388</v>
      </c>
      <c r="CN78" s="446">
        <v>1630</v>
      </c>
      <c r="CO78" s="446">
        <v>835</v>
      </c>
      <c r="CP78" s="446">
        <v>853</v>
      </c>
      <c r="CQ78" s="446">
        <v>2140</v>
      </c>
      <c r="CR78" s="446">
        <v>9480</v>
      </c>
      <c r="CS78" s="446">
        <v>4171</v>
      </c>
      <c r="CT78" s="446">
        <v>275</v>
      </c>
      <c r="CU78" s="446">
        <v>18</v>
      </c>
      <c r="CV78" s="446">
        <v>0</v>
      </c>
      <c r="CW78" s="443">
        <v>18434992.35516258</v>
      </c>
      <c r="CX78" s="448">
        <v>1.1845331559060077</v>
      </c>
      <c r="CY78" s="448">
        <v>1.2133333333333332</v>
      </c>
      <c r="CZ78" s="443">
        <v>21836859.673563857</v>
      </c>
      <c r="DA78" s="450">
        <v>919.6790630712541</v>
      </c>
      <c r="DB78" s="445">
        <v>23745</v>
      </c>
      <c r="DC78" s="448">
        <v>1.0004801010739102</v>
      </c>
      <c r="DD78" s="450">
        <v>354.1</v>
      </c>
      <c r="DE78" s="443">
        <v>61692</v>
      </c>
      <c r="DF78" s="450">
        <v>63.129536802306916</v>
      </c>
      <c r="DG78" s="450">
        <v>65.84410688480611</v>
      </c>
      <c r="DH78" s="450">
        <v>67.29267723627183</v>
      </c>
      <c r="DI78" s="450">
        <v>68.77311613546979</v>
      </c>
      <c r="DJ78" s="450">
        <v>71.04262896794029</v>
      </c>
      <c r="DK78" s="450">
        <v>73.60016361078613</v>
      </c>
      <c r="DL78" s="450">
        <v>75.95536884633127</v>
      </c>
      <c r="DM78" s="450">
        <v>79.06953896903084</v>
      </c>
      <c r="DN78" s="450">
        <v>82.54859868366819</v>
      </c>
      <c r="DO78" s="450">
        <v>87.08877161126993</v>
      </c>
      <c r="DP78" s="450">
        <v>86.3049726667685</v>
      </c>
      <c r="DQ78" s="450">
        <v>90.7065262727737</v>
      </c>
      <c r="DR78" s="450">
        <v>49.79</v>
      </c>
      <c r="DS78" s="450">
        <v>52.52610972362717</v>
      </c>
      <c r="DT78" s="450">
        <v>55.35850991509394</v>
      </c>
      <c r="DU78" s="450">
        <v>58.91750177049806</v>
      </c>
      <c r="DV78" s="450">
        <v>62.833050659457435</v>
      </c>
      <c r="DW78" s="450">
        <v>66.69565170818859</v>
      </c>
      <c r="DX78" s="450">
        <v>71.35804653638563</v>
      </c>
      <c r="DY78" s="450">
        <v>75.39233370617343</v>
      </c>
      <c r="DZ78" s="450">
        <v>77.70507368520539</v>
      </c>
      <c r="EA78" s="450">
        <v>80.03479793888869</v>
      </c>
      <c r="EB78" s="450">
        <v>85.43456336157234</v>
      </c>
      <c r="EC78" s="450">
        <v>-0.8</v>
      </c>
      <c r="ED78" s="450">
        <v>84.63456336157235</v>
      </c>
      <c r="EE78" s="450">
        <v>4400.997294801762</v>
      </c>
      <c r="EF78" s="443">
        <v>102411647.14976649</v>
      </c>
      <c r="EG78" s="450">
        <v>54.21</v>
      </c>
      <c r="EH78" s="450">
        <v>56.591625723627175</v>
      </c>
      <c r="EI78" s="450">
        <v>59.051805339093946</v>
      </c>
      <c r="EJ78" s="450">
        <v>62.255779171866074</v>
      </c>
      <c r="EK78" s="450">
        <v>65.79744099187222</v>
      </c>
      <c r="EL78" s="450">
        <v>69.24502739406532</v>
      </c>
      <c r="EM78" s="450">
        <v>73.48116660758376</v>
      </c>
      <c r="EN78" s="450">
        <v>77.36258913224529</v>
      </c>
      <c r="EO78" s="450">
        <v>79.58404060986926</v>
      </c>
      <c r="EP78" s="450">
        <v>81.29032118978373</v>
      </c>
      <c r="EQ78" s="450">
        <v>86.49020731092489</v>
      </c>
      <c r="ER78" s="443">
        <v>432138475.7</v>
      </c>
      <c r="ES78" s="443">
        <v>6742000</v>
      </c>
      <c r="ET78" s="443">
        <v>0</v>
      </c>
      <c r="EU78" s="443">
        <v>0</v>
      </c>
      <c r="EV78" s="443">
        <v>0</v>
      </c>
      <c r="EW78" s="443">
        <v>0</v>
      </c>
      <c r="EX78" s="443">
        <v>0</v>
      </c>
      <c r="EY78" s="443">
        <v>0</v>
      </c>
      <c r="EZ78" s="443">
        <v>0</v>
      </c>
      <c r="FA78" s="443">
        <v>435509475.7</v>
      </c>
      <c r="FB78" s="443">
        <v>245307.74920063748</v>
      </c>
      <c r="FC78" s="443">
        <v>0</v>
      </c>
      <c r="FD78" s="443">
        <v>0</v>
      </c>
      <c r="FE78" s="443">
        <v>136349</v>
      </c>
      <c r="FF78" s="452">
        <v>0.0575</v>
      </c>
      <c r="FG78" s="443">
        <v>7840.0675</v>
      </c>
      <c r="FH78" s="453">
        <v>7840.0675</v>
      </c>
    </row>
    <row r="79" spans="2:164" ht="12.75">
      <c r="B79" s="356" t="s">
        <v>767</v>
      </c>
      <c r="C79" s="442">
        <v>5357</v>
      </c>
      <c r="D79" s="443">
        <v>1278981</v>
      </c>
      <c r="E79" s="443">
        <v>1097365.698</v>
      </c>
      <c r="F79" s="443">
        <v>171223.2006139826</v>
      </c>
      <c r="G79" s="443">
        <v>181615.30200000003</v>
      </c>
      <c r="H79" s="444">
        <v>0.4625443345155871</v>
      </c>
      <c r="I79" s="445">
        <v>2086.16</v>
      </c>
      <c r="J79" s="445">
        <v>391.69</v>
      </c>
      <c r="K79" s="443">
        <v>1268588.8986139826</v>
      </c>
      <c r="L79" s="443">
        <v>1014871.1188911861</v>
      </c>
      <c r="M79" s="443">
        <v>295401.00128972443</v>
      </c>
      <c r="N79" s="443">
        <v>253717.77972279646</v>
      </c>
      <c r="O79" s="446">
        <v>1.1642897143923838</v>
      </c>
      <c r="P79" s="447">
        <v>0.8736232966212433</v>
      </c>
      <c r="Q79" s="448">
        <v>0.12637670337875676</v>
      </c>
      <c r="R79" s="443">
        <v>1310272.1201809105</v>
      </c>
      <c r="S79" s="443">
        <v>885743.9532422955</v>
      </c>
      <c r="T79" s="443">
        <v>80424.74888858697</v>
      </c>
      <c r="U79" s="443">
        <v>232152.01500956566</v>
      </c>
      <c r="V79" s="443">
        <v>298742.0434012476</v>
      </c>
      <c r="W79" s="446">
        <v>0.7770985709492411</v>
      </c>
      <c r="X79" s="448">
        <v>14.50957692861959</v>
      </c>
      <c r="Y79" s="443">
        <v>80424.74888858697</v>
      </c>
      <c r="Z79" s="443">
        <v>125786.1235373674</v>
      </c>
      <c r="AA79" s="444">
        <v>0.6393769569080894</v>
      </c>
      <c r="AB79" s="444">
        <v>0.052454732126190035</v>
      </c>
      <c r="AC79" s="445">
        <v>290</v>
      </c>
      <c r="AD79" s="445">
        <v>272</v>
      </c>
      <c r="AE79" s="443">
        <v>1198320.717140448</v>
      </c>
      <c r="AF79" s="443">
        <v>0</v>
      </c>
      <c r="AG79" s="447">
        <v>0</v>
      </c>
      <c r="AH79" s="446">
        <v>0.004646840136364988</v>
      </c>
      <c r="AI79" s="448">
        <v>0.003913150168955326</v>
      </c>
      <c r="AJ79" s="443">
        <v>1198320.717140448</v>
      </c>
      <c r="AK79" s="449">
        <v>1.1323222768566725</v>
      </c>
      <c r="AL79" s="443">
        <v>1356885.2428369927</v>
      </c>
      <c r="AM79" s="443">
        <v>3024179.0927434987</v>
      </c>
      <c r="AN79" s="443">
        <v>2987246.773581161</v>
      </c>
      <c r="AO79" s="443">
        <v>2929258.5828964193</v>
      </c>
      <c r="AP79" s="443">
        <v>2987246.773581161</v>
      </c>
      <c r="AQ79" s="443">
        <v>21428</v>
      </c>
      <c r="AR79" s="443">
        <v>3008674.773581161</v>
      </c>
      <c r="AS79" s="450">
        <v>561.6342679822963</v>
      </c>
      <c r="AT79" s="446">
        <v>5189</v>
      </c>
      <c r="AU79" s="446">
        <v>50</v>
      </c>
      <c r="AV79" s="446">
        <v>797</v>
      </c>
      <c r="AW79" s="446">
        <v>10</v>
      </c>
      <c r="AX79" s="446">
        <v>4</v>
      </c>
      <c r="AY79" s="446">
        <v>1202</v>
      </c>
      <c r="AZ79" s="446">
        <v>223</v>
      </c>
      <c r="BA79" s="446">
        <v>177</v>
      </c>
      <c r="BB79" s="446">
        <v>71</v>
      </c>
      <c r="BC79" s="446">
        <v>182</v>
      </c>
      <c r="BD79" s="446">
        <v>1482</v>
      </c>
      <c r="BE79" s="446">
        <v>573</v>
      </c>
      <c r="BF79" s="446">
        <v>62</v>
      </c>
      <c r="BG79" s="446">
        <v>354</v>
      </c>
      <c r="BH79" s="446">
        <v>2</v>
      </c>
      <c r="BI79" s="446">
        <v>0</v>
      </c>
      <c r="BJ79" s="448">
        <v>1.2789859910847445</v>
      </c>
      <c r="BK79" s="448">
        <v>9.043753907963458</v>
      </c>
      <c r="BL79" s="448">
        <v>5.232800847667387</v>
      </c>
      <c r="BM79" s="448">
        <v>7.621906120592141</v>
      </c>
      <c r="BN79" s="445">
        <v>4554</v>
      </c>
      <c r="BO79" s="445">
        <v>635</v>
      </c>
      <c r="BP79" s="443">
        <v>1353571.3381408425</v>
      </c>
      <c r="BQ79" s="443">
        <v>5344515</v>
      </c>
      <c r="BR79" s="443">
        <v>7127528</v>
      </c>
      <c r="BS79" s="444">
        <v>0.05415301599537483</v>
      </c>
      <c r="BT79" s="445">
        <v>290</v>
      </c>
      <c r="BU79" s="445">
        <v>272</v>
      </c>
      <c r="BV79" s="443">
        <v>385977.137791482</v>
      </c>
      <c r="BW79" s="444">
        <v>0.009111560244698667</v>
      </c>
      <c r="BX79" s="443">
        <v>5509.858039151365</v>
      </c>
      <c r="BY79" s="443">
        <v>7089573.333971476</v>
      </c>
      <c r="BZ79" s="451">
        <v>1.1133333333333335</v>
      </c>
      <c r="CA79" s="443">
        <v>7893058.311821578</v>
      </c>
      <c r="CB79" s="443">
        <v>5775649.119324032</v>
      </c>
      <c r="CC79" s="443">
        <v>5775649.119324032</v>
      </c>
      <c r="CD79" s="443">
        <v>5692365.426795006</v>
      </c>
      <c r="CE79" s="443">
        <v>5734602.464093259</v>
      </c>
      <c r="CF79" s="450">
        <v>1105.1459749649757</v>
      </c>
      <c r="CG79" s="446">
        <v>5189</v>
      </c>
      <c r="CH79" s="446">
        <v>50</v>
      </c>
      <c r="CI79" s="446">
        <v>797</v>
      </c>
      <c r="CJ79" s="446">
        <v>10</v>
      </c>
      <c r="CK79" s="446">
        <v>4</v>
      </c>
      <c r="CL79" s="446">
        <v>1202</v>
      </c>
      <c r="CM79" s="446">
        <v>223</v>
      </c>
      <c r="CN79" s="446">
        <v>177</v>
      </c>
      <c r="CO79" s="446">
        <v>71</v>
      </c>
      <c r="CP79" s="446">
        <v>182</v>
      </c>
      <c r="CQ79" s="446">
        <v>1482</v>
      </c>
      <c r="CR79" s="446">
        <v>573</v>
      </c>
      <c r="CS79" s="446">
        <v>62</v>
      </c>
      <c r="CT79" s="446">
        <v>354</v>
      </c>
      <c r="CU79" s="446">
        <v>2</v>
      </c>
      <c r="CV79" s="446">
        <v>0</v>
      </c>
      <c r="CW79" s="443">
        <v>3729834.00120726</v>
      </c>
      <c r="CX79" s="448">
        <v>1.0869067969027657</v>
      </c>
      <c r="CY79" s="448">
        <v>1.1133333333333335</v>
      </c>
      <c r="CZ79" s="443">
        <v>4053981.9272312094</v>
      </c>
      <c r="DA79" s="450">
        <v>781.2645841648119</v>
      </c>
      <c r="DB79" s="445">
        <v>5357</v>
      </c>
      <c r="DC79" s="448">
        <v>1.0051894717192458</v>
      </c>
      <c r="DD79" s="450">
        <v>333.2</v>
      </c>
      <c r="DE79" s="443">
        <v>85939</v>
      </c>
      <c r="DF79" s="450">
        <v>68.77852978786146</v>
      </c>
      <c r="DG79" s="450">
        <v>71.7360065687395</v>
      </c>
      <c r="DH79" s="450">
        <v>73.31419871325176</v>
      </c>
      <c r="DI79" s="450">
        <v>74.92711108494328</v>
      </c>
      <c r="DJ79" s="450">
        <v>77.3997057507464</v>
      </c>
      <c r="DK79" s="450">
        <v>80.18609515777327</v>
      </c>
      <c r="DL79" s="450">
        <v>82.75205020282199</v>
      </c>
      <c r="DM79" s="450">
        <v>86.14488426113769</v>
      </c>
      <c r="DN79" s="450">
        <v>89.93525916862774</v>
      </c>
      <c r="DO79" s="450">
        <v>94.88169842290226</v>
      </c>
      <c r="DP79" s="450">
        <v>94.02776313709614</v>
      </c>
      <c r="DQ79" s="450">
        <v>98.82317905708804</v>
      </c>
      <c r="DR79" s="450">
        <v>53.77</v>
      </c>
      <c r="DS79" s="450">
        <v>56.789065871325164</v>
      </c>
      <c r="DT79" s="450">
        <v>59.91494596098863</v>
      </c>
      <c r="DU79" s="450">
        <v>63.8305849993319</v>
      </c>
      <c r="DV79" s="450">
        <v>68.13671593051718</v>
      </c>
      <c r="DW79" s="450">
        <v>72.38958406738176</v>
      </c>
      <c r="DX79" s="450">
        <v>77.51502246354306</v>
      </c>
      <c r="DY79" s="450">
        <v>81.92674742045992</v>
      </c>
      <c r="DZ79" s="450">
        <v>84.45625468483877</v>
      </c>
      <c r="EA79" s="450">
        <v>87.06149521496216</v>
      </c>
      <c r="EB79" s="450">
        <v>92.9659409881578</v>
      </c>
      <c r="EC79" s="450">
        <v>-0.01</v>
      </c>
      <c r="ED79" s="450">
        <v>92.95594098815779</v>
      </c>
      <c r="EE79" s="450">
        <v>4833.708931384205</v>
      </c>
      <c r="EF79" s="443">
        <v>25376295.170516685</v>
      </c>
      <c r="EG79" s="450">
        <v>57.18</v>
      </c>
      <c r="EH79" s="450">
        <v>59.925583871325166</v>
      </c>
      <c r="EI79" s="450">
        <v>62.764298312988636</v>
      </c>
      <c r="EJ79" s="450">
        <v>66.4060433564959</v>
      </c>
      <c r="EK79" s="450">
        <v>70.42372295167883</v>
      </c>
      <c r="EL79" s="450">
        <v>74.35641010558078</v>
      </c>
      <c r="EM79" s="450">
        <v>79.1529951881552</v>
      </c>
      <c r="EN79" s="450">
        <v>83.44678610889999</v>
      </c>
      <c r="EO79" s="450">
        <v>85.90586491404777</v>
      </c>
      <c r="EP79" s="450">
        <v>88.03012288137666</v>
      </c>
      <c r="EQ79" s="450">
        <v>93.7803631300791</v>
      </c>
      <c r="ER79" s="443">
        <v>2284651</v>
      </c>
      <c r="ES79" s="443">
        <v>0</v>
      </c>
      <c r="ET79" s="443">
        <v>0</v>
      </c>
      <c r="EU79" s="443">
        <v>0</v>
      </c>
      <c r="EV79" s="443">
        <v>0</v>
      </c>
      <c r="EW79" s="443">
        <v>0</v>
      </c>
      <c r="EX79" s="443">
        <v>0</v>
      </c>
      <c r="EY79" s="443">
        <v>0</v>
      </c>
      <c r="EZ79" s="443">
        <v>0</v>
      </c>
      <c r="FA79" s="443">
        <v>2284651</v>
      </c>
      <c r="FB79" s="443">
        <v>40307.242151489576</v>
      </c>
      <c r="FC79" s="443">
        <v>0</v>
      </c>
      <c r="FD79" s="443">
        <v>0</v>
      </c>
      <c r="FE79" s="443">
        <v>0</v>
      </c>
      <c r="FF79" s="452">
        <v>0</v>
      </c>
      <c r="FG79" s="443">
        <v>0</v>
      </c>
      <c r="FH79" s="453">
        <v>0</v>
      </c>
    </row>
    <row r="80" spans="2:164" ht="12.75">
      <c r="B80" s="356" t="s">
        <v>768</v>
      </c>
      <c r="C80" s="442">
        <v>22706.5</v>
      </c>
      <c r="D80" s="443">
        <v>5321414.5</v>
      </c>
      <c r="E80" s="443">
        <v>4565773.641</v>
      </c>
      <c r="F80" s="443">
        <v>1257836.1075630507</v>
      </c>
      <c r="G80" s="443">
        <v>755640.859</v>
      </c>
      <c r="H80" s="444">
        <v>0.8166798053420827</v>
      </c>
      <c r="I80" s="445">
        <v>18259.24</v>
      </c>
      <c r="J80" s="445">
        <v>284.7</v>
      </c>
      <c r="K80" s="443">
        <v>5823609.74856305</v>
      </c>
      <c r="L80" s="443">
        <v>4658887.79885044</v>
      </c>
      <c r="M80" s="443">
        <v>2483953.641434086</v>
      </c>
      <c r="N80" s="443">
        <v>1164721.9497126099</v>
      </c>
      <c r="O80" s="446">
        <v>2.132658049457204</v>
      </c>
      <c r="P80" s="447">
        <v>0.12868561865545108</v>
      </c>
      <c r="Q80" s="448">
        <v>0.8712923612181533</v>
      </c>
      <c r="R80" s="443">
        <v>7142841.440284526</v>
      </c>
      <c r="S80" s="443">
        <v>4828560.81363234</v>
      </c>
      <c r="T80" s="443">
        <v>463804.43554141425</v>
      </c>
      <c r="U80" s="443">
        <v>2791644.777899349</v>
      </c>
      <c r="V80" s="443">
        <v>1628567.848384872</v>
      </c>
      <c r="W80" s="446">
        <v>1.714171614445143</v>
      </c>
      <c r="X80" s="448">
        <v>32.006113302031075</v>
      </c>
      <c r="Y80" s="443">
        <v>463804.43554141425</v>
      </c>
      <c r="Z80" s="443">
        <v>685712.7782673145</v>
      </c>
      <c r="AA80" s="444">
        <v>0.6763829554312422</v>
      </c>
      <c r="AB80" s="444">
        <v>0.05549071851672428</v>
      </c>
      <c r="AC80" s="445">
        <v>1146</v>
      </c>
      <c r="AD80" s="445">
        <v>1374</v>
      </c>
      <c r="AE80" s="443">
        <v>8084010.027073104</v>
      </c>
      <c r="AF80" s="443">
        <v>1930052.5</v>
      </c>
      <c r="AG80" s="447">
        <v>1</v>
      </c>
      <c r="AH80" s="446">
        <v>1</v>
      </c>
      <c r="AI80" s="448">
        <v>0.8421099185943604</v>
      </c>
      <c r="AJ80" s="443">
        <v>10014062.527073104</v>
      </c>
      <c r="AK80" s="449">
        <v>1.2520966078131373</v>
      </c>
      <c r="AL80" s="443">
        <v>12538573.720576886</v>
      </c>
      <c r="AM80" s="443">
        <v>27945541.23037729</v>
      </c>
      <c r="AN80" s="443">
        <v>27604260.632822383</v>
      </c>
      <c r="AO80" s="443">
        <v>27551898.50766792</v>
      </c>
      <c r="AP80" s="443">
        <v>27604260.632822383</v>
      </c>
      <c r="AQ80" s="443">
        <v>90826</v>
      </c>
      <c r="AR80" s="443">
        <v>27695086.632822383</v>
      </c>
      <c r="AS80" s="450">
        <v>1219.6986163795557</v>
      </c>
      <c r="AT80" s="446">
        <v>22706</v>
      </c>
      <c r="AU80" s="446">
        <v>1</v>
      </c>
      <c r="AV80" s="446">
        <v>36</v>
      </c>
      <c r="AW80" s="446">
        <v>416</v>
      </c>
      <c r="AX80" s="446">
        <v>12</v>
      </c>
      <c r="AY80" s="446">
        <v>119</v>
      </c>
      <c r="AZ80" s="446">
        <v>282</v>
      </c>
      <c r="BA80" s="446">
        <v>1157</v>
      </c>
      <c r="BB80" s="446">
        <v>0</v>
      </c>
      <c r="BC80" s="446">
        <v>320</v>
      </c>
      <c r="BD80" s="446">
        <v>412</v>
      </c>
      <c r="BE80" s="446">
        <v>12029</v>
      </c>
      <c r="BF80" s="446">
        <v>7755</v>
      </c>
      <c r="BG80" s="446">
        <v>117</v>
      </c>
      <c r="BH80" s="446">
        <v>0</v>
      </c>
      <c r="BI80" s="446">
        <v>50</v>
      </c>
      <c r="BJ80" s="448">
        <v>2.3378163746778142</v>
      </c>
      <c r="BK80" s="448">
        <v>18.122292043716627</v>
      </c>
      <c r="BL80" s="448">
        <v>8.771857791631207</v>
      </c>
      <c r="BM80" s="448">
        <v>18.70086850417084</v>
      </c>
      <c r="BN80" s="445">
        <v>2922</v>
      </c>
      <c r="BO80" s="445">
        <v>19784</v>
      </c>
      <c r="BP80" s="443">
        <v>9411302.961029358</v>
      </c>
      <c r="BQ80" s="443">
        <v>29623335</v>
      </c>
      <c r="BR80" s="443">
        <v>29531688</v>
      </c>
      <c r="BS80" s="444">
        <v>0.05549194045626707</v>
      </c>
      <c r="BT80" s="445">
        <v>1146</v>
      </c>
      <c r="BU80" s="445">
        <v>1374</v>
      </c>
      <c r="BV80" s="443">
        <v>1638770.6720690567</v>
      </c>
      <c r="BW80" s="444">
        <v>0.020028447248848467</v>
      </c>
      <c r="BX80" s="443">
        <v>106197.98851412928</v>
      </c>
      <c r="BY80" s="443">
        <v>40779606.62161255</v>
      </c>
      <c r="BZ80" s="451">
        <v>1.2133333333333332</v>
      </c>
      <c r="CA80" s="443">
        <v>49479256.03422322</v>
      </c>
      <c r="CB80" s="443">
        <v>36205841.924524926</v>
      </c>
      <c r="CC80" s="443">
        <v>36205841.924524926</v>
      </c>
      <c r="CD80" s="443">
        <v>34888076.90678867</v>
      </c>
      <c r="CE80" s="443">
        <v>35948532.54161182</v>
      </c>
      <c r="CF80" s="450">
        <v>1583.217323245478</v>
      </c>
      <c r="CG80" s="446">
        <v>22706</v>
      </c>
      <c r="CH80" s="446">
        <v>1</v>
      </c>
      <c r="CI80" s="446">
        <v>36</v>
      </c>
      <c r="CJ80" s="446">
        <v>416</v>
      </c>
      <c r="CK80" s="446">
        <v>12</v>
      </c>
      <c r="CL80" s="446">
        <v>119</v>
      </c>
      <c r="CM80" s="446">
        <v>282</v>
      </c>
      <c r="CN80" s="446">
        <v>1157</v>
      </c>
      <c r="CO80" s="446">
        <v>0</v>
      </c>
      <c r="CP80" s="446">
        <v>320</v>
      </c>
      <c r="CQ80" s="446">
        <v>412</v>
      </c>
      <c r="CR80" s="446">
        <v>12029</v>
      </c>
      <c r="CS80" s="446">
        <v>7755</v>
      </c>
      <c r="CT80" s="446">
        <v>117</v>
      </c>
      <c r="CU80" s="446">
        <v>0</v>
      </c>
      <c r="CV80" s="446">
        <v>50</v>
      </c>
      <c r="CW80" s="443">
        <v>19448805.076178625</v>
      </c>
      <c r="CX80" s="448">
        <v>1.1845331559060077</v>
      </c>
      <c r="CY80" s="448">
        <v>1.2133333333333332</v>
      </c>
      <c r="CZ80" s="443">
        <v>23037754.45548665</v>
      </c>
      <c r="DA80" s="450">
        <v>1014.6108718174338</v>
      </c>
      <c r="DB80" s="445">
        <v>22706.5</v>
      </c>
      <c r="DC80" s="448">
        <v>0.9977847752846102</v>
      </c>
      <c r="DD80" s="450">
        <v>354.1</v>
      </c>
      <c r="DE80" s="443">
        <v>58021</v>
      </c>
      <c r="DF80" s="450">
        <v>61.805098986450766</v>
      </c>
      <c r="DG80" s="450">
        <v>64.46271824286815</v>
      </c>
      <c r="DH80" s="450">
        <v>65.88089804421124</v>
      </c>
      <c r="DI80" s="450">
        <v>67.33027780118387</v>
      </c>
      <c r="DJ80" s="450">
        <v>69.55217696862293</v>
      </c>
      <c r="DK80" s="450">
        <v>72.05605533949334</v>
      </c>
      <c r="DL80" s="450">
        <v>74.36184911035711</v>
      </c>
      <c r="DM80" s="450">
        <v>77.41068492388175</v>
      </c>
      <c r="DN80" s="450">
        <v>80.81675506053253</v>
      </c>
      <c r="DO80" s="450">
        <v>85.26167658886182</v>
      </c>
      <c r="DP80" s="450">
        <v>84.49432149956206</v>
      </c>
      <c r="DQ80" s="450">
        <v>88.80353189603971</v>
      </c>
      <c r="DR80" s="450">
        <v>48.5</v>
      </c>
      <c r="DS80" s="450">
        <v>51.19838980442112</v>
      </c>
      <c r="DT80" s="450">
        <v>53.99203476023676</v>
      </c>
      <c r="DU80" s="450">
        <v>57.49607253998687</v>
      </c>
      <c r="DV80" s="450">
        <v>61.35023460686452</v>
      </c>
      <c r="DW80" s="450">
        <v>65.15484328029633</v>
      </c>
      <c r="DX80" s="450">
        <v>69.74309046860714</v>
      </c>
      <c r="DY80" s="450">
        <v>73.70122740603769</v>
      </c>
      <c r="DZ80" s="450">
        <v>75.97051564214873</v>
      </c>
      <c r="EA80" s="450">
        <v>78.28597986071554</v>
      </c>
      <c r="EB80" s="450">
        <v>83.58355824609757</v>
      </c>
      <c r="EC80" s="450">
        <v>-0.51</v>
      </c>
      <c r="ED80" s="450">
        <v>83.07355824609756</v>
      </c>
      <c r="EE80" s="450">
        <v>4319.825028797073</v>
      </c>
      <c r="EF80" s="443">
        <v>96126344.87605312</v>
      </c>
      <c r="EG80" s="450">
        <v>62.81</v>
      </c>
      <c r="EH80" s="450">
        <v>64.36072780442112</v>
      </c>
      <c r="EI80" s="450">
        <v>65.94928759223676</v>
      </c>
      <c r="EJ80" s="450">
        <v>68.30393444351085</v>
      </c>
      <c r="EK80" s="450">
        <v>70.94761597719382</v>
      </c>
      <c r="EL80" s="450">
        <v>73.40859125877952</v>
      </c>
      <c r="EM80" s="450">
        <v>76.61681178508793</v>
      </c>
      <c r="EN80" s="450">
        <v>80.08004078773187</v>
      </c>
      <c r="EO80" s="450">
        <v>82.05377733715775</v>
      </c>
      <c r="EP80" s="450">
        <v>82.3508073992467</v>
      </c>
      <c r="EQ80" s="450">
        <v>87.00126524049458</v>
      </c>
      <c r="ER80" s="443">
        <v>855583611</v>
      </c>
      <c r="ES80" s="443">
        <v>17700000</v>
      </c>
      <c r="ET80" s="443">
        <v>0</v>
      </c>
      <c r="EU80" s="443">
        <v>0</v>
      </c>
      <c r="EV80" s="443">
        <v>47859000</v>
      </c>
      <c r="EW80" s="443">
        <v>0</v>
      </c>
      <c r="EX80" s="443">
        <v>0</v>
      </c>
      <c r="EY80" s="443">
        <v>0</v>
      </c>
      <c r="EZ80" s="443">
        <v>0</v>
      </c>
      <c r="FA80" s="443">
        <v>888363111</v>
      </c>
      <c r="FB80" s="443">
        <v>459596.5423690266</v>
      </c>
      <c r="FC80" s="443">
        <v>0</v>
      </c>
      <c r="FD80" s="443">
        <v>0</v>
      </c>
      <c r="FE80" s="443">
        <v>260363</v>
      </c>
      <c r="FF80" s="452">
        <v>0.08259999999999999</v>
      </c>
      <c r="FG80" s="443">
        <v>21505.983799999998</v>
      </c>
      <c r="FH80" s="453">
        <v>21505.983799999998</v>
      </c>
    </row>
    <row r="81" spans="2:164" ht="12.75">
      <c r="B81" s="356" t="s">
        <v>769</v>
      </c>
      <c r="C81" s="442">
        <v>13070</v>
      </c>
      <c r="D81" s="443">
        <v>3076110</v>
      </c>
      <c r="E81" s="443">
        <v>2639302.38</v>
      </c>
      <c r="F81" s="443">
        <v>716999.2484712462</v>
      </c>
      <c r="G81" s="443">
        <v>436807.62</v>
      </c>
      <c r="H81" s="444">
        <v>0.8053259372609028</v>
      </c>
      <c r="I81" s="445">
        <v>10336.46</v>
      </c>
      <c r="J81" s="445">
        <v>189.15</v>
      </c>
      <c r="K81" s="443">
        <v>3356301.628471246</v>
      </c>
      <c r="L81" s="443">
        <v>2685041.302776997</v>
      </c>
      <c r="M81" s="443">
        <v>1380736.780565934</v>
      </c>
      <c r="N81" s="443">
        <v>671260.325694249</v>
      </c>
      <c r="O81" s="446">
        <v>2.056931905126243</v>
      </c>
      <c r="P81" s="447">
        <v>0.18684009181331293</v>
      </c>
      <c r="Q81" s="448">
        <v>0.8130833970925784</v>
      </c>
      <c r="R81" s="443">
        <v>4065778.0833429312</v>
      </c>
      <c r="S81" s="443">
        <v>2748465.9843398216</v>
      </c>
      <c r="T81" s="443">
        <v>281196.6294750753</v>
      </c>
      <c r="U81" s="443">
        <v>1417279.9956306154</v>
      </c>
      <c r="V81" s="443">
        <v>926997.4030021883</v>
      </c>
      <c r="W81" s="446">
        <v>1.5288931673816886</v>
      </c>
      <c r="X81" s="448">
        <v>28.546691316994426</v>
      </c>
      <c r="Y81" s="443">
        <v>281196.6294750753</v>
      </c>
      <c r="Z81" s="443">
        <v>390314.6960009214</v>
      </c>
      <c r="AA81" s="444">
        <v>0.720435669873961</v>
      </c>
      <c r="AB81" s="444">
        <v>0.05910482019892885</v>
      </c>
      <c r="AC81" s="445">
        <v>716</v>
      </c>
      <c r="AD81" s="445">
        <v>829</v>
      </c>
      <c r="AE81" s="443">
        <v>4446942.609445512</v>
      </c>
      <c r="AF81" s="443">
        <v>328469.95133357716</v>
      </c>
      <c r="AG81" s="447">
        <v>0.75</v>
      </c>
      <c r="AH81" s="446">
        <v>0.3269123374003593</v>
      </c>
      <c r="AI81" s="448">
        <v>0.2752961218357086</v>
      </c>
      <c r="AJ81" s="443">
        <v>4775412.560779089</v>
      </c>
      <c r="AK81" s="449">
        <v>1.2520966078131373</v>
      </c>
      <c r="AL81" s="443">
        <v>5979277.868259745</v>
      </c>
      <c r="AM81" s="443">
        <v>13326408.562811187</v>
      </c>
      <c r="AN81" s="443">
        <v>13163661.860570429</v>
      </c>
      <c r="AO81" s="443">
        <v>13276850.955411045</v>
      </c>
      <c r="AP81" s="443">
        <v>13276850.955411045</v>
      </c>
      <c r="AQ81" s="443">
        <v>52280</v>
      </c>
      <c r="AR81" s="443">
        <v>13329130.955411045</v>
      </c>
      <c r="AS81" s="450">
        <v>1019.8263929159177</v>
      </c>
      <c r="AT81" s="446">
        <v>13056</v>
      </c>
      <c r="AU81" s="446">
        <v>130</v>
      </c>
      <c r="AV81" s="446">
        <v>63</v>
      </c>
      <c r="AW81" s="446">
        <v>836</v>
      </c>
      <c r="AX81" s="446">
        <v>0</v>
      </c>
      <c r="AY81" s="446">
        <v>20</v>
      </c>
      <c r="AZ81" s="446">
        <v>142</v>
      </c>
      <c r="BA81" s="446">
        <v>135</v>
      </c>
      <c r="BB81" s="446">
        <v>0</v>
      </c>
      <c r="BC81" s="446">
        <v>590</v>
      </c>
      <c r="BD81" s="446">
        <v>393</v>
      </c>
      <c r="BE81" s="446">
        <v>7706</v>
      </c>
      <c r="BF81" s="446">
        <v>2921</v>
      </c>
      <c r="BG81" s="446">
        <v>9</v>
      </c>
      <c r="BH81" s="446">
        <v>59</v>
      </c>
      <c r="BI81" s="446">
        <v>52</v>
      </c>
      <c r="BJ81" s="448">
        <v>2.315357640729292</v>
      </c>
      <c r="BK81" s="448">
        <v>18.649472677162862</v>
      </c>
      <c r="BL81" s="448">
        <v>7.83207548185869</v>
      </c>
      <c r="BM81" s="448">
        <v>21.634794390608345</v>
      </c>
      <c r="BN81" s="445">
        <v>2429</v>
      </c>
      <c r="BO81" s="445">
        <v>10627</v>
      </c>
      <c r="BP81" s="443">
        <v>5422173.983789078</v>
      </c>
      <c r="BQ81" s="443">
        <v>16907039</v>
      </c>
      <c r="BR81" s="443">
        <v>16678625</v>
      </c>
      <c r="BS81" s="444">
        <v>0.05916819852941176</v>
      </c>
      <c r="BT81" s="445">
        <v>716</v>
      </c>
      <c r="BU81" s="445">
        <v>829</v>
      </c>
      <c r="BV81" s="443">
        <v>986844.1951976103</v>
      </c>
      <c r="BW81" s="444">
        <v>0.02946313795903448</v>
      </c>
      <c r="BX81" s="443">
        <v>92442.34393426299</v>
      </c>
      <c r="BY81" s="443">
        <v>23408499.52292095</v>
      </c>
      <c r="BZ81" s="451">
        <v>1.2133333333333332</v>
      </c>
      <c r="CA81" s="443">
        <v>28402312.754477415</v>
      </c>
      <c r="CB81" s="443">
        <v>20783045.83173734</v>
      </c>
      <c r="CC81" s="443">
        <v>20783045.83173734</v>
      </c>
      <c r="CD81" s="443">
        <v>20123865.599999998</v>
      </c>
      <c r="CE81" s="443">
        <v>20635343.90260759</v>
      </c>
      <c r="CF81" s="450">
        <v>1580.5257278345275</v>
      </c>
      <c r="CG81" s="446">
        <v>13056</v>
      </c>
      <c r="CH81" s="446">
        <v>130</v>
      </c>
      <c r="CI81" s="446">
        <v>63</v>
      </c>
      <c r="CJ81" s="446">
        <v>836</v>
      </c>
      <c r="CK81" s="446">
        <v>0</v>
      </c>
      <c r="CL81" s="446">
        <v>20</v>
      </c>
      <c r="CM81" s="446">
        <v>142</v>
      </c>
      <c r="CN81" s="446">
        <v>135</v>
      </c>
      <c r="CO81" s="446">
        <v>0</v>
      </c>
      <c r="CP81" s="446">
        <v>590</v>
      </c>
      <c r="CQ81" s="446">
        <v>393</v>
      </c>
      <c r="CR81" s="446">
        <v>7706</v>
      </c>
      <c r="CS81" s="446">
        <v>2921</v>
      </c>
      <c r="CT81" s="446">
        <v>9</v>
      </c>
      <c r="CU81" s="446">
        <v>59</v>
      </c>
      <c r="CV81" s="446">
        <v>52</v>
      </c>
      <c r="CW81" s="443">
        <v>10678192.16299751</v>
      </c>
      <c r="CX81" s="448">
        <v>1.1845331559060077</v>
      </c>
      <c r="CY81" s="448">
        <v>1.2133333333333332</v>
      </c>
      <c r="CZ81" s="443">
        <v>12648672.66220624</v>
      </c>
      <c r="DA81" s="450">
        <v>968.8015213086887</v>
      </c>
      <c r="DB81" s="445">
        <v>13070</v>
      </c>
      <c r="DC81" s="448">
        <v>0.9895179801071156</v>
      </c>
      <c r="DD81" s="450">
        <v>354.1</v>
      </c>
      <c r="DE81" s="443">
        <v>89185</v>
      </c>
      <c r="DF81" s="450">
        <v>71.71575336483932</v>
      </c>
      <c r="DG81" s="450">
        <v>74.7995307595274</v>
      </c>
      <c r="DH81" s="450">
        <v>76.44512043623699</v>
      </c>
      <c r="DI81" s="450">
        <v>78.12691308583419</v>
      </c>
      <c r="DJ81" s="450">
        <v>80.70510121766671</v>
      </c>
      <c r="DK81" s="450">
        <v>83.6104848615027</v>
      </c>
      <c r="DL81" s="450">
        <v>86.28602037707077</v>
      </c>
      <c r="DM81" s="450">
        <v>89.82374721253066</v>
      </c>
      <c r="DN81" s="450">
        <v>93.775992089882</v>
      </c>
      <c r="DO81" s="450">
        <v>98.9336716548255</v>
      </c>
      <c r="DP81" s="450">
        <v>98.04326860993207</v>
      </c>
      <c r="DQ81" s="450">
        <v>103.0434753090386</v>
      </c>
      <c r="DR81" s="450">
        <v>57.34</v>
      </c>
      <c r="DS81" s="450">
        <v>60.38584404362369</v>
      </c>
      <c r="DT81" s="450">
        <v>63.53795266516682</v>
      </c>
      <c r="DU81" s="450">
        <v>67.518504617436</v>
      </c>
      <c r="DV81" s="450">
        <v>71.90078708049782</v>
      </c>
      <c r="DW81" s="450">
        <v>76.21568028540658</v>
      </c>
      <c r="DX81" s="450">
        <v>81.43716798419273</v>
      </c>
      <c r="DY81" s="450">
        <v>85.99324656598439</v>
      </c>
      <c r="DZ81" s="450">
        <v>88.60447091874882</v>
      </c>
      <c r="EA81" s="450">
        <v>91.14131013632763</v>
      </c>
      <c r="EB81" s="450">
        <v>97.24030862443199</v>
      </c>
      <c r="EC81" s="450">
        <v>-4.88</v>
      </c>
      <c r="ED81" s="450">
        <v>92.360308624432</v>
      </c>
      <c r="EE81" s="450">
        <v>4802.736048470464</v>
      </c>
      <c r="EF81" s="443">
        <v>61516324.95043879</v>
      </c>
      <c r="EG81" s="450">
        <v>60.12</v>
      </c>
      <c r="EH81" s="450">
        <v>62.94288804362368</v>
      </c>
      <c r="EI81" s="450">
        <v>65.86088508116681</v>
      </c>
      <c r="EJ81" s="450">
        <v>69.618145154948</v>
      </c>
      <c r="EK81" s="450">
        <v>73.76526787780848</v>
      </c>
      <c r="EL81" s="450">
        <v>77.81913377109375</v>
      </c>
      <c r="EM81" s="450">
        <v>82.77252404707299</v>
      </c>
      <c r="EN81" s="450">
        <v>87.23245699233728</v>
      </c>
      <c r="EO81" s="450">
        <v>89.78626459534736</v>
      </c>
      <c r="EP81" s="450">
        <v>91.93098313123447</v>
      </c>
      <c r="EQ81" s="450">
        <v>97.90426567854966</v>
      </c>
      <c r="ER81" s="443">
        <v>447093640</v>
      </c>
      <c r="ES81" s="443">
        <v>6072000</v>
      </c>
      <c r="ET81" s="443">
        <v>0</v>
      </c>
      <c r="EU81" s="443">
        <v>0</v>
      </c>
      <c r="EV81" s="443">
        <v>4683000</v>
      </c>
      <c r="EW81" s="443">
        <v>0</v>
      </c>
      <c r="EX81" s="443">
        <v>0</v>
      </c>
      <c r="EY81" s="443">
        <v>0</v>
      </c>
      <c r="EZ81" s="443">
        <v>0</v>
      </c>
      <c r="FA81" s="443">
        <v>452471140</v>
      </c>
      <c r="FB81" s="443">
        <v>253333.95080232384</v>
      </c>
      <c r="FC81" s="443">
        <v>0</v>
      </c>
      <c r="FD81" s="443">
        <v>0</v>
      </c>
      <c r="FE81" s="443">
        <v>428816</v>
      </c>
      <c r="FF81" s="452">
        <v>0.056900000000000006</v>
      </c>
      <c r="FG81" s="443">
        <v>24399.630400000002</v>
      </c>
      <c r="FH81" s="453">
        <v>24399.630400000002</v>
      </c>
    </row>
    <row r="82" spans="2:164" ht="12.75">
      <c r="B82" s="356" t="s">
        <v>770</v>
      </c>
      <c r="C82" s="442">
        <v>16312.25</v>
      </c>
      <c r="D82" s="443">
        <v>3831554.25</v>
      </c>
      <c r="E82" s="443">
        <v>3287473.5465</v>
      </c>
      <c r="F82" s="443">
        <v>704087.8014444757</v>
      </c>
      <c r="G82" s="443">
        <v>544080.7035000001</v>
      </c>
      <c r="H82" s="444">
        <v>0.6349019908351086</v>
      </c>
      <c r="I82" s="445">
        <v>9644.93</v>
      </c>
      <c r="J82" s="445">
        <v>711.75</v>
      </c>
      <c r="K82" s="443">
        <v>3991561.3479444757</v>
      </c>
      <c r="L82" s="443">
        <v>3193249.0783555806</v>
      </c>
      <c r="M82" s="443">
        <v>1378271.4699675478</v>
      </c>
      <c r="N82" s="443">
        <v>798312.2695888949</v>
      </c>
      <c r="O82" s="446">
        <v>1.7264816319024048</v>
      </c>
      <c r="P82" s="447">
        <v>0.44114086039632794</v>
      </c>
      <c r="Q82" s="448">
        <v>0.5588438136982943</v>
      </c>
      <c r="R82" s="443">
        <v>4571520.548323128</v>
      </c>
      <c r="S82" s="443">
        <v>3090347.890666435</v>
      </c>
      <c r="T82" s="443">
        <v>257758.4391656102</v>
      </c>
      <c r="U82" s="443">
        <v>1304223.9867762006</v>
      </c>
      <c r="V82" s="443">
        <v>1042306.6850176733</v>
      </c>
      <c r="W82" s="446">
        <v>1.2512862150107829</v>
      </c>
      <c r="X82" s="448">
        <v>23.36335990715145</v>
      </c>
      <c r="Y82" s="443">
        <v>257758.4391656102</v>
      </c>
      <c r="Z82" s="443">
        <v>438865.97263902036</v>
      </c>
      <c r="AA82" s="444">
        <v>0.5873283763961892</v>
      </c>
      <c r="AB82" s="444">
        <v>0.04818464650799246</v>
      </c>
      <c r="AC82" s="445">
        <v>782</v>
      </c>
      <c r="AD82" s="445">
        <v>790</v>
      </c>
      <c r="AE82" s="443">
        <v>4652330.3166082455</v>
      </c>
      <c r="AF82" s="443">
        <v>921274.726848768</v>
      </c>
      <c r="AG82" s="447">
        <v>1</v>
      </c>
      <c r="AH82" s="446">
        <v>0.6271565642195146</v>
      </c>
      <c r="AI82" s="448">
        <v>0.5281347632408142</v>
      </c>
      <c r="AJ82" s="443">
        <v>5573605.043457014</v>
      </c>
      <c r="AK82" s="449">
        <v>1.0879518101672272</v>
      </c>
      <c r="AL82" s="443">
        <v>6063813.6961862445</v>
      </c>
      <c r="AM82" s="443">
        <v>13514819.104345681</v>
      </c>
      <c r="AN82" s="443">
        <v>13349771.467523966</v>
      </c>
      <c r="AO82" s="443">
        <v>13102650.77489763</v>
      </c>
      <c r="AP82" s="443">
        <v>13349771.467523966</v>
      </c>
      <c r="AQ82" s="443">
        <v>65249</v>
      </c>
      <c r="AR82" s="443">
        <v>13415020.467523966</v>
      </c>
      <c r="AS82" s="450">
        <v>822.3893373093207</v>
      </c>
      <c r="AT82" s="446">
        <v>16311</v>
      </c>
      <c r="AU82" s="446">
        <v>1341</v>
      </c>
      <c r="AV82" s="446">
        <v>207</v>
      </c>
      <c r="AW82" s="446">
        <v>2094</v>
      </c>
      <c r="AX82" s="446">
        <v>41</v>
      </c>
      <c r="AY82" s="446">
        <v>105</v>
      </c>
      <c r="AZ82" s="446">
        <v>468</v>
      </c>
      <c r="BA82" s="446">
        <v>724</v>
      </c>
      <c r="BB82" s="446">
        <v>120</v>
      </c>
      <c r="BC82" s="446">
        <v>863</v>
      </c>
      <c r="BD82" s="446">
        <v>858</v>
      </c>
      <c r="BE82" s="446">
        <v>6450</v>
      </c>
      <c r="BF82" s="446">
        <v>2666</v>
      </c>
      <c r="BG82" s="446">
        <v>219</v>
      </c>
      <c r="BH82" s="446">
        <v>84</v>
      </c>
      <c r="BI82" s="446">
        <v>71</v>
      </c>
      <c r="BJ82" s="448">
        <v>2.3991864985728606</v>
      </c>
      <c r="BK82" s="448">
        <v>25.032397851245626</v>
      </c>
      <c r="BL82" s="448">
        <v>10.404833479097404</v>
      </c>
      <c r="BM82" s="448">
        <v>29.255128744296442</v>
      </c>
      <c r="BN82" s="445">
        <v>7195</v>
      </c>
      <c r="BO82" s="445">
        <v>9116</v>
      </c>
      <c r="BP82" s="443">
        <v>7337429.669398881</v>
      </c>
      <c r="BQ82" s="443">
        <v>19836769</v>
      </c>
      <c r="BR82" s="443">
        <v>21997414</v>
      </c>
      <c r="BS82" s="444">
        <v>0.04818833915762369</v>
      </c>
      <c r="BT82" s="445">
        <v>782</v>
      </c>
      <c r="BU82" s="445">
        <v>790</v>
      </c>
      <c r="BV82" s="443">
        <v>1060018.8464226595</v>
      </c>
      <c r="BW82" s="444">
        <v>0.01387133785700875</v>
      </c>
      <c r="BX82" s="443">
        <v>72982.14806514014</v>
      </c>
      <c r="BY82" s="443">
        <v>28307199.66388668</v>
      </c>
      <c r="BZ82" s="451">
        <v>1.1533333333333333</v>
      </c>
      <c r="CA82" s="443">
        <v>32647636.945682637</v>
      </c>
      <c r="CB82" s="443">
        <v>23889510.012985833</v>
      </c>
      <c r="CC82" s="443">
        <v>23889510.012985833</v>
      </c>
      <c r="CD82" s="443">
        <v>22508038.23</v>
      </c>
      <c r="CE82" s="443">
        <v>23719730.9178787</v>
      </c>
      <c r="CF82" s="450">
        <v>1454.2168424914903</v>
      </c>
      <c r="CG82" s="446">
        <v>16311</v>
      </c>
      <c r="CH82" s="446">
        <v>1341</v>
      </c>
      <c r="CI82" s="446">
        <v>207</v>
      </c>
      <c r="CJ82" s="446">
        <v>2094</v>
      </c>
      <c r="CK82" s="446">
        <v>41</v>
      </c>
      <c r="CL82" s="446">
        <v>105</v>
      </c>
      <c r="CM82" s="446">
        <v>468</v>
      </c>
      <c r="CN82" s="446">
        <v>724</v>
      </c>
      <c r="CO82" s="446">
        <v>120</v>
      </c>
      <c r="CP82" s="446">
        <v>863</v>
      </c>
      <c r="CQ82" s="446">
        <v>858</v>
      </c>
      <c r="CR82" s="446">
        <v>6450</v>
      </c>
      <c r="CS82" s="446">
        <v>2666</v>
      </c>
      <c r="CT82" s="446">
        <v>219</v>
      </c>
      <c r="CU82" s="446">
        <v>84</v>
      </c>
      <c r="CV82" s="446">
        <v>71</v>
      </c>
      <c r="CW82" s="443">
        <v>12027647.130028855</v>
      </c>
      <c r="CX82" s="448">
        <v>1.1259573405040626</v>
      </c>
      <c r="CY82" s="448">
        <v>1.1533333333333333</v>
      </c>
      <c r="CZ82" s="443">
        <v>13542617.57504861</v>
      </c>
      <c r="DA82" s="450">
        <v>830.2751256850353</v>
      </c>
      <c r="DB82" s="445">
        <v>16312.25</v>
      </c>
      <c r="DC82" s="448">
        <v>0.9983371392665021</v>
      </c>
      <c r="DD82" s="450">
        <v>354.1</v>
      </c>
      <c r="DE82" s="443">
        <v>69232</v>
      </c>
      <c r="DF82" s="450">
        <v>65.52126605048326</v>
      </c>
      <c r="DG82" s="450">
        <v>68.33868049065404</v>
      </c>
      <c r="DH82" s="450">
        <v>69.84213146144842</v>
      </c>
      <c r="DI82" s="450">
        <v>71.37865835360027</v>
      </c>
      <c r="DJ82" s="450">
        <v>73.73415407926908</v>
      </c>
      <c r="DK82" s="450">
        <v>76.38858362612275</v>
      </c>
      <c r="DL82" s="450">
        <v>78.83301830215866</v>
      </c>
      <c r="DM82" s="450">
        <v>82.06517205254717</v>
      </c>
      <c r="DN82" s="450">
        <v>85.67603962285924</v>
      </c>
      <c r="DO82" s="450">
        <v>90.38822180211649</v>
      </c>
      <c r="DP82" s="450">
        <v>89.57472780589744</v>
      </c>
      <c r="DQ82" s="450">
        <v>94.1430389239982</v>
      </c>
      <c r="DR82" s="450">
        <v>54.35</v>
      </c>
      <c r="DS82" s="450">
        <v>56.97534314614483</v>
      </c>
      <c r="DT82" s="450">
        <v>59.68989599072004</v>
      </c>
      <c r="DU82" s="450">
        <v>63.168973998520705</v>
      </c>
      <c r="DV82" s="450">
        <v>67.00670371441821</v>
      </c>
      <c r="DW82" s="450">
        <v>70.76460157809277</v>
      </c>
      <c r="DX82" s="450">
        <v>75.34579460474508</v>
      </c>
      <c r="DY82" s="450">
        <v>79.44045735129889</v>
      </c>
      <c r="DZ82" s="450">
        <v>81.78559761416314</v>
      </c>
      <c r="EA82" s="450">
        <v>83.82646553213787</v>
      </c>
      <c r="EB82" s="450">
        <v>89.30990000422116</v>
      </c>
      <c r="EC82" s="450">
        <v>-1.38</v>
      </c>
      <c r="ED82" s="450">
        <v>87.92990000422117</v>
      </c>
      <c r="EE82" s="450">
        <v>4572.3548002195</v>
      </c>
      <c r="EF82" s="443">
        <v>73093686.69808292</v>
      </c>
      <c r="EG82" s="450">
        <v>62.1</v>
      </c>
      <c r="EH82" s="450">
        <v>64.10379314614482</v>
      </c>
      <c r="EI82" s="450">
        <v>66.16569679072002</v>
      </c>
      <c r="EJ82" s="450">
        <v>69.02228844662069</v>
      </c>
      <c r="EK82" s="450">
        <v>72.20444694433098</v>
      </c>
      <c r="EL82" s="450">
        <v>75.23466075581774</v>
      </c>
      <c r="EM82" s="450">
        <v>79.06845988795445</v>
      </c>
      <c r="EN82" s="450">
        <v>82.89509073411719</v>
      </c>
      <c r="EO82" s="450">
        <v>85.08016631691086</v>
      </c>
      <c r="EP82" s="450">
        <v>86.02789204671625</v>
      </c>
      <c r="EQ82" s="450">
        <v>91.16085941767865</v>
      </c>
      <c r="ER82" s="443">
        <v>524059786</v>
      </c>
      <c r="ES82" s="443">
        <v>6233000</v>
      </c>
      <c r="ET82" s="443">
        <v>0</v>
      </c>
      <c r="EU82" s="443">
        <v>0</v>
      </c>
      <c r="EV82" s="443">
        <v>33500000</v>
      </c>
      <c r="EW82" s="443">
        <v>0</v>
      </c>
      <c r="EX82" s="443">
        <v>38408</v>
      </c>
      <c r="EY82" s="443">
        <v>0</v>
      </c>
      <c r="EZ82" s="443">
        <v>0</v>
      </c>
      <c r="FA82" s="443">
        <v>543887878</v>
      </c>
      <c r="FB82" s="443">
        <v>296592.0389226354</v>
      </c>
      <c r="FC82" s="443">
        <v>0</v>
      </c>
      <c r="FD82" s="443">
        <v>0</v>
      </c>
      <c r="FE82" s="443">
        <v>232329</v>
      </c>
      <c r="FF82" s="452">
        <v>0.0703</v>
      </c>
      <c r="FG82" s="443">
        <v>16332.7287</v>
      </c>
      <c r="FH82" s="453">
        <v>16332.7287</v>
      </c>
    </row>
    <row r="83" spans="2:164" ht="12.75">
      <c r="B83" s="356" t="s">
        <v>771</v>
      </c>
      <c r="C83" s="442">
        <v>9915</v>
      </c>
      <c r="D83" s="443">
        <v>2340995</v>
      </c>
      <c r="E83" s="443">
        <v>2008573.71</v>
      </c>
      <c r="F83" s="443">
        <v>283153.09373369894</v>
      </c>
      <c r="G83" s="443">
        <v>332421.29</v>
      </c>
      <c r="H83" s="444">
        <v>0.4179031770045386</v>
      </c>
      <c r="I83" s="445">
        <v>3342.84</v>
      </c>
      <c r="J83" s="445">
        <v>800.67</v>
      </c>
      <c r="K83" s="443">
        <v>2291726.803733699</v>
      </c>
      <c r="L83" s="443">
        <v>1833381.4429869594</v>
      </c>
      <c r="M83" s="443">
        <v>601493.3430047684</v>
      </c>
      <c r="N83" s="443">
        <v>458345.3607467397</v>
      </c>
      <c r="O83" s="446">
        <v>1.3123146747352497</v>
      </c>
      <c r="P83" s="447">
        <v>0.7597579425113464</v>
      </c>
      <c r="Q83" s="448">
        <v>0.24024205748865354</v>
      </c>
      <c r="R83" s="443">
        <v>2434874.785991728</v>
      </c>
      <c r="S83" s="443">
        <v>1645975.355330408</v>
      </c>
      <c r="T83" s="443">
        <v>176583.18298779195</v>
      </c>
      <c r="U83" s="443">
        <v>691606.4493021417</v>
      </c>
      <c r="V83" s="443">
        <v>555151.4512061139</v>
      </c>
      <c r="W83" s="446">
        <v>1.2457977868914287</v>
      </c>
      <c r="X83" s="448">
        <v>23.260882855987024</v>
      </c>
      <c r="Y83" s="443">
        <v>176583.18298779195</v>
      </c>
      <c r="Z83" s="443">
        <v>233747.97945520587</v>
      </c>
      <c r="AA83" s="444">
        <v>0.7554426070306689</v>
      </c>
      <c r="AB83" s="444">
        <v>0.061976802824004036</v>
      </c>
      <c r="AC83" s="445">
        <v>591</v>
      </c>
      <c r="AD83" s="445">
        <v>638</v>
      </c>
      <c r="AE83" s="443">
        <v>2514164.9876203416</v>
      </c>
      <c r="AF83" s="443">
        <v>34842.240983944816</v>
      </c>
      <c r="AG83" s="447">
        <v>0.25</v>
      </c>
      <c r="AH83" s="446">
        <v>0.07263236060208406</v>
      </c>
      <c r="AI83" s="448">
        <v>0.061164431273937225</v>
      </c>
      <c r="AJ83" s="443">
        <v>2549007.2286042864</v>
      </c>
      <c r="AK83" s="449">
        <v>1.0752460753535806</v>
      </c>
      <c r="AL83" s="443">
        <v>2740810.0186046665</v>
      </c>
      <c r="AM83" s="443">
        <v>6108622.965134497</v>
      </c>
      <c r="AN83" s="443">
        <v>6034022.352514671</v>
      </c>
      <c r="AO83" s="443">
        <v>6021165.664419525</v>
      </c>
      <c r="AP83" s="443">
        <v>6034022.352514671</v>
      </c>
      <c r="AQ83" s="443">
        <v>39660</v>
      </c>
      <c r="AR83" s="443">
        <v>6073682.352514671</v>
      </c>
      <c r="AS83" s="450">
        <v>612.5751238037994</v>
      </c>
      <c r="AT83" s="446">
        <v>9908</v>
      </c>
      <c r="AU83" s="446">
        <v>12</v>
      </c>
      <c r="AV83" s="446">
        <v>154</v>
      </c>
      <c r="AW83" s="446">
        <v>9</v>
      </c>
      <c r="AX83" s="446">
        <v>871</v>
      </c>
      <c r="AY83" s="446">
        <v>2834</v>
      </c>
      <c r="AZ83" s="446">
        <v>526</v>
      </c>
      <c r="BA83" s="446">
        <v>356</v>
      </c>
      <c r="BB83" s="446">
        <v>716</v>
      </c>
      <c r="BC83" s="446">
        <v>15</v>
      </c>
      <c r="BD83" s="446">
        <v>1359</v>
      </c>
      <c r="BE83" s="446">
        <v>1985</v>
      </c>
      <c r="BF83" s="446">
        <v>397</v>
      </c>
      <c r="BG83" s="446">
        <v>662</v>
      </c>
      <c r="BH83" s="446">
        <v>10</v>
      </c>
      <c r="BI83" s="446">
        <v>2</v>
      </c>
      <c r="BJ83" s="448">
        <v>1.6637129958174481</v>
      </c>
      <c r="BK83" s="448">
        <v>17.641936549900862</v>
      </c>
      <c r="BL83" s="448">
        <v>10.866820885657637</v>
      </c>
      <c r="BM83" s="448">
        <v>13.550231328486452</v>
      </c>
      <c r="BN83" s="445">
        <v>7526</v>
      </c>
      <c r="BO83" s="445">
        <v>2382</v>
      </c>
      <c r="BP83" s="443">
        <v>3314194.48217916</v>
      </c>
      <c r="BQ83" s="443">
        <v>10688266</v>
      </c>
      <c r="BR83" s="443">
        <v>14019664</v>
      </c>
      <c r="BS83" s="444">
        <v>0.06202058942268874</v>
      </c>
      <c r="BT83" s="445">
        <v>591</v>
      </c>
      <c r="BU83" s="445">
        <v>638</v>
      </c>
      <c r="BV83" s="443">
        <v>869507.8247880501</v>
      </c>
      <c r="BW83" s="444">
        <v>0.008796375863343007</v>
      </c>
      <c r="BX83" s="443">
        <v>19813.04762663993</v>
      </c>
      <c r="BY83" s="443">
        <v>14891781.35459385</v>
      </c>
      <c r="BZ83" s="451">
        <v>1.04</v>
      </c>
      <c r="CA83" s="443">
        <v>15487452.608777605</v>
      </c>
      <c r="CB83" s="443">
        <v>11332754.489661885</v>
      </c>
      <c r="CC83" s="443">
        <v>11332754.489661885</v>
      </c>
      <c r="CD83" s="443">
        <v>11078244.883383775</v>
      </c>
      <c r="CE83" s="443">
        <v>11252214.336210424</v>
      </c>
      <c r="CF83" s="450">
        <v>1135.6695938847824</v>
      </c>
      <c r="CG83" s="446">
        <v>9908</v>
      </c>
      <c r="CH83" s="446">
        <v>12</v>
      </c>
      <c r="CI83" s="446">
        <v>154</v>
      </c>
      <c r="CJ83" s="446">
        <v>9</v>
      </c>
      <c r="CK83" s="446">
        <v>871</v>
      </c>
      <c r="CL83" s="446">
        <v>2834</v>
      </c>
      <c r="CM83" s="446">
        <v>526</v>
      </c>
      <c r="CN83" s="446">
        <v>356</v>
      </c>
      <c r="CO83" s="446">
        <v>716</v>
      </c>
      <c r="CP83" s="446">
        <v>15</v>
      </c>
      <c r="CQ83" s="446">
        <v>1359</v>
      </c>
      <c r="CR83" s="446">
        <v>1985</v>
      </c>
      <c r="CS83" s="446">
        <v>397</v>
      </c>
      <c r="CT83" s="446">
        <v>662</v>
      </c>
      <c r="CU83" s="446">
        <v>10</v>
      </c>
      <c r="CV83" s="446">
        <v>2</v>
      </c>
      <c r="CW83" s="443">
        <v>7515855.098669921</v>
      </c>
      <c r="CX83" s="448">
        <v>1.015314133633721</v>
      </c>
      <c r="CY83" s="448">
        <v>1.04</v>
      </c>
      <c r="CZ83" s="443">
        <v>7630953.908022636</v>
      </c>
      <c r="DA83" s="450">
        <v>770.1810565222685</v>
      </c>
      <c r="DB83" s="445">
        <v>9915</v>
      </c>
      <c r="DC83" s="448">
        <v>1.0102773575390822</v>
      </c>
      <c r="DD83" s="450">
        <v>325.9</v>
      </c>
      <c r="DE83" s="443">
        <v>52001</v>
      </c>
      <c r="DF83" s="450">
        <v>56.914134227561334</v>
      </c>
      <c r="DG83" s="450">
        <v>59.36144199934647</v>
      </c>
      <c r="DH83" s="450">
        <v>60.667393723332076</v>
      </c>
      <c r="DI83" s="450">
        <v>62.00207638524537</v>
      </c>
      <c r="DJ83" s="450">
        <v>64.04814490595845</v>
      </c>
      <c r="DK83" s="450">
        <v>66.35387812257295</v>
      </c>
      <c r="DL83" s="450">
        <v>68.47720222249528</v>
      </c>
      <c r="DM83" s="450">
        <v>71.28476751361758</v>
      </c>
      <c r="DN83" s="450">
        <v>74.42129728421673</v>
      </c>
      <c r="DO83" s="450">
        <v>78.51446863484865</v>
      </c>
      <c r="DP83" s="450">
        <v>77.80783841713502</v>
      </c>
      <c r="DQ83" s="450">
        <v>81.7760381764089</v>
      </c>
      <c r="DR83" s="450">
        <v>45.8</v>
      </c>
      <c r="DS83" s="450">
        <v>48.1935793723332</v>
      </c>
      <c r="DT83" s="450">
        <v>50.67030903704906</v>
      </c>
      <c r="DU83" s="450">
        <v>53.80564369410752</v>
      </c>
      <c r="DV83" s="450">
        <v>57.25853704644932</v>
      </c>
      <c r="DW83" s="450">
        <v>60.65520889702895</v>
      </c>
      <c r="DX83" s="450">
        <v>64.77061147216922</v>
      </c>
      <c r="DY83" s="450">
        <v>68.37616047775266</v>
      </c>
      <c r="DZ83" s="450">
        <v>72.5620239260837</v>
      </c>
      <c r="EA83" s="450">
        <v>73.83042261836655</v>
      </c>
      <c r="EB83" s="450">
        <v>78.43182697280437</v>
      </c>
      <c r="EC83" s="450">
        <v>-0.28</v>
      </c>
      <c r="ED83" s="450">
        <v>78.15182697280437</v>
      </c>
      <c r="EE83" s="450">
        <v>4063.8950025858276</v>
      </c>
      <c r="EF83" s="443">
        <v>39487648.57162571</v>
      </c>
      <c r="EG83" s="450">
        <v>47.79</v>
      </c>
      <c r="EH83" s="450">
        <v>50.023981372333196</v>
      </c>
      <c r="EI83" s="450">
        <v>52.333127565049054</v>
      </c>
      <c r="EJ83" s="450">
        <v>55.308623791103514</v>
      </c>
      <c r="EK83" s="450">
        <v>58.59318337258176</v>
      </c>
      <c r="EL83" s="450">
        <v>61.80300473750285</v>
      </c>
      <c r="EM83" s="450">
        <v>65.72649584811589</v>
      </c>
      <c r="EN83" s="450">
        <v>69.26322117863117</v>
      </c>
      <c r="EO83" s="450">
        <v>73.48627605841307</v>
      </c>
      <c r="EP83" s="450">
        <v>74.44800668895174</v>
      </c>
      <c r="EQ83" s="450">
        <v>78.9510916593524</v>
      </c>
      <c r="ER83" s="443">
        <v>-26508564</v>
      </c>
      <c r="ES83" s="443">
        <v>0</v>
      </c>
      <c r="ET83" s="443">
        <v>0</v>
      </c>
      <c r="EU83" s="443">
        <v>0</v>
      </c>
      <c r="EV83" s="443">
        <v>0</v>
      </c>
      <c r="EW83" s="443">
        <v>0</v>
      </c>
      <c r="EX83" s="443">
        <v>0</v>
      </c>
      <c r="EY83" s="443">
        <v>0</v>
      </c>
      <c r="EZ83" s="443">
        <v>0</v>
      </c>
      <c r="FA83" s="443">
        <v>-26508564</v>
      </c>
      <c r="FB83" s="443">
        <v>0</v>
      </c>
      <c r="FC83" s="443">
        <v>26508564</v>
      </c>
      <c r="FD83" s="443">
        <v>192187.089</v>
      </c>
      <c r="FE83" s="443">
        <v>10680</v>
      </c>
      <c r="FF83" s="452">
        <v>0.046</v>
      </c>
      <c r="FG83" s="443">
        <v>491.28</v>
      </c>
      <c r="FH83" s="453">
        <v>192678.369</v>
      </c>
    </row>
    <row r="84" spans="2:164" ht="12.75">
      <c r="B84" s="356" t="s">
        <v>772</v>
      </c>
      <c r="C84" s="442">
        <v>3933</v>
      </c>
      <c r="D84" s="443">
        <v>947189</v>
      </c>
      <c r="E84" s="443">
        <v>812688.162</v>
      </c>
      <c r="F84" s="443">
        <v>133907.70379087064</v>
      </c>
      <c r="G84" s="443">
        <v>134500.83800000002</v>
      </c>
      <c r="H84" s="444">
        <v>0.48845410628019326</v>
      </c>
      <c r="I84" s="445">
        <v>1650.95</v>
      </c>
      <c r="J84" s="445">
        <v>270.14</v>
      </c>
      <c r="K84" s="443">
        <v>946595.8657908706</v>
      </c>
      <c r="L84" s="443">
        <v>757276.6926326966</v>
      </c>
      <c r="M84" s="443">
        <v>201897.12890346543</v>
      </c>
      <c r="N84" s="443">
        <v>189319.1731581741</v>
      </c>
      <c r="O84" s="446">
        <v>1.0664378337147216</v>
      </c>
      <c r="P84" s="447">
        <v>0.9488939740655988</v>
      </c>
      <c r="Q84" s="448">
        <v>0.05110602593440122</v>
      </c>
      <c r="R84" s="443">
        <v>959173.821536162</v>
      </c>
      <c r="S84" s="443">
        <v>648401.5033584456</v>
      </c>
      <c r="T84" s="443">
        <v>117574.76695021405</v>
      </c>
      <c r="U84" s="443">
        <v>93126.04139081623</v>
      </c>
      <c r="V84" s="443">
        <v>218691.63131024496</v>
      </c>
      <c r="W84" s="446">
        <v>0.42583267056389457</v>
      </c>
      <c r="X84" s="448">
        <v>7.950924275563918</v>
      </c>
      <c r="Y84" s="443">
        <v>117574.76695021405</v>
      </c>
      <c r="Z84" s="443">
        <v>92080.68686747157</v>
      </c>
      <c r="AA84" s="444">
        <v>1.2768667453516631</v>
      </c>
      <c r="AB84" s="444">
        <v>0.10475464022374778</v>
      </c>
      <c r="AC84" s="445">
        <v>399</v>
      </c>
      <c r="AD84" s="445">
        <v>425</v>
      </c>
      <c r="AE84" s="443">
        <v>859102.3116994759</v>
      </c>
      <c r="AF84" s="443">
        <v>0</v>
      </c>
      <c r="AG84" s="447">
        <v>0</v>
      </c>
      <c r="AH84" s="446">
        <v>0.013775874780404665</v>
      </c>
      <c r="AI84" s="448">
        <v>0.011600800789892673</v>
      </c>
      <c r="AJ84" s="443">
        <v>859102.3116994759</v>
      </c>
      <c r="AK84" s="449">
        <v>1</v>
      </c>
      <c r="AL84" s="443">
        <v>859102.3116994759</v>
      </c>
      <c r="AM84" s="443">
        <v>1914737.6414361075</v>
      </c>
      <c r="AN84" s="443">
        <v>1891354.2043058984</v>
      </c>
      <c r="AO84" s="443">
        <v>1892036.6712496579</v>
      </c>
      <c r="AP84" s="443">
        <v>1892036.6712496579</v>
      </c>
      <c r="AQ84" s="443">
        <v>15732</v>
      </c>
      <c r="AR84" s="443">
        <v>1907768.6712496579</v>
      </c>
      <c r="AS84" s="450">
        <v>485.0670407448914</v>
      </c>
      <c r="AT84" s="446">
        <v>3933</v>
      </c>
      <c r="AU84" s="446">
        <v>127</v>
      </c>
      <c r="AV84" s="446">
        <v>237</v>
      </c>
      <c r="AW84" s="446">
        <v>187</v>
      </c>
      <c r="AX84" s="446">
        <v>46</v>
      </c>
      <c r="AY84" s="446">
        <v>547</v>
      </c>
      <c r="AZ84" s="446">
        <v>45</v>
      </c>
      <c r="BA84" s="446">
        <v>48</v>
      </c>
      <c r="BB84" s="446">
        <v>167</v>
      </c>
      <c r="BC84" s="446">
        <v>37</v>
      </c>
      <c r="BD84" s="446">
        <v>1617</v>
      </c>
      <c r="BE84" s="446">
        <v>201</v>
      </c>
      <c r="BF84" s="446">
        <v>0</v>
      </c>
      <c r="BG84" s="446">
        <v>669</v>
      </c>
      <c r="BH84" s="446">
        <v>5</v>
      </c>
      <c r="BI84" s="446">
        <v>0</v>
      </c>
      <c r="BJ84" s="448">
        <v>1.1700001688711572</v>
      </c>
      <c r="BK84" s="448">
        <v>6.3529645079059485</v>
      </c>
      <c r="BL84" s="448">
        <v>3.8498850205893365</v>
      </c>
      <c r="BM84" s="448">
        <v>5.006158974633224</v>
      </c>
      <c r="BN84" s="445">
        <v>3732</v>
      </c>
      <c r="BO84" s="445">
        <v>201</v>
      </c>
      <c r="BP84" s="443">
        <v>871846.6858373825</v>
      </c>
      <c r="BQ84" s="443">
        <v>4001885</v>
      </c>
      <c r="BR84" s="443">
        <v>5095078</v>
      </c>
      <c r="BS84" s="444">
        <v>0.10475464022374778</v>
      </c>
      <c r="BT84" s="445">
        <v>399</v>
      </c>
      <c r="BU84" s="445">
        <v>425</v>
      </c>
      <c r="BV84" s="443">
        <v>533733.0628019325</v>
      </c>
      <c r="BW84" s="444">
        <v>0.007168521972771605</v>
      </c>
      <c r="BX84" s="443">
        <v>2308.050186018947</v>
      </c>
      <c r="BY84" s="443">
        <v>5409772.798825334</v>
      </c>
      <c r="BZ84" s="451">
        <v>0.9766666666666666</v>
      </c>
      <c r="CA84" s="443">
        <v>5283544.766852742</v>
      </c>
      <c r="CB84" s="443">
        <v>3866169.4205246037</v>
      </c>
      <c r="CC84" s="443">
        <v>3866169.4205246037</v>
      </c>
      <c r="CD84" s="443">
        <v>3986861.173185573</v>
      </c>
      <c r="CE84" s="443">
        <v>3986861.173185573</v>
      </c>
      <c r="CF84" s="450">
        <v>1013.6946791725331</v>
      </c>
      <c r="CG84" s="446">
        <v>3933</v>
      </c>
      <c r="CH84" s="446">
        <v>127</v>
      </c>
      <c r="CI84" s="446">
        <v>237</v>
      </c>
      <c r="CJ84" s="446">
        <v>187</v>
      </c>
      <c r="CK84" s="446">
        <v>46</v>
      </c>
      <c r="CL84" s="446">
        <v>547</v>
      </c>
      <c r="CM84" s="446">
        <v>45</v>
      </c>
      <c r="CN84" s="446">
        <v>48</v>
      </c>
      <c r="CO84" s="446">
        <v>167</v>
      </c>
      <c r="CP84" s="446">
        <v>37</v>
      </c>
      <c r="CQ84" s="446">
        <v>1617</v>
      </c>
      <c r="CR84" s="446">
        <v>201</v>
      </c>
      <c r="CS84" s="446">
        <v>0</v>
      </c>
      <c r="CT84" s="446">
        <v>669</v>
      </c>
      <c r="CU84" s="446">
        <v>5</v>
      </c>
      <c r="CV84" s="446">
        <v>0</v>
      </c>
      <c r="CW84" s="443">
        <v>2806595.4176572897</v>
      </c>
      <c r="CX84" s="448">
        <v>0.9534841062650008</v>
      </c>
      <c r="CY84" s="448">
        <v>0.9766666666666666</v>
      </c>
      <c r="CZ84" s="443">
        <v>2676044.1234524073</v>
      </c>
      <c r="DA84" s="450">
        <v>680.4078625609985</v>
      </c>
      <c r="DB84" s="445">
        <v>3933</v>
      </c>
      <c r="DC84" s="448">
        <v>0.9903127383676583</v>
      </c>
      <c r="DD84" s="450">
        <v>299.6</v>
      </c>
      <c r="DE84" s="443">
        <v>42209</v>
      </c>
      <c r="DF84" s="450">
        <v>49.75540438976669</v>
      </c>
      <c r="DG84" s="450">
        <v>51.894886778526654</v>
      </c>
      <c r="DH84" s="450">
        <v>53.03657428765423</v>
      </c>
      <c r="DI84" s="450">
        <v>54.20337892198261</v>
      </c>
      <c r="DJ84" s="450">
        <v>55.99209042640803</v>
      </c>
      <c r="DK84" s="450">
        <v>58.00780568175871</v>
      </c>
      <c r="DL84" s="450">
        <v>59.86405546357498</v>
      </c>
      <c r="DM84" s="450">
        <v>62.31848173758155</v>
      </c>
      <c r="DN84" s="450">
        <v>65.06049493403512</v>
      </c>
      <c r="DO84" s="450">
        <v>68.63882215540704</v>
      </c>
      <c r="DP84" s="450">
        <v>68.02107275600838</v>
      </c>
      <c r="DQ84" s="450">
        <v>71.4901474665648</v>
      </c>
      <c r="DR84" s="450">
        <v>39.91</v>
      </c>
      <c r="DS84" s="450">
        <v>42.01287542876541</v>
      </c>
      <c r="DT84" s="450">
        <v>44.188960936396505</v>
      </c>
      <c r="DU84" s="450">
        <v>46.94030836968639</v>
      </c>
      <c r="DV84" s="450">
        <v>49.9698232153899</v>
      </c>
      <c r="DW84" s="450">
        <v>52.951390542497805</v>
      </c>
      <c r="DX84" s="450">
        <v>56.56161439130848</v>
      </c>
      <c r="DY84" s="450">
        <v>59.71812203669372</v>
      </c>
      <c r="DZ84" s="450">
        <v>61.52710385935405</v>
      </c>
      <c r="EA84" s="450">
        <v>63.26903185666824</v>
      </c>
      <c r="EB84" s="450">
        <v>67.49463147839963</v>
      </c>
      <c r="EC84" s="450">
        <v>-0.18</v>
      </c>
      <c r="ED84" s="450">
        <v>67.31463147839962</v>
      </c>
      <c r="EE84" s="450">
        <v>3500.36083687678</v>
      </c>
      <c r="EF84" s="443">
        <v>13491580.788007647</v>
      </c>
      <c r="EG84" s="450">
        <v>49.86</v>
      </c>
      <c r="EH84" s="450">
        <v>51.164885428765416</v>
      </c>
      <c r="EI84" s="450">
        <v>52.50305357639651</v>
      </c>
      <c r="EJ84" s="450">
        <v>54.455208854666395</v>
      </c>
      <c r="EK84" s="450">
        <v>56.64305484605214</v>
      </c>
      <c r="EL84" s="450">
        <v>58.690369744867326</v>
      </c>
      <c r="EM84" s="450">
        <v>61.341036271041816</v>
      </c>
      <c r="EN84" s="450">
        <v>64.15342554108625</v>
      </c>
      <c r="EO84" s="450">
        <v>65.75690496804305</v>
      </c>
      <c r="EP84" s="450">
        <v>66.09537944635271</v>
      </c>
      <c r="EQ84" s="450">
        <v>69.87102453180631</v>
      </c>
      <c r="ER84" s="443">
        <v>15749229</v>
      </c>
      <c r="ES84" s="443">
        <v>930000</v>
      </c>
      <c r="ET84" s="443">
        <v>0</v>
      </c>
      <c r="EU84" s="443">
        <v>0</v>
      </c>
      <c r="EV84" s="443">
        <v>0</v>
      </c>
      <c r="EW84" s="443">
        <v>0</v>
      </c>
      <c r="EX84" s="443">
        <v>0</v>
      </c>
      <c r="EY84" s="443">
        <v>0</v>
      </c>
      <c r="EZ84" s="443">
        <v>0</v>
      </c>
      <c r="FA84" s="443">
        <v>16214229</v>
      </c>
      <c r="FB84" s="443">
        <v>46898.67087434285</v>
      </c>
      <c r="FC84" s="443">
        <v>0</v>
      </c>
      <c r="FD84" s="443">
        <v>0</v>
      </c>
      <c r="FE84" s="443">
        <v>21727</v>
      </c>
      <c r="FF84" s="452">
        <v>0.1032</v>
      </c>
      <c r="FG84" s="443">
        <v>2242.2264</v>
      </c>
      <c r="FH84" s="453">
        <v>2242.2264</v>
      </c>
    </row>
    <row r="85" spans="2:164" ht="12.75">
      <c r="B85" s="356" t="s">
        <v>773</v>
      </c>
      <c r="C85" s="442">
        <v>5055</v>
      </c>
      <c r="D85" s="443">
        <v>1208615</v>
      </c>
      <c r="E85" s="443">
        <v>1036991.67</v>
      </c>
      <c r="F85" s="443">
        <v>199677.22642097084</v>
      </c>
      <c r="G85" s="443">
        <v>171623.33</v>
      </c>
      <c r="H85" s="444">
        <v>0.5708150346191889</v>
      </c>
      <c r="I85" s="445">
        <v>2609.48</v>
      </c>
      <c r="J85" s="445">
        <v>275.99</v>
      </c>
      <c r="K85" s="443">
        <v>1236668.8964209708</v>
      </c>
      <c r="L85" s="443">
        <v>989335.1171367767</v>
      </c>
      <c r="M85" s="443">
        <v>384152.6609879314</v>
      </c>
      <c r="N85" s="443">
        <v>247333.7792841941</v>
      </c>
      <c r="O85" s="446">
        <v>1.5531750741839763</v>
      </c>
      <c r="P85" s="447">
        <v>0.5744807121661721</v>
      </c>
      <c r="Q85" s="448">
        <v>0.4255192878338279</v>
      </c>
      <c r="R85" s="443">
        <v>1373487.7781247082</v>
      </c>
      <c r="S85" s="443">
        <v>928477.7380123028</v>
      </c>
      <c r="T85" s="443">
        <v>89182.58258946755</v>
      </c>
      <c r="U85" s="443">
        <v>234333.85094200182</v>
      </c>
      <c r="V85" s="443">
        <v>313155.2134124335</v>
      </c>
      <c r="W85" s="446">
        <v>0.7482993764928259</v>
      </c>
      <c r="X85" s="448">
        <v>13.971853474904828</v>
      </c>
      <c r="Y85" s="443">
        <v>89182.58258946755</v>
      </c>
      <c r="Z85" s="443">
        <v>131854.82669997198</v>
      </c>
      <c r="AA85" s="444">
        <v>0.6763694953116685</v>
      </c>
      <c r="AB85" s="444">
        <v>0.055489614243323444</v>
      </c>
      <c r="AC85" s="445">
        <v>285</v>
      </c>
      <c r="AD85" s="445">
        <v>276</v>
      </c>
      <c r="AE85" s="443">
        <v>1251994.171543772</v>
      </c>
      <c r="AF85" s="443">
        <v>28564.566530460826</v>
      </c>
      <c r="AG85" s="447">
        <v>0.5</v>
      </c>
      <c r="AH85" s="446">
        <v>0.03662104577987665</v>
      </c>
      <c r="AI85" s="448">
        <v>0.030838945880532265</v>
      </c>
      <c r="AJ85" s="443">
        <v>1280558.7380742328</v>
      </c>
      <c r="AK85" s="449">
        <v>1.141284291320443</v>
      </c>
      <c r="AL85" s="443">
        <v>1461481.5718772516</v>
      </c>
      <c r="AM85" s="443">
        <v>3257299.7881973814</v>
      </c>
      <c r="AN85" s="443">
        <v>3217520.5186184803</v>
      </c>
      <c r="AO85" s="443">
        <v>3071069.5882698023</v>
      </c>
      <c r="AP85" s="443">
        <v>3217520.5186184803</v>
      </c>
      <c r="AQ85" s="443">
        <v>20220</v>
      </c>
      <c r="AR85" s="443">
        <v>3237740.5186184803</v>
      </c>
      <c r="AS85" s="450">
        <v>640.5025753943581</v>
      </c>
      <c r="AT85" s="446">
        <v>5055</v>
      </c>
      <c r="AU85" s="446">
        <v>35</v>
      </c>
      <c r="AV85" s="446">
        <v>433</v>
      </c>
      <c r="AW85" s="446">
        <v>503</v>
      </c>
      <c r="AX85" s="446">
        <v>0</v>
      </c>
      <c r="AY85" s="446">
        <v>252</v>
      </c>
      <c r="AZ85" s="446">
        <v>259</v>
      </c>
      <c r="BA85" s="446">
        <v>97</v>
      </c>
      <c r="BB85" s="446">
        <v>381</v>
      </c>
      <c r="BC85" s="446">
        <v>42</v>
      </c>
      <c r="BD85" s="446">
        <v>737</v>
      </c>
      <c r="BE85" s="446">
        <v>2151</v>
      </c>
      <c r="BF85" s="446">
        <v>0</v>
      </c>
      <c r="BG85" s="446">
        <v>163</v>
      </c>
      <c r="BH85" s="446">
        <v>0</v>
      </c>
      <c r="BI85" s="446">
        <v>2</v>
      </c>
      <c r="BJ85" s="448">
        <v>1.7164649271753696</v>
      </c>
      <c r="BK85" s="448">
        <v>14.851301762699343</v>
      </c>
      <c r="BL85" s="448">
        <v>5.075260007606313</v>
      </c>
      <c r="BM85" s="448">
        <v>19.552083510186062</v>
      </c>
      <c r="BN85" s="445">
        <v>2904</v>
      </c>
      <c r="BO85" s="445">
        <v>2151</v>
      </c>
      <c r="BP85" s="443">
        <v>1765076.9303779032</v>
      </c>
      <c r="BQ85" s="443">
        <v>6060200</v>
      </c>
      <c r="BR85" s="443">
        <v>6787673</v>
      </c>
      <c r="BS85" s="444">
        <v>0.055489614243323444</v>
      </c>
      <c r="BT85" s="445">
        <v>285</v>
      </c>
      <c r="BU85" s="445">
        <v>276</v>
      </c>
      <c r="BV85" s="443">
        <v>376645.35637982195</v>
      </c>
      <c r="BW85" s="444">
        <v>0.008502916323765094</v>
      </c>
      <c r="BX85" s="443">
        <v>8225.623728943274</v>
      </c>
      <c r="BY85" s="443">
        <v>8210147.910486668</v>
      </c>
      <c r="BZ85" s="451">
        <v>1.1533333333333333</v>
      </c>
      <c r="CA85" s="443">
        <v>9469037.25676129</v>
      </c>
      <c r="CB85" s="443">
        <v>6928852.484334218</v>
      </c>
      <c r="CC85" s="443">
        <v>6928852.484334218</v>
      </c>
      <c r="CD85" s="443">
        <v>6512356.24391063</v>
      </c>
      <c r="CE85" s="443">
        <v>6879610.189105826</v>
      </c>
      <c r="CF85" s="450">
        <v>1360.9515705451684</v>
      </c>
      <c r="CG85" s="446">
        <v>5055</v>
      </c>
      <c r="CH85" s="446">
        <v>35</v>
      </c>
      <c r="CI85" s="446">
        <v>433</v>
      </c>
      <c r="CJ85" s="446">
        <v>503</v>
      </c>
      <c r="CK85" s="446">
        <v>0</v>
      </c>
      <c r="CL85" s="446">
        <v>252</v>
      </c>
      <c r="CM85" s="446">
        <v>259</v>
      </c>
      <c r="CN85" s="446">
        <v>97</v>
      </c>
      <c r="CO85" s="446">
        <v>381</v>
      </c>
      <c r="CP85" s="446">
        <v>42</v>
      </c>
      <c r="CQ85" s="446">
        <v>737</v>
      </c>
      <c r="CR85" s="446">
        <v>2151</v>
      </c>
      <c r="CS85" s="446">
        <v>0</v>
      </c>
      <c r="CT85" s="446">
        <v>163</v>
      </c>
      <c r="CU85" s="446">
        <v>0</v>
      </c>
      <c r="CV85" s="446">
        <v>2</v>
      </c>
      <c r="CW85" s="443">
        <v>3662037.6759665557</v>
      </c>
      <c r="CX85" s="448">
        <v>1.1259573405040626</v>
      </c>
      <c r="CY85" s="448">
        <v>1.1533333333333333</v>
      </c>
      <c r="CZ85" s="443">
        <v>4123298.2024569814</v>
      </c>
      <c r="DA85" s="450">
        <v>815.6870825829834</v>
      </c>
      <c r="DB85" s="445">
        <v>5055</v>
      </c>
      <c r="DC85" s="448">
        <v>0.9885657764589517</v>
      </c>
      <c r="DD85" s="450">
        <v>354.1</v>
      </c>
      <c r="DE85" s="443">
        <v>78676</v>
      </c>
      <c r="DF85" s="450">
        <v>68.21369280114992</v>
      </c>
      <c r="DG85" s="450">
        <v>71.14688159159935</v>
      </c>
      <c r="DH85" s="450">
        <v>72.71211298661453</v>
      </c>
      <c r="DI85" s="450">
        <v>74.31177947232003</v>
      </c>
      <c r="DJ85" s="450">
        <v>76.76406819490659</v>
      </c>
      <c r="DK85" s="450">
        <v>79.52757464992321</v>
      </c>
      <c r="DL85" s="450">
        <v>82.07245703872074</v>
      </c>
      <c r="DM85" s="450">
        <v>85.43742777730829</v>
      </c>
      <c r="DN85" s="450">
        <v>89.19667459950983</v>
      </c>
      <c r="DO85" s="450">
        <v>94.10249170248287</v>
      </c>
      <c r="DP85" s="450">
        <v>93.25556927716052</v>
      </c>
      <c r="DQ85" s="450">
        <v>98.0116033102957</v>
      </c>
      <c r="DR85" s="450">
        <v>56.25</v>
      </c>
      <c r="DS85" s="450">
        <v>59.009961298661445</v>
      </c>
      <c r="DT85" s="450">
        <v>61.864135894463985</v>
      </c>
      <c r="DU85" s="450">
        <v>65.51295435597196</v>
      </c>
      <c r="DV85" s="450">
        <v>69.53658556094925</v>
      </c>
      <c r="DW85" s="450">
        <v>73.48020642220314</v>
      </c>
      <c r="DX85" s="450">
        <v>78.28180146387243</v>
      </c>
      <c r="DY85" s="450">
        <v>82.55625338064137</v>
      </c>
      <c r="DZ85" s="450">
        <v>85.00464642083718</v>
      </c>
      <c r="EA85" s="450">
        <v>87.17640091383494</v>
      </c>
      <c r="EB85" s="450">
        <v>92.90023855041156</v>
      </c>
      <c r="EC85" s="450">
        <v>-0.61</v>
      </c>
      <c r="ED85" s="450">
        <v>92.29023855041156</v>
      </c>
      <c r="EE85" s="450">
        <v>4799.092404621401</v>
      </c>
      <c r="EF85" s="443">
        <v>23774223.86325396</v>
      </c>
      <c r="EG85" s="450">
        <v>71.24</v>
      </c>
      <c r="EH85" s="450">
        <v>72.79776329866144</v>
      </c>
      <c r="EI85" s="450">
        <v>74.38958802246398</v>
      </c>
      <c r="EJ85" s="450">
        <v>76.83439739816795</v>
      </c>
      <c r="EK85" s="450">
        <v>79.59002698241929</v>
      </c>
      <c r="EL85" s="450">
        <v>82.12616604466737</v>
      </c>
      <c r="EM85" s="450">
        <v>85.48215663746063</v>
      </c>
      <c r="EN85" s="450">
        <v>89.23818298173121</v>
      </c>
      <c r="EO85" s="450">
        <v>91.37697995040986</v>
      </c>
      <c r="EP85" s="450">
        <v>91.43438587558072</v>
      </c>
      <c r="EQ85" s="450">
        <v>96.4803523062474</v>
      </c>
      <c r="ER85" s="443">
        <v>49631980</v>
      </c>
      <c r="ES85" s="443">
        <v>2725000</v>
      </c>
      <c r="ET85" s="443">
        <v>0</v>
      </c>
      <c r="EU85" s="443">
        <v>0</v>
      </c>
      <c r="EV85" s="443">
        <v>0</v>
      </c>
      <c r="EW85" s="443">
        <v>0</v>
      </c>
      <c r="EX85" s="443">
        <v>0</v>
      </c>
      <c r="EY85" s="443">
        <v>0</v>
      </c>
      <c r="EZ85" s="443">
        <v>0</v>
      </c>
      <c r="FA85" s="443">
        <v>50994480</v>
      </c>
      <c r="FB85" s="443">
        <v>63356.566829945135</v>
      </c>
      <c r="FC85" s="443">
        <v>0</v>
      </c>
      <c r="FD85" s="443">
        <v>0</v>
      </c>
      <c r="FE85" s="443">
        <v>92175</v>
      </c>
      <c r="FF85" s="452">
        <v>0.0313</v>
      </c>
      <c r="FG85" s="443">
        <v>2885.0775000000003</v>
      </c>
      <c r="FH85" s="453">
        <v>2885.0775000000003</v>
      </c>
    </row>
    <row r="86" spans="2:164" ht="12.75">
      <c r="B86" s="356" t="s">
        <v>774</v>
      </c>
      <c r="C86" s="442">
        <v>10087.5</v>
      </c>
      <c r="D86" s="443">
        <v>2381187.5</v>
      </c>
      <c r="E86" s="443">
        <v>2043058.875</v>
      </c>
      <c r="F86" s="443">
        <v>393822.26630771044</v>
      </c>
      <c r="G86" s="443">
        <v>338128.62500000006</v>
      </c>
      <c r="H86" s="444">
        <v>0.5714280049566296</v>
      </c>
      <c r="I86" s="445">
        <v>5214.51</v>
      </c>
      <c r="J86" s="445">
        <v>549.77</v>
      </c>
      <c r="K86" s="443">
        <v>2436881.1413077107</v>
      </c>
      <c r="L86" s="443">
        <v>1949504.9130461686</v>
      </c>
      <c r="M86" s="443">
        <v>703213.2368873449</v>
      </c>
      <c r="N86" s="443">
        <v>487376.22826154204</v>
      </c>
      <c r="O86" s="446">
        <v>1.4428550185873605</v>
      </c>
      <c r="P86" s="447">
        <v>0.6594299876084263</v>
      </c>
      <c r="Q86" s="448">
        <v>0.3406195786864932</v>
      </c>
      <c r="R86" s="443">
        <v>2652718.1499335133</v>
      </c>
      <c r="S86" s="443">
        <v>1793237.4693550551</v>
      </c>
      <c r="T86" s="443">
        <v>144934.57723149456</v>
      </c>
      <c r="U86" s="443">
        <v>455478.0561897093</v>
      </c>
      <c r="V86" s="443">
        <v>604819.738184841</v>
      </c>
      <c r="W86" s="446">
        <v>0.7530806741801622</v>
      </c>
      <c r="X86" s="448">
        <v>14.061127357532479</v>
      </c>
      <c r="Y86" s="443">
        <v>144934.57723149456</v>
      </c>
      <c r="Z86" s="443">
        <v>254660.94239361727</v>
      </c>
      <c r="AA86" s="444">
        <v>0.56912762463384</v>
      </c>
      <c r="AB86" s="444">
        <v>0.046691449814126394</v>
      </c>
      <c r="AC86" s="445">
        <v>662</v>
      </c>
      <c r="AD86" s="445">
        <v>280</v>
      </c>
      <c r="AE86" s="443">
        <v>2393650.102776259</v>
      </c>
      <c r="AF86" s="443">
        <v>35142.08607416923</v>
      </c>
      <c r="AG86" s="447">
        <v>0.25</v>
      </c>
      <c r="AH86" s="446">
        <v>0.07104449698689011</v>
      </c>
      <c r="AI86" s="448">
        <v>0.059827275574207306</v>
      </c>
      <c r="AJ86" s="443">
        <v>2428792.1888504284</v>
      </c>
      <c r="AK86" s="449">
        <v>1.0879518101672272</v>
      </c>
      <c r="AL86" s="443">
        <v>2642408.8583798455</v>
      </c>
      <c r="AM86" s="443">
        <v>5889309.848550358</v>
      </c>
      <c r="AN86" s="443">
        <v>5817387.563426945</v>
      </c>
      <c r="AO86" s="443">
        <v>6064420.58691723</v>
      </c>
      <c r="AP86" s="443">
        <v>6064420.58691723</v>
      </c>
      <c r="AQ86" s="443">
        <v>40350</v>
      </c>
      <c r="AR86" s="443">
        <v>6104770.58691723</v>
      </c>
      <c r="AS86" s="450">
        <v>605.1817186535048</v>
      </c>
      <c r="AT86" s="446">
        <v>10085</v>
      </c>
      <c r="AU86" s="446">
        <v>126</v>
      </c>
      <c r="AV86" s="446">
        <v>214</v>
      </c>
      <c r="AW86" s="446">
        <v>90</v>
      </c>
      <c r="AX86" s="446">
        <v>640</v>
      </c>
      <c r="AY86" s="446">
        <v>1197</v>
      </c>
      <c r="AZ86" s="446">
        <v>483</v>
      </c>
      <c r="BA86" s="446">
        <v>244</v>
      </c>
      <c r="BB86" s="446">
        <v>787</v>
      </c>
      <c r="BC86" s="446">
        <v>78</v>
      </c>
      <c r="BD86" s="446">
        <v>2345</v>
      </c>
      <c r="BE86" s="446">
        <v>2825</v>
      </c>
      <c r="BF86" s="446">
        <v>611</v>
      </c>
      <c r="BG86" s="446">
        <v>394</v>
      </c>
      <c r="BH86" s="446">
        <v>0</v>
      </c>
      <c r="BI86" s="446">
        <v>51</v>
      </c>
      <c r="BJ86" s="448">
        <v>1.579372781389428</v>
      </c>
      <c r="BK86" s="448">
        <v>13.356998914333534</v>
      </c>
      <c r="BL86" s="448">
        <v>5.4640940620548015</v>
      </c>
      <c r="BM86" s="448">
        <v>15.785809704557465</v>
      </c>
      <c r="BN86" s="445">
        <v>6649</v>
      </c>
      <c r="BO86" s="445">
        <v>3436</v>
      </c>
      <c r="BP86" s="443">
        <v>2952699.01034601</v>
      </c>
      <c r="BQ86" s="443">
        <v>11374412</v>
      </c>
      <c r="BR86" s="443">
        <v>13494539</v>
      </c>
      <c r="BS86" s="444">
        <v>0.04670302429350521</v>
      </c>
      <c r="BT86" s="445">
        <v>662</v>
      </c>
      <c r="BU86" s="445">
        <v>280</v>
      </c>
      <c r="BV86" s="443">
        <v>630235.7827466535</v>
      </c>
      <c r="BW86" s="444">
        <v>0.024007971186203916</v>
      </c>
      <c r="BX86" s="443">
        <v>41673.07100458165</v>
      </c>
      <c r="BY86" s="443">
        <v>14999019.864097245</v>
      </c>
      <c r="BZ86" s="451">
        <v>1.1533333333333333</v>
      </c>
      <c r="CA86" s="443">
        <v>17298869.576592155</v>
      </c>
      <c r="CB86" s="443">
        <v>12658236.75541652</v>
      </c>
      <c r="CC86" s="443">
        <v>12658236.75541652</v>
      </c>
      <c r="CD86" s="443">
        <v>11878322.129749894</v>
      </c>
      <c r="CE86" s="443">
        <v>12568276.602160204</v>
      </c>
      <c r="CF86" s="450">
        <v>1246.2346655587708</v>
      </c>
      <c r="CG86" s="446">
        <v>10085</v>
      </c>
      <c r="CH86" s="446">
        <v>126</v>
      </c>
      <c r="CI86" s="446">
        <v>214</v>
      </c>
      <c r="CJ86" s="446">
        <v>90</v>
      </c>
      <c r="CK86" s="446">
        <v>640</v>
      </c>
      <c r="CL86" s="446">
        <v>1197</v>
      </c>
      <c r="CM86" s="446">
        <v>483</v>
      </c>
      <c r="CN86" s="446">
        <v>244</v>
      </c>
      <c r="CO86" s="446">
        <v>787</v>
      </c>
      <c r="CP86" s="446">
        <v>78</v>
      </c>
      <c r="CQ86" s="446">
        <v>2345</v>
      </c>
      <c r="CR86" s="446">
        <v>2825</v>
      </c>
      <c r="CS86" s="446">
        <v>611</v>
      </c>
      <c r="CT86" s="446">
        <v>394</v>
      </c>
      <c r="CU86" s="446">
        <v>0</v>
      </c>
      <c r="CV86" s="446">
        <v>51</v>
      </c>
      <c r="CW86" s="443">
        <v>7751723.238619279</v>
      </c>
      <c r="CX86" s="448">
        <v>1.1259573405040626</v>
      </c>
      <c r="CY86" s="448">
        <v>1.1533333333333333</v>
      </c>
      <c r="CZ86" s="443">
        <v>8728109.682079302</v>
      </c>
      <c r="DA86" s="450">
        <v>865.4546040733071</v>
      </c>
      <c r="DB86" s="445">
        <v>10087.5</v>
      </c>
      <c r="DC86" s="448">
        <v>0.9937199504337052</v>
      </c>
      <c r="DD86" s="450">
        <v>354.1</v>
      </c>
      <c r="DE86" s="443">
        <v>51715</v>
      </c>
      <c r="DF86" s="450">
        <v>59.554179115829726</v>
      </c>
      <c r="DG86" s="450">
        <v>62.1150088178104</v>
      </c>
      <c r="DH86" s="450">
        <v>63.48153901180221</v>
      </c>
      <c r="DI86" s="450">
        <v>64.87813287006185</v>
      </c>
      <c r="DJ86" s="450">
        <v>67.01911125477389</v>
      </c>
      <c r="DK86" s="450">
        <v>69.43179925994573</v>
      </c>
      <c r="DL86" s="450">
        <v>71.65361683626398</v>
      </c>
      <c r="DM86" s="450">
        <v>74.5914151265508</v>
      </c>
      <c r="DN86" s="450">
        <v>77.87343739211902</v>
      </c>
      <c r="DO86" s="450">
        <v>82.15647644868555</v>
      </c>
      <c r="DP86" s="450">
        <v>81.41706816064737</v>
      </c>
      <c r="DQ86" s="450">
        <v>85.56933863684038</v>
      </c>
      <c r="DR86" s="450">
        <v>49.63</v>
      </c>
      <c r="DS86" s="450">
        <v>51.997827901180216</v>
      </c>
      <c r="DT86" s="450">
        <v>54.445819310012354</v>
      </c>
      <c r="DU86" s="450">
        <v>57.58960383568415</v>
      </c>
      <c r="DV86" s="450">
        <v>61.05839667179405</v>
      </c>
      <c r="DW86" s="450">
        <v>64.45249061045354</v>
      </c>
      <c r="DX86" s="450">
        <v>68.59431720569586</v>
      </c>
      <c r="DY86" s="450">
        <v>72.30813052156564</v>
      </c>
      <c r="DZ86" s="450">
        <v>74.43495223731215</v>
      </c>
      <c r="EA86" s="450">
        <v>76.25755574322552</v>
      </c>
      <c r="EB86" s="450">
        <v>81.2312205962721</v>
      </c>
      <c r="EC86" s="450">
        <v>-5.39</v>
      </c>
      <c r="ED86" s="450">
        <v>75.8412205962721</v>
      </c>
      <c r="EE86" s="450">
        <v>3943.743471006149</v>
      </c>
      <c r="EF86" s="443">
        <v>38986862.01849904</v>
      </c>
      <c r="EG86" s="450">
        <v>49.63</v>
      </c>
      <c r="EH86" s="450">
        <v>51.997827901180216</v>
      </c>
      <c r="EI86" s="450">
        <v>54.445819310012354</v>
      </c>
      <c r="EJ86" s="450">
        <v>57.58960383568415</v>
      </c>
      <c r="EK86" s="450">
        <v>61.05839667179405</v>
      </c>
      <c r="EL86" s="450">
        <v>64.45249061045354</v>
      </c>
      <c r="EM86" s="450">
        <v>68.59431720569586</v>
      </c>
      <c r="EN86" s="450">
        <v>72.30813052156564</v>
      </c>
      <c r="EO86" s="450">
        <v>74.43495223731215</v>
      </c>
      <c r="EP86" s="450">
        <v>76.25755574322552</v>
      </c>
      <c r="EQ86" s="450">
        <v>81.2312205962721</v>
      </c>
      <c r="ER86" s="443">
        <v>29031103</v>
      </c>
      <c r="ES86" s="443">
        <v>2114000</v>
      </c>
      <c r="ET86" s="443">
        <v>0</v>
      </c>
      <c r="EU86" s="443">
        <v>0</v>
      </c>
      <c r="EV86" s="443">
        <v>0</v>
      </c>
      <c r="EW86" s="443">
        <v>0</v>
      </c>
      <c r="EX86" s="443">
        <v>0</v>
      </c>
      <c r="EY86" s="443">
        <v>0</v>
      </c>
      <c r="EZ86" s="443">
        <v>0</v>
      </c>
      <c r="FA86" s="443">
        <v>30088103</v>
      </c>
      <c r="FB86" s="443">
        <v>53463.74065469422</v>
      </c>
      <c r="FC86" s="443">
        <v>0</v>
      </c>
      <c r="FD86" s="443">
        <v>0</v>
      </c>
      <c r="FE86" s="443">
        <v>1021453</v>
      </c>
      <c r="FF86" s="452">
        <v>0.0507</v>
      </c>
      <c r="FG86" s="443">
        <v>51787.6671</v>
      </c>
      <c r="FH86" s="453">
        <v>51787.6671</v>
      </c>
    </row>
    <row r="87" spans="2:164" ht="12.75">
      <c r="B87" s="356" t="s">
        <v>775</v>
      </c>
      <c r="C87" s="442">
        <v>4105</v>
      </c>
      <c r="D87" s="443">
        <v>987265</v>
      </c>
      <c r="E87" s="443">
        <v>847073.37</v>
      </c>
      <c r="F87" s="443">
        <v>99519.36841425773</v>
      </c>
      <c r="G87" s="443">
        <v>140191.63</v>
      </c>
      <c r="H87" s="444">
        <v>0.3482801461632156</v>
      </c>
      <c r="I87" s="445">
        <v>1049.31</v>
      </c>
      <c r="J87" s="445">
        <v>380.38</v>
      </c>
      <c r="K87" s="443">
        <v>946592.7384142578</v>
      </c>
      <c r="L87" s="443">
        <v>757274.1907314062</v>
      </c>
      <c r="M87" s="443">
        <v>200350.21555270246</v>
      </c>
      <c r="N87" s="443">
        <v>189318.54768285152</v>
      </c>
      <c r="O87" s="446">
        <v>1.058270401948843</v>
      </c>
      <c r="P87" s="447">
        <v>0.9551766138855055</v>
      </c>
      <c r="Q87" s="448">
        <v>0.04482338611449452</v>
      </c>
      <c r="R87" s="443">
        <v>957624.4062841086</v>
      </c>
      <c r="S87" s="443">
        <v>647354.0986480574</v>
      </c>
      <c r="T87" s="443">
        <v>113421.82018804348</v>
      </c>
      <c r="U87" s="443">
        <v>157032.88287312703</v>
      </c>
      <c r="V87" s="443">
        <v>218338.36463277676</v>
      </c>
      <c r="W87" s="446">
        <v>0.7192180042991556</v>
      </c>
      <c r="X87" s="448">
        <v>13.428861346482243</v>
      </c>
      <c r="Y87" s="443">
        <v>113421.82018804348</v>
      </c>
      <c r="Z87" s="443">
        <v>91931.94300327443</v>
      </c>
      <c r="AA87" s="444">
        <v>1.2337585444485126</v>
      </c>
      <c r="AB87" s="444">
        <v>0.10121802679658952</v>
      </c>
      <c r="AC87" s="445">
        <v>415</v>
      </c>
      <c r="AD87" s="445">
        <v>416</v>
      </c>
      <c r="AE87" s="443">
        <v>917808.801709228</v>
      </c>
      <c r="AF87" s="443">
        <v>0</v>
      </c>
      <c r="AG87" s="447">
        <v>0</v>
      </c>
      <c r="AH87" s="446">
        <v>0.0644311958797474</v>
      </c>
      <c r="AI87" s="448">
        <v>0.05425814911723137</v>
      </c>
      <c r="AJ87" s="443">
        <v>917808.801709228</v>
      </c>
      <c r="AK87" s="449">
        <v>1</v>
      </c>
      <c r="AL87" s="443">
        <v>917808.801709228</v>
      </c>
      <c r="AM87" s="443">
        <v>2045580.6442862574</v>
      </c>
      <c r="AN87" s="443">
        <v>2020599.3072323913</v>
      </c>
      <c r="AO87" s="443">
        <v>1986332.8072285925</v>
      </c>
      <c r="AP87" s="443">
        <v>2020599.3072323913</v>
      </c>
      <c r="AQ87" s="443">
        <v>16420</v>
      </c>
      <c r="AR87" s="443">
        <v>2037019.3072323913</v>
      </c>
      <c r="AS87" s="450">
        <v>496.2288202758566</v>
      </c>
      <c r="AT87" s="446">
        <v>4105</v>
      </c>
      <c r="AU87" s="446">
        <v>57</v>
      </c>
      <c r="AV87" s="446">
        <v>186</v>
      </c>
      <c r="AW87" s="446">
        <v>170</v>
      </c>
      <c r="AX87" s="446">
        <v>50</v>
      </c>
      <c r="AY87" s="446">
        <v>807</v>
      </c>
      <c r="AZ87" s="446">
        <v>124</v>
      </c>
      <c r="BA87" s="446">
        <v>67</v>
      </c>
      <c r="BB87" s="446">
        <v>668</v>
      </c>
      <c r="BC87" s="446">
        <v>43</v>
      </c>
      <c r="BD87" s="446">
        <v>952</v>
      </c>
      <c r="BE87" s="446">
        <v>184</v>
      </c>
      <c r="BF87" s="446">
        <v>0</v>
      </c>
      <c r="BG87" s="446">
        <v>797</v>
      </c>
      <c r="BH87" s="446">
        <v>0</v>
      </c>
      <c r="BI87" s="446">
        <v>0</v>
      </c>
      <c r="BJ87" s="448">
        <v>1.2665951143606806</v>
      </c>
      <c r="BK87" s="448">
        <v>10.09879810993497</v>
      </c>
      <c r="BL87" s="448">
        <v>6.702827379026175</v>
      </c>
      <c r="BM87" s="448">
        <v>6.791941461817589</v>
      </c>
      <c r="BN87" s="445">
        <v>3921</v>
      </c>
      <c r="BO87" s="445">
        <v>184</v>
      </c>
      <c r="BP87" s="443">
        <v>1072339.9548614118</v>
      </c>
      <c r="BQ87" s="443">
        <v>4229607</v>
      </c>
      <c r="BR87" s="443">
        <v>5641675</v>
      </c>
      <c r="BS87" s="444">
        <v>0.10121802679658952</v>
      </c>
      <c r="BT87" s="445">
        <v>415</v>
      </c>
      <c r="BU87" s="445">
        <v>416</v>
      </c>
      <c r="BV87" s="443">
        <v>571039.2113276492</v>
      </c>
      <c r="BW87" s="444">
        <v>0.00927295527193533</v>
      </c>
      <c r="BX87" s="443">
        <v>4953.546773182748</v>
      </c>
      <c r="BY87" s="443">
        <v>5877939.712962244</v>
      </c>
      <c r="BZ87" s="451">
        <v>0.92</v>
      </c>
      <c r="CA87" s="443">
        <v>5407704.5359252645</v>
      </c>
      <c r="CB87" s="443">
        <v>3957021.8167149588</v>
      </c>
      <c r="CC87" s="443">
        <v>3957021.8167149588</v>
      </c>
      <c r="CD87" s="443">
        <v>3934870.735186088</v>
      </c>
      <c r="CE87" s="443">
        <v>3934870.735186088</v>
      </c>
      <c r="CF87" s="450">
        <v>958.5555993145159</v>
      </c>
      <c r="CG87" s="446">
        <v>4105</v>
      </c>
      <c r="CH87" s="446">
        <v>57</v>
      </c>
      <c r="CI87" s="446">
        <v>186</v>
      </c>
      <c r="CJ87" s="446">
        <v>170</v>
      </c>
      <c r="CK87" s="446">
        <v>50</v>
      </c>
      <c r="CL87" s="446">
        <v>807</v>
      </c>
      <c r="CM87" s="446">
        <v>124</v>
      </c>
      <c r="CN87" s="446">
        <v>67</v>
      </c>
      <c r="CO87" s="446">
        <v>668</v>
      </c>
      <c r="CP87" s="446">
        <v>43</v>
      </c>
      <c r="CQ87" s="446">
        <v>952</v>
      </c>
      <c r="CR87" s="446">
        <v>184</v>
      </c>
      <c r="CS87" s="446">
        <v>0</v>
      </c>
      <c r="CT87" s="446">
        <v>797</v>
      </c>
      <c r="CU87" s="446">
        <v>0</v>
      </c>
      <c r="CV87" s="446">
        <v>0</v>
      </c>
      <c r="CW87" s="443">
        <v>2861752.355616394</v>
      </c>
      <c r="CX87" s="448">
        <v>0.8981625028298302</v>
      </c>
      <c r="CY87" s="448">
        <v>0.92</v>
      </c>
      <c r="CZ87" s="443">
        <v>2570318.6581995827</v>
      </c>
      <c r="DA87" s="450">
        <v>626.1434002922248</v>
      </c>
      <c r="DB87" s="445">
        <v>4105</v>
      </c>
      <c r="DC87" s="448">
        <v>0.9969792935444578</v>
      </c>
      <c r="DD87" s="450">
        <v>321.1</v>
      </c>
      <c r="DE87" s="443">
        <v>19945</v>
      </c>
      <c r="DF87" s="450">
        <v>45.253963530108905</v>
      </c>
      <c r="DG87" s="450">
        <v>47.19988396190359</v>
      </c>
      <c r="DH87" s="450">
        <v>48.23828140906546</v>
      </c>
      <c r="DI87" s="450">
        <v>49.29952360006489</v>
      </c>
      <c r="DJ87" s="450">
        <v>50.926407878867025</v>
      </c>
      <c r="DK87" s="450">
        <v>52.75975856250623</v>
      </c>
      <c r="DL87" s="450">
        <v>54.44807083650642</v>
      </c>
      <c r="DM87" s="450">
        <v>56.680441740803175</v>
      </c>
      <c r="DN87" s="450">
        <v>59.1743811773985</v>
      </c>
      <c r="DO87" s="450">
        <v>62.428972142155416</v>
      </c>
      <c r="DP87" s="450">
        <v>61.86711139287602</v>
      </c>
      <c r="DQ87" s="450">
        <v>65.02233407391269</v>
      </c>
      <c r="DR87" s="450">
        <v>39.34</v>
      </c>
      <c r="DS87" s="450">
        <v>41.00876014090654</v>
      </c>
      <c r="DT87" s="450">
        <v>42.731905168012965</v>
      </c>
      <c r="DU87" s="450">
        <v>44.99010176859609</v>
      </c>
      <c r="DV87" s="450">
        <v>47.48831873658564</v>
      </c>
      <c r="DW87" s="450">
        <v>49.91463258621471</v>
      </c>
      <c r="DX87" s="450">
        <v>52.90499436596024</v>
      </c>
      <c r="DY87" s="450">
        <v>55.67076601354427</v>
      </c>
      <c r="DZ87" s="450">
        <v>57.25328533106041</v>
      </c>
      <c r="EA87" s="450">
        <v>58.40872420926821</v>
      </c>
      <c r="EB87" s="450">
        <v>62.11452212993524</v>
      </c>
      <c r="EC87" s="450">
        <v>-0.03</v>
      </c>
      <c r="ED87" s="450">
        <v>62.08452212993524</v>
      </c>
      <c r="EE87" s="450">
        <v>3228.3951507566326</v>
      </c>
      <c r="EF87" s="443">
        <v>12987510.851978857</v>
      </c>
      <c r="EG87" s="450">
        <v>42.83</v>
      </c>
      <c r="EH87" s="450">
        <v>44.21886214090654</v>
      </c>
      <c r="EI87" s="450">
        <v>45.64810449601296</v>
      </c>
      <c r="EJ87" s="450">
        <v>47.62598143619209</v>
      </c>
      <c r="EK87" s="450">
        <v>49.82897988141089</v>
      </c>
      <c r="EL87" s="450">
        <v>51.927601170764426</v>
      </c>
      <c r="EM87" s="450">
        <v>54.581394603173244</v>
      </c>
      <c r="EN87" s="450">
        <v>57.22646543367793</v>
      </c>
      <c r="EO87" s="450">
        <v>58.73690401139455</v>
      </c>
      <c r="EP87" s="450">
        <v>59.40007627841383</v>
      </c>
      <c r="EQ87" s="450">
        <v>62.948050949672876</v>
      </c>
      <c r="ER87" s="443">
        <v>30750844.29</v>
      </c>
      <c r="ES87" s="443">
        <v>0</v>
      </c>
      <c r="ET87" s="443">
        <v>0</v>
      </c>
      <c r="EU87" s="443">
        <v>0</v>
      </c>
      <c r="EV87" s="443">
        <v>0</v>
      </c>
      <c r="EW87" s="443">
        <v>0</v>
      </c>
      <c r="EX87" s="443">
        <v>0</v>
      </c>
      <c r="EY87" s="443">
        <v>0</v>
      </c>
      <c r="EZ87" s="443">
        <v>0</v>
      </c>
      <c r="FA87" s="443">
        <v>30750844.29</v>
      </c>
      <c r="FB87" s="443">
        <v>53777.347569040576</v>
      </c>
      <c r="FC87" s="443">
        <v>0</v>
      </c>
      <c r="FD87" s="443">
        <v>0</v>
      </c>
      <c r="FE87" s="443">
        <v>33301</v>
      </c>
      <c r="FF87" s="452">
        <v>0.0729</v>
      </c>
      <c r="FG87" s="443">
        <v>2427.6429000000003</v>
      </c>
      <c r="FH87" s="453">
        <v>2427.6429000000003</v>
      </c>
    </row>
    <row r="88" spans="2:164" ht="12.75">
      <c r="B88" s="356" t="s">
        <v>776</v>
      </c>
      <c r="C88" s="442">
        <v>10350.13</v>
      </c>
      <c r="D88" s="443">
        <v>2442380.29</v>
      </c>
      <c r="E88" s="443">
        <v>2095562.28882</v>
      </c>
      <c r="F88" s="443">
        <v>366484.160327947</v>
      </c>
      <c r="G88" s="443">
        <v>346818.00118</v>
      </c>
      <c r="H88" s="444">
        <v>0.5184379326636478</v>
      </c>
      <c r="I88" s="445">
        <v>4708.1</v>
      </c>
      <c r="J88" s="445">
        <v>657.8</v>
      </c>
      <c r="K88" s="443">
        <v>2462046.449147947</v>
      </c>
      <c r="L88" s="443">
        <v>1969637.1593183577</v>
      </c>
      <c r="M88" s="443">
        <v>659763.0705603483</v>
      </c>
      <c r="N88" s="443">
        <v>492409.2898295893</v>
      </c>
      <c r="O88" s="446">
        <v>1.3398672287207987</v>
      </c>
      <c r="P88" s="447">
        <v>0.7385414482716642</v>
      </c>
      <c r="Q88" s="448">
        <v>0.2614459914996237</v>
      </c>
      <c r="R88" s="443">
        <v>2629400.229878706</v>
      </c>
      <c r="S88" s="443">
        <v>1777474.5553980053</v>
      </c>
      <c r="T88" s="443">
        <v>185200.63795451264</v>
      </c>
      <c r="U88" s="443">
        <v>757014.2843103337</v>
      </c>
      <c r="V88" s="443">
        <v>599503.252412345</v>
      </c>
      <c r="W88" s="446">
        <v>1.2627359088781904</v>
      </c>
      <c r="X88" s="448">
        <v>23.577142585680075</v>
      </c>
      <c r="Y88" s="443">
        <v>185200.63795451264</v>
      </c>
      <c r="Z88" s="443">
        <v>252422.42206835578</v>
      </c>
      <c r="AA88" s="444">
        <v>0.7336932925251801</v>
      </c>
      <c r="AB88" s="444">
        <v>0.060192480674155786</v>
      </c>
      <c r="AC88" s="445">
        <v>631</v>
      </c>
      <c r="AD88" s="445">
        <v>615</v>
      </c>
      <c r="AE88" s="443">
        <v>2719689.4776628516</v>
      </c>
      <c r="AF88" s="443">
        <v>75003.46983419255</v>
      </c>
      <c r="AG88" s="447">
        <v>0.5</v>
      </c>
      <c r="AH88" s="446">
        <v>0.0783430337493789</v>
      </c>
      <c r="AI88" s="448">
        <v>0.0659734457731247</v>
      </c>
      <c r="AJ88" s="443">
        <v>2794692.947497044</v>
      </c>
      <c r="AK88" s="449">
        <v>1.141284291320443</v>
      </c>
      <c r="AL88" s="443">
        <v>3189539.160042404</v>
      </c>
      <c r="AM88" s="443">
        <v>7108735.019565449</v>
      </c>
      <c r="AN88" s="443">
        <v>7021920.693253543</v>
      </c>
      <c r="AO88" s="443">
        <v>6795905.372201002</v>
      </c>
      <c r="AP88" s="443">
        <v>7021920.693253543</v>
      </c>
      <c r="AQ88" s="443">
        <v>41400.52</v>
      </c>
      <c r="AR88" s="443">
        <v>7063321.213253543</v>
      </c>
      <c r="AS88" s="450">
        <v>682.43792235011</v>
      </c>
      <c r="AT88" s="446">
        <v>10298</v>
      </c>
      <c r="AU88" s="446">
        <v>118</v>
      </c>
      <c r="AV88" s="446">
        <v>969</v>
      </c>
      <c r="AW88" s="446">
        <v>741</v>
      </c>
      <c r="AX88" s="446">
        <v>55</v>
      </c>
      <c r="AY88" s="446">
        <v>1422</v>
      </c>
      <c r="AZ88" s="446">
        <v>675</v>
      </c>
      <c r="BA88" s="446">
        <v>351</v>
      </c>
      <c r="BB88" s="446">
        <v>167</v>
      </c>
      <c r="BC88" s="446">
        <v>79</v>
      </c>
      <c r="BD88" s="446">
        <v>2499</v>
      </c>
      <c r="BE88" s="446">
        <v>2162</v>
      </c>
      <c r="BF88" s="446">
        <v>544</v>
      </c>
      <c r="BG88" s="446">
        <v>516</v>
      </c>
      <c r="BH88" s="446">
        <v>0</v>
      </c>
      <c r="BI88" s="446">
        <v>0</v>
      </c>
      <c r="BJ88" s="448">
        <v>1.7402660509447128</v>
      </c>
      <c r="BK88" s="448">
        <v>19.0279310323385</v>
      </c>
      <c r="BL88" s="448">
        <v>8.012320053139831</v>
      </c>
      <c r="BM88" s="448">
        <v>22.031221958397342</v>
      </c>
      <c r="BN88" s="445">
        <v>7592</v>
      </c>
      <c r="BO88" s="445">
        <v>2706</v>
      </c>
      <c r="BP88" s="443">
        <v>3546277.6130280658</v>
      </c>
      <c r="BQ88" s="443">
        <v>11414045</v>
      </c>
      <c r="BR88" s="443">
        <v>14091910</v>
      </c>
      <c r="BS88" s="444">
        <v>0.060497183919207616</v>
      </c>
      <c r="BT88" s="445">
        <v>631</v>
      </c>
      <c r="BU88" s="445">
        <v>615</v>
      </c>
      <c r="BV88" s="443">
        <v>852520.871042921</v>
      </c>
      <c r="BW88" s="444">
        <v>0.00897707496887146</v>
      </c>
      <c r="BX88" s="443">
        <v>22667.026887064392</v>
      </c>
      <c r="BY88" s="443">
        <v>15835510.510958051</v>
      </c>
      <c r="BZ88" s="451">
        <v>1.1533333333333333</v>
      </c>
      <c r="CA88" s="443">
        <v>18263622.122638285</v>
      </c>
      <c r="CB88" s="443">
        <v>13364182.660388684</v>
      </c>
      <c r="CC88" s="443">
        <v>13364182.660388684</v>
      </c>
      <c r="CD88" s="443">
        <v>12555794.474365644</v>
      </c>
      <c r="CE88" s="443">
        <v>13269205.457520401</v>
      </c>
      <c r="CF88" s="450">
        <v>1288.5225730744223</v>
      </c>
      <c r="CG88" s="446">
        <v>10298</v>
      </c>
      <c r="CH88" s="446">
        <v>118</v>
      </c>
      <c r="CI88" s="446">
        <v>969</v>
      </c>
      <c r="CJ88" s="446">
        <v>741</v>
      </c>
      <c r="CK88" s="446">
        <v>55</v>
      </c>
      <c r="CL88" s="446">
        <v>1422</v>
      </c>
      <c r="CM88" s="446">
        <v>675</v>
      </c>
      <c r="CN88" s="446">
        <v>351</v>
      </c>
      <c r="CO88" s="446">
        <v>167</v>
      </c>
      <c r="CP88" s="446">
        <v>79</v>
      </c>
      <c r="CQ88" s="446">
        <v>2499</v>
      </c>
      <c r="CR88" s="446">
        <v>2162</v>
      </c>
      <c r="CS88" s="446">
        <v>544</v>
      </c>
      <c r="CT88" s="446">
        <v>516</v>
      </c>
      <c r="CU88" s="446">
        <v>0</v>
      </c>
      <c r="CV88" s="446">
        <v>0</v>
      </c>
      <c r="CW88" s="443">
        <v>7576249.766325103</v>
      </c>
      <c r="CX88" s="448">
        <v>1.1259573405040626</v>
      </c>
      <c r="CY88" s="448">
        <v>1.1533333333333333</v>
      </c>
      <c r="CZ88" s="443">
        <v>8530534.03788594</v>
      </c>
      <c r="DA88" s="450">
        <v>828.3680363066557</v>
      </c>
      <c r="DB88" s="445">
        <v>10350.13</v>
      </c>
      <c r="DC88" s="448">
        <v>0.9952027655691281</v>
      </c>
      <c r="DD88" s="450">
        <v>354.1</v>
      </c>
      <c r="DE88" s="443">
        <v>74659</v>
      </c>
      <c r="DF88" s="450">
        <v>67.17462096597265</v>
      </c>
      <c r="DG88" s="450">
        <v>70.06312966750947</v>
      </c>
      <c r="DH88" s="450">
        <v>71.60451852019466</v>
      </c>
      <c r="DI88" s="450">
        <v>73.17981792763892</v>
      </c>
      <c r="DJ88" s="450">
        <v>75.594751919251</v>
      </c>
      <c r="DK88" s="450">
        <v>78.31616298834402</v>
      </c>
      <c r="DL88" s="450">
        <v>80.82228020397102</v>
      </c>
      <c r="DM88" s="450">
        <v>84.13599369233383</v>
      </c>
      <c r="DN88" s="450">
        <v>87.8379774147965</v>
      </c>
      <c r="DO88" s="450">
        <v>92.6690661726103</v>
      </c>
      <c r="DP88" s="450">
        <v>91.8350445770568</v>
      </c>
      <c r="DQ88" s="450">
        <v>96.5186318504867</v>
      </c>
      <c r="DR88" s="450">
        <v>53.25</v>
      </c>
      <c r="DS88" s="450">
        <v>56.13980185201945</v>
      </c>
      <c r="DT88" s="450">
        <v>59.13098198552777</v>
      </c>
      <c r="DU88" s="450">
        <v>62.89636033207528</v>
      </c>
      <c r="DV88" s="450">
        <v>67.03999125893199</v>
      </c>
      <c r="DW88" s="450">
        <v>71.12477251667667</v>
      </c>
      <c r="DX88" s="450">
        <v>76.0599092903551</v>
      </c>
      <c r="DY88" s="450">
        <v>80.34337108976023</v>
      </c>
      <c r="DZ88" s="450">
        <v>82.79873264077536</v>
      </c>
      <c r="EA88" s="450">
        <v>85.23970057145412</v>
      </c>
      <c r="EB88" s="450">
        <v>90.97326661057596</v>
      </c>
      <c r="EC88" s="450">
        <v>-0.1</v>
      </c>
      <c r="ED88" s="450">
        <v>90.87326661057597</v>
      </c>
      <c r="EE88" s="450">
        <v>4725.40986374995</v>
      </c>
      <c r="EF88" s="443">
        <v>47930434.26523238</v>
      </c>
      <c r="EG88" s="450">
        <v>71.12</v>
      </c>
      <c r="EH88" s="450">
        <v>72.57662785201946</v>
      </c>
      <c r="EI88" s="450">
        <v>74.06292524952777</v>
      </c>
      <c r="EJ88" s="450">
        <v>76.39297054982327</v>
      </c>
      <c r="EK88" s="450">
        <v>79.0249811322922</v>
      </c>
      <c r="EL88" s="450">
        <v>81.43186380776645</v>
      </c>
      <c r="EM88" s="450">
        <v>84.64365491757465</v>
      </c>
      <c r="EN88" s="450">
        <v>88.30908703181998</v>
      </c>
      <c r="EO88" s="450">
        <v>90.39537041085302</v>
      </c>
      <c r="EP88" s="450">
        <v>90.31576403152064</v>
      </c>
      <c r="EQ88" s="450">
        <v>95.24122076779989</v>
      </c>
      <c r="ER88" s="443">
        <v>46162689</v>
      </c>
      <c r="ES88" s="443">
        <v>0</v>
      </c>
      <c r="ET88" s="443">
        <v>0</v>
      </c>
      <c r="EU88" s="443">
        <v>0</v>
      </c>
      <c r="EV88" s="443">
        <v>0</v>
      </c>
      <c r="EW88" s="443">
        <v>0</v>
      </c>
      <c r="EX88" s="443">
        <v>0</v>
      </c>
      <c r="EY88" s="443">
        <v>0</v>
      </c>
      <c r="EZ88" s="443">
        <v>59300000</v>
      </c>
      <c r="FA88" s="443">
        <v>105462689</v>
      </c>
      <c r="FB88" s="443">
        <v>89130.73725240698</v>
      </c>
      <c r="FC88" s="443">
        <v>0</v>
      </c>
      <c r="FD88" s="443">
        <v>0</v>
      </c>
      <c r="FE88" s="443">
        <v>147540</v>
      </c>
      <c r="FF88" s="452">
        <v>0.0388</v>
      </c>
      <c r="FG88" s="443">
        <v>5724.552000000001</v>
      </c>
      <c r="FH88" s="453">
        <v>5724.552000000001</v>
      </c>
    </row>
    <row r="89" spans="2:164" ht="12.75">
      <c r="B89" s="356" t="s">
        <v>777</v>
      </c>
      <c r="C89" s="442">
        <v>3398</v>
      </c>
      <c r="D89" s="443">
        <v>822534</v>
      </c>
      <c r="E89" s="443">
        <v>705734.172</v>
      </c>
      <c r="F89" s="443">
        <v>84248.21761883554</v>
      </c>
      <c r="G89" s="443">
        <v>116799.82800000001</v>
      </c>
      <c r="H89" s="444">
        <v>0.3538846380223661</v>
      </c>
      <c r="I89" s="445">
        <v>890.89</v>
      </c>
      <c r="J89" s="445">
        <v>311.61</v>
      </c>
      <c r="K89" s="443">
        <v>789982.3896188355</v>
      </c>
      <c r="L89" s="443">
        <v>631985.9116950685</v>
      </c>
      <c r="M89" s="443">
        <v>162348.58808670545</v>
      </c>
      <c r="N89" s="443">
        <v>157996.47792376706</v>
      </c>
      <c r="O89" s="446">
        <v>1.027545615067687</v>
      </c>
      <c r="P89" s="447">
        <v>0.9788110653325486</v>
      </c>
      <c r="Q89" s="448">
        <v>0.02118893466745144</v>
      </c>
      <c r="R89" s="443">
        <v>794334.4997817739</v>
      </c>
      <c r="S89" s="443">
        <v>536970.1218524792</v>
      </c>
      <c r="T89" s="443">
        <v>74266.57992760287</v>
      </c>
      <c r="U89" s="443">
        <v>124028.48152222765</v>
      </c>
      <c r="V89" s="443">
        <v>181108.26595024444</v>
      </c>
      <c r="W89" s="446">
        <v>0.6848305949563991</v>
      </c>
      <c r="X89" s="448">
        <v>12.786797675428025</v>
      </c>
      <c r="Y89" s="443">
        <v>74266.57992760287</v>
      </c>
      <c r="Z89" s="443">
        <v>76256.1119790503</v>
      </c>
      <c r="AA89" s="444">
        <v>0.973909867683865</v>
      </c>
      <c r="AB89" s="444">
        <v>0.07989994114184815</v>
      </c>
      <c r="AC89" s="445">
        <v>263</v>
      </c>
      <c r="AD89" s="445">
        <v>280</v>
      </c>
      <c r="AE89" s="443">
        <v>735265.1833023097</v>
      </c>
      <c r="AF89" s="443">
        <v>0</v>
      </c>
      <c r="AG89" s="447">
        <v>0</v>
      </c>
      <c r="AH89" s="446">
        <v>0.012044971169485838</v>
      </c>
      <c r="AI89" s="448">
        <v>0.010143189691007137</v>
      </c>
      <c r="AJ89" s="443">
        <v>735265.1833023097</v>
      </c>
      <c r="AK89" s="449">
        <v>1.0095808529678565</v>
      </c>
      <c r="AL89" s="443">
        <v>742309.6509159132</v>
      </c>
      <c r="AM89" s="443">
        <v>1654434.1818826268</v>
      </c>
      <c r="AN89" s="443">
        <v>1634229.6604688705</v>
      </c>
      <c r="AO89" s="443">
        <v>1575212.0002692258</v>
      </c>
      <c r="AP89" s="443">
        <v>1634229.6604688705</v>
      </c>
      <c r="AQ89" s="443">
        <v>13592</v>
      </c>
      <c r="AR89" s="443">
        <v>1647821.6604688705</v>
      </c>
      <c r="AS89" s="450">
        <v>484.9386876011979</v>
      </c>
      <c r="AT89" s="446">
        <v>3398</v>
      </c>
      <c r="AU89" s="446">
        <v>95</v>
      </c>
      <c r="AV89" s="446">
        <v>473</v>
      </c>
      <c r="AW89" s="446">
        <v>123</v>
      </c>
      <c r="AX89" s="446">
        <v>14</v>
      </c>
      <c r="AY89" s="446">
        <v>590</v>
      </c>
      <c r="AZ89" s="446">
        <v>144</v>
      </c>
      <c r="BA89" s="446">
        <v>122</v>
      </c>
      <c r="BB89" s="446">
        <v>133</v>
      </c>
      <c r="BC89" s="446">
        <v>18</v>
      </c>
      <c r="BD89" s="446">
        <v>911</v>
      </c>
      <c r="BE89" s="446">
        <v>72</v>
      </c>
      <c r="BF89" s="446">
        <v>0</v>
      </c>
      <c r="BG89" s="446">
        <v>689</v>
      </c>
      <c r="BH89" s="446">
        <v>0</v>
      </c>
      <c r="BI89" s="446">
        <v>14</v>
      </c>
      <c r="BJ89" s="448">
        <v>1.2682992300220786</v>
      </c>
      <c r="BK89" s="448">
        <v>10.713721131627153</v>
      </c>
      <c r="BL89" s="448">
        <v>6.112774368752145</v>
      </c>
      <c r="BM89" s="448">
        <v>9.201893525750018</v>
      </c>
      <c r="BN89" s="445">
        <v>3326</v>
      </c>
      <c r="BO89" s="445">
        <v>72</v>
      </c>
      <c r="BP89" s="443">
        <v>910775.8234726948</v>
      </c>
      <c r="BQ89" s="443">
        <v>3405571</v>
      </c>
      <c r="BR89" s="443">
        <v>4628317</v>
      </c>
      <c r="BS89" s="444">
        <v>0.07989994114184815</v>
      </c>
      <c r="BT89" s="445">
        <v>263</v>
      </c>
      <c r="BU89" s="445">
        <v>280</v>
      </c>
      <c r="BV89" s="443">
        <v>369802.2558858152</v>
      </c>
      <c r="BW89" s="444">
        <v>0.02439268940561275</v>
      </c>
      <c r="BX89" s="443">
        <v>11442.967116948967</v>
      </c>
      <c r="BY89" s="443">
        <v>4697592.046475459</v>
      </c>
      <c r="BZ89" s="451">
        <v>0.9166666666666666</v>
      </c>
      <c r="CA89" s="443">
        <v>4306126.042602504</v>
      </c>
      <c r="CB89" s="443">
        <v>3150955.1941870446</v>
      </c>
      <c r="CC89" s="443">
        <v>3150955.1941870446</v>
      </c>
      <c r="CD89" s="443">
        <v>3110492.875840767</v>
      </c>
      <c r="CE89" s="443">
        <v>3128561.8373831</v>
      </c>
      <c r="CF89" s="450">
        <v>920.7068385471159</v>
      </c>
      <c r="CG89" s="446">
        <v>3398</v>
      </c>
      <c r="CH89" s="446">
        <v>95</v>
      </c>
      <c r="CI89" s="446">
        <v>473</v>
      </c>
      <c r="CJ89" s="446">
        <v>123</v>
      </c>
      <c r="CK89" s="446">
        <v>14</v>
      </c>
      <c r="CL89" s="446">
        <v>590</v>
      </c>
      <c r="CM89" s="446">
        <v>144</v>
      </c>
      <c r="CN89" s="446">
        <v>122</v>
      </c>
      <c r="CO89" s="446">
        <v>133</v>
      </c>
      <c r="CP89" s="446">
        <v>18</v>
      </c>
      <c r="CQ89" s="446">
        <v>911</v>
      </c>
      <c r="CR89" s="446">
        <v>72</v>
      </c>
      <c r="CS89" s="446">
        <v>0</v>
      </c>
      <c r="CT89" s="446">
        <v>689</v>
      </c>
      <c r="CU89" s="446">
        <v>0</v>
      </c>
      <c r="CV89" s="446">
        <v>14</v>
      </c>
      <c r="CW89" s="443">
        <v>2314373.874342873</v>
      </c>
      <c r="CX89" s="448">
        <v>0.8949082908630555</v>
      </c>
      <c r="CY89" s="448">
        <v>0.9166666666666666</v>
      </c>
      <c r="CZ89" s="443">
        <v>2071152.3683062885</v>
      </c>
      <c r="DA89" s="450">
        <v>609.5210030330454</v>
      </c>
      <c r="DB89" s="445">
        <v>3398</v>
      </c>
      <c r="DC89" s="448">
        <v>1.0161859917598588</v>
      </c>
      <c r="DD89" s="450">
        <v>303.1</v>
      </c>
      <c r="DE89" s="443">
        <v>35991</v>
      </c>
      <c r="DF89" s="450">
        <v>49.07390169650563</v>
      </c>
      <c r="DG89" s="450">
        <v>51.18407946945537</v>
      </c>
      <c r="DH89" s="450">
        <v>52.31012921778338</v>
      </c>
      <c r="DI89" s="450">
        <v>53.4609520605746</v>
      </c>
      <c r="DJ89" s="450">
        <v>55.225163478573556</v>
      </c>
      <c r="DK89" s="450">
        <v>57.21326936380219</v>
      </c>
      <c r="DL89" s="450">
        <v>59.04409398344385</v>
      </c>
      <c r="DM89" s="450">
        <v>61.464901836765044</v>
      </c>
      <c r="DN89" s="450">
        <v>64.1693575175827</v>
      </c>
      <c r="DO89" s="450">
        <v>67.69867218104974</v>
      </c>
      <c r="DP89" s="450">
        <v>67.0893841314203</v>
      </c>
      <c r="DQ89" s="450">
        <v>70.51094272212273</v>
      </c>
      <c r="DR89" s="450">
        <v>38.21</v>
      </c>
      <c r="DS89" s="450">
        <v>40.37657092177833</v>
      </c>
      <c r="DT89" s="450">
        <v>42.61997732411491</v>
      </c>
      <c r="DU89" s="450">
        <v>45.42627743865606</v>
      </c>
      <c r="DV89" s="450">
        <v>48.511858560355456</v>
      </c>
      <c r="DW89" s="450">
        <v>51.560880692479664</v>
      </c>
      <c r="DX89" s="450">
        <v>55.23288180805007</v>
      </c>
      <c r="DY89" s="450">
        <v>58.3860429309352</v>
      </c>
      <c r="DZ89" s="450">
        <v>60.19406775387185</v>
      </c>
      <c r="EA89" s="450">
        <v>62.07481723116626</v>
      </c>
      <c r="EB89" s="450">
        <v>66.29469487238913</v>
      </c>
      <c r="EC89" s="450">
        <v>-1.31</v>
      </c>
      <c r="ED89" s="450">
        <v>64.98469487238913</v>
      </c>
      <c r="EE89" s="450">
        <v>3379.2041333642346</v>
      </c>
      <c r="EF89" s="443">
        <v>11252884.932268234</v>
      </c>
      <c r="EG89" s="450">
        <v>39.49</v>
      </c>
      <c r="EH89" s="450">
        <v>41.553914921778336</v>
      </c>
      <c r="EI89" s="450">
        <v>43.68952894011491</v>
      </c>
      <c r="EJ89" s="450">
        <v>46.39301840556806</v>
      </c>
      <c r="EK89" s="450">
        <v>49.37032453897331</v>
      </c>
      <c r="EL89" s="450">
        <v>52.29916143409101</v>
      </c>
      <c r="EM89" s="450">
        <v>55.847722009664</v>
      </c>
      <c r="EN89" s="450">
        <v>58.956614638032924</v>
      </c>
      <c r="EO89" s="450">
        <v>60.738202971874045</v>
      </c>
      <c r="EP89" s="450">
        <v>62.43840767486435</v>
      </c>
      <c r="EQ89" s="450">
        <v>66.6004017174505</v>
      </c>
      <c r="ER89" s="443">
        <v>4226649</v>
      </c>
      <c r="ES89" s="443">
        <v>0</v>
      </c>
      <c r="ET89" s="443">
        <v>0</v>
      </c>
      <c r="EU89" s="443">
        <v>35810</v>
      </c>
      <c r="EV89" s="443">
        <v>0</v>
      </c>
      <c r="EW89" s="443">
        <v>0</v>
      </c>
      <c r="EX89" s="443">
        <v>0</v>
      </c>
      <c r="EY89" s="443">
        <v>0</v>
      </c>
      <c r="EZ89" s="443">
        <v>0</v>
      </c>
      <c r="FA89" s="443">
        <v>4262459</v>
      </c>
      <c r="FB89" s="443">
        <v>41243.13414042772</v>
      </c>
      <c r="FC89" s="443">
        <v>0</v>
      </c>
      <c r="FD89" s="443">
        <v>0</v>
      </c>
      <c r="FE89" s="443">
        <v>6461</v>
      </c>
      <c r="FF89" s="452">
        <v>0.0313</v>
      </c>
      <c r="FG89" s="443">
        <v>202.22930000000002</v>
      </c>
      <c r="FH89" s="453">
        <v>202.22930000000002</v>
      </c>
    </row>
    <row r="90" spans="2:164" ht="12.75">
      <c r="B90" s="356" t="s">
        <v>778</v>
      </c>
      <c r="C90" s="442">
        <v>13419</v>
      </c>
      <c r="D90" s="443">
        <v>3157427</v>
      </c>
      <c r="E90" s="443">
        <v>2709072.366</v>
      </c>
      <c r="F90" s="443">
        <v>594089.083700531</v>
      </c>
      <c r="G90" s="443">
        <v>448354.634</v>
      </c>
      <c r="H90" s="444">
        <v>0.650089425441538</v>
      </c>
      <c r="I90" s="445">
        <v>8172.87</v>
      </c>
      <c r="J90" s="445">
        <v>550.68</v>
      </c>
      <c r="K90" s="443">
        <v>3303161.449700531</v>
      </c>
      <c r="L90" s="443">
        <v>2642529.159760425</v>
      </c>
      <c r="M90" s="443">
        <v>1150235.6973068514</v>
      </c>
      <c r="N90" s="443">
        <v>660632.2899401061</v>
      </c>
      <c r="O90" s="446">
        <v>1.7411133467471496</v>
      </c>
      <c r="P90" s="447">
        <v>0.42991281019450034</v>
      </c>
      <c r="Q90" s="448">
        <v>0.5700871898054997</v>
      </c>
      <c r="R90" s="443">
        <v>3792764.8570672763</v>
      </c>
      <c r="S90" s="443">
        <v>2563909.043377479</v>
      </c>
      <c r="T90" s="443">
        <v>224237.89041414313</v>
      </c>
      <c r="U90" s="443">
        <v>1141796.3240174141</v>
      </c>
      <c r="V90" s="443">
        <v>864750.387411339</v>
      </c>
      <c r="W90" s="446">
        <v>1.3203767707296692</v>
      </c>
      <c r="X90" s="448">
        <v>24.653382525542984</v>
      </c>
      <c r="Y90" s="443">
        <v>224237.89041414313</v>
      </c>
      <c r="Z90" s="443">
        <v>364105.4262784585</v>
      </c>
      <c r="AA90" s="444">
        <v>0.6158597873865569</v>
      </c>
      <c r="AB90" s="444">
        <v>0.05052537446903644</v>
      </c>
      <c r="AC90" s="445">
        <v>684</v>
      </c>
      <c r="AD90" s="445">
        <v>672</v>
      </c>
      <c r="AE90" s="443">
        <v>3929943.2578090364</v>
      </c>
      <c r="AF90" s="443">
        <v>135540.65708270605</v>
      </c>
      <c r="AG90" s="447">
        <v>0.5</v>
      </c>
      <c r="AH90" s="446">
        <v>0.1529582376032151</v>
      </c>
      <c r="AI90" s="448">
        <v>0.1288076490163803</v>
      </c>
      <c r="AJ90" s="443">
        <v>4065483.9148917426</v>
      </c>
      <c r="AK90" s="449">
        <v>1.141284291320443</v>
      </c>
      <c r="AL90" s="443">
        <v>4639872.928681883</v>
      </c>
      <c r="AM90" s="443">
        <v>10341188.967880893</v>
      </c>
      <c r="AN90" s="443">
        <v>10214898.79796462</v>
      </c>
      <c r="AO90" s="443">
        <v>10043332.607656464</v>
      </c>
      <c r="AP90" s="443">
        <v>10214898.79796462</v>
      </c>
      <c r="AQ90" s="443">
        <v>53676</v>
      </c>
      <c r="AR90" s="443">
        <v>10268574.79796462</v>
      </c>
      <c r="AS90" s="450">
        <v>765.2265293959773</v>
      </c>
      <c r="AT90" s="446">
        <v>13418</v>
      </c>
      <c r="AU90" s="446">
        <v>489</v>
      </c>
      <c r="AV90" s="446">
        <v>777</v>
      </c>
      <c r="AW90" s="446">
        <v>546</v>
      </c>
      <c r="AX90" s="446">
        <v>183</v>
      </c>
      <c r="AY90" s="446">
        <v>809</v>
      </c>
      <c r="AZ90" s="446">
        <v>203</v>
      </c>
      <c r="BA90" s="446">
        <v>647</v>
      </c>
      <c r="BB90" s="446">
        <v>240</v>
      </c>
      <c r="BC90" s="446">
        <v>574</v>
      </c>
      <c r="BD90" s="446">
        <v>959</v>
      </c>
      <c r="BE90" s="446">
        <v>5828</v>
      </c>
      <c r="BF90" s="446">
        <v>1822</v>
      </c>
      <c r="BG90" s="446">
        <v>312</v>
      </c>
      <c r="BH90" s="446">
        <v>20</v>
      </c>
      <c r="BI90" s="446">
        <v>9</v>
      </c>
      <c r="BJ90" s="448">
        <v>2.0634590855535886</v>
      </c>
      <c r="BK90" s="448">
        <v>18.808923182346437</v>
      </c>
      <c r="BL90" s="448">
        <v>8.505394219111054</v>
      </c>
      <c r="BM90" s="448">
        <v>20.607057926470766</v>
      </c>
      <c r="BN90" s="445">
        <v>5768</v>
      </c>
      <c r="BO90" s="445">
        <v>7650</v>
      </c>
      <c r="BP90" s="443">
        <v>5347231.366630885</v>
      </c>
      <c r="BQ90" s="443">
        <v>16169200</v>
      </c>
      <c r="BR90" s="443">
        <v>17856400</v>
      </c>
      <c r="BS90" s="444">
        <v>0.05052913996124609</v>
      </c>
      <c r="BT90" s="445">
        <v>684</v>
      </c>
      <c r="BU90" s="445">
        <v>672</v>
      </c>
      <c r="BV90" s="443">
        <v>902268.5348039947</v>
      </c>
      <c r="BW90" s="444">
        <v>0.014116896253889797</v>
      </c>
      <c r="BX90" s="443">
        <v>45909.88394769871</v>
      </c>
      <c r="BY90" s="443">
        <v>22464609.78538258</v>
      </c>
      <c r="BZ90" s="451">
        <v>1.1533333333333333</v>
      </c>
      <c r="CA90" s="443">
        <v>25909183.285807908</v>
      </c>
      <c r="CB90" s="443">
        <v>18958728.7608099</v>
      </c>
      <c r="CC90" s="443">
        <v>18958728.7608099</v>
      </c>
      <c r="CD90" s="443">
        <v>17845399.33539459</v>
      </c>
      <c r="CE90" s="443">
        <v>18823991.974176675</v>
      </c>
      <c r="CF90" s="450">
        <v>1402.8910399595077</v>
      </c>
      <c r="CG90" s="446">
        <v>13418</v>
      </c>
      <c r="CH90" s="446">
        <v>489</v>
      </c>
      <c r="CI90" s="446">
        <v>777</v>
      </c>
      <c r="CJ90" s="446">
        <v>546</v>
      </c>
      <c r="CK90" s="446">
        <v>183</v>
      </c>
      <c r="CL90" s="446">
        <v>809</v>
      </c>
      <c r="CM90" s="446">
        <v>203</v>
      </c>
      <c r="CN90" s="446">
        <v>647</v>
      </c>
      <c r="CO90" s="446">
        <v>240</v>
      </c>
      <c r="CP90" s="446">
        <v>574</v>
      </c>
      <c r="CQ90" s="446">
        <v>959</v>
      </c>
      <c r="CR90" s="446">
        <v>5828</v>
      </c>
      <c r="CS90" s="446">
        <v>1822</v>
      </c>
      <c r="CT90" s="446">
        <v>312</v>
      </c>
      <c r="CU90" s="446">
        <v>20</v>
      </c>
      <c r="CV90" s="446">
        <v>9</v>
      </c>
      <c r="CW90" s="443">
        <v>10204247.890634825</v>
      </c>
      <c r="CX90" s="448">
        <v>1.1259573405040626</v>
      </c>
      <c r="CY90" s="448">
        <v>1.1533333333333333</v>
      </c>
      <c r="CZ90" s="443">
        <v>11489547.816783378</v>
      </c>
      <c r="DA90" s="450">
        <v>856.2787164095527</v>
      </c>
      <c r="DB90" s="445">
        <v>13419</v>
      </c>
      <c r="DC90" s="448">
        <v>0.9977345554810345</v>
      </c>
      <c r="DD90" s="450">
        <v>354.1</v>
      </c>
      <c r="DE90" s="443">
        <v>65394</v>
      </c>
      <c r="DF90" s="450">
        <v>64.23137176473007</v>
      </c>
      <c r="DG90" s="450">
        <v>66.99332075061346</v>
      </c>
      <c r="DH90" s="450">
        <v>68.46717380712694</v>
      </c>
      <c r="DI90" s="450">
        <v>69.97345163088372</v>
      </c>
      <c r="DJ90" s="450">
        <v>72.28257553470287</v>
      </c>
      <c r="DK90" s="450">
        <v>74.88474825395217</v>
      </c>
      <c r="DL90" s="450">
        <v>77.28106019807862</v>
      </c>
      <c r="DM90" s="450">
        <v>80.44958366619984</v>
      </c>
      <c r="DN90" s="450">
        <v>83.98936534751262</v>
      </c>
      <c r="DO90" s="450">
        <v>88.60878044162581</v>
      </c>
      <c r="DP90" s="450">
        <v>87.81130141765118</v>
      </c>
      <c r="DQ90" s="450">
        <v>92.28967778995138</v>
      </c>
      <c r="DR90" s="450">
        <v>50.77</v>
      </c>
      <c r="DS90" s="450">
        <v>53.54496338071269</v>
      </c>
      <c r="DT90" s="450">
        <v>56.41745247017673</v>
      </c>
      <c r="DU90" s="450">
        <v>60.02964679331885</v>
      </c>
      <c r="DV90" s="450">
        <v>64.00414753160315</v>
      </c>
      <c r="DW90" s="450">
        <v>67.92374357685847</v>
      </c>
      <c r="DX90" s="450">
        <v>72.6568103840477</v>
      </c>
      <c r="DY90" s="450">
        <v>76.75767174167544</v>
      </c>
      <c r="DZ90" s="450">
        <v>79.10848498041953</v>
      </c>
      <c r="EA90" s="450">
        <v>81.46321636870827</v>
      </c>
      <c r="EB90" s="450">
        <v>86.95220788080019</v>
      </c>
      <c r="EC90" s="450">
        <v>-3.93</v>
      </c>
      <c r="ED90" s="450">
        <v>83.02220788080018</v>
      </c>
      <c r="EE90" s="450">
        <v>4317.154809801609</v>
      </c>
      <c r="EF90" s="443">
        <v>56773262.384873234</v>
      </c>
      <c r="EG90" s="450">
        <v>57.93</v>
      </c>
      <c r="EH90" s="450">
        <v>60.13073138071269</v>
      </c>
      <c r="EI90" s="450">
        <v>62.40025682217673</v>
      </c>
      <c r="EJ90" s="450">
        <v>65.43735407698284</v>
      </c>
      <c r="EK90" s="450">
        <v>68.80619159949677</v>
      </c>
      <c r="EL90" s="450">
        <v>72.05350147524697</v>
      </c>
      <c r="EM90" s="450">
        <v>76.09607276182565</v>
      </c>
      <c r="EN90" s="450">
        <v>79.94930722825337</v>
      </c>
      <c r="EO90" s="450">
        <v>82.15224135611935</v>
      </c>
      <c r="EP90" s="450">
        <v>83.49705041314454</v>
      </c>
      <c r="EQ90" s="450">
        <v>88.6622555453622</v>
      </c>
      <c r="ER90" s="443">
        <v>164486906</v>
      </c>
      <c r="ES90" s="443">
        <v>0</v>
      </c>
      <c r="ET90" s="443">
        <v>0</v>
      </c>
      <c r="EU90" s="443">
        <v>0</v>
      </c>
      <c r="EV90" s="443">
        <v>0</v>
      </c>
      <c r="EW90" s="443">
        <v>0</v>
      </c>
      <c r="EX90" s="443">
        <v>0</v>
      </c>
      <c r="EY90" s="443">
        <v>0</v>
      </c>
      <c r="EZ90" s="443">
        <v>99650000</v>
      </c>
      <c r="FA90" s="443">
        <v>264136906</v>
      </c>
      <c r="FB90" s="443">
        <v>164214.8346679966</v>
      </c>
      <c r="FC90" s="443">
        <v>0</v>
      </c>
      <c r="FD90" s="443">
        <v>0</v>
      </c>
      <c r="FE90" s="443">
        <v>146632</v>
      </c>
      <c r="FF90" s="452">
        <v>0.0621</v>
      </c>
      <c r="FG90" s="443">
        <v>9105.8472</v>
      </c>
      <c r="FH90" s="453">
        <v>9105.8472</v>
      </c>
    </row>
    <row r="91" spans="2:164" ht="12.75">
      <c r="B91" s="356" t="s">
        <v>779</v>
      </c>
      <c r="C91" s="442">
        <v>8187</v>
      </c>
      <c r="D91" s="443">
        <v>1938371</v>
      </c>
      <c r="E91" s="443">
        <v>1663122.318</v>
      </c>
      <c r="F91" s="443">
        <v>240318.29799114718</v>
      </c>
      <c r="G91" s="443">
        <v>275248.68200000003</v>
      </c>
      <c r="H91" s="444">
        <v>0.4283559301331379</v>
      </c>
      <c r="I91" s="445">
        <v>2860.46</v>
      </c>
      <c r="J91" s="445">
        <v>646.49</v>
      </c>
      <c r="K91" s="443">
        <v>1903440.6159911472</v>
      </c>
      <c r="L91" s="443">
        <v>1522752.4927929179</v>
      </c>
      <c r="M91" s="443">
        <v>476559.96543715807</v>
      </c>
      <c r="N91" s="443">
        <v>380688.12319822935</v>
      </c>
      <c r="O91" s="446">
        <v>1.2518382802003176</v>
      </c>
      <c r="P91" s="447">
        <v>0.8062782459997557</v>
      </c>
      <c r="Q91" s="448">
        <v>0.1937217540002443</v>
      </c>
      <c r="R91" s="443">
        <v>1999312.458230076</v>
      </c>
      <c r="S91" s="443">
        <v>1351535.2217635314</v>
      </c>
      <c r="T91" s="443">
        <v>135163.8526871162</v>
      </c>
      <c r="U91" s="443">
        <v>607635.6917252053</v>
      </c>
      <c r="V91" s="443">
        <v>455843.24047645734</v>
      </c>
      <c r="W91" s="446">
        <v>1.3329926557429943</v>
      </c>
      <c r="X91" s="448">
        <v>24.888939713481008</v>
      </c>
      <c r="Y91" s="443">
        <v>135163.8526871162</v>
      </c>
      <c r="Z91" s="443">
        <v>191933.99599008728</v>
      </c>
      <c r="AA91" s="444">
        <v>0.7042204899130894</v>
      </c>
      <c r="AB91" s="444">
        <v>0.05777452058140955</v>
      </c>
      <c r="AC91" s="445">
        <v>458</v>
      </c>
      <c r="AD91" s="445">
        <v>488</v>
      </c>
      <c r="AE91" s="443">
        <v>2094334.766175853</v>
      </c>
      <c r="AF91" s="443">
        <v>62858.571417187515</v>
      </c>
      <c r="AG91" s="447">
        <v>0.25</v>
      </c>
      <c r="AH91" s="446">
        <v>0.2903451840495574</v>
      </c>
      <c r="AI91" s="448">
        <v>0.24450255930423737</v>
      </c>
      <c r="AJ91" s="443">
        <v>2157193.3375930404</v>
      </c>
      <c r="AK91" s="449">
        <v>1</v>
      </c>
      <c r="AL91" s="443">
        <v>2157193.3375930404</v>
      </c>
      <c r="AM91" s="443">
        <v>4807878.208561341</v>
      </c>
      <c r="AN91" s="443">
        <v>4749162.739983999</v>
      </c>
      <c r="AO91" s="443">
        <v>4541789.845204939</v>
      </c>
      <c r="AP91" s="443">
        <v>4749162.739983999</v>
      </c>
      <c r="AQ91" s="443">
        <v>32748</v>
      </c>
      <c r="AR91" s="443">
        <v>4781910.739983999</v>
      </c>
      <c r="AS91" s="450">
        <v>584.0858360796384</v>
      </c>
      <c r="AT91" s="446">
        <v>8187</v>
      </c>
      <c r="AU91" s="446">
        <v>401</v>
      </c>
      <c r="AV91" s="446">
        <v>1021</v>
      </c>
      <c r="AW91" s="446">
        <v>686</v>
      </c>
      <c r="AX91" s="446">
        <v>7</v>
      </c>
      <c r="AY91" s="446">
        <v>1583</v>
      </c>
      <c r="AZ91" s="446">
        <v>60</v>
      </c>
      <c r="BA91" s="446">
        <v>330</v>
      </c>
      <c r="BB91" s="446">
        <v>504</v>
      </c>
      <c r="BC91" s="446">
        <v>187</v>
      </c>
      <c r="BD91" s="446">
        <v>1441</v>
      </c>
      <c r="BE91" s="446">
        <v>1517</v>
      </c>
      <c r="BF91" s="446">
        <v>69</v>
      </c>
      <c r="BG91" s="446">
        <v>367</v>
      </c>
      <c r="BH91" s="446">
        <v>14</v>
      </c>
      <c r="BI91" s="446">
        <v>0</v>
      </c>
      <c r="BJ91" s="448">
        <v>1.6358988813110646</v>
      </c>
      <c r="BK91" s="448">
        <v>18.198538214381525</v>
      </c>
      <c r="BL91" s="448">
        <v>13.431633141098962</v>
      </c>
      <c r="BM91" s="448">
        <v>9.533810146565125</v>
      </c>
      <c r="BN91" s="445">
        <v>6601</v>
      </c>
      <c r="BO91" s="445">
        <v>1586</v>
      </c>
      <c r="BP91" s="443">
        <v>2850962.775404858</v>
      </c>
      <c r="BQ91" s="443">
        <v>8964071</v>
      </c>
      <c r="BR91" s="443">
        <v>11570492</v>
      </c>
      <c r="BS91" s="444">
        <v>0.05777452058140955</v>
      </c>
      <c r="BT91" s="445">
        <v>458</v>
      </c>
      <c r="BU91" s="445">
        <v>488</v>
      </c>
      <c r="BV91" s="443">
        <v>668479.6281910345</v>
      </c>
      <c r="BW91" s="444">
        <v>0.004959938276126089</v>
      </c>
      <c r="BX91" s="443">
        <v>9522.540291397141</v>
      </c>
      <c r="BY91" s="443">
        <v>12493035.94388729</v>
      </c>
      <c r="BZ91" s="451">
        <v>0.95</v>
      </c>
      <c r="CA91" s="443">
        <v>11868384.146692922</v>
      </c>
      <c r="CB91" s="443">
        <v>8684545.297477564</v>
      </c>
      <c r="CC91" s="443">
        <v>8684545.297477564</v>
      </c>
      <c r="CD91" s="443">
        <v>8604363.00256211</v>
      </c>
      <c r="CE91" s="443">
        <v>8622825.561860502</v>
      </c>
      <c r="CF91" s="450">
        <v>1053.233853897704</v>
      </c>
      <c r="CG91" s="446">
        <v>8187</v>
      </c>
      <c r="CH91" s="446">
        <v>401</v>
      </c>
      <c r="CI91" s="446">
        <v>1021</v>
      </c>
      <c r="CJ91" s="446">
        <v>686</v>
      </c>
      <c r="CK91" s="446">
        <v>7</v>
      </c>
      <c r="CL91" s="446">
        <v>1583</v>
      </c>
      <c r="CM91" s="446">
        <v>60</v>
      </c>
      <c r="CN91" s="446">
        <v>330</v>
      </c>
      <c r="CO91" s="446">
        <v>504</v>
      </c>
      <c r="CP91" s="446">
        <v>187</v>
      </c>
      <c r="CQ91" s="446">
        <v>1441</v>
      </c>
      <c r="CR91" s="446">
        <v>1517</v>
      </c>
      <c r="CS91" s="446">
        <v>69</v>
      </c>
      <c r="CT91" s="446">
        <v>367</v>
      </c>
      <c r="CU91" s="446">
        <v>14</v>
      </c>
      <c r="CV91" s="446">
        <v>0</v>
      </c>
      <c r="CW91" s="443">
        <v>5619057.378398451</v>
      </c>
      <c r="CX91" s="448">
        <v>0.9274504105308028</v>
      </c>
      <c r="CY91" s="448">
        <v>0.95</v>
      </c>
      <c r="CZ91" s="443">
        <v>5211397.07239178</v>
      </c>
      <c r="DA91" s="450">
        <v>636.5453856591889</v>
      </c>
      <c r="DB91" s="445">
        <v>8187</v>
      </c>
      <c r="DC91" s="448">
        <v>1.0230609502870405</v>
      </c>
      <c r="DD91" s="450">
        <v>304.3</v>
      </c>
      <c r="DE91" s="443">
        <v>40039</v>
      </c>
      <c r="DF91" s="450">
        <v>50.807339391405684</v>
      </c>
      <c r="DG91" s="450">
        <v>52.99205498523612</v>
      </c>
      <c r="DH91" s="450">
        <v>54.15788019491131</v>
      </c>
      <c r="DI91" s="450">
        <v>55.34935355919934</v>
      </c>
      <c r="DJ91" s="450">
        <v>57.17588222665292</v>
      </c>
      <c r="DK91" s="450">
        <v>59.234213986812414</v>
      </c>
      <c r="DL91" s="450">
        <v>61.1297088343904</v>
      </c>
      <c r="DM91" s="450">
        <v>63.6360268966004</v>
      </c>
      <c r="DN91" s="450">
        <v>66.4360120800508</v>
      </c>
      <c r="DO91" s="450">
        <v>70.0899927444536</v>
      </c>
      <c r="DP91" s="450">
        <v>69.45918280975351</v>
      </c>
      <c r="DQ91" s="450">
        <v>73.00160113305094</v>
      </c>
      <c r="DR91" s="450">
        <v>41.96</v>
      </c>
      <c r="DS91" s="450">
        <v>44.010596019491125</v>
      </c>
      <c r="DT91" s="450">
        <v>46.13110962383986</v>
      </c>
      <c r="DU91" s="450">
        <v>48.84374198957987</v>
      </c>
      <c r="DV91" s="450">
        <v>51.835273456291546</v>
      </c>
      <c r="DW91" s="450">
        <v>54.76661997814246</v>
      </c>
      <c r="DX91" s="450">
        <v>58.336846497117115</v>
      </c>
      <c r="DY91" s="450">
        <v>61.51837266933032</v>
      </c>
      <c r="DZ91" s="450">
        <v>63.34068758528159</v>
      </c>
      <c r="EA91" s="450">
        <v>64.94930589627772</v>
      </c>
      <c r="EB91" s="450">
        <v>69.20969662420049</v>
      </c>
      <c r="EC91" s="450">
        <v>-1.25</v>
      </c>
      <c r="ED91" s="450">
        <v>67.95969662420049</v>
      </c>
      <c r="EE91" s="450">
        <v>3533.9042244584252</v>
      </c>
      <c r="EF91" s="443">
        <v>28353432.407928307</v>
      </c>
      <c r="EG91" s="450">
        <v>42.16</v>
      </c>
      <c r="EH91" s="450">
        <v>44.194556019491124</v>
      </c>
      <c r="EI91" s="450">
        <v>46.29822706383985</v>
      </c>
      <c r="EJ91" s="450">
        <v>48.99479526565986</v>
      </c>
      <c r="EK91" s="450">
        <v>51.96940876545058</v>
      </c>
      <c r="EL91" s="450">
        <v>54.88197634401922</v>
      </c>
      <c r="EM91" s="450">
        <v>58.432915278619284</v>
      </c>
      <c r="EN91" s="450">
        <v>61.60752449856433</v>
      </c>
      <c r="EO91" s="450">
        <v>63.42570871309442</v>
      </c>
      <c r="EP91" s="450">
        <v>65.00611690310555</v>
      </c>
      <c r="EQ91" s="450">
        <v>69.25746331874133</v>
      </c>
      <c r="ER91" s="443">
        <v>44624922</v>
      </c>
      <c r="ES91" s="443">
        <v>1314000</v>
      </c>
      <c r="ET91" s="443">
        <v>0</v>
      </c>
      <c r="EU91" s="443">
        <v>0</v>
      </c>
      <c r="EV91" s="443">
        <v>0</v>
      </c>
      <c r="EW91" s="443">
        <v>0</v>
      </c>
      <c r="EX91" s="443">
        <v>0</v>
      </c>
      <c r="EY91" s="443">
        <v>0</v>
      </c>
      <c r="EZ91" s="443">
        <v>0</v>
      </c>
      <c r="FA91" s="443">
        <v>45281922</v>
      </c>
      <c r="FB91" s="443">
        <v>60653.40389979999</v>
      </c>
      <c r="FC91" s="443">
        <v>0</v>
      </c>
      <c r="FD91" s="443">
        <v>0</v>
      </c>
      <c r="FE91" s="443">
        <v>6429</v>
      </c>
      <c r="FF91" s="452">
        <v>0.0575</v>
      </c>
      <c r="FG91" s="443">
        <v>369.6675</v>
      </c>
      <c r="FH91" s="453">
        <v>369.6675</v>
      </c>
    </row>
    <row r="92" spans="2:164" ht="12.75">
      <c r="B92" s="356" t="s">
        <v>780</v>
      </c>
      <c r="C92" s="442">
        <v>108</v>
      </c>
      <c r="D92" s="443">
        <v>37944</v>
      </c>
      <c r="E92" s="443">
        <v>32555.952</v>
      </c>
      <c r="F92" s="443">
        <v>4596.2425949225435</v>
      </c>
      <c r="G92" s="443">
        <v>5388.048000000001</v>
      </c>
      <c r="H92" s="444">
        <v>0.41851851851851857</v>
      </c>
      <c r="I92" s="445">
        <v>36.49</v>
      </c>
      <c r="J92" s="445">
        <v>8.71</v>
      </c>
      <c r="K92" s="443">
        <v>37152.19459492255</v>
      </c>
      <c r="L92" s="443">
        <v>29721.75567593804</v>
      </c>
      <c r="M92" s="443">
        <v>7430.438918984508</v>
      </c>
      <c r="N92" s="443">
        <v>7430.438918984508</v>
      </c>
      <c r="O92" s="446">
        <v>1</v>
      </c>
      <c r="P92" s="447">
        <v>1</v>
      </c>
      <c r="Q92" s="448">
        <v>0</v>
      </c>
      <c r="R92" s="443">
        <v>37152.19459492255</v>
      </c>
      <c r="S92" s="443">
        <v>25114.883546167643</v>
      </c>
      <c r="T92" s="443">
        <v>3421.55230034686</v>
      </c>
      <c r="U92" s="443">
        <v>2920.661954110251</v>
      </c>
      <c r="V92" s="443">
        <v>8470.700367642341</v>
      </c>
      <c r="W92" s="446">
        <v>0.34479580522845976</v>
      </c>
      <c r="X92" s="448">
        <v>6.437846429850727</v>
      </c>
      <c r="Y92" s="443">
        <v>3421.55230034686</v>
      </c>
      <c r="Z92" s="443">
        <v>3566.6106811125646</v>
      </c>
      <c r="AA92" s="444">
        <v>0.9593287875422234</v>
      </c>
      <c r="AB92" s="444">
        <v>0.0787037037037037</v>
      </c>
      <c r="AC92" s="445">
        <v>8</v>
      </c>
      <c r="AD92" s="445">
        <v>9</v>
      </c>
      <c r="AE92" s="443">
        <v>31457.097800624753</v>
      </c>
      <c r="AF92" s="443">
        <v>229.5</v>
      </c>
      <c r="AG92" s="447">
        <v>0.25</v>
      </c>
      <c r="AH92" s="446">
        <v>0</v>
      </c>
      <c r="AI92" s="448">
        <v>0</v>
      </c>
      <c r="AJ92" s="443">
        <v>31686.597800624753</v>
      </c>
      <c r="AK92" s="449">
        <v>1.5</v>
      </c>
      <c r="AL92" s="443">
        <v>47529.896700937126</v>
      </c>
      <c r="AM92" s="443">
        <v>105932.99664951849</v>
      </c>
      <c r="AN92" s="443">
        <v>104639.30632163066</v>
      </c>
      <c r="AO92" s="443">
        <v>103330.08</v>
      </c>
      <c r="AP92" s="443">
        <v>104639.30632163066</v>
      </c>
      <c r="AQ92" s="443">
        <v>432</v>
      </c>
      <c r="AR92" s="443">
        <v>105071.30632163066</v>
      </c>
      <c r="AS92" s="450">
        <v>972.8824659410246</v>
      </c>
      <c r="AT92" s="446">
        <v>108</v>
      </c>
      <c r="AU92" s="446">
        <v>0</v>
      </c>
      <c r="AV92" s="446">
        <v>1</v>
      </c>
      <c r="AW92" s="446">
        <v>0</v>
      </c>
      <c r="AX92" s="446">
        <v>24</v>
      </c>
      <c r="AY92" s="446">
        <v>2</v>
      </c>
      <c r="AZ92" s="446">
        <v>17</v>
      </c>
      <c r="BA92" s="446">
        <v>6</v>
      </c>
      <c r="BB92" s="446">
        <v>10</v>
      </c>
      <c r="BC92" s="446">
        <v>0</v>
      </c>
      <c r="BD92" s="446">
        <v>41</v>
      </c>
      <c r="BE92" s="446">
        <v>0</v>
      </c>
      <c r="BF92" s="446">
        <v>0</v>
      </c>
      <c r="BG92" s="446">
        <v>7</v>
      </c>
      <c r="BH92" s="446">
        <v>0</v>
      </c>
      <c r="BI92" s="446">
        <v>0</v>
      </c>
      <c r="BJ92" s="448">
        <v>1.0341622661679988</v>
      </c>
      <c r="BK92" s="448">
        <v>1.4337756960707781</v>
      </c>
      <c r="BL92" s="448">
        <v>0.5555555555555556</v>
      </c>
      <c r="BM92" s="448">
        <v>1.756440281030445</v>
      </c>
      <c r="BN92" s="445">
        <v>108</v>
      </c>
      <c r="BO92" s="445">
        <v>0</v>
      </c>
      <c r="BP92" s="443">
        <v>19297.467886694856</v>
      </c>
      <c r="BQ92" s="443">
        <v>106684</v>
      </c>
      <c r="BR92" s="443">
        <v>148964</v>
      </c>
      <c r="BS92" s="444">
        <v>0.0787037037037037</v>
      </c>
      <c r="BT92" s="445">
        <v>8</v>
      </c>
      <c r="BU92" s="445">
        <v>9</v>
      </c>
      <c r="BV92" s="443">
        <v>11724.018518518518</v>
      </c>
      <c r="BW92" s="444">
        <v>0.009352690623312737</v>
      </c>
      <c r="BX92" s="443">
        <v>18.661940054900253</v>
      </c>
      <c r="BY92" s="443">
        <v>137724.14834526827</v>
      </c>
      <c r="BZ92" s="451">
        <v>0.9966666666666667</v>
      </c>
      <c r="CA92" s="443">
        <v>137265.06785078405</v>
      </c>
      <c r="CB92" s="443">
        <v>100442.03867833473</v>
      </c>
      <c r="CC92" s="443">
        <v>100442.03867833473</v>
      </c>
      <c r="CD92" s="443">
        <v>92968.24381355377</v>
      </c>
      <c r="CE92" s="443">
        <v>99728.21246640098</v>
      </c>
      <c r="CF92" s="450">
        <v>923.409374688898</v>
      </c>
      <c r="CG92" s="446">
        <v>108</v>
      </c>
      <c r="CH92" s="446">
        <v>0</v>
      </c>
      <c r="CI92" s="446">
        <v>1</v>
      </c>
      <c r="CJ92" s="446">
        <v>0</v>
      </c>
      <c r="CK92" s="446">
        <v>24</v>
      </c>
      <c r="CL92" s="446">
        <v>2</v>
      </c>
      <c r="CM92" s="446">
        <v>17</v>
      </c>
      <c r="CN92" s="446">
        <v>6</v>
      </c>
      <c r="CO92" s="446">
        <v>10</v>
      </c>
      <c r="CP92" s="446">
        <v>0</v>
      </c>
      <c r="CQ92" s="446">
        <v>41</v>
      </c>
      <c r="CR92" s="446">
        <v>0</v>
      </c>
      <c r="CS92" s="446">
        <v>7</v>
      </c>
      <c r="CT92" s="446">
        <v>0</v>
      </c>
      <c r="CU92" s="446">
        <v>0</v>
      </c>
      <c r="CV92" s="446">
        <v>0</v>
      </c>
      <c r="CW92" s="443">
        <v>81506.36258978263</v>
      </c>
      <c r="CX92" s="448">
        <v>0.9730093780656495</v>
      </c>
      <c r="CY92" s="448">
        <v>0.9966666666666667</v>
      </c>
      <c r="CZ92" s="443">
        <v>79306.45517187771</v>
      </c>
      <c r="DA92" s="450">
        <v>734.319029369238</v>
      </c>
      <c r="DB92" s="445">
        <v>108</v>
      </c>
      <c r="DC92" s="448">
        <v>0.9731481481481481</v>
      </c>
      <c r="DD92" s="450">
        <v>255.5</v>
      </c>
      <c r="DE92" s="443">
        <v>56481</v>
      </c>
      <c r="DF92" s="450">
        <v>48.64872346644151</v>
      </c>
      <c r="DG92" s="450">
        <v>50.740618575498495</v>
      </c>
      <c r="DH92" s="450">
        <v>51.85691218415945</v>
      </c>
      <c r="DI92" s="450">
        <v>52.99776425221094</v>
      </c>
      <c r="DJ92" s="450">
        <v>54.7466904725339</v>
      </c>
      <c r="DK92" s="450">
        <v>56.71757132954511</v>
      </c>
      <c r="DL92" s="450">
        <v>58.53253361209054</v>
      </c>
      <c r="DM92" s="450">
        <v>60.932367490186245</v>
      </c>
      <c r="DN92" s="450">
        <v>63.61339165975443</v>
      </c>
      <c r="DO92" s="450">
        <v>67.11212820104092</v>
      </c>
      <c r="DP92" s="450">
        <v>66.50811904723155</v>
      </c>
      <c r="DQ92" s="450">
        <v>69.90003311864035</v>
      </c>
      <c r="DR92" s="450">
        <v>52.46</v>
      </c>
      <c r="DS92" s="450">
        <v>53.43839921841594</v>
      </c>
      <c r="DT92" s="450">
        <v>54.434457362442174</v>
      </c>
      <c r="DU92" s="450">
        <v>56.04528145754415</v>
      </c>
      <c r="DV92" s="450">
        <v>57.87072012423421</v>
      </c>
      <c r="DW92" s="450">
        <v>59.52424157552317</v>
      </c>
      <c r="DX92" s="450">
        <v>61.75826188213294</v>
      </c>
      <c r="DY92" s="450">
        <v>64.37982165548097</v>
      </c>
      <c r="DZ92" s="450">
        <v>65.8710317988464</v>
      </c>
      <c r="EA92" s="450">
        <v>65.6788200483489</v>
      </c>
      <c r="EB92" s="450">
        <v>69.20275852037982</v>
      </c>
      <c r="EC92" s="450">
        <v>0</v>
      </c>
      <c r="ED92" s="450">
        <v>69.20275852037982</v>
      </c>
      <c r="EE92" s="450">
        <v>3598.5434430597506</v>
      </c>
      <c r="EF92" s="443">
        <v>380869.83801344404</v>
      </c>
      <c r="EG92" s="450">
        <v>52.46</v>
      </c>
      <c r="EH92" s="450">
        <v>53.43839921841594</v>
      </c>
      <c r="EI92" s="450">
        <v>54.434457362442174</v>
      </c>
      <c r="EJ92" s="450">
        <v>56.04528145754415</v>
      </c>
      <c r="EK92" s="450">
        <v>57.87072012423421</v>
      </c>
      <c r="EL92" s="450">
        <v>59.52424157552317</v>
      </c>
      <c r="EM92" s="450">
        <v>61.75826188213294</v>
      </c>
      <c r="EN92" s="450">
        <v>64.37982165548097</v>
      </c>
      <c r="EO92" s="450">
        <v>65.8710317988464</v>
      </c>
      <c r="EP92" s="450">
        <v>65.6788200483489</v>
      </c>
      <c r="EQ92" s="450">
        <v>69.20275852037982</v>
      </c>
      <c r="ER92" s="443">
        <v>797604</v>
      </c>
      <c r="ES92" s="443">
        <v>22000</v>
      </c>
      <c r="ET92" s="443">
        <v>0</v>
      </c>
      <c r="EU92" s="443">
        <v>0</v>
      </c>
      <c r="EV92" s="443">
        <v>0</v>
      </c>
      <c r="EW92" s="443">
        <v>0</v>
      </c>
      <c r="EX92" s="443">
        <v>0</v>
      </c>
      <c r="EY92" s="443">
        <v>0</v>
      </c>
      <c r="EZ92" s="443">
        <v>0</v>
      </c>
      <c r="FA92" s="443">
        <v>808604</v>
      </c>
      <c r="FB92" s="443">
        <v>39608.78175361669</v>
      </c>
      <c r="FC92" s="443">
        <v>0</v>
      </c>
      <c r="FD92" s="443">
        <v>0</v>
      </c>
      <c r="FE92" s="443">
        <v>0</v>
      </c>
      <c r="FF92" s="452">
        <v>0</v>
      </c>
      <c r="FG92" s="443">
        <v>0</v>
      </c>
      <c r="FH92" s="453">
        <v>0</v>
      </c>
    </row>
    <row r="93" spans="2:164" ht="12.75">
      <c r="B93" s="356" t="s">
        <v>781</v>
      </c>
      <c r="C93" s="442">
        <v>25927</v>
      </c>
      <c r="D93" s="443">
        <v>6071791</v>
      </c>
      <c r="E93" s="443">
        <v>5209596.678</v>
      </c>
      <c r="F93" s="443">
        <v>1438206.699628469</v>
      </c>
      <c r="G93" s="443">
        <v>862194.322</v>
      </c>
      <c r="H93" s="444">
        <v>0.818388166775948</v>
      </c>
      <c r="I93" s="445">
        <v>20900.76</v>
      </c>
      <c r="J93" s="445">
        <v>317.59</v>
      </c>
      <c r="K93" s="443">
        <v>6647803.37762847</v>
      </c>
      <c r="L93" s="443">
        <v>5318242.702102777</v>
      </c>
      <c r="M93" s="443">
        <v>2865393.764413309</v>
      </c>
      <c r="N93" s="443">
        <v>1329560.6755256937</v>
      </c>
      <c r="O93" s="446">
        <v>2.15514328692097</v>
      </c>
      <c r="P93" s="447">
        <v>0.11142824083002276</v>
      </c>
      <c r="Q93" s="448">
        <v>0.8885717591699772</v>
      </c>
      <c r="R93" s="443">
        <v>8183636.466516085</v>
      </c>
      <c r="S93" s="443">
        <v>5532138.251364874</v>
      </c>
      <c r="T93" s="443">
        <v>487910.7856345527</v>
      </c>
      <c r="U93" s="443">
        <v>3017831.4315017182</v>
      </c>
      <c r="V93" s="443">
        <v>1865869.1143656673</v>
      </c>
      <c r="W93" s="446">
        <v>1.617386454530429</v>
      </c>
      <c r="X93" s="448">
        <v>30.198991559912955</v>
      </c>
      <c r="Y93" s="443">
        <v>487910.7856345527</v>
      </c>
      <c r="Z93" s="443">
        <v>785629.1007855441</v>
      </c>
      <c r="AA93" s="444">
        <v>0.6210446954506836</v>
      </c>
      <c r="AB93" s="444">
        <v>0.05095074632622363</v>
      </c>
      <c r="AC93" s="445">
        <v>1474</v>
      </c>
      <c r="AD93" s="445">
        <v>1168</v>
      </c>
      <c r="AE93" s="443">
        <v>9037880.468501145</v>
      </c>
      <c r="AF93" s="443">
        <v>1683922.5569329131</v>
      </c>
      <c r="AG93" s="447">
        <v>1</v>
      </c>
      <c r="AH93" s="446">
        <v>0.7378902993008339</v>
      </c>
      <c r="AI93" s="448">
        <v>0.6213847398757935</v>
      </c>
      <c r="AJ93" s="443">
        <v>10721803.025434058</v>
      </c>
      <c r="AK93" s="449">
        <v>1.2520966078131373</v>
      </c>
      <c r="AL93" s="443">
        <v>13424733.197786616</v>
      </c>
      <c r="AM93" s="443">
        <v>29920582.950346913</v>
      </c>
      <c r="AN93" s="443">
        <v>29555182.461435083</v>
      </c>
      <c r="AO93" s="443">
        <v>30108080.60013394</v>
      </c>
      <c r="AP93" s="443">
        <v>30108080.60013394</v>
      </c>
      <c r="AQ93" s="443">
        <v>103708</v>
      </c>
      <c r="AR93" s="443">
        <v>30211788.60013394</v>
      </c>
      <c r="AS93" s="450">
        <v>1165.2635708000903</v>
      </c>
      <c r="AT93" s="446">
        <v>25926</v>
      </c>
      <c r="AU93" s="446">
        <v>45</v>
      </c>
      <c r="AV93" s="446">
        <v>18</v>
      </c>
      <c r="AW93" s="446">
        <v>675</v>
      </c>
      <c r="AX93" s="446">
        <v>6</v>
      </c>
      <c r="AY93" s="446">
        <v>29</v>
      </c>
      <c r="AZ93" s="446">
        <v>376</v>
      </c>
      <c r="BA93" s="446">
        <v>1278</v>
      </c>
      <c r="BB93" s="446">
        <v>0</v>
      </c>
      <c r="BC93" s="446">
        <v>140</v>
      </c>
      <c r="BD93" s="446">
        <v>306</v>
      </c>
      <c r="BE93" s="446">
        <v>17433</v>
      </c>
      <c r="BF93" s="446">
        <v>5604</v>
      </c>
      <c r="BG93" s="446">
        <v>16</v>
      </c>
      <c r="BH93" s="446">
        <v>0</v>
      </c>
      <c r="BI93" s="446">
        <v>0</v>
      </c>
      <c r="BJ93" s="448">
        <v>2.4293456577314734</v>
      </c>
      <c r="BK93" s="448">
        <v>19.105907784680838</v>
      </c>
      <c r="BL93" s="448">
        <v>8.697780735976936</v>
      </c>
      <c r="BM93" s="448">
        <v>20.8162540974078</v>
      </c>
      <c r="BN93" s="445">
        <v>2889</v>
      </c>
      <c r="BO93" s="445">
        <v>23037</v>
      </c>
      <c r="BP93" s="443">
        <v>11599000.728628255</v>
      </c>
      <c r="BQ93" s="443">
        <v>34423503</v>
      </c>
      <c r="BR93" s="443">
        <v>33072162</v>
      </c>
      <c r="BS93" s="444">
        <v>0.050952711563681245</v>
      </c>
      <c r="BT93" s="445">
        <v>1474</v>
      </c>
      <c r="BU93" s="445">
        <v>1168</v>
      </c>
      <c r="BV93" s="443">
        <v>1685116.3311733394</v>
      </c>
      <c r="BW93" s="444">
        <v>0.01094322924111571</v>
      </c>
      <c r="BX93" s="443">
        <v>69849.60307992535</v>
      </c>
      <c r="BY93" s="443">
        <v>47777469.66288152</v>
      </c>
      <c r="BZ93" s="451">
        <v>1.2133333333333332</v>
      </c>
      <c r="CA93" s="443">
        <v>57969996.52429624</v>
      </c>
      <c r="CB93" s="443">
        <v>42418837.68568023</v>
      </c>
      <c r="CC93" s="443">
        <v>42418837.68568023</v>
      </c>
      <c r="CD93" s="443">
        <v>40632435.766526386</v>
      </c>
      <c r="CE93" s="443">
        <v>42117373.4918204</v>
      </c>
      <c r="CF93" s="450">
        <v>1624.5226217627248</v>
      </c>
      <c r="CG93" s="446">
        <v>21326</v>
      </c>
      <c r="CH93" s="446">
        <v>10</v>
      </c>
      <c r="CI93" s="446">
        <v>1</v>
      </c>
      <c r="CJ93" s="446">
        <v>79</v>
      </c>
      <c r="CK93" s="446">
        <v>6</v>
      </c>
      <c r="CL93" s="446">
        <v>28</v>
      </c>
      <c r="CM93" s="446">
        <v>376</v>
      </c>
      <c r="CN93" s="446">
        <v>1278</v>
      </c>
      <c r="CO93" s="446">
        <v>0</v>
      </c>
      <c r="CP93" s="446">
        <v>45</v>
      </c>
      <c r="CQ93" s="446">
        <v>306</v>
      </c>
      <c r="CR93" s="446">
        <v>13577</v>
      </c>
      <c r="CS93" s="446">
        <v>5604</v>
      </c>
      <c r="CT93" s="446">
        <v>16</v>
      </c>
      <c r="CU93" s="446">
        <v>0</v>
      </c>
      <c r="CV93" s="446">
        <v>0</v>
      </c>
      <c r="CW93" s="443">
        <v>18140006.22928478</v>
      </c>
      <c r="CX93" s="448">
        <v>1.1845331559060077</v>
      </c>
      <c r="CY93" s="448">
        <v>1.2133333333333332</v>
      </c>
      <c r="CZ93" s="443">
        <v>21487438.82692934</v>
      </c>
      <c r="DA93" s="450">
        <v>1007.5700472160432</v>
      </c>
      <c r="DB93" s="445">
        <v>25927</v>
      </c>
      <c r="DC93" s="448">
        <v>0.9903266864658463</v>
      </c>
      <c r="DD93" s="450">
        <v>354.1</v>
      </c>
      <c r="DE93" s="443">
        <v>86721</v>
      </c>
      <c r="DF93" s="450">
        <v>70.9387977836265</v>
      </c>
      <c r="DG93" s="450">
        <v>73.98916608832243</v>
      </c>
      <c r="DH93" s="450">
        <v>75.61692774226552</v>
      </c>
      <c r="DI93" s="450">
        <v>77.28050015259534</v>
      </c>
      <c r="DJ93" s="450">
        <v>79.83075665763097</v>
      </c>
      <c r="DK93" s="450">
        <v>82.70466389730566</v>
      </c>
      <c r="DL93" s="450">
        <v>85.35121314201943</v>
      </c>
      <c r="DM93" s="450">
        <v>88.85061288084222</v>
      </c>
      <c r="DN93" s="450">
        <v>92.76003984759926</v>
      </c>
      <c r="DO93" s="450">
        <v>97.86184203921721</v>
      </c>
      <c r="DP93" s="450">
        <v>96.98108546086425</v>
      </c>
      <c r="DQ93" s="450">
        <v>101.92712081936833</v>
      </c>
      <c r="DR93" s="450">
        <v>53.97</v>
      </c>
      <c r="DS93" s="450">
        <v>57.203298774226546</v>
      </c>
      <c r="DT93" s="450">
        <v>60.55274121451906</v>
      </c>
      <c r="DU93" s="450">
        <v>64.71095354747729</v>
      </c>
      <c r="DV93" s="450">
        <v>69.27827873548921</v>
      </c>
      <c r="DW93" s="450">
        <v>73.80452190285727</v>
      </c>
      <c r="DX93" s="450">
        <v>79.23452841686797</v>
      </c>
      <c r="DY93" s="450">
        <v>83.83631346503117</v>
      </c>
      <c r="DZ93" s="450">
        <v>86.47602041043254</v>
      </c>
      <c r="EA93" s="450">
        <v>89.37309428345708</v>
      </c>
      <c r="EB93" s="450">
        <v>95.53032183740437</v>
      </c>
      <c r="EC93" s="450">
        <v>-3.51</v>
      </c>
      <c r="ED93" s="450">
        <v>92.02032183740437</v>
      </c>
      <c r="EE93" s="450">
        <v>4785.056735545028</v>
      </c>
      <c r="EF93" s="443">
        <v>121580922.66282642</v>
      </c>
      <c r="EG93" s="450">
        <v>64.42</v>
      </c>
      <c r="EH93" s="450">
        <v>66.81520877422655</v>
      </c>
      <c r="EI93" s="450">
        <v>69.28462745451905</v>
      </c>
      <c r="EJ93" s="450">
        <v>72.60348722265728</v>
      </c>
      <c r="EK93" s="450">
        <v>76.28684863904904</v>
      </c>
      <c r="EL93" s="450">
        <v>79.83189201991873</v>
      </c>
      <c r="EM93" s="450">
        <v>84.25412225035674</v>
      </c>
      <c r="EN93" s="450">
        <v>88.49449654250874</v>
      </c>
      <c r="EO93" s="450">
        <v>90.91837433865365</v>
      </c>
      <c r="EP93" s="450">
        <v>92.34146939021115</v>
      </c>
      <c r="EQ93" s="450">
        <v>98.0261316271632</v>
      </c>
      <c r="ER93" s="443">
        <v>848211451</v>
      </c>
      <c r="ES93" s="443">
        <v>9194000</v>
      </c>
      <c r="ET93" s="443">
        <v>0</v>
      </c>
      <c r="EU93" s="443">
        <v>0</v>
      </c>
      <c r="EV93" s="443">
        <v>16620000</v>
      </c>
      <c r="EW93" s="443">
        <v>0</v>
      </c>
      <c r="EX93" s="443">
        <v>0</v>
      </c>
      <c r="EY93" s="443">
        <v>0</v>
      </c>
      <c r="EZ93" s="443">
        <v>0</v>
      </c>
      <c r="FA93" s="443">
        <v>861118451</v>
      </c>
      <c r="FB93" s="443">
        <v>446704.4623312558</v>
      </c>
      <c r="FC93" s="443">
        <v>0</v>
      </c>
      <c r="FD93" s="443">
        <v>0</v>
      </c>
      <c r="FE93" s="443">
        <v>26128</v>
      </c>
      <c r="FF93" s="452">
        <v>0.0917</v>
      </c>
      <c r="FG93" s="443">
        <v>2395.9376</v>
      </c>
      <c r="FH93" s="453">
        <v>2395.9376</v>
      </c>
    </row>
    <row r="94" spans="2:164" ht="12.75">
      <c r="B94" s="356" t="s">
        <v>782</v>
      </c>
      <c r="C94" s="442">
        <v>6924</v>
      </c>
      <c r="D94" s="443">
        <v>1644092</v>
      </c>
      <c r="E94" s="443">
        <v>1410630.936</v>
      </c>
      <c r="F94" s="443">
        <v>413165.9398416329</v>
      </c>
      <c r="G94" s="443">
        <v>233461.064</v>
      </c>
      <c r="H94" s="444">
        <v>0.8682668977469671</v>
      </c>
      <c r="I94" s="445">
        <v>5986.14</v>
      </c>
      <c r="J94" s="445">
        <v>25.74</v>
      </c>
      <c r="K94" s="443">
        <v>1823796.875841633</v>
      </c>
      <c r="L94" s="443">
        <v>1459037.5006733064</v>
      </c>
      <c r="M94" s="443">
        <v>797239.4575548625</v>
      </c>
      <c r="N94" s="443">
        <v>364759.3751683265</v>
      </c>
      <c r="O94" s="446">
        <v>2.185658578856152</v>
      </c>
      <c r="P94" s="447">
        <v>0.08795493934142114</v>
      </c>
      <c r="Q94" s="448">
        <v>0.9120450606585788</v>
      </c>
      <c r="R94" s="443">
        <v>2256276.958228169</v>
      </c>
      <c r="S94" s="443">
        <v>1525243.2237622424</v>
      </c>
      <c r="T94" s="443">
        <v>106004.34936963729</v>
      </c>
      <c r="U94" s="443">
        <v>485290.65966727305</v>
      </c>
      <c r="V94" s="443">
        <v>514431.14647602255</v>
      </c>
      <c r="W94" s="446">
        <v>0.943353960955963</v>
      </c>
      <c r="X94" s="448">
        <v>17.613810369884987</v>
      </c>
      <c r="Y94" s="443">
        <v>106004.34936963729</v>
      </c>
      <c r="Z94" s="443">
        <v>216602.58798990422</v>
      </c>
      <c r="AA94" s="444">
        <v>0.48939558088095475</v>
      </c>
      <c r="AB94" s="444">
        <v>0.04015020219526285</v>
      </c>
      <c r="AC94" s="445">
        <v>280</v>
      </c>
      <c r="AD94" s="445">
        <v>276</v>
      </c>
      <c r="AE94" s="443">
        <v>2116538.232799153</v>
      </c>
      <c r="AF94" s="443">
        <v>49268.76907522583</v>
      </c>
      <c r="AG94" s="447">
        <v>0.25</v>
      </c>
      <c r="AH94" s="446">
        <v>0.26094908360972974</v>
      </c>
      <c r="AI94" s="448">
        <v>0.21974781155586243</v>
      </c>
      <c r="AJ94" s="443">
        <v>2165807.001874379</v>
      </c>
      <c r="AK94" s="449">
        <v>1.2520966078131373</v>
      </c>
      <c r="AL94" s="443">
        <v>2711799.6002248507</v>
      </c>
      <c r="AM94" s="443">
        <v>6043965.543883052</v>
      </c>
      <c r="AN94" s="443">
        <v>5970154.55001418</v>
      </c>
      <c r="AO94" s="443">
        <v>7629516.313438176</v>
      </c>
      <c r="AP94" s="443">
        <v>7629516.313438176</v>
      </c>
      <c r="AQ94" s="443">
        <v>27696</v>
      </c>
      <c r="AR94" s="443">
        <v>7657212.313438176</v>
      </c>
      <c r="AS94" s="450">
        <v>1105.8943260309325</v>
      </c>
      <c r="AT94" s="446">
        <v>6924</v>
      </c>
      <c r="AU94" s="446">
        <v>0</v>
      </c>
      <c r="AV94" s="446">
        <v>1</v>
      </c>
      <c r="AW94" s="446">
        <v>57</v>
      </c>
      <c r="AX94" s="446">
        <v>0</v>
      </c>
      <c r="AY94" s="446">
        <v>7</v>
      </c>
      <c r="AZ94" s="446">
        <v>10</v>
      </c>
      <c r="BA94" s="446">
        <v>67</v>
      </c>
      <c r="BB94" s="446">
        <v>0</v>
      </c>
      <c r="BC94" s="446">
        <v>210</v>
      </c>
      <c r="BD94" s="446">
        <v>201</v>
      </c>
      <c r="BE94" s="446">
        <v>3663</v>
      </c>
      <c r="BF94" s="446">
        <v>2652</v>
      </c>
      <c r="BG94" s="446">
        <v>12</v>
      </c>
      <c r="BH94" s="446">
        <v>44</v>
      </c>
      <c r="BI94" s="446">
        <v>0</v>
      </c>
      <c r="BJ94" s="448">
        <v>1.73840955206895</v>
      </c>
      <c r="BK94" s="448">
        <v>9.695652830535398</v>
      </c>
      <c r="BL94" s="448">
        <v>3.945464405209465</v>
      </c>
      <c r="BM94" s="448">
        <v>11.500376850651866</v>
      </c>
      <c r="BN94" s="445">
        <v>609</v>
      </c>
      <c r="BO94" s="445">
        <v>6315</v>
      </c>
      <c r="BP94" s="443">
        <v>2042262.6808559776</v>
      </c>
      <c r="BQ94" s="443">
        <v>9057568</v>
      </c>
      <c r="BR94" s="443">
        <v>8851747</v>
      </c>
      <c r="BS94" s="444">
        <v>0.04015020219526285</v>
      </c>
      <c r="BT94" s="445">
        <v>280</v>
      </c>
      <c r="BU94" s="445">
        <v>276</v>
      </c>
      <c r="BV94" s="443">
        <v>355399.4318313114</v>
      </c>
      <c r="BW94" s="444">
        <v>0.0155775681219288</v>
      </c>
      <c r="BX94" s="443">
        <v>13475.628396314198</v>
      </c>
      <c r="BY94" s="443">
        <v>11468705.741083603</v>
      </c>
      <c r="BZ94" s="451">
        <v>1.2133333333333332</v>
      </c>
      <c r="CA94" s="443">
        <v>13915362.965848103</v>
      </c>
      <c r="CB94" s="443">
        <v>10182397.073945703</v>
      </c>
      <c r="CC94" s="443">
        <v>10182397.073945703</v>
      </c>
      <c r="CD94" s="443">
        <v>9793702.405908162</v>
      </c>
      <c r="CE94" s="443">
        <v>10110032.334765356</v>
      </c>
      <c r="CF94" s="450">
        <v>1460.1433181348002</v>
      </c>
      <c r="CG94" s="446">
        <v>6924</v>
      </c>
      <c r="CH94" s="446">
        <v>0</v>
      </c>
      <c r="CI94" s="446">
        <v>1</v>
      </c>
      <c r="CJ94" s="446">
        <v>57</v>
      </c>
      <c r="CK94" s="446">
        <v>0</v>
      </c>
      <c r="CL94" s="446">
        <v>7</v>
      </c>
      <c r="CM94" s="446">
        <v>10</v>
      </c>
      <c r="CN94" s="446">
        <v>67</v>
      </c>
      <c r="CO94" s="446">
        <v>0</v>
      </c>
      <c r="CP94" s="446">
        <v>210</v>
      </c>
      <c r="CQ94" s="446">
        <v>201</v>
      </c>
      <c r="CR94" s="446">
        <v>3663</v>
      </c>
      <c r="CS94" s="446">
        <v>2652</v>
      </c>
      <c r="CT94" s="446">
        <v>12</v>
      </c>
      <c r="CU94" s="446">
        <v>44</v>
      </c>
      <c r="CV94" s="446">
        <v>0</v>
      </c>
      <c r="CW94" s="443">
        <v>6043976.834267495</v>
      </c>
      <c r="CX94" s="448">
        <v>1.1845331559060077</v>
      </c>
      <c r="CY94" s="448">
        <v>1.2133333333333332</v>
      </c>
      <c r="CZ94" s="443">
        <v>7159290.953717678</v>
      </c>
      <c r="DA94" s="450">
        <v>1033.9819401671978</v>
      </c>
      <c r="DB94" s="445">
        <v>6924</v>
      </c>
      <c r="DC94" s="448">
        <v>0.9741334488734835</v>
      </c>
      <c r="DD94" s="450">
        <v>354.1</v>
      </c>
      <c r="DE94" s="443">
        <v>113364</v>
      </c>
      <c r="DF94" s="450">
        <v>79.02121465381643</v>
      </c>
      <c r="DG94" s="450">
        <v>82.41912688393053</v>
      </c>
      <c r="DH94" s="450">
        <v>84.23234767537699</v>
      </c>
      <c r="DI94" s="450">
        <v>86.08545932423526</v>
      </c>
      <c r="DJ94" s="450">
        <v>88.92627948193501</v>
      </c>
      <c r="DK94" s="450">
        <v>92.12762554328465</v>
      </c>
      <c r="DL94" s="450">
        <v>95.07570956066974</v>
      </c>
      <c r="DM94" s="450">
        <v>98.97381365265719</v>
      </c>
      <c r="DN94" s="450">
        <v>103.32866145337408</v>
      </c>
      <c r="DO94" s="450">
        <v>109.01173783330965</v>
      </c>
      <c r="DP94" s="450">
        <v>108.03063219280986</v>
      </c>
      <c r="DQ94" s="450">
        <v>113.54019443464315</v>
      </c>
      <c r="DR94" s="450">
        <v>64.13</v>
      </c>
      <c r="DS94" s="450">
        <v>67.41000876753768</v>
      </c>
      <c r="DT94" s="450">
        <v>70.80329900084702</v>
      </c>
      <c r="DU94" s="450">
        <v>75.11311681963247</v>
      </c>
      <c r="DV94" s="450">
        <v>79.86153709915999</v>
      </c>
      <c r="DW94" s="450">
        <v>84.52687349872254</v>
      </c>
      <c r="DX94" s="450">
        <v>90.18874298026756</v>
      </c>
      <c r="DY94" s="450">
        <v>95.17611586939653</v>
      </c>
      <c r="DZ94" s="450">
        <v>98.03373835633514</v>
      </c>
      <c r="EA94" s="450">
        <v>100.69514724587788</v>
      </c>
      <c r="EB94" s="450">
        <v>107.37251869126274</v>
      </c>
      <c r="EC94" s="450">
        <v>-7.81</v>
      </c>
      <c r="ED94" s="450">
        <v>99.56251869126274</v>
      </c>
      <c r="EE94" s="450">
        <v>5177.250971945662</v>
      </c>
      <c r="EF94" s="443">
        <v>35130340.01515673</v>
      </c>
      <c r="EG94" s="450">
        <v>71.04</v>
      </c>
      <c r="EH94" s="450">
        <v>73.7658267675377</v>
      </c>
      <c r="EI94" s="450">
        <v>76.57720655284704</v>
      </c>
      <c r="EJ94" s="450">
        <v>80.3320075081965</v>
      </c>
      <c r="EK94" s="450">
        <v>84.49591203060486</v>
      </c>
      <c r="EL94" s="450">
        <v>88.51243593976511</v>
      </c>
      <c r="EM94" s="450">
        <v>93.50791938116782</v>
      </c>
      <c r="EN94" s="450">
        <v>98.25631156943196</v>
      </c>
      <c r="EO94" s="450">
        <v>100.97121832226892</v>
      </c>
      <c r="EP94" s="450">
        <v>102.65796753177938</v>
      </c>
      <c r="EQ94" s="450">
        <v>109.02285798764872</v>
      </c>
      <c r="ER94" s="443">
        <v>153187763</v>
      </c>
      <c r="ES94" s="443">
        <v>0</v>
      </c>
      <c r="ET94" s="443">
        <v>0</v>
      </c>
      <c r="EU94" s="443">
        <v>0</v>
      </c>
      <c r="EV94" s="443">
        <v>0</v>
      </c>
      <c r="EW94" s="443">
        <v>0</v>
      </c>
      <c r="EX94" s="443">
        <v>0</v>
      </c>
      <c r="EY94" s="443">
        <v>0</v>
      </c>
      <c r="EZ94" s="443">
        <v>43439000</v>
      </c>
      <c r="FA94" s="443">
        <v>196626763</v>
      </c>
      <c r="FB94" s="443">
        <v>132269.26563107874</v>
      </c>
      <c r="FC94" s="443">
        <v>0</v>
      </c>
      <c r="FD94" s="443">
        <v>0</v>
      </c>
      <c r="FE94" s="443">
        <v>51244</v>
      </c>
      <c r="FF94" s="452">
        <v>0.057999999999999996</v>
      </c>
      <c r="FG94" s="443">
        <v>2972.1519999999996</v>
      </c>
      <c r="FH94" s="453">
        <v>2972.1519999999996</v>
      </c>
    </row>
    <row r="95" spans="2:164" ht="12.75">
      <c r="B95" s="356" t="s">
        <v>783</v>
      </c>
      <c r="C95" s="442">
        <v>3812</v>
      </c>
      <c r="D95" s="443">
        <v>918996</v>
      </c>
      <c r="E95" s="443">
        <v>788498.568</v>
      </c>
      <c r="F95" s="443">
        <v>117834.86675241745</v>
      </c>
      <c r="G95" s="443">
        <v>130497.43200000002</v>
      </c>
      <c r="H95" s="444">
        <v>0.4430115424973767</v>
      </c>
      <c r="I95" s="445">
        <v>1397.3</v>
      </c>
      <c r="J95" s="445">
        <v>291.46</v>
      </c>
      <c r="K95" s="443">
        <v>906333.4347524174</v>
      </c>
      <c r="L95" s="443">
        <v>725066.7478019339</v>
      </c>
      <c r="M95" s="443">
        <v>202840.84641255962</v>
      </c>
      <c r="N95" s="443">
        <v>181266.68695048345</v>
      </c>
      <c r="O95" s="446">
        <v>1.11901888772298</v>
      </c>
      <c r="P95" s="447">
        <v>0.9084470094438615</v>
      </c>
      <c r="Q95" s="448">
        <v>0.09155299055613851</v>
      </c>
      <c r="R95" s="443">
        <v>927907.5942144935</v>
      </c>
      <c r="S95" s="443">
        <v>627265.5336889976</v>
      </c>
      <c r="T95" s="443">
        <v>78187.57177510412</v>
      </c>
      <c r="U95" s="443">
        <v>160090.030018685</v>
      </c>
      <c r="V95" s="443">
        <v>211562.93148090452</v>
      </c>
      <c r="W95" s="446">
        <v>0.7567017005204175</v>
      </c>
      <c r="X95" s="448">
        <v>14.12873726212967</v>
      </c>
      <c r="Y95" s="443">
        <v>78187.57177510412</v>
      </c>
      <c r="Z95" s="443">
        <v>89079.12904459138</v>
      </c>
      <c r="AA95" s="444">
        <v>0.8777316596344904</v>
      </c>
      <c r="AB95" s="444">
        <v>0.07200944386149004</v>
      </c>
      <c r="AC95" s="445">
        <v>436</v>
      </c>
      <c r="AD95" s="445">
        <v>113</v>
      </c>
      <c r="AE95" s="443">
        <v>865543.1354827868</v>
      </c>
      <c r="AF95" s="443">
        <v>0</v>
      </c>
      <c r="AG95" s="447">
        <v>0</v>
      </c>
      <c r="AH95" s="446">
        <v>0.0961055802342256</v>
      </c>
      <c r="AI95" s="448">
        <v>0.08093146234750748</v>
      </c>
      <c r="AJ95" s="443">
        <v>865543.1354827868</v>
      </c>
      <c r="AK95" s="449">
        <v>1.0157322142344678</v>
      </c>
      <c r="AL95" s="443">
        <v>879160.045519375</v>
      </c>
      <c r="AM95" s="443">
        <v>1959441.6277062567</v>
      </c>
      <c r="AN95" s="443">
        <v>1935512.2500619031</v>
      </c>
      <c r="AO95" s="443">
        <v>1889609.692892098</v>
      </c>
      <c r="AP95" s="443">
        <v>1935512.2500619031</v>
      </c>
      <c r="AQ95" s="443">
        <v>15248</v>
      </c>
      <c r="AR95" s="443">
        <v>1950760.2500619031</v>
      </c>
      <c r="AS95" s="450">
        <v>511.7419333845496</v>
      </c>
      <c r="AT95" s="446">
        <v>3812</v>
      </c>
      <c r="AU95" s="446">
        <v>176</v>
      </c>
      <c r="AV95" s="446">
        <v>477</v>
      </c>
      <c r="AW95" s="446">
        <v>342</v>
      </c>
      <c r="AX95" s="446">
        <v>2</v>
      </c>
      <c r="AY95" s="446">
        <v>545</v>
      </c>
      <c r="AZ95" s="446">
        <v>41</v>
      </c>
      <c r="BA95" s="446">
        <v>155</v>
      </c>
      <c r="BB95" s="446">
        <v>29</v>
      </c>
      <c r="BC95" s="446">
        <v>30</v>
      </c>
      <c r="BD95" s="446">
        <v>1191</v>
      </c>
      <c r="BE95" s="446">
        <v>349</v>
      </c>
      <c r="BF95" s="446">
        <v>0</v>
      </c>
      <c r="BG95" s="446">
        <v>475</v>
      </c>
      <c r="BH95" s="446">
        <v>0</v>
      </c>
      <c r="BI95" s="446">
        <v>0</v>
      </c>
      <c r="BJ95" s="448">
        <v>1.3859874804989452</v>
      </c>
      <c r="BK95" s="448">
        <v>13.273303768776902</v>
      </c>
      <c r="BL95" s="448">
        <v>8.80094483391598</v>
      </c>
      <c r="BM95" s="448">
        <v>8.944717869721847</v>
      </c>
      <c r="BN95" s="445">
        <v>3463</v>
      </c>
      <c r="BO95" s="445">
        <v>349</v>
      </c>
      <c r="BP95" s="443">
        <v>1084190.0926077804</v>
      </c>
      <c r="BQ95" s="443">
        <v>3988021</v>
      </c>
      <c r="BR95" s="443">
        <v>5160461</v>
      </c>
      <c r="BS95" s="444">
        <v>0.07200944386149004</v>
      </c>
      <c r="BT95" s="445">
        <v>436</v>
      </c>
      <c r="BU95" s="445">
        <v>113</v>
      </c>
      <c r="BV95" s="443">
        <v>371601.92667890876</v>
      </c>
      <c r="BW95" s="444">
        <v>0.012320607002673508</v>
      </c>
      <c r="BX95" s="443">
        <v>8033.028024293536</v>
      </c>
      <c r="BY95" s="443">
        <v>5451846.047310983</v>
      </c>
      <c r="BZ95" s="451">
        <v>0.9666666666666667</v>
      </c>
      <c r="CA95" s="443">
        <v>5270117.84573395</v>
      </c>
      <c r="CB95" s="443">
        <v>3856344.434812939</v>
      </c>
      <c r="CC95" s="443">
        <v>3856344.434812939</v>
      </c>
      <c r="CD95" s="443">
        <v>3832190.5184385907</v>
      </c>
      <c r="CE95" s="443">
        <v>3832190.5184385907</v>
      </c>
      <c r="CF95" s="450">
        <v>1005.2965683207216</v>
      </c>
      <c r="CG95" s="446">
        <v>3812</v>
      </c>
      <c r="CH95" s="446">
        <v>176</v>
      </c>
      <c r="CI95" s="446">
        <v>477</v>
      </c>
      <c r="CJ95" s="446">
        <v>342</v>
      </c>
      <c r="CK95" s="446">
        <v>2</v>
      </c>
      <c r="CL95" s="446">
        <v>545</v>
      </c>
      <c r="CM95" s="446">
        <v>41</v>
      </c>
      <c r="CN95" s="446">
        <v>155</v>
      </c>
      <c r="CO95" s="446">
        <v>29</v>
      </c>
      <c r="CP95" s="446">
        <v>30</v>
      </c>
      <c r="CQ95" s="446">
        <v>1191</v>
      </c>
      <c r="CR95" s="446">
        <v>349</v>
      </c>
      <c r="CS95" s="446">
        <v>0</v>
      </c>
      <c r="CT95" s="446">
        <v>475</v>
      </c>
      <c r="CU95" s="446">
        <v>0</v>
      </c>
      <c r="CV95" s="446">
        <v>0</v>
      </c>
      <c r="CW95" s="443">
        <v>2606446.9745643325</v>
      </c>
      <c r="CX95" s="448">
        <v>0.9437214703646767</v>
      </c>
      <c r="CY95" s="448">
        <v>0.9666666666666667</v>
      </c>
      <c r="CZ95" s="443">
        <v>2459759.9712634147</v>
      </c>
      <c r="DA95" s="450">
        <v>645.2675685370973</v>
      </c>
      <c r="DB95" s="445">
        <v>3812</v>
      </c>
      <c r="DC95" s="448">
        <v>1.0028593913955932</v>
      </c>
      <c r="DD95" s="450">
        <v>328.5</v>
      </c>
      <c r="DE95" s="443">
        <v>32250</v>
      </c>
      <c r="DF95" s="450">
        <v>50.431759862655994</v>
      </c>
      <c r="DG95" s="450">
        <v>52.6003255367502</v>
      </c>
      <c r="DH95" s="450">
        <v>53.75753269855869</v>
      </c>
      <c r="DI95" s="450">
        <v>54.94019841792697</v>
      </c>
      <c r="DJ95" s="450">
        <v>56.75322496571856</v>
      </c>
      <c r="DK95" s="450">
        <v>58.796341064484416</v>
      </c>
      <c r="DL95" s="450">
        <v>60.677823978547906</v>
      </c>
      <c r="DM95" s="450">
        <v>63.165614761668365</v>
      </c>
      <c r="DN95" s="450">
        <v>65.94490181118177</v>
      </c>
      <c r="DO95" s="450">
        <v>69.57187141079676</v>
      </c>
      <c r="DP95" s="450">
        <v>68.94572456809959</v>
      </c>
      <c r="DQ95" s="450">
        <v>72.46195652107266</v>
      </c>
      <c r="DR95" s="450">
        <v>36.93</v>
      </c>
      <c r="DS95" s="450">
        <v>39.34396726985587</v>
      </c>
      <c r="DT95" s="450">
        <v>41.84627497958538</v>
      </c>
      <c r="DU95" s="450">
        <v>44.917954917887556</v>
      </c>
      <c r="DV95" s="450">
        <v>48.286621262010485</v>
      </c>
      <c r="DW95" s="450">
        <v>51.639464948420326</v>
      </c>
      <c r="DX95" s="450">
        <v>55.638469361378114</v>
      </c>
      <c r="DY95" s="450">
        <v>58.95971087971241</v>
      </c>
      <c r="DZ95" s="450">
        <v>60.86603570300552</v>
      </c>
      <c r="EA95" s="450">
        <v>63.1284964912619</v>
      </c>
      <c r="EB95" s="450">
        <v>67.57083115406753</v>
      </c>
      <c r="EC95" s="450">
        <v>-1.2</v>
      </c>
      <c r="ED95" s="450">
        <v>66.37083115406753</v>
      </c>
      <c r="EE95" s="450">
        <v>3451.2832200115117</v>
      </c>
      <c r="EF95" s="443">
        <v>12893165.801990205</v>
      </c>
      <c r="EG95" s="450">
        <v>41.77</v>
      </c>
      <c r="EH95" s="450">
        <v>43.79579926985586</v>
      </c>
      <c r="EI95" s="450">
        <v>45.89051702758538</v>
      </c>
      <c r="EJ95" s="450">
        <v>48.573444199023555</v>
      </c>
      <c r="EK95" s="450">
        <v>51.532695743659254</v>
      </c>
      <c r="EL95" s="450">
        <v>54.431089002638274</v>
      </c>
      <c r="EM95" s="450">
        <v>57.963333873730825</v>
      </c>
      <c r="EN95" s="450">
        <v>61.117185147175725</v>
      </c>
      <c r="EO95" s="450">
        <v>62.92354699607637</v>
      </c>
      <c r="EP95" s="450">
        <v>64.50332285649537</v>
      </c>
      <c r="EQ95" s="450">
        <v>68.72678516195583</v>
      </c>
      <c r="ER95" s="443">
        <v>6225700</v>
      </c>
      <c r="ES95" s="443">
        <v>0</v>
      </c>
      <c r="ET95" s="443">
        <v>0</v>
      </c>
      <c r="EU95" s="443">
        <v>0</v>
      </c>
      <c r="EV95" s="443">
        <v>0</v>
      </c>
      <c r="EW95" s="443">
        <v>0</v>
      </c>
      <c r="EX95" s="443">
        <v>0</v>
      </c>
      <c r="EY95" s="443">
        <v>0</v>
      </c>
      <c r="EZ95" s="443">
        <v>0</v>
      </c>
      <c r="FA95" s="443">
        <v>6225700</v>
      </c>
      <c r="FB95" s="443">
        <v>42172.1330747302</v>
      </c>
      <c r="FC95" s="443">
        <v>0</v>
      </c>
      <c r="FD95" s="443">
        <v>0</v>
      </c>
      <c r="FE95" s="443">
        <v>15500</v>
      </c>
      <c r="FF95" s="452">
        <v>0.0313</v>
      </c>
      <c r="FG95" s="443">
        <v>485.15</v>
      </c>
      <c r="FH95" s="453">
        <v>485.15</v>
      </c>
    </row>
    <row r="96" spans="2:164" ht="12.75">
      <c r="B96" s="356" t="s">
        <v>784</v>
      </c>
      <c r="C96" s="442">
        <v>26917</v>
      </c>
      <c r="D96" s="443">
        <v>6302461</v>
      </c>
      <c r="E96" s="443">
        <v>5407511.538</v>
      </c>
      <c r="F96" s="443">
        <v>548170.2304165873</v>
      </c>
      <c r="G96" s="443">
        <v>894949.462</v>
      </c>
      <c r="H96" s="444">
        <v>0.30051082958724973</v>
      </c>
      <c r="I96" s="445">
        <v>5374.71</v>
      </c>
      <c r="J96" s="445">
        <v>2714.14</v>
      </c>
      <c r="K96" s="443">
        <v>5955681.768416587</v>
      </c>
      <c r="L96" s="443">
        <v>4764545.41473327</v>
      </c>
      <c r="M96" s="443">
        <v>1368667.312694601</v>
      </c>
      <c r="N96" s="443">
        <v>1191136.353683317</v>
      </c>
      <c r="O96" s="446">
        <v>1.1490433555002415</v>
      </c>
      <c r="P96" s="447">
        <v>0.8853512649998142</v>
      </c>
      <c r="Q96" s="448">
        <v>0.11464873500018576</v>
      </c>
      <c r="R96" s="443">
        <v>6133212.727427871</v>
      </c>
      <c r="S96" s="443">
        <v>4146051.803741241</v>
      </c>
      <c r="T96" s="443">
        <v>647771.4708728264</v>
      </c>
      <c r="U96" s="443">
        <v>2195753.4159422023</v>
      </c>
      <c r="V96" s="443">
        <v>1398372.5018535547</v>
      </c>
      <c r="W96" s="446">
        <v>1.5702206765591515</v>
      </c>
      <c r="X96" s="448">
        <v>29.31833689208042</v>
      </c>
      <c r="Y96" s="443">
        <v>647771.4708728264</v>
      </c>
      <c r="Z96" s="443">
        <v>588788.4218330756</v>
      </c>
      <c r="AA96" s="444">
        <v>1.1001769852337089</v>
      </c>
      <c r="AB96" s="444">
        <v>0.0902589441616822</v>
      </c>
      <c r="AC96" s="445">
        <v>2345</v>
      </c>
      <c r="AD96" s="445">
        <v>2514</v>
      </c>
      <c r="AE96" s="443">
        <v>6989576.690556269</v>
      </c>
      <c r="AF96" s="443">
        <v>1505912.8919702426</v>
      </c>
      <c r="AG96" s="447">
        <v>1</v>
      </c>
      <c r="AH96" s="446">
        <v>0.6202161483438159</v>
      </c>
      <c r="AI96" s="448">
        <v>0.5222901701927185</v>
      </c>
      <c r="AJ96" s="443">
        <v>8495489.582526512</v>
      </c>
      <c r="AK96" s="449">
        <v>1</v>
      </c>
      <c r="AL96" s="443">
        <v>8495489.582526512</v>
      </c>
      <c r="AM96" s="443">
        <v>18934454.563290823</v>
      </c>
      <c r="AN96" s="443">
        <v>18703220.46714414</v>
      </c>
      <c r="AO96" s="443">
        <v>19090221.01496152</v>
      </c>
      <c r="AP96" s="443">
        <v>19090221.01496152</v>
      </c>
      <c r="AQ96" s="443">
        <v>107668</v>
      </c>
      <c r="AR96" s="443">
        <v>19197889.01496152</v>
      </c>
      <c r="AS96" s="450">
        <v>713.2254342965977</v>
      </c>
      <c r="AT96" s="446">
        <v>26917</v>
      </c>
      <c r="AU96" s="446">
        <v>549</v>
      </c>
      <c r="AV96" s="446">
        <v>900</v>
      </c>
      <c r="AW96" s="446">
        <v>3097</v>
      </c>
      <c r="AX96" s="446">
        <v>2115</v>
      </c>
      <c r="AY96" s="446">
        <v>2260</v>
      </c>
      <c r="AZ96" s="446">
        <v>1940</v>
      </c>
      <c r="BA96" s="446">
        <v>2473</v>
      </c>
      <c r="BB96" s="446">
        <v>4590</v>
      </c>
      <c r="BC96" s="446">
        <v>292</v>
      </c>
      <c r="BD96" s="446">
        <v>2661</v>
      </c>
      <c r="BE96" s="446">
        <v>1079</v>
      </c>
      <c r="BF96" s="446">
        <v>2007</v>
      </c>
      <c r="BG96" s="446">
        <v>2946</v>
      </c>
      <c r="BH96" s="446">
        <v>1</v>
      </c>
      <c r="BI96" s="446">
        <v>7</v>
      </c>
      <c r="BJ96" s="448">
        <v>1.887748859906928</v>
      </c>
      <c r="BK96" s="448">
        <v>29.19727919315789</v>
      </c>
      <c r="BL96" s="448">
        <v>19.94837791190018</v>
      </c>
      <c r="BM96" s="448">
        <v>18.497802562515414</v>
      </c>
      <c r="BN96" s="445">
        <v>23831</v>
      </c>
      <c r="BO96" s="445">
        <v>3086</v>
      </c>
      <c r="BP96" s="443">
        <v>10596795.164137704</v>
      </c>
      <c r="BQ96" s="443">
        <v>28931697</v>
      </c>
      <c r="BR96" s="443">
        <v>39525239</v>
      </c>
      <c r="BS96" s="444">
        <v>0.0902589441616822</v>
      </c>
      <c r="BT96" s="445">
        <v>2345</v>
      </c>
      <c r="BU96" s="445">
        <v>2514</v>
      </c>
      <c r="BV96" s="443">
        <v>3567506.3398781437</v>
      </c>
      <c r="BW96" s="444">
        <v>0.017118386820486782</v>
      </c>
      <c r="BX96" s="443">
        <v>173359.29199844686</v>
      </c>
      <c r="BY96" s="443">
        <v>43269357.796014294</v>
      </c>
      <c r="BZ96" s="451">
        <v>0.9366666666666666</v>
      </c>
      <c r="CA96" s="443">
        <v>40528965.13560005</v>
      </c>
      <c r="CB96" s="443">
        <v>29656575.75872147</v>
      </c>
      <c r="CC96" s="443">
        <v>29656575.75872147</v>
      </c>
      <c r="CD96" s="443">
        <v>30836063.860163886</v>
      </c>
      <c r="CE96" s="443">
        <v>30836063.860163886</v>
      </c>
      <c r="CF96" s="450">
        <v>1145.5980926612879</v>
      </c>
      <c r="CG96" s="446">
        <v>26917</v>
      </c>
      <c r="CH96" s="446">
        <v>549</v>
      </c>
      <c r="CI96" s="446">
        <v>900</v>
      </c>
      <c r="CJ96" s="446">
        <v>3097</v>
      </c>
      <c r="CK96" s="446">
        <v>2115</v>
      </c>
      <c r="CL96" s="446">
        <v>2260</v>
      </c>
      <c r="CM96" s="446">
        <v>1940</v>
      </c>
      <c r="CN96" s="446">
        <v>2473</v>
      </c>
      <c r="CO96" s="446">
        <v>4590</v>
      </c>
      <c r="CP96" s="446">
        <v>292</v>
      </c>
      <c r="CQ96" s="446">
        <v>2661</v>
      </c>
      <c r="CR96" s="446">
        <v>1079</v>
      </c>
      <c r="CS96" s="446">
        <v>2007</v>
      </c>
      <c r="CT96" s="446">
        <v>2946</v>
      </c>
      <c r="CU96" s="446">
        <v>1</v>
      </c>
      <c r="CV96" s="446">
        <v>7</v>
      </c>
      <c r="CW96" s="443">
        <v>18233424.31820929</v>
      </c>
      <c r="CX96" s="448">
        <v>0.9144335626637039</v>
      </c>
      <c r="CY96" s="448">
        <v>0.9366666666666666</v>
      </c>
      <c r="CZ96" s="443">
        <v>16673255.158859137</v>
      </c>
      <c r="DA96" s="450">
        <v>619.4321491570063</v>
      </c>
      <c r="DB96" s="445">
        <v>26917</v>
      </c>
      <c r="DC96" s="448">
        <v>1.0235427425047368</v>
      </c>
      <c r="DD96" s="450">
        <v>318.4</v>
      </c>
      <c r="DE96" s="443">
        <v>21215</v>
      </c>
      <c r="DF96" s="450">
        <v>46.36902186313337</v>
      </c>
      <c r="DG96" s="450">
        <v>48.3628898032481</v>
      </c>
      <c r="DH96" s="450">
        <v>49.42687337891955</v>
      </c>
      <c r="DI96" s="450">
        <v>50.514264593255774</v>
      </c>
      <c r="DJ96" s="450">
        <v>52.18123532483321</v>
      </c>
      <c r="DK96" s="450">
        <v>54.059759796527196</v>
      </c>
      <c r="DL96" s="450">
        <v>55.789672110016056</v>
      </c>
      <c r="DM96" s="450">
        <v>58.07704866652671</v>
      </c>
      <c r="DN96" s="450">
        <v>60.63243880785387</v>
      </c>
      <c r="DO96" s="450">
        <v>63.96722294228583</v>
      </c>
      <c r="DP96" s="450">
        <v>63.391517935805254</v>
      </c>
      <c r="DQ96" s="450">
        <v>66.62448535053132</v>
      </c>
      <c r="DR96" s="450">
        <v>35.7</v>
      </c>
      <c r="DS96" s="450">
        <v>37.779547337891955</v>
      </c>
      <c r="DT96" s="450">
        <v>39.93331595865115</v>
      </c>
      <c r="DU96" s="450">
        <v>42.61738037772995</v>
      </c>
      <c r="DV96" s="450">
        <v>45.56705660349951</v>
      </c>
      <c r="DW96" s="450">
        <v>48.48594736401225</v>
      </c>
      <c r="DX96" s="450">
        <v>51.994506698054735</v>
      </c>
      <c r="DY96" s="450">
        <v>54.98783986111189</v>
      </c>
      <c r="DZ96" s="450">
        <v>56.70455147703276</v>
      </c>
      <c r="EA96" s="450">
        <v>58.53861032548728</v>
      </c>
      <c r="EB96" s="450">
        <v>62.54416063177596</v>
      </c>
      <c r="EC96" s="450">
        <v>0</v>
      </c>
      <c r="ED96" s="450">
        <v>62.54416063177596</v>
      </c>
      <c r="EE96" s="450">
        <v>3252.29635285235</v>
      </c>
      <c r="EF96" s="443">
        <v>85791219.71113217</v>
      </c>
      <c r="EG96" s="450">
        <v>38.33</v>
      </c>
      <c r="EH96" s="450">
        <v>40.19862133789195</v>
      </c>
      <c r="EI96" s="450">
        <v>42.130910294651144</v>
      </c>
      <c r="EJ96" s="450">
        <v>44.60373095818195</v>
      </c>
      <c r="EK96" s="450">
        <v>47.330935918940874</v>
      </c>
      <c r="EL96" s="450">
        <v>50.00288357529182</v>
      </c>
      <c r="EM96" s="450">
        <v>53.25781117480837</v>
      </c>
      <c r="EN96" s="450">
        <v>56.16018641553925</v>
      </c>
      <c r="EO96" s="450">
        <v>57.822579307771655</v>
      </c>
      <c r="EP96" s="450">
        <v>59.285675065273225</v>
      </c>
      <c r="EQ96" s="450">
        <v>63.17229266498799</v>
      </c>
      <c r="ER96" s="443">
        <v>236658897</v>
      </c>
      <c r="ES96" s="443">
        <v>5505000</v>
      </c>
      <c r="ET96" s="443">
        <v>0</v>
      </c>
      <c r="EU96" s="443">
        <v>0</v>
      </c>
      <c r="EV96" s="443">
        <v>0</v>
      </c>
      <c r="EW96" s="443">
        <v>0</v>
      </c>
      <c r="EX96" s="443">
        <v>0</v>
      </c>
      <c r="EY96" s="443">
        <v>0</v>
      </c>
      <c r="EZ96" s="443">
        <v>0</v>
      </c>
      <c r="FA96" s="443">
        <v>239411397</v>
      </c>
      <c r="FB96" s="443">
        <v>152514.80827740763</v>
      </c>
      <c r="FC96" s="443">
        <v>0</v>
      </c>
      <c r="FD96" s="443">
        <v>0</v>
      </c>
      <c r="FE96" s="443">
        <v>160452</v>
      </c>
      <c r="FF96" s="452">
        <v>0.053</v>
      </c>
      <c r="FG96" s="443">
        <v>8503.956</v>
      </c>
      <c r="FH96" s="453">
        <v>8503.956</v>
      </c>
    </row>
    <row r="97" spans="2:164" ht="12.75">
      <c r="B97" s="356" t="s">
        <v>785</v>
      </c>
      <c r="C97" s="442">
        <v>4849.88</v>
      </c>
      <c r="D97" s="443">
        <v>1160822.04</v>
      </c>
      <c r="E97" s="443">
        <v>995985.31032</v>
      </c>
      <c r="F97" s="443">
        <v>232048.75093151035</v>
      </c>
      <c r="G97" s="443">
        <v>164836.72968000002</v>
      </c>
      <c r="H97" s="444">
        <v>0.6906665731935635</v>
      </c>
      <c r="I97" s="445">
        <v>3184.42</v>
      </c>
      <c r="J97" s="445">
        <v>165.23</v>
      </c>
      <c r="K97" s="443">
        <v>1228034.0612515104</v>
      </c>
      <c r="L97" s="443">
        <v>982427.2490012083</v>
      </c>
      <c r="M97" s="443">
        <v>415349.1203974742</v>
      </c>
      <c r="N97" s="443">
        <v>245606.81225030203</v>
      </c>
      <c r="O97" s="446">
        <v>1.6911140069445019</v>
      </c>
      <c r="P97" s="447">
        <v>0.46805281780167757</v>
      </c>
      <c r="Q97" s="448">
        <v>0.5317657344099236</v>
      </c>
      <c r="R97" s="443">
        <v>1397776.3693986826</v>
      </c>
      <c r="S97" s="443">
        <v>944896.8257135095</v>
      </c>
      <c r="T97" s="443">
        <v>113146.92753469483</v>
      </c>
      <c r="U97" s="443">
        <v>251227.70684065815</v>
      </c>
      <c r="V97" s="443">
        <v>318693.01222289965</v>
      </c>
      <c r="W97" s="446">
        <v>0.7883062922789941</v>
      </c>
      <c r="X97" s="448">
        <v>14.718841622839705</v>
      </c>
      <c r="Y97" s="443">
        <v>113146.92753469483</v>
      </c>
      <c r="Z97" s="443">
        <v>134186.53146227353</v>
      </c>
      <c r="AA97" s="444">
        <v>0.8432062912849493</v>
      </c>
      <c r="AB97" s="444">
        <v>0.06917696932707613</v>
      </c>
      <c r="AC97" s="445">
        <v>330</v>
      </c>
      <c r="AD97" s="445">
        <v>341</v>
      </c>
      <c r="AE97" s="443">
        <v>1309271.4600888623</v>
      </c>
      <c r="AF97" s="443">
        <v>0</v>
      </c>
      <c r="AG97" s="447">
        <v>0</v>
      </c>
      <c r="AH97" s="446">
        <v>0.013920766118757723</v>
      </c>
      <c r="AI97" s="448">
        <v>0.011722815223038197</v>
      </c>
      <c r="AJ97" s="443">
        <v>1309271.4600888623</v>
      </c>
      <c r="AK97" s="449">
        <v>1.141284291320443</v>
      </c>
      <c r="AL97" s="443">
        <v>1494250.950473599</v>
      </c>
      <c r="AM97" s="443">
        <v>3330335.0505059827</v>
      </c>
      <c r="AN97" s="443">
        <v>3289663.8490887326</v>
      </c>
      <c r="AO97" s="443">
        <v>3434427.052410891</v>
      </c>
      <c r="AP97" s="443">
        <v>3434427.052410891</v>
      </c>
      <c r="AQ97" s="443">
        <v>19399.52</v>
      </c>
      <c r="AR97" s="443">
        <v>3453826.572410891</v>
      </c>
      <c r="AS97" s="450">
        <v>712.146810315078</v>
      </c>
      <c r="AT97" s="446">
        <v>4826</v>
      </c>
      <c r="AU97" s="446">
        <v>18</v>
      </c>
      <c r="AV97" s="446">
        <v>207</v>
      </c>
      <c r="AW97" s="446">
        <v>255</v>
      </c>
      <c r="AX97" s="446">
        <v>0</v>
      </c>
      <c r="AY97" s="446">
        <v>407</v>
      </c>
      <c r="AZ97" s="446">
        <v>128</v>
      </c>
      <c r="BA97" s="446">
        <v>86</v>
      </c>
      <c r="BB97" s="446">
        <v>3</v>
      </c>
      <c r="BC97" s="446">
        <v>81</v>
      </c>
      <c r="BD97" s="446">
        <v>897</v>
      </c>
      <c r="BE97" s="446">
        <v>2102</v>
      </c>
      <c r="BF97" s="446">
        <v>453</v>
      </c>
      <c r="BG97" s="446">
        <v>156</v>
      </c>
      <c r="BH97" s="446">
        <v>14</v>
      </c>
      <c r="BI97" s="446">
        <v>19</v>
      </c>
      <c r="BJ97" s="448">
        <v>1.4864936522024657</v>
      </c>
      <c r="BK97" s="448">
        <v>8.975153888614804</v>
      </c>
      <c r="BL97" s="448">
        <v>4.546346402008857</v>
      </c>
      <c r="BM97" s="448">
        <v>8.857614973211893</v>
      </c>
      <c r="BN97" s="445">
        <v>2271</v>
      </c>
      <c r="BO97" s="445">
        <v>2555</v>
      </c>
      <c r="BP97" s="443">
        <v>1342804.7162996188</v>
      </c>
      <c r="BQ97" s="443">
        <v>5785925</v>
      </c>
      <c r="BR97" s="443">
        <v>6237460</v>
      </c>
      <c r="BS97" s="444">
        <v>0.06951927061748861</v>
      </c>
      <c r="BT97" s="445">
        <v>330</v>
      </c>
      <c r="BU97" s="445">
        <v>341</v>
      </c>
      <c r="BV97" s="443">
        <v>433623.6697057605</v>
      </c>
      <c r="BW97" s="444">
        <v>0.023417497291779995</v>
      </c>
      <c r="BX97" s="443">
        <v>13070.281811313058</v>
      </c>
      <c r="BY97" s="443">
        <v>7575423.667816692</v>
      </c>
      <c r="BZ97" s="451">
        <v>1.1533333333333333</v>
      </c>
      <c r="CA97" s="443">
        <v>8736988.630215252</v>
      </c>
      <c r="CB97" s="443">
        <v>6393184.833319838</v>
      </c>
      <c r="CC97" s="443">
        <v>6393184.833319838</v>
      </c>
      <c r="CD97" s="443">
        <v>6095405.670644198</v>
      </c>
      <c r="CE97" s="443">
        <v>6347749.446187005</v>
      </c>
      <c r="CF97" s="450">
        <v>1315.3231343114392</v>
      </c>
      <c r="CG97" s="446">
        <v>4826</v>
      </c>
      <c r="CH97" s="446">
        <v>18</v>
      </c>
      <c r="CI97" s="446">
        <v>207</v>
      </c>
      <c r="CJ97" s="446">
        <v>255</v>
      </c>
      <c r="CK97" s="446">
        <v>0</v>
      </c>
      <c r="CL97" s="446">
        <v>407</v>
      </c>
      <c r="CM97" s="446">
        <v>128</v>
      </c>
      <c r="CN97" s="446">
        <v>86</v>
      </c>
      <c r="CO97" s="446">
        <v>3</v>
      </c>
      <c r="CP97" s="446">
        <v>81</v>
      </c>
      <c r="CQ97" s="446">
        <v>897</v>
      </c>
      <c r="CR97" s="446">
        <v>2102</v>
      </c>
      <c r="CS97" s="446">
        <v>453</v>
      </c>
      <c r="CT97" s="446">
        <v>156</v>
      </c>
      <c r="CU97" s="446">
        <v>14</v>
      </c>
      <c r="CV97" s="446">
        <v>19</v>
      </c>
      <c r="CW97" s="443">
        <v>3778935.037505484</v>
      </c>
      <c r="CX97" s="448">
        <v>1.1259573405040626</v>
      </c>
      <c r="CY97" s="448">
        <v>1.1533333333333333</v>
      </c>
      <c r="CZ97" s="443">
        <v>4254919.644767295</v>
      </c>
      <c r="DA97" s="450">
        <v>881.6659023554278</v>
      </c>
      <c r="DB97" s="445">
        <v>4849.88</v>
      </c>
      <c r="DC97" s="448">
        <v>0.9828424620815361</v>
      </c>
      <c r="DD97" s="450">
        <v>354.1</v>
      </c>
      <c r="DE97" s="443">
        <v>82897</v>
      </c>
      <c r="DF97" s="450">
        <v>69.35905133335908</v>
      </c>
      <c r="DG97" s="450">
        <v>72.34149054069351</v>
      </c>
      <c r="DH97" s="450">
        <v>73.93300333258875</v>
      </c>
      <c r="DI97" s="450">
        <v>75.55952940590569</v>
      </c>
      <c r="DJ97" s="450">
        <v>78.05299387630058</v>
      </c>
      <c r="DK97" s="450">
        <v>80.86290165584738</v>
      </c>
      <c r="DL97" s="450">
        <v>83.45051450883449</v>
      </c>
      <c r="DM97" s="450">
        <v>86.8719856036967</v>
      </c>
      <c r="DN97" s="450">
        <v>90.69435297025935</v>
      </c>
      <c r="DO97" s="450">
        <v>95.6825423836236</v>
      </c>
      <c r="DP97" s="450">
        <v>94.82139950217099</v>
      </c>
      <c r="DQ97" s="450">
        <v>99.6572908767817</v>
      </c>
      <c r="DR97" s="450">
        <v>55.9</v>
      </c>
      <c r="DS97" s="450">
        <v>58.810120333258865</v>
      </c>
      <c r="DT97" s="450">
        <v>61.821230361181115</v>
      </c>
      <c r="DU97" s="450">
        <v>65.63528882725015</v>
      </c>
      <c r="DV97" s="450">
        <v>69.83597957229061</v>
      </c>
      <c r="DW97" s="450">
        <v>73.96736151697567</v>
      </c>
      <c r="DX97" s="450">
        <v>78.97441579207667</v>
      </c>
      <c r="DY97" s="450">
        <v>83.36540818507595</v>
      </c>
      <c r="DZ97" s="450">
        <v>85.88164709807567</v>
      </c>
      <c r="EA97" s="450">
        <v>88.272454042264</v>
      </c>
      <c r="EB97" s="450">
        <v>94.15093753409191</v>
      </c>
      <c r="EC97" s="450">
        <v>-0.64</v>
      </c>
      <c r="ED97" s="450">
        <v>93.51093753409191</v>
      </c>
      <c r="EE97" s="450">
        <v>4862.568751772779</v>
      </c>
      <c r="EF97" s="443">
        <v>23111217.43909081</v>
      </c>
      <c r="EG97" s="450">
        <v>67.93</v>
      </c>
      <c r="EH97" s="450">
        <v>69.87531433325887</v>
      </c>
      <c r="EI97" s="450">
        <v>71.87334437718113</v>
      </c>
      <c r="EJ97" s="450">
        <v>74.72114338346216</v>
      </c>
      <c r="EK97" s="450">
        <v>77.90421841820687</v>
      </c>
      <c r="EL97" s="450">
        <v>80.90604692446364</v>
      </c>
      <c r="EM97" s="450">
        <v>84.75295299943265</v>
      </c>
      <c r="EN97" s="450">
        <v>88.7278907135023</v>
      </c>
      <c r="EO97" s="450">
        <v>90.99566793601826</v>
      </c>
      <c r="EP97" s="450">
        <v>91.6896361029579</v>
      </c>
      <c r="EQ97" s="450">
        <v>97.02410421072334</v>
      </c>
      <c r="ER97" s="443">
        <v>33046948</v>
      </c>
      <c r="ES97" s="443">
        <v>1439000</v>
      </c>
      <c r="ET97" s="443">
        <v>0</v>
      </c>
      <c r="EU97" s="443">
        <v>0</v>
      </c>
      <c r="EV97" s="443">
        <v>0</v>
      </c>
      <c r="EW97" s="443">
        <v>0</v>
      </c>
      <c r="EX97" s="443">
        <v>0</v>
      </c>
      <c r="EY97" s="443">
        <v>0</v>
      </c>
      <c r="EZ97" s="443">
        <v>0</v>
      </c>
      <c r="FA97" s="443">
        <v>33766448</v>
      </c>
      <c r="FB97" s="443">
        <v>55204.320942594095</v>
      </c>
      <c r="FC97" s="443">
        <v>0</v>
      </c>
      <c r="FD97" s="443">
        <v>0</v>
      </c>
      <c r="FE97" s="443">
        <v>38844</v>
      </c>
      <c r="FF97" s="452">
        <v>0.0487</v>
      </c>
      <c r="FG97" s="443">
        <v>1891.7028</v>
      </c>
      <c r="FH97" s="453">
        <v>1891.7028</v>
      </c>
    </row>
    <row r="98" spans="2:164" ht="12.75">
      <c r="B98" s="356" t="s">
        <v>786</v>
      </c>
      <c r="C98" s="442">
        <v>23122</v>
      </c>
      <c r="D98" s="443">
        <v>5418226</v>
      </c>
      <c r="E98" s="443">
        <v>4648837.908</v>
      </c>
      <c r="F98" s="443">
        <v>682775.3015737014</v>
      </c>
      <c r="G98" s="443">
        <v>769388.0920000001</v>
      </c>
      <c r="H98" s="444">
        <v>0.43538707724245307</v>
      </c>
      <c r="I98" s="445">
        <v>8268.99</v>
      </c>
      <c r="J98" s="445">
        <v>1798.03</v>
      </c>
      <c r="K98" s="443">
        <v>5331613.209573701</v>
      </c>
      <c r="L98" s="443">
        <v>4265290.567658961</v>
      </c>
      <c r="M98" s="443">
        <v>1199656.7835246308</v>
      </c>
      <c r="N98" s="443">
        <v>1066322.64191474</v>
      </c>
      <c r="O98" s="446">
        <v>1.1250410864112101</v>
      </c>
      <c r="P98" s="447">
        <v>0.9038145489144538</v>
      </c>
      <c r="Q98" s="448">
        <v>0.09618545108554623</v>
      </c>
      <c r="R98" s="443">
        <v>5464947.351183591</v>
      </c>
      <c r="S98" s="443">
        <v>3694304.4094001083</v>
      </c>
      <c r="T98" s="443">
        <v>755864.1663142117</v>
      </c>
      <c r="U98" s="443">
        <v>1014089.6411089388</v>
      </c>
      <c r="V98" s="443">
        <v>1246007.9960698588</v>
      </c>
      <c r="W98" s="446">
        <v>0.8138708935316358</v>
      </c>
      <c r="X98" s="448">
        <v>15.19617044879751</v>
      </c>
      <c r="Y98" s="443">
        <v>755864.1663142117</v>
      </c>
      <c r="Z98" s="443">
        <v>524634.9457136248</v>
      </c>
      <c r="AA98" s="444">
        <v>1.4407430776195467</v>
      </c>
      <c r="AB98" s="444">
        <v>0.11819911772338033</v>
      </c>
      <c r="AC98" s="445">
        <v>2630</v>
      </c>
      <c r="AD98" s="445">
        <v>2836</v>
      </c>
      <c r="AE98" s="443">
        <v>5464258.216823258</v>
      </c>
      <c r="AF98" s="443">
        <v>758190.5489422265</v>
      </c>
      <c r="AG98" s="447">
        <v>1</v>
      </c>
      <c r="AH98" s="446">
        <v>0.3175277422697487</v>
      </c>
      <c r="AI98" s="448">
        <v>0.2673932611942291</v>
      </c>
      <c r="AJ98" s="443">
        <v>6222448.765765484</v>
      </c>
      <c r="AK98" s="449">
        <v>1.010082933623905</v>
      </c>
      <c r="AL98" s="443">
        <v>6285189.303648847</v>
      </c>
      <c r="AM98" s="443">
        <v>14008213.433207301</v>
      </c>
      <c r="AN98" s="443">
        <v>13837140.294499759</v>
      </c>
      <c r="AO98" s="443">
        <v>13640417.122262536</v>
      </c>
      <c r="AP98" s="443">
        <v>13837140.294499759</v>
      </c>
      <c r="AQ98" s="443">
        <v>92488</v>
      </c>
      <c r="AR98" s="443">
        <v>13929628.294499759</v>
      </c>
      <c r="AS98" s="450">
        <v>602.4404590649493</v>
      </c>
      <c r="AT98" s="446">
        <v>23122</v>
      </c>
      <c r="AU98" s="446">
        <v>324</v>
      </c>
      <c r="AV98" s="446">
        <v>1353</v>
      </c>
      <c r="AW98" s="446">
        <v>4010</v>
      </c>
      <c r="AX98" s="446">
        <v>0</v>
      </c>
      <c r="AY98" s="446">
        <v>2994</v>
      </c>
      <c r="AZ98" s="446">
        <v>491</v>
      </c>
      <c r="BA98" s="446">
        <v>349</v>
      </c>
      <c r="BB98" s="446">
        <v>1055</v>
      </c>
      <c r="BC98" s="446">
        <v>161</v>
      </c>
      <c r="BD98" s="446">
        <v>6906</v>
      </c>
      <c r="BE98" s="446">
        <v>1443</v>
      </c>
      <c r="BF98" s="446">
        <v>781</v>
      </c>
      <c r="BG98" s="446">
        <v>3255</v>
      </c>
      <c r="BH98" s="446">
        <v>0</v>
      </c>
      <c r="BI98" s="446">
        <v>0</v>
      </c>
      <c r="BJ98" s="448">
        <v>1.7200661066976983</v>
      </c>
      <c r="BK98" s="448">
        <v>24.53728783940202</v>
      </c>
      <c r="BL98" s="448">
        <v>14.673934534797782</v>
      </c>
      <c r="BM98" s="448">
        <v>19.726706609208478</v>
      </c>
      <c r="BN98" s="445">
        <v>20898</v>
      </c>
      <c r="BO98" s="445">
        <v>2224</v>
      </c>
      <c r="BP98" s="443">
        <v>7975353.113950416</v>
      </c>
      <c r="BQ98" s="443">
        <v>24719473</v>
      </c>
      <c r="BR98" s="443">
        <v>31527545</v>
      </c>
      <c r="BS98" s="444">
        <v>0.11819911772338033</v>
      </c>
      <c r="BT98" s="445">
        <v>2630</v>
      </c>
      <c r="BU98" s="445">
        <v>2836</v>
      </c>
      <c r="BV98" s="443">
        <v>3726528.0029841713</v>
      </c>
      <c r="BW98" s="444">
        <v>0.01430263028607861</v>
      </c>
      <c r="BX98" s="443">
        <v>104564.22393408838</v>
      </c>
      <c r="BY98" s="443">
        <v>36525918.340868674</v>
      </c>
      <c r="BZ98" s="451">
        <v>0.9366666666666666</v>
      </c>
      <c r="CA98" s="443">
        <v>34212610.179280326</v>
      </c>
      <c r="CB98" s="443">
        <v>25034660.0829982</v>
      </c>
      <c r="CC98" s="443">
        <v>25034660.0829982</v>
      </c>
      <c r="CD98" s="443">
        <v>25144322.813794266</v>
      </c>
      <c r="CE98" s="443">
        <v>25144322.813794266</v>
      </c>
      <c r="CF98" s="450">
        <v>1087.463143923288</v>
      </c>
      <c r="CG98" s="446">
        <v>23122</v>
      </c>
      <c r="CH98" s="446">
        <v>324</v>
      </c>
      <c r="CI98" s="446">
        <v>1353</v>
      </c>
      <c r="CJ98" s="446">
        <v>4010</v>
      </c>
      <c r="CK98" s="446">
        <v>0</v>
      </c>
      <c r="CL98" s="446">
        <v>2994</v>
      </c>
      <c r="CM98" s="446">
        <v>491</v>
      </c>
      <c r="CN98" s="446">
        <v>349</v>
      </c>
      <c r="CO98" s="446">
        <v>1055</v>
      </c>
      <c r="CP98" s="446">
        <v>161</v>
      </c>
      <c r="CQ98" s="446">
        <v>6906</v>
      </c>
      <c r="CR98" s="446">
        <v>1443</v>
      </c>
      <c r="CS98" s="446">
        <v>781</v>
      </c>
      <c r="CT98" s="446">
        <v>3255</v>
      </c>
      <c r="CU98" s="446">
        <v>0</v>
      </c>
      <c r="CV98" s="446">
        <v>0</v>
      </c>
      <c r="CW98" s="443">
        <v>16041844.121850386</v>
      </c>
      <c r="CX98" s="448">
        <v>0.9144335626637039</v>
      </c>
      <c r="CY98" s="448">
        <v>0.9366666666666666</v>
      </c>
      <c r="CZ98" s="443">
        <v>14669200.672039445</v>
      </c>
      <c r="DA98" s="450">
        <v>634.4261167736115</v>
      </c>
      <c r="DB98" s="445">
        <v>23122</v>
      </c>
      <c r="DC98" s="448">
        <v>0.9798892829340025</v>
      </c>
      <c r="DD98" s="450">
        <v>302.7</v>
      </c>
      <c r="DE98" s="443">
        <v>21668</v>
      </c>
      <c r="DF98" s="450">
        <v>42.97958335544233</v>
      </c>
      <c r="DG98" s="450">
        <v>44.827705439726344</v>
      </c>
      <c r="DH98" s="450">
        <v>45.813914959400314</v>
      </c>
      <c r="DI98" s="450">
        <v>46.821821088507114</v>
      </c>
      <c r="DJ98" s="450">
        <v>48.366941184427844</v>
      </c>
      <c r="DK98" s="450">
        <v>50.10815106706724</v>
      </c>
      <c r="DL98" s="450">
        <v>51.71161190121338</v>
      </c>
      <c r="DM98" s="450">
        <v>53.831787989163125</v>
      </c>
      <c r="DN98" s="450">
        <v>56.20038666068629</v>
      </c>
      <c r="DO98" s="450">
        <v>59.29140792702403</v>
      </c>
      <c r="DP98" s="450">
        <v>58.757785255680815</v>
      </c>
      <c r="DQ98" s="450">
        <v>61.754432303720534</v>
      </c>
      <c r="DR98" s="450">
        <v>35.65</v>
      </c>
      <c r="DS98" s="450">
        <v>37.37226149594002</v>
      </c>
      <c r="DT98" s="450">
        <v>39.15304789770141</v>
      </c>
      <c r="DU98" s="450">
        <v>41.43532881658834</v>
      </c>
      <c r="DV98" s="450">
        <v>43.952879284425755</v>
      </c>
      <c r="DW98" s="450">
        <v>46.418078168141705</v>
      </c>
      <c r="DX98" s="450">
        <v>49.42333309626103</v>
      </c>
      <c r="DY98" s="450">
        <v>52.10934052007315</v>
      </c>
      <c r="DZ98" s="450">
        <v>53.6477016044447</v>
      </c>
      <c r="EA98" s="450">
        <v>54.98666804429659</v>
      </c>
      <c r="EB98" s="450">
        <v>58.58367695238868</v>
      </c>
      <c r="EC98" s="450">
        <v>0</v>
      </c>
      <c r="ED98" s="450">
        <v>58.58367695238868</v>
      </c>
      <c r="EE98" s="450">
        <v>3046.3512015242113</v>
      </c>
      <c r="EF98" s="443">
        <v>69028977.83200996</v>
      </c>
      <c r="EG98" s="450">
        <v>43.19</v>
      </c>
      <c r="EH98" s="450">
        <v>44.30755349594002</v>
      </c>
      <c r="EI98" s="450">
        <v>45.453375385701406</v>
      </c>
      <c r="EJ98" s="450">
        <v>47.130037324804334</v>
      </c>
      <c r="EK98" s="450">
        <v>49.00978043972156</v>
      </c>
      <c r="EL98" s="450">
        <v>50.7670131616961</v>
      </c>
      <c r="EM98" s="450">
        <v>53.04512615889313</v>
      </c>
      <c r="EN98" s="450">
        <v>55.47036448219574</v>
      </c>
      <c r="EO98" s="450">
        <v>56.85299812298894</v>
      </c>
      <c r="EP98" s="450">
        <v>57.12844300170575</v>
      </c>
      <c r="EQ98" s="450">
        <v>60.3844813365783</v>
      </c>
      <c r="ER98" s="443">
        <v>127168814</v>
      </c>
      <c r="ES98" s="443">
        <v>0</v>
      </c>
      <c r="ET98" s="443">
        <v>0</v>
      </c>
      <c r="EU98" s="443">
        <v>0</v>
      </c>
      <c r="EV98" s="443">
        <v>0</v>
      </c>
      <c r="EW98" s="443">
        <v>0</v>
      </c>
      <c r="EX98" s="443">
        <v>0</v>
      </c>
      <c r="EY98" s="443">
        <v>0</v>
      </c>
      <c r="EZ98" s="443">
        <v>149800000</v>
      </c>
      <c r="FA98" s="443">
        <v>276968814</v>
      </c>
      <c r="FB98" s="443">
        <v>170286.84969675128</v>
      </c>
      <c r="FC98" s="443">
        <v>0</v>
      </c>
      <c r="FD98" s="443">
        <v>0</v>
      </c>
      <c r="FE98" s="443">
        <v>90704</v>
      </c>
      <c r="FF98" s="452">
        <v>0.048499999999999995</v>
      </c>
      <c r="FG98" s="443">
        <v>4399.143999999999</v>
      </c>
      <c r="FH98" s="453">
        <v>4399.143999999999</v>
      </c>
    </row>
    <row r="99" spans="2:164" ht="12.75">
      <c r="B99" s="356" t="s">
        <v>787</v>
      </c>
      <c r="C99" s="442">
        <v>25941</v>
      </c>
      <c r="D99" s="443">
        <v>6075053</v>
      </c>
      <c r="E99" s="443">
        <v>5212395.473999999</v>
      </c>
      <c r="F99" s="443">
        <v>1347147.00980761</v>
      </c>
      <c r="G99" s="443">
        <v>862657.5260000001</v>
      </c>
      <c r="H99" s="444">
        <v>0.7661605180987625</v>
      </c>
      <c r="I99" s="445">
        <v>19325.46</v>
      </c>
      <c r="J99" s="445">
        <v>549.51</v>
      </c>
      <c r="K99" s="443">
        <v>6559542.483807609</v>
      </c>
      <c r="L99" s="443">
        <v>5247633.987046088</v>
      </c>
      <c r="M99" s="443">
        <v>2517467.493587042</v>
      </c>
      <c r="N99" s="443">
        <v>1311908.4967615216</v>
      </c>
      <c r="O99" s="446">
        <v>1.918935276203693</v>
      </c>
      <c r="P99" s="447">
        <v>0.29312671061254386</v>
      </c>
      <c r="Q99" s="448">
        <v>0.7068732893874562</v>
      </c>
      <c r="R99" s="443">
        <v>7765101.48063313</v>
      </c>
      <c r="S99" s="443">
        <v>5249208.600907996</v>
      </c>
      <c r="T99" s="443">
        <v>458329.3709656275</v>
      </c>
      <c r="U99" s="443">
        <v>2672623.5745242937</v>
      </c>
      <c r="V99" s="443">
        <v>1770443.1375843538</v>
      </c>
      <c r="W99" s="446">
        <v>1.5095788832681192</v>
      </c>
      <c r="X99" s="448">
        <v>28.186065134366487</v>
      </c>
      <c r="Y99" s="443">
        <v>458329.3709656275</v>
      </c>
      <c r="Z99" s="443">
        <v>745449.7421407806</v>
      </c>
      <c r="AA99" s="444">
        <v>0.6148360446800859</v>
      </c>
      <c r="AB99" s="444">
        <v>0.05044138622258201</v>
      </c>
      <c r="AC99" s="445">
        <v>1181</v>
      </c>
      <c r="AD99" s="445">
        <v>1436</v>
      </c>
      <c r="AE99" s="443">
        <v>8380161.546397917</v>
      </c>
      <c r="AF99" s="443">
        <v>1406750.3898172174</v>
      </c>
      <c r="AG99" s="447">
        <v>1</v>
      </c>
      <c r="AH99" s="446">
        <v>0.5977626402685114</v>
      </c>
      <c r="AI99" s="448">
        <v>0.5033818483352661</v>
      </c>
      <c r="AJ99" s="443">
        <v>9786911.936215134</v>
      </c>
      <c r="AK99" s="449">
        <v>1.2520966078131373</v>
      </c>
      <c r="AL99" s="443">
        <v>12254159.236300873</v>
      </c>
      <c r="AM99" s="443">
        <v>27311648.02418205</v>
      </c>
      <c r="AN99" s="443">
        <v>26978108.749309458</v>
      </c>
      <c r="AO99" s="443">
        <v>26599224.78692479</v>
      </c>
      <c r="AP99" s="443">
        <v>26978108.749309458</v>
      </c>
      <c r="AQ99" s="443">
        <v>103764</v>
      </c>
      <c r="AR99" s="443">
        <v>27081872.749309458</v>
      </c>
      <c r="AS99" s="450">
        <v>1043.979520809123</v>
      </c>
      <c r="AT99" s="446">
        <v>25940</v>
      </c>
      <c r="AU99" s="446">
        <v>76</v>
      </c>
      <c r="AV99" s="446">
        <v>222</v>
      </c>
      <c r="AW99" s="446">
        <v>924</v>
      </c>
      <c r="AX99" s="446">
        <v>13</v>
      </c>
      <c r="AY99" s="446">
        <v>222</v>
      </c>
      <c r="AZ99" s="446">
        <v>461</v>
      </c>
      <c r="BA99" s="446">
        <v>1910</v>
      </c>
      <c r="BB99" s="446">
        <v>133</v>
      </c>
      <c r="BC99" s="446">
        <v>1054</v>
      </c>
      <c r="BD99" s="446">
        <v>2323</v>
      </c>
      <c r="BE99" s="446">
        <v>14031</v>
      </c>
      <c r="BF99" s="446">
        <v>4306</v>
      </c>
      <c r="BG99" s="446">
        <v>105</v>
      </c>
      <c r="BH99" s="446">
        <v>135</v>
      </c>
      <c r="BI99" s="446">
        <v>25</v>
      </c>
      <c r="BJ99" s="448">
        <v>2.380751511199516</v>
      </c>
      <c r="BK99" s="448">
        <v>21.444275578390354</v>
      </c>
      <c r="BL99" s="448">
        <v>9.96203620958651</v>
      </c>
      <c r="BM99" s="448">
        <v>22.964478737607692</v>
      </c>
      <c r="BN99" s="445">
        <v>7603</v>
      </c>
      <c r="BO99" s="445">
        <v>18337</v>
      </c>
      <c r="BP99" s="443">
        <v>11254355.204784665</v>
      </c>
      <c r="BQ99" s="443">
        <v>32497553</v>
      </c>
      <c r="BR99" s="443">
        <v>33266693</v>
      </c>
      <c r="BS99" s="444">
        <v>0.050443330763299925</v>
      </c>
      <c r="BT99" s="445">
        <v>1181</v>
      </c>
      <c r="BU99" s="445">
        <v>1436</v>
      </c>
      <c r="BV99" s="443">
        <v>1678082.7984001543</v>
      </c>
      <c r="BW99" s="444">
        <v>0.05448983915579021</v>
      </c>
      <c r="BX99" s="443">
        <v>390581.9136972945</v>
      </c>
      <c r="BY99" s="443">
        <v>45820572.91688211</v>
      </c>
      <c r="BZ99" s="451">
        <v>1.2133333333333332</v>
      </c>
      <c r="CA99" s="443">
        <v>55595628.47248362</v>
      </c>
      <c r="CB99" s="443">
        <v>40681422.8325727</v>
      </c>
      <c r="CC99" s="443">
        <v>40681422.8325727</v>
      </c>
      <c r="CD99" s="443">
        <v>38437421.41782215</v>
      </c>
      <c r="CE99" s="443">
        <v>40392306.180434145</v>
      </c>
      <c r="CF99" s="450">
        <v>1557.1436461231358</v>
      </c>
      <c r="CG99" s="446">
        <v>25940</v>
      </c>
      <c r="CH99" s="446">
        <v>76</v>
      </c>
      <c r="CI99" s="446">
        <v>222</v>
      </c>
      <c r="CJ99" s="446">
        <v>924</v>
      </c>
      <c r="CK99" s="446">
        <v>13</v>
      </c>
      <c r="CL99" s="446">
        <v>222</v>
      </c>
      <c r="CM99" s="446">
        <v>461</v>
      </c>
      <c r="CN99" s="446">
        <v>1910</v>
      </c>
      <c r="CO99" s="446">
        <v>133</v>
      </c>
      <c r="CP99" s="446">
        <v>1054</v>
      </c>
      <c r="CQ99" s="446">
        <v>2323</v>
      </c>
      <c r="CR99" s="446">
        <v>14031</v>
      </c>
      <c r="CS99" s="446">
        <v>4306</v>
      </c>
      <c r="CT99" s="446">
        <v>105</v>
      </c>
      <c r="CU99" s="446">
        <v>135</v>
      </c>
      <c r="CV99" s="446">
        <v>25</v>
      </c>
      <c r="CW99" s="443">
        <v>20785477.743794776</v>
      </c>
      <c r="CX99" s="448">
        <v>1.1845331559060077</v>
      </c>
      <c r="CY99" s="448">
        <v>1.2133333333333332</v>
      </c>
      <c r="CZ99" s="443">
        <v>24621087.548871312</v>
      </c>
      <c r="DA99" s="450">
        <v>949.1552640274215</v>
      </c>
      <c r="DB99" s="445">
        <v>25941</v>
      </c>
      <c r="DC99" s="448">
        <v>1.0048263366870978</v>
      </c>
      <c r="DD99" s="450">
        <v>354.1</v>
      </c>
      <c r="DE99" s="443">
        <v>72853</v>
      </c>
      <c r="DF99" s="450">
        <v>66.99157413342806</v>
      </c>
      <c r="DG99" s="450">
        <v>69.87221182116546</v>
      </c>
      <c r="DH99" s="450">
        <v>71.40940048123109</v>
      </c>
      <c r="DI99" s="450">
        <v>72.98040729181815</v>
      </c>
      <c r="DJ99" s="450">
        <v>75.38876073244815</v>
      </c>
      <c r="DK99" s="450">
        <v>78.10275611881627</v>
      </c>
      <c r="DL99" s="450">
        <v>80.60204431461838</v>
      </c>
      <c r="DM99" s="450">
        <v>83.90672813151772</v>
      </c>
      <c r="DN99" s="450">
        <v>87.59862416930449</v>
      </c>
      <c r="DO99" s="450">
        <v>92.41654849861622</v>
      </c>
      <c r="DP99" s="450">
        <v>91.58479956212868</v>
      </c>
      <c r="DQ99" s="450">
        <v>96.25562433979724</v>
      </c>
      <c r="DR99" s="450">
        <v>48.6</v>
      </c>
      <c r="DS99" s="450">
        <v>51.8432200481231</v>
      </c>
      <c r="DT99" s="450">
        <v>55.205619378363615</v>
      </c>
      <c r="DU99" s="450">
        <v>59.32257430717443</v>
      </c>
      <c r="DV99" s="450">
        <v>63.835982573173204</v>
      </c>
      <c r="DW99" s="450">
        <v>68.33261906536535</v>
      </c>
      <c r="DX99" s="450">
        <v>73.68875078393981</v>
      </c>
      <c r="DY99" s="450">
        <v>78.1163411907522</v>
      </c>
      <c r="DZ99" s="450">
        <v>80.65805394882176</v>
      </c>
      <c r="EA99" s="450">
        <v>83.72778882447008</v>
      </c>
      <c r="EB99" s="450">
        <v>89.6494497115739</v>
      </c>
      <c r="EC99" s="450">
        <v>0</v>
      </c>
      <c r="ED99" s="450">
        <v>89.6494497115739</v>
      </c>
      <c r="EE99" s="450">
        <v>4661.771385001843</v>
      </c>
      <c r="EF99" s="443">
        <v>118512391.26836614</v>
      </c>
      <c r="EG99" s="450">
        <v>57.62</v>
      </c>
      <c r="EH99" s="450">
        <v>60.139816048123095</v>
      </c>
      <c r="EI99" s="450">
        <v>62.74261592236361</v>
      </c>
      <c r="EJ99" s="450">
        <v>66.13507705838242</v>
      </c>
      <c r="EK99" s="450">
        <v>69.88548501624591</v>
      </c>
      <c r="EL99" s="450">
        <v>73.53519116640787</v>
      </c>
      <c r="EM99" s="450">
        <v>78.02145282968802</v>
      </c>
      <c r="EN99" s="450">
        <v>82.13708868920652</v>
      </c>
      <c r="EO99" s="450">
        <v>84.49250681318104</v>
      </c>
      <c r="EP99" s="450">
        <v>86.28996523240517</v>
      </c>
      <c r="EQ99" s="450">
        <v>91.8037276353657</v>
      </c>
      <c r="ER99" s="443">
        <v>573734182.7</v>
      </c>
      <c r="ES99" s="443">
        <v>8689000</v>
      </c>
      <c r="ET99" s="443">
        <v>0</v>
      </c>
      <c r="EU99" s="443">
        <v>0</v>
      </c>
      <c r="EV99" s="443">
        <v>0</v>
      </c>
      <c r="EW99" s="443">
        <v>0</v>
      </c>
      <c r="EX99" s="443">
        <v>11791324</v>
      </c>
      <c r="EY99" s="443">
        <v>0</v>
      </c>
      <c r="EZ99" s="443">
        <v>0</v>
      </c>
      <c r="FA99" s="443">
        <v>566287358.7</v>
      </c>
      <c r="FB99" s="443">
        <v>307191.3966679295</v>
      </c>
      <c r="FC99" s="443">
        <v>0</v>
      </c>
      <c r="FD99" s="443">
        <v>0</v>
      </c>
      <c r="FE99" s="443">
        <v>134143</v>
      </c>
      <c r="FF99" s="452">
        <v>0.0579</v>
      </c>
      <c r="FG99" s="443">
        <v>7766.8797</v>
      </c>
      <c r="FH99" s="453">
        <v>7766.8797</v>
      </c>
    </row>
    <row r="100" spans="2:164" ht="12.75">
      <c r="B100" s="356" t="s">
        <v>788</v>
      </c>
      <c r="C100" s="442">
        <v>3809.5</v>
      </c>
      <c r="D100" s="443">
        <v>918413.5</v>
      </c>
      <c r="E100" s="443">
        <v>787998.7829999999</v>
      </c>
      <c r="F100" s="443">
        <v>104296.43592510733</v>
      </c>
      <c r="G100" s="443">
        <v>130414.71700000002</v>
      </c>
      <c r="H100" s="444">
        <v>0.3923612022575141</v>
      </c>
      <c r="I100" s="445">
        <v>1170.35</v>
      </c>
      <c r="J100" s="445">
        <v>324.35</v>
      </c>
      <c r="K100" s="443">
        <v>892295.2189251073</v>
      </c>
      <c r="L100" s="443">
        <v>713836.1751400859</v>
      </c>
      <c r="M100" s="443">
        <v>223669.9174316743</v>
      </c>
      <c r="N100" s="443">
        <v>178459.0437850214</v>
      </c>
      <c r="O100" s="446">
        <v>1.2533403333770836</v>
      </c>
      <c r="P100" s="447">
        <v>0.8053550334689592</v>
      </c>
      <c r="Q100" s="448">
        <v>0.19477621735135844</v>
      </c>
      <c r="R100" s="443">
        <v>937506.0925717602</v>
      </c>
      <c r="S100" s="443">
        <v>633754.1185785099</v>
      </c>
      <c r="T100" s="443">
        <v>94022.72767107602</v>
      </c>
      <c r="U100" s="443">
        <v>167620.80629650856</v>
      </c>
      <c r="V100" s="443">
        <v>213751.38910636134</v>
      </c>
      <c r="W100" s="446">
        <v>0.7841858104281207</v>
      </c>
      <c r="X100" s="448">
        <v>14.641906146912634</v>
      </c>
      <c r="Y100" s="443">
        <v>94022.72767107602</v>
      </c>
      <c r="Z100" s="443">
        <v>90000.58488688897</v>
      </c>
      <c r="AA100" s="444">
        <v>1.04469018494982</v>
      </c>
      <c r="AB100" s="444">
        <v>0.08570678566741043</v>
      </c>
      <c r="AC100" s="445">
        <v>338</v>
      </c>
      <c r="AD100" s="445">
        <v>315</v>
      </c>
      <c r="AE100" s="443">
        <v>895397.6525460945</v>
      </c>
      <c r="AF100" s="443">
        <v>48126.081520660984</v>
      </c>
      <c r="AG100" s="447">
        <v>0.5</v>
      </c>
      <c r="AH100" s="446">
        <v>0.21916798317698005</v>
      </c>
      <c r="AI100" s="448">
        <v>0.1845635324716568</v>
      </c>
      <c r="AJ100" s="443">
        <v>943523.7340667555</v>
      </c>
      <c r="AK100" s="449">
        <v>1</v>
      </c>
      <c r="AL100" s="443">
        <v>943523.7340667555</v>
      </c>
      <c r="AM100" s="443">
        <v>2102893.199800792</v>
      </c>
      <c r="AN100" s="443">
        <v>2077211.9420321274</v>
      </c>
      <c r="AO100" s="443">
        <v>2047747.2111547804</v>
      </c>
      <c r="AP100" s="443">
        <v>2077211.9420321274</v>
      </c>
      <c r="AQ100" s="443">
        <v>15238</v>
      </c>
      <c r="AR100" s="443">
        <v>2092449.9420321274</v>
      </c>
      <c r="AS100" s="450">
        <v>549.2715427305756</v>
      </c>
      <c r="AT100" s="446">
        <v>3809</v>
      </c>
      <c r="AU100" s="446">
        <v>0</v>
      </c>
      <c r="AV100" s="446">
        <v>401</v>
      </c>
      <c r="AW100" s="446">
        <v>546</v>
      </c>
      <c r="AX100" s="446">
        <v>0</v>
      </c>
      <c r="AY100" s="446">
        <v>561</v>
      </c>
      <c r="AZ100" s="446">
        <v>1</v>
      </c>
      <c r="BA100" s="446">
        <v>196</v>
      </c>
      <c r="BB100" s="446">
        <v>61</v>
      </c>
      <c r="BC100" s="446">
        <v>10</v>
      </c>
      <c r="BD100" s="446">
        <v>563</v>
      </c>
      <c r="BE100" s="446">
        <v>622</v>
      </c>
      <c r="BF100" s="446">
        <v>120</v>
      </c>
      <c r="BG100" s="446">
        <v>728</v>
      </c>
      <c r="BH100" s="446">
        <v>0</v>
      </c>
      <c r="BI100" s="446">
        <v>0</v>
      </c>
      <c r="BJ100" s="448">
        <v>1.5676349404634873</v>
      </c>
      <c r="BK100" s="448">
        <v>16.21615984190363</v>
      </c>
      <c r="BL100" s="448">
        <v>13.13743869655076</v>
      </c>
      <c r="BM100" s="448">
        <v>6.157442290705741</v>
      </c>
      <c r="BN100" s="445">
        <v>3067</v>
      </c>
      <c r="BO100" s="445">
        <v>742</v>
      </c>
      <c r="BP100" s="443">
        <v>1307902.912987735</v>
      </c>
      <c r="BQ100" s="443">
        <v>4158222</v>
      </c>
      <c r="BR100" s="443">
        <v>5217292</v>
      </c>
      <c r="BS100" s="444">
        <v>0.08571803622998163</v>
      </c>
      <c r="BT100" s="445">
        <v>338</v>
      </c>
      <c r="BU100" s="445">
        <v>315</v>
      </c>
      <c r="BV100" s="443">
        <v>447216.0246783933</v>
      </c>
      <c r="BW100" s="444">
        <v>0.013994465426619408</v>
      </c>
      <c r="BX100" s="443">
        <v>11138.598618003663</v>
      </c>
      <c r="BY100" s="443">
        <v>5924479.536284132</v>
      </c>
      <c r="BZ100" s="451">
        <v>0.91</v>
      </c>
      <c r="CA100" s="443">
        <v>5391276.37801856</v>
      </c>
      <c r="CB100" s="443">
        <v>3945000.712600744</v>
      </c>
      <c r="CC100" s="443">
        <v>3945000.712600744</v>
      </c>
      <c r="CD100" s="443">
        <v>3969930.9261578755</v>
      </c>
      <c r="CE100" s="443">
        <v>3969930.9261578755</v>
      </c>
      <c r="CF100" s="450">
        <v>1042.2501775158507</v>
      </c>
      <c r="CG100" s="446">
        <v>3809</v>
      </c>
      <c r="CH100" s="446">
        <v>0</v>
      </c>
      <c r="CI100" s="446">
        <v>401</v>
      </c>
      <c r="CJ100" s="446">
        <v>546</v>
      </c>
      <c r="CK100" s="446">
        <v>0</v>
      </c>
      <c r="CL100" s="446">
        <v>561</v>
      </c>
      <c r="CM100" s="446">
        <v>1</v>
      </c>
      <c r="CN100" s="446">
        <v>196</v>
      </c>
      <c r="CO100" s="446">
        <v>61</v>
      </c>
      <c r="CP100" s="446">
        <v>10</v>
      </c>
      <c r="CQ100" s="446">
        <v>563</v>
      </c>
      <c r="CR100" s="446">
        <v>622</v>
      </c>
      <c r="CS100" s="446">
        <v>120</v>
      </c>
      <c r="CT100" s="446">
        <v>728</v>
      </c>
      <c r="CU100" s="446">
        <v>0</v>
      </c>
      <c r="CV100" s="446">
        <v>0</v>
      </c>
      <c r="CW100" s="443">
        <v>2601539.1337099583</v>
      </c>
      <c r="CX100" s="448">
        <v>0.888399866929506</v>
      </c>
      <c r="CY100" s="448">
        <v>0.91</v>
      </c>
      <c r="CZ100" s="443">
        <v>2311207.0201998292</v>
      </c>
      <c r="DA100" s="450">
        <v>606.7752744026856</v>
      </c>
      <c r="DB100" s="445">
        <v>3809.5</v>
      </c>
      <c r="DC100" s="448">
        <v>1.0009843811523822</v>
      </c>
      <c r="DD100" s="450">
        <v>302.7</v>
      </c>
      <c r="DE100" s="443">
        <v>33759</v>
      </c>
      <c r="DF100" s="450">
        <v>47.73358442421856</v>
      </c>
      <c r="DG100" s="450">
        <v>49.78612855445996</v>
      </c>
      <c r="DH100" s="450">
        <v>50.88142338265806</v>
      </c>
      <c r="DI100" s="450">
        <v>52.00081469707653</v>
      </c>
      <c r="DJ100" s="450">
        <v>53.71684158208005</v>
      </c>
      <c r="DK100" s="450">
        <v>55.65064787903492</v>
      </c>
      <c r="DL100" s="450">
        <v>57.43146861116403</v>
      </c>
      <c r="DM100" s="450">
        <v>59.78615882422175</v>
      </c>
      <c r="DN100" s="450">
        <v>62.416749812487495</v>
      </c>
      <c r="DO100" s="450">
        <v>65.8496710521743</v>
      </c>
      <c r="DP100" s="450">
        <v>65.25702401270473</v>
      </c>
      <c r="DQ100" s="450">
        <v>68.58513223735267</v>
      </c>
      <c r="DR100" s="450">
        <v>38.14</v>
      </c>
      <c r="DS100" s="450">
        <v>40.169314338265806</v>
      </c>
      <c r="DT100" s="450">
        <v>42.2694587474153</v>
      </c>
      <c r="DU100" s="450">
        <v>44.92091222308001</v>
      </c>
      <c r="DV100" s="450">
        <v>47.83986260824288</v>
      </c>
      <c r="DW100" s="450">
        <v>50.71419327828288</v>
      </c>
      <c r="DX100" s="450">
        <v>54.192011926998326</v>
      </c>
      <c r="DY100" s="450">
        <v>57.225381491864155</v>
      </c>
      <c r="DZ100" s="450">
        <v>58.96391688621941</v>
      </c>
      <c r="EA100" s="450">
        <v>60.65597205068033</v>
      </c>
      <c r="EB100" s="450">
        <v>64.71656774768255</v>
      </c>
      <c r="EC100" s="450">
        <v>-0.93</v>
      </c>
      <c r="ED100" s="450">
        <v>63.78656774768255</v>
      </c>
      <c r="EE100" s="450">
        <v>3316.9015228794924</v>
      </c>
      <c r="EF100" s="443">
        <v>12383021.624381237</v>
      </c>
      <c r="EG100" s="450">
        <v>42.25</v>
      </c>
      <c r="EH100" s="450">
        <v>43.9496923382658</v>
      </c>
      <c r="EI100" s="450">
        <v>45.70372213941529</v>
      </c>
      <c r="EJ100" s="450">
        <v>48.025057046524</v>
      </c>
      <c r="EK100" s="450">
        <v>50.59634321146115</v>
      </c>
      <c r="EL100" s="450">
        <v>53.08476659705059</v>
      </c>
      <c r="EM100" s="450">
        <v>56.16622538686808</v>
      </c>
      <c r="EN100" s="450">
        <v>59.05745158262329</v>
      </c>
      <c r="EO100" s="450">
        <v>60.71110106277336</v>
      </c>
      <c r="EP100" s="450">
        <v>61.82343824099222</v>
      </c>
      <c r="EQ100" s="450">
        <v>65.69817332049678</v>
      </c>
      <c r="ER100" s="443">
        <v>28843670</v>
      </c>
      <c r="ES100" s="443">
        <v>217000</v>
      </c>
      <c r="ET100" s="443">
        <v>0</v>
      </c>
      <c r="EU100" s="443">
        <v>0</v>
      </c>
      <c r="EV100" s="443">
        <v>0</v>
      </c>
      <c r="EW100" s="443">
        <v>0</v>
      </c>
      <c r="EX100" s="443">
        <v>0</v>
      </c>
      <c r="EY100" s="443">
        <v>0</v>
      </c>
      <c r="EZ100" s="443">
        <v>0</v>
      </c>
      <c r="FA100" s="443">
        <v>28952170</v>
      </c>
      <c r="FB100" s="443">
        <v>52926.221039711134</v>
      </c>
      <c r="FC100" s="443">
        <v>0</v>
      </c>
      <c r="FD100" s="443">
        <v>0</v>
      </c>
      <c r="FE100" s="443">
        <v>16469</v>
      </c>
      <c r="FF100" s="452">
        <v>0.0564</v>
      </c>
      <c r="FG100" s="443">
        <v>928.8516</v>
      </c>
      <c r="FH100" s="453">
        <v>928.8516</v>
      </c>
    </row>
    <row r="101" spans="2:164" ht="12.75">
      <c r="B101" s="356" t="s">
        <v>789</v>
      </c>
      <c r="C101" s="442">
        <v>58428.75</v>
      </c>
      <c r="D101" s="443">
        <v>13644698.75</v>
      </c>
      <c r="E101" s="443">
        <v>11707151.5275</v>
      </c>
      <c r="F101" s="443">
        <v>1732473.2110424286</v>
      </c>
      <c r="G101" s="443">
        <v>1937547.2225000001</v>
      </c>
      <c r="H101" s="444">
        <v>0.4386896861562159</v>
      </c>
      <c r="I101" s="445">
        <v>21121.48</v>
      </c>
      <c r="J101" s="445">
        <v>4510.61</v>
      </c>
      <c r="K101" s="443">
        <v>13439624.738542428</v>
      </c>
      <c r="L101" s="443">
        <v>10751699.790833943</v>
      </c>
      <c r="M101" s="443">
        <v>3389323.6752865966</v>
      </c>
      <c r="N101" s="443">
        <v>2687924.947708485</v>
      </c>
      <c r="O101" s="446">
        <v>1.2609443125173823</v>
      </c>
      <c r="P101" s="447">
        <v>0.7992811757910275</v>
      </c>
      <c r="Q101" s="448">
        <v>0.20072310292450207</v>
      </c>
      <c r="R101" s="443">
        <v>14141023.46612054</v>
      </c>
      <c r="S101" s="443">
        <v>9559331.863097485</v>
      </c>
      <c r="T101" s="443">
        <v>1532128.0108343032</v>
      </c>
      <c r="U101" s="443">
        <v>2785017.9665445657</v>
      </c>
      <c r="V101" s="443">
        <v>3224153.350275483</v>
      </c>
      <c r="W101" s="446">
        <v>0.863798232893173</v>
      </c>
      <c r="X101" s="448">
        <v>16.128387542470225</v>
      </c>
      <c r="Y101" s="443">
        <v>1532128.0108343032</v>
      </c>
      <c r="Z101" s="443">
        <v>1357538.2527475718</v>
      </c>
      <c r="AA101" s="444">
        <v>1.1286076158320937</v>
      </c>
      <c r="AB101" s="444">
        <v>0.09259140406050104</v>
      </c>
      <c r="AC101" s="445">
        <v>5379</v>
      </c>
      <c r="AD101" s="445">
        <v>5441</v>
      </c>
      <c r="AE101" s="443">
        <v>13876477.840476353</v>
      </c>
      <c r="AF101" s="443">
        <v>1993180.6781447476</v>
      </c>
      <c r="AG101" s="447">
        <v>1</v>
      </c>
      <c r="AH101" s="446">
        <v>0.3348106206992227</v>
      </c>
      <c r="AI101" s="448">
        <v>0.2819473445415497</v>
      </c>
      <c r="AJ101" s="443">
        <v>15869658.5186211</v>
      </c>
      <c r="AK101" s="449">
        <v>1.010082933623905</v>
      </c>
      <c r="AL101" s="443">
        <v>16029671.232098395</v>
      </c>
      <c r="AM101" s="443">
        <v>35726379.11685767</v>
      </c>
      <c r="AN101" s="443">
        <v>35290076.24074015</v>
      </c>
      <c r="AO101" s="443">
        <v>34825880.21763868</v>
      </c>
      <c r="AP101" s="443">
        <v>35290076.24074015</v>
      </c>
      <c r="AQ101" s="443">
        <v>233715</v>
      </c>
      <c r="AR101" s="443">
        <v>35523791.24074015</v>
      </c>
      <c r="AS101" s="450">
        <v>607.9847890078112</v>
      </c>
      <c r="AT101" s="446">
        <v>58418</v>
      </c>
      <c r="AU101" s="446">
        <v>3235</v>
      </c>
      <c r="AV101" s="446">
        <v>5670</v>
      </c>
      <c r="AW101" s="446">
        <v>4262</v>
      </c>
      <c r="AX101" s="446">
        <v>666</v>
      </c>
      <c r="AY101" s="446">
        <v>5763</v>
      </c>
      <c r="AZ101" s="446">
        <v>2377</v>
      </c>
      <c r="BA101" s="446">
        <v>2734</v>
      </c>
      <c r="BB101" s="446">
        <v>6971</v>
      </c>
      <c r="BC101" s="446">
        <v>1772</v>
      </c>
      <c r="BD101" s="446">
        <v>10232</v>
      </c>
      <c r="BE101" s="446">
        <v>4202</v>
      </c>
      <c r="BF101" s="446">
        <v>7526</v>
      </c>
      <c r="BG101" s="446">
        <v>3006</v>
      </c>
      <c r="BH101" s="446">
        <v>2</v>
      </c>
      <c r="BI101" s="446">
        <v>0</v>
      </c>
      <c r="BJ101" s="448">
        <v>2.0589759335573072</v>
      </c>
      <c r="BK101" s="448">
        <v>29.960146160940795</v>
      </c>
      <c r="BL101" s="448">
        <v>16.095792607019963</v>
      </c>
      <c r="BM101" s="448">
        <v>27.728707107841668</v>
      </c>
      <c r="BN101" s="445">
        <v>46690</v>
      </c>
      <c r="BO101" s="445">
        <v>11728</v>
      </c>
      <c r="BP101" s="443">
        <v>24094008.71797973</v>
      </c>
      <c r="BQ101" s="443">
        <v>63811956</v>
      </c>
      <c r="BR101" s="443">
        <v>83448350</v>
      </c>
      <c r="BS101" s="444">
        <v>0.0926084426033072</v>
      </c>
      <c r="BT101" s="445">
        <v>5379</v>
      </c>
      <c r="BU101" s="445">
        <v>5441</v>
      </c>
      <c r="BV101" s="443">
        <v>7728021.73131569</v>
      </c>
      <c r="BW101" s="444">
        <v>0.01708247540965723</v>
      </c>
      <c r="BX101" s="443">
        <v>385262.4374238318</v>
      </c>
      <c r="BY101" s="443">
        <v>96019248.88671926</v>
      </c>
      <c r="BZ101" s="451">
        <v>0.9366666666666666</v>
      </c>
      <c r="CA101" s="443">
        <v>89938029.79056036</v>
      </c>
      <c r="CB101" s="443">
        <v>65811055.99785041</v>
      </c>
      <c r="CC101" s="443">
        <v>65811055.99785041</v>
      </c>
      <c r="CD101" s="443">
        <v>66064075.56756807</v>
      </c>
      <c r="CE101" s="443">
        <v>66064075.56756807</v>
      </c>
      <c r="CF101" s="450">
        <v>1130.8856100443027</v>
      </c>
      <c r="CG101" s="446">
        <v>57017</v>
      </c>
      <c r="CH101" s="446">
        <v>3235</v>
      </c>
      <c r="CI101" s="446">
        <v>5670</v>
      </c>
      <c r="CJ101" s="446">
        <v>4262</v>
      </c>
      <c r="CK101" s="446">
        <v>666</v>
      </c>
      <c r="CL101" s="446">
        <v>5627</v>
      </c>
      <c r="CM101" s="446">
        <v>2375</v>
      </c>
      <c r="CN101" s="446">
        <v>2734</v>
      </c>
      <c r="CO101" s="446">
        <v>6097</v>
      </c>
      <c r="CP101" s="446">
        <v>1772</v>
      </c>
      <c r="CQ101" s="446">
        <v>10010</v>
      </c>
      <c r="CR101" s="446">
        <v>4136</v>
      </c>
      <c r="CS101" s="446">
        <v>7441</v>
      </c>
      <c r="CT101" s="446">
        <v>2990</v>
      </c>
      <c r="CU101" s="446">
        <v>2</v>
      </c>
      <c r="CV101" s="446">
        <v>0</v>
      </c>
      <c r="CW101" s="443">
        <v>40010934.97386099</v>
      </c>
      <c r="CX101" s="448">
        <v>0.9144335626637039</v>
      </c>
      <c r="CY101" s="448">
        <v>0.9366666666666666</v>
      </c>
      <c r="CZ101" s="443">
        <v>36587341.81365349</v>
      </c>
      <c r="DA101" s="450">
        <v>641.6918079459371</v>
      </c>
      <c r="DB101" s="445">
        <v>58428.75</v>
      </c>
      <c r="DC101" s="448">
        <v>1.0094799221273774</v>
      </c>
      <c r="DD101" s="450">
        <v>302.7</v>
      </c>
      <c r="DE101" s="443">
        <v>26499</v>
      </c>
      <c r="DF101" s="450">
        <v>45.65313520332845</v>
      </c>
      <c r="DG101" s="450">
        <v>47.616220017071576</v>
      </c>
      <c r="DH101" s="450">
        <v>48.66377685744714</v>
      </c>
      <c r="DI101" s="450">
        <v>49.734379948310966</v>
      </c>
      <c r="DJ101" s="450">
        <v>51.37561448660522</v>
      </c>
      <c r="DK101" s="450">
        <v>53.225136608123</v>
      </c>
      <c r="DL101" s="450">
        <v>54.92834097958293</v>
      </c>
      <c r="DM101" s="450">
        <v>57.18040295974582</v>
      </c>
      <c r="DN101" s="450">
        <v>59.696340689974626</v>
      </c>
      <c r="DO101" s="450">
        <v>62.979639427923225</v>
      </c>
      <c r="DP101" s="450">
        <v>62.412822673071915</v>
      </c>
      <c r="DQ101" s="450">
        <v>65.59587662939857</v>
      </c>
      <c r="DR101" s="450">
        <v>34.51</v>
      </c>
      <c r="DS101" s="450">
        <v>36.60867568574471</v>
      </c>
      <c r="DT101" s="450">
        <v>38.78299026166218</v>
      </c>
      <c r="DU101" s="450">
        <v>41.47692713358555</v>
      </c>
      <c r="DV101" s="450">
        <v>44.435102238641534</v>
      </c>
      <c r="DW101" s="450">
        <v>47.36891142182887</v>
      </c>
      <c r="DX101" s="450">
        <v>50.884910024048246</v>
      </c>
      <c r="DY101" s="450">
        <v>53.85412324564727</v>
      </c>
      <c r="DZ101" s="450">
        <v>55.5575248304605</v>
      </c>
      <c r="EA101" s="450">
        <v>57.45337536955494</v>
      </c>
      <c r="EB101" s="450">
        <v>61.42597333660151</v>
      </c>
      <c r="EC101" s="450">
        <v>-1.67</v>
      </c>
      <c r="ED101" s="450">
        <v>59.75597333660151</v>
      </c>
      <c r="EE101" s="450">
        <v>3107.3106135032785</v>
      </c>
      <c r="EF101" s="443">
        <v>177925149.50855508</v>
      </c>
      <c r="EG101" s="450">
        <v>38.57</v>
      </c>
      <c r="EH101" s="450">
        <v>40.34306368574471</v>
      </c>
      <c r="EI101" s="450">
        <v>42.175474293662184</v>
      </c>
      <c r="EJ101" s="450">
        <v>44.543308638009556</v>
      </c>
      <c r="EK101" s="450">
        <v>47.15804901457005</v>
      </c>
      <c r="EL101" s="450">
        <v>49.710645649127386</v>
      </c>
      <c r="EM101" s="450">
        <v>52.83510628854245</v>
      </c>
      <c r="EN101" s="450">
        <v>55.6639053790979</v>
      </c>
      <c r="EO101" s="450">
        <v>57.28345372506124</v>
      </c>
      <c r="EP101" s="450">
        <v>58.60663880815987</v>
      </c>
      <c r="EQ101" s="450">
        <v>62.39563723578053</v>
      </c>
      <c r="ER101" s="443">
        <v>416044575</v>
      </c>
      <c r="ES101" s="443">
        <v>7600000</v>
      </c>
      <c r="ET101" s="443">
        <v>0</v>
      </c>
      <c r="EU101" s="443">
        <v>0</v>
      </c>
      <c r="EV101" s="443">
        <v>0</v>
      </c>
      <c r="EW101" s="443">
        <v>0</v>
      </c>
      <c r="EX101" s="443">
        <v>0</v>
      </c>
      <c r="EY101" s="443">
        <v>0</v>
      </c>
      <c r="EZ101" s="443">
        <v>410139049</v>
      </c>
      <c r="FA101" s="443">
        <v>829983624</v>
      </c>
      <c r="FB101" s="443">
        <v>431971.5685588193</v>
      </c>
      <c r="FC101" s="443">
        <v>0</v>
      </c>
      <c r="FD101" s="443">
        <v>0</v>
      </c>
      <c r="FE101" s="443">
        <v>301724</v>
      </c>
      <c r="FF101" s="452">
        <v>0.0451</v>
      </c>
      <c r="FG101" s="443">
        <v>13607.752400000001</v>
      </c>
      <c r="FH101" s="453">
        <v>13607.752400000001</v>
      </c>
    </row>
    <row r="102" spans="2:164" ht="12.75">
      <c r="B102" s="356" t="s">
        <v>790</v>
      </c>
      <c r="C102" s="442">
        <v>22297</v>
      </c>
      <c r="D102" s="443">
        <v>5226001</v>
      </c>
      <c r="E102" s="443">
        <v>4483908.858</v>
      </c>
      <c r="F102" s="443">
        <v>625788.4164179142</v>
      </c>
      <c r="G102" s="443">
        <v>742092.1420000001</v>
      </c>
      <c r="H102" s="444">
        <v>0.41372606180203614</v>
      </c>
      <c r="I102" s="445">
        <v>7408.36</v>
      </c>
      <c r="J102" s="445">
        <v>1816.49</v>
      </c>
      <c r="K102" s="443">
        <v>5109697.274417914</v>
      </c>
      <c r="L102" s="443">
        <v>4087757.8195343316</v>
      </c>
      <c r="M102" s="443">
        <v>1305852.266171036</v>
      </c>
      <c r="N102" s="443">
        <v>1021939.4548835827</v>
      </c>
      <c r="O102" s="446">
        <v>1.2778176436291877</v>
      </c>
      <c r="P102" s="447">
        <v>0.7862941202852402</v>
      </c>
      <c r="Q102" s="448">
        <v>0.21370587971475982</v>
      </c>
      <c r="R102" s="443">
        <v>5393610.085705368</v>
      </c>
      <c r="S102" s="443">
        <v>3646080.417936829</v>
      </c>
      <c r="T102" s="443">
        <v>437608.8967682234</v>
      </c>
      <c r="U102" s="443">
        <v>2166147.320098211</v>
      </c>
      <c r="V102" s="443">
        <v>1229743.0995408238</v>
      </c>
      <c r="W102" s="446">
        <v>1.7614632852235828</v>
      </c>
      <c r="X102" s="448">
        <v>32.88911857432817</v>
      </c>
      <c r="Y102" s="443">
        <v>437608.8967682234</v>
      </c>
      <c r="Z102" s="443">
        <v>517786.5682277153</v>
      </c>
      <c r="AA102" s="444">
        <v>0.8451530488055632</v>
      </c>
      <c r="AB102" s="444">
        <v>0.06933668206485177</v>
      </c>
      <c r="AC102" s="445">
        <v>1452</v>
      </c>
      <c r="AD102" s="445">
        <v>1640</v>
      </c>
      <c r="AE102" s="443">
        <v>6249836.6348032635</v>
      </c>
      <c r="AF102" s="443">
        <v>1118656.4471017132</v>
      </c>
      <c r="AG102" s="447">
        <v>1</v>
      </c>
      <c r="AH102" s="446">
        <v>0.5447152374036152</v>
      </c>
      <c r="AI102" s="448">
        <v>0.45871010422706604</v>
      </c>
      <c r="AJ102" s="443">
        <v>7368493.081904977</v>
      </c>
      <c r="AK102" s="449">
        <v>1.0095808529678565</v>
      </c>
      <c r="AL102" s="443">
        <v>7439089.530717376</v>
      </c>
      <c r="AM102" s="443">
        <v>16579986.5144124</v>
      </c>
      <c r="AN102" s="443">
        <v>16377505.994946197</v>
      </c>
      <c r="AO102" s="443">
        <v>15619491.892498152</v>
      </c>
      <c r="AP102" s="443">
        <v>16377505.994946197</v>
      </c>
      <c r="AQ102" s="443">
        <v>89188</v>
      </c>
      <c r="AR102" s="443">
        <v>16466693.994946197</v>
      </c>
      <c r="AS102" s="450">
        <v>738.5161230186212</v>
      </c>
      <c r="AT102" s="446">
        <v>22297</v>
      </c>
      <c r="AU102" s="446">
        <v>1096</v>
      </c>
      <c r="AV102" s="446">
        <v>1877</v>
      </c>
      <c r="AW102" s="446">
        <v>1010</v>
      </c>
      <c r="AX102" s="446">
        <v>228</v>
      </c>
      <c r="AY102" s="446">
        <v>1180</v>
      </c>
      <c r="AZ102" s="446">
        <v>205</v>
      </c>
      <c r="BA102" s="446">
        <v>1937</v>
      </c>
      <c r="BB102" s="446">
        <v>3610</v>
      </c>
      <c r="BC102" s="446">
        <v>274</v>
      </c>
      <c r="BD102" s="446">
        <v>3285</v>
      </c>
      <c r="BE102" s="446">
        <v>4099</v>
      </c>
      <c r="BF102" s="446">
        <v>666</v>
      </c>
      <c r="BG102" s="446">
        <v>2824</v>
      </c>
      <c r="BH102" s="446">
        <v>3</v>
      </c>
      <c r="BI102" s="446">
        <v>3</v>
      </c>
      <c r="BJ102" s="448">
        <v>2.0444871805922538</v>
      </c>
      <c r="BK102" s="448">
        <v>28.942005508659285</v>
      </c>
      <c r="BL102" s="448">
        <v>17.6204123311328</v>
      </c>
      <c r="BM102" s="448">
        <v>22.643186355052965</v>
      </c>
      <c r="BN102" s="445">
        <v>17532</v>
      </c>
      <c r="BO102" s="445">
        <v>4765</v>
      </c>
      <c r="BP102" s="443">
        <v>9593435.110441798</v>
      </c>
      <c r="BQ102" s="443">
        <v>24676621</v>
      </c>
      <c r="BR102" s="443">
        <v>30785783</v>
      </c>
      <c r="BS102" s="444">
        <v>0.06933668206485177</v>
      </c>
      <c r="BT102" s="445">
        <v>1452</v>
      </c>
      <c r="BU102" s="445">
        <v>1640</v>
      </c>
      <c r="BV102" s="443">
        <v>2134584.0479885186</v>
      </c>
      <c r="BW102" s="444">
        <v>0.013542780932443758</v>
      </c>
      <c r="BX102" s="443">
        <v>112615.49774291665</v>
      </c>
      <c r="BY102" s="443">
        <v>36517255.65617324</v>
      </c>
      <c r="BZ102" s="451">
        <v>0.9166666666666666</v>
      </c>
      <c r="CA102" s="443">
        <v>33474151.018158797</v>
      </c>
      <c r="CB102" s="443">
        <v>24494301.60152082</v>
      </c>
      <c r="CC102" s="443">
        <v>24494301.60152082</v>
      </c>
      <c r="CD102" s="443">
        <v>23906696.595022395</v>
      </c>
      <c r="CE102" s="443">
        <v>24320224.34506278</v>
      </c>
      <c r="CF102" s="450">
        <v>1090.7397562480505</v>
      </c>
      <c r="CG102" s="446">
        <v>22297</v>
      </c>
      <c r="CH102" s="446">
        <v>1096</v>
      </c>
      <c r="CI102" s="446">
        <v>1877</v>
      </c>
      <c r="CJ102" s="446">
        <v>1010</v>
      </c>
      <c r="CK102" s="446">
        <v>228</v>
      </c>
      <c r="CL102" s="446">
        <v>1180</v>
      </c>
      <c r="CM102" s="446">
        <v>205</v>
      </c>
      <c r="CN102" s="446">
        <v>1937</v>
      </c>
      <c r="CO102" s="446">
        <v>3610</v>
      </c>
      <c r="CP102" s="446">
        <v>274</v>
      </c>
      <c r="CQ102" s="446">
        <v>3285</v>
      </c>
      <c r="CR102" s="446">
        <v>4099</v>
      </c>
      <c r="CS102" s="446">
        <v>666</v>
      </c>
      <c r="CT102" s="446">
        <v>2824</v>
      </c>
      <c r="CU102" s="446">
        <v>3</v>
      </c>
      <c r="CV102" s="446">
        <v>3</v>
      </c>
      <c r="CW102" s="443">
        <v>15096149.278375626</v>
      </c>
      <c r="CX102" s="448">
        <v>0.8949082908630555</v>
      </c>
      <c r="CY102" s="448">
        <v>0.9166666666666666</v>
      </c>
      <c r="CZ102" s="443">
        <v>13509669.14932468</v>
      </c>
      <c r="DA102" s="450">
        <v>605.8962707684747</v>
      </c>
      <c r="DB102" s="445">
        <v>22297</v>
      </c>
      <c r="DC102" s="448">
        <v>1.008099744360228</v>
      </c>
      <c r="DD102" s="450">
        <v>303.1</v>
      </c>
      <c r="DE102" s="443">
        <v>23190</v>
      </c>
      <c r="DF102" s="450">
        <v>44.56150333575233</v>
      </c>
      <c r="DG102" s="450">
        <v>46.477647979189676</v>
      </c>
      <c r="DH102" s="450">
        <v>47.50015623473184</v>
      </c>
      <c r="DI102" s="450">
        <v>48.54515967189593</v>
      </c>
      <c r="DJ102" s="450">
        <v>50.14714994106849</v>
      </c>
      <c r="DK102" s="450">
        <v>51.952447338946946</v>
      </c>
      <c r="DL102" s="450">
        <v>53.614925653793236</v>
      </c>
      <c r="DM102" s="450">
        <v>55.813137605598754</v>
      </c>
      <c r="DN102" s="450">
        <v>58.26891566024509</v>
      </c>
      <c r="DO102" s="450">
        <v>61.47370602155857</v>
      </c>
      <c r="DP102" s="450">
        <v>60.92044266736454</v>
      </c>
      <c r="DQ102" s="450">
        <v>64.02738524340013</v>
      </c>
      <c r="DR102" s="450">
        <v>37.23</v>
      </c>
      <c r="DS102" s="450">
        <v>38.99416962347318</v>
      </c>
      <c r="DT102" s="450">
        <v>40.81794339037917</v>
      </c>
      <c r="DU102" s="450">
        <v>43.16271232461253</v>
      </c>
      <c r="DV102" s="450">
        <v>45.750266735534055</v>
      </c>
      <c r="DW102" s="450">
        <v>48.28105033485815</v>
      </c>
      <c r="DX102" s="450">
        <v>51.371086239989616</v>
      </c>
      <c r="DY102" s="450">
        <v>54.14669199295981</v>
      </c>
      <c r="DZ102" s="450">
        <v>55.73614233205657</v>
      </c>
      <c r="EA102" s="450">
        <v>57.08661008569232</v>
      </c>
      <c r="EB102" s="450">
        <v>60.803898808730125</v>
      </c>
      <c r="EC102" s="450">
        <v>0</v>
      </c>
      <c r="ED102" s="450">
        <v>60.803898808730125</v>
      </c>
      <c r="EE102" s="450">
        <v>3161.8027380539666</v>
      </c>
      <c r="EF102" s="443">
        <v>69088741.33738151</v>
      </c>
      <c r="EG102" s="450">
        <v>42.96</v>
      </c>
      <c r="EH102" s="450">
        <v>44.26462362347318</v>
      </c>
      <c r="EI102" s="450">
        <v>45.60585804637917</v>
      </c>
      <c r="EJ102" s="450">
        <v>47.49038868430453</v>
      </c>
      <c r="EK102" s="450">
        <v>49.593243342940546</v>
      </c>
      <c r="EL102" s="450">
        <v>51.58601021722774</v>
      </c>
      <c r="EM102" s="450">
        <v>54.12345683002701</v>
      </c>
      <c r="EN102" s="450">
        <v>56.70089190051451</v>
      </c>
      <c r="EO102" s="450">
        <v>58.17199764389458</v>
      </c>
      <c r="EP102" s="450">
        <v>58.71424543130963</v>
      </c>
      <c r="EQ102" s="450">
        <v>62.17241460732516</v>
      </c>
      <c r="ER102" s="443">
        <v>220008128</v>
      </c>
      <c r="ES102" s="443">
        <v>5500000</v>
      </c>
      <c r="ET102" s="443">
        <v>0</v>
      </c>
      <c r="EU102" s="443">
        <v>1550000</v>
      </c>
      <c r="EV102" s="443">
        <v>0</v>
      </c>
      <c r="EW102" s="443">
        <v>0</v>
      </c>
      <c r="EX102" s="443">
        <v>0</v>
      </c>
      <c r="EY102" s="443">
        <v>0</v>
      </c>
      <c r="EZ102" s="443">
        <v>0</v>
      </c>
      <c r="FA102" s="443">
        <v>224308128</v>
      </c>
      <c r="FB102" s="443">
        <v>145367.99298296156</v>
      </c>
      <c r="FC102" s="443">
        <v>0</v>
      </c>
      <c r="FD102" s="443">
        <v>0</v>
      </c>
      <c r="FE102" s="443">
        <v>13246</v>
      </c>
      <c r="FF102" s="452">
        <v>0.0499</v>
      </c>
      <c r="FG102" s="443">
        <v>660.9754</v>
      </c>
      <c r="FH102" s="453">
        <v>660.9754</v>
      </c>
    </row>
    <row r="103" spans="2:164" ht="12.75">
      <c r="B103" s="356" t="s">
        <v>791</v>
      </c>
      <c r="C103" s="442">
        <v>3257.59</v>
      </c>
      <c r="D103" s="443">
        <v>789818.47</v>
      </c>
      <c r="E103" s="443">
        <v>677664.24726</v>
      </c>
      <c r="F103" s="443">
        <v>105337.43680526975</v>
      </c>
      <c r="G103" s="443">
        <v>112154.22274000001</v>
      </c>
      <c r="H103" s="444">
        <v>0.46079770627979577</v>
      </c>
      <c r="I103" s="445">
        <v>1262.02</v>
      </c>
      <c r="J103" s="445">
        <v>239.07</v>
      </c>
      <c r="K103" s="443">
        <v>783001.6840652698</v>
      </c>
      <c r="L103" s="443">
        <v>626401.3472522158</v>
      </c>
      <c r="M103" s="443">
        <v>197630.6547699821</v>
      </c>
      <c r="N103" s="443">
        <v>156600.33681305393</v>
      </c>
      <c r="O103" s="446">
        <v>1.262006575413112</v>
      </c>
      <c r="P103" s="447">
        <v>0.7981360453586853</v>
      </c>
      <c r="Q103" s="448">
        <v>0.20168283915409857</v>
      </c>
      <c r="R103" s="443">
        <v>824032.0020221979</v>
      </c>
      <c r="S103" s="443">
        <v>557045.6333670059</v>
      </c>
      <c r="T103" s="443">
        <v>65267.92242654354</v>
      </c>
      <c r="U103" s="443">
        <v>110656.54360979889</v>
      </c>
      <c r="V103" s="443">
        <v>187879.29646106114</v>
      </c>
      <c r="W103" s="446">
        <v>0.588976782935383</v>
      </c>
      <c r="X103" s="448">
        <v>10.997065572689133</v>
      </c>
      <c r="Y103" s="443">
        <v>65267.92242654354</v>
      </c>
      <c r="Z103" s="443">
        <v>79107.072194131</v>
      </c>
      <c r="AA103" s="444">
        <v>0.8250579956539689</v>
      </c>
      <c r="AB103" s="444">
        <v>0.06768807615445774</v>
      </c>
      <c r="AC103" s="445">
        <v>228</v>
      </c>
      <c r="AD103" s="445">
        <v>213</v>
      </c>
      <c r="AE103" s="443">
        <v>732970.0994033483</v>
      </c>
      <c r="AF103" s="443">
        <v>0</v>
      </c>
      <c r="AG103" s="447">
        <v>0</v>
      </c>
      <c r="AH103" s="446">
        <v>0.018634575312175737</v>
      </c>
      <c r="AI103" s="448">
        <v>0.01569236069917679</v>
      </c>
      <c r="AJ103" s="443">
        <v>732970.0994033483</v>
      </c>
      <c r="AK103" s="449">
        <v>1.0101799959369813</v>
      </c>
      <c r="AL103" s="443">
        <v>740431.7320372032</v>
      </c>
      <c r="AM103" s="443">
        <v>1650248.7409687075</v>
      </c>
      <c r="AN103" s="443">
        <v>1630095.333604393</v>
      </c>
      <c r="AO103" s="443">
        <v>1635046.2761406943</v>
      </c>
      <c r="AP103" s="443">
        <v>1635046.2761406943</v>
      </c>
      <c r="AQ103" s="443">
        <v>13030.36</v>
      </c>
      <c r="AR103" s="443">
        <v>1648076.6361406944</v>
      </c>
      <c r="AS103" s="450">
        <v>505.9189880066842</v>
      </c>
      <c r="AT103" s="446">
        <v>3252</v>
      </c>
      <c r="AU103" s="446">
        <v>13</v>
      </c>
      <c r="AV103" s="446">
        <v>215</v>
      </c>
      <c r="AW103" s="446">
        <v>201</v>
      </c>
      <c r="AX103" s="446">
        <v>0</v>
      </c>
      <c r="AY103" s="446">
        <v>413</v>
      </c>
      <c r="AZ103" s="446">
        <v>188</v>
      </c>
      <c r="BA103" s="446">
        <v>312</v>
      </c>
      <c r="BB103" s="446">
        <v>34</v>
      </c>
      <c r="BC103" s="446">
        <v>42</v>
      </c>
      <c r="BD103" s="446">
        <v>719</v>
      </c>
      <c r="BE103" s="446">
        <v>645</v>
      </c>
      <c r="BF103" s="446">
        <v>12</v>
      </c>
      <c r="BG103" s="446">
        <v>458</v>
      </c>
      <c r="BH103" s="446">
        <v>0</v>
      </c>
      <c r="BI103" s="446">
        <v>0</v>
      </c>
      <c r="BJ103" s="448">
        <v>1.2849961060230317</v>
      </c>
      <c r="BK103" s="448">
        <v>8.046419885225525</v>
      </c>
      <c r="BL103" s="448">
        <v>6.024449621188272</v>
      </c>
      <c r="BM103" s="448">
        <v>4.043940528074508</v>
      </c>
      <c r="BN103" s="445">
        <v>2595</v>
      </c>
      <c r="BO103" s="445">
        <v>657</v>
      </c>
      <c r="BP103" s="443">
        <v>853729.5679078999</v>
      </c>
      <c r="BQ103" s="443">
        <v>3493269</v>
      </c>
      <c r="BR103" s="443">
        <v>4369021</v>
      </c>
      <c r="BS103" s="444">
        <v>0.06780442804428044</v>
      </c>
      <c r="BT103" s="445">
        <v>228</v>
      </c>
      <c r="BU103" s="445">
        <v>213</v>
      </c>
      <c r="BV103" s="443">
        <v>296238.97001845017</v>
      </c>
      <c r="BW103" s="444">
        <v>0.010721236961765869</v>
      </c>
      <c r="BX103" s="443">
        <v>3615.0422302686998</v>
      </c>
      <c r="BY103" s="443">
        <v>4646852.580156619</v>
      </c>
      <c r="BZ103" s="451">
        <v>1.0733333333333335</v>
      </c>
      <c r="CA103" s="443">
        <v>4987621.769368105</v>
      </c>
      <c r="CB103" s="443">
        <v>3649631.377564747</v>
      </c>
      <c r="CC103" s="443">
        <v>3649631.377564747</v>
      </c>
      <c r="CD103" s="443">
        <v>3621900.72859089</v>
      </c>
      <c r="CE103" s="443">
        <v>3623694.0053699748</v>
      </c>
      <c r="CF103" s="450">
        <v>1114.2970496217636</v>
      </c>
      <c r="CG103" s="446">
        <v>3252</v>
      </c>
      <c r="CH103" s="446">
        <v>13</v>
      </c>
      <c r="CI103" s="446">
        <v>215</v>
      </c>
      <c r="CJ103" s="446">
        <v>201</v>
      </c>
      <c r="CK103" s="446">
        <v>0</v>
      </c>
      <c r="CL103" s="446">
        <v>413</v>
      </c>
      <c r="CM103" s="446">
        <v>188</v>
      </c>
      <c r="CN103" s="446">
        <v>312</v>
      </c>
      <c r="CO103" s="446">
        <v>34</v>
      </c>
      <c r="CP103" s="446">
        <v>42</v>
      </c>
      <c r="CQ103" s="446">
        <v>719</v>
      </c>
      <c r="CR103" s="446">
        <v>645</v>
      </c>
      <c r="CS103" s="446">
        <v>12</v>
      </c>
      <c r="CT103" s="446">
        <v>458</v>
      </c>
      <c r="CU103" s="446">
        <v>0</v>
      </c>
      <c r="CV103" s="446">
        <v>0</v>
      </c>
      <c r="CW103" s="443">
        <v>2313630.731248205</v>
      </c>
      <c r="CX103" s="448">
        <v>1.0478562533014688</v>
      </c>
      <c r="CY103" s="448">
        <v>1.0733333333333335</v>
      </c>
      <c r="CZ103" s="443">
        <v>2424352.4295688816</v>
      </c>
      <c r="DA103" s="450">
        <v>745.4958270507016</v>
      </c>
      <c r="DB103" s="445">
        <v>3257.59</v>
      </c>
      <c r="DC103" s="448">
        <v>0.9974379832943986</v>
      </c>
      <c r="DD103" s="450">
        <v>281.5</v>
      </c>
      <c r="DE103" s="443">
        <v>65112</v>
      </c>
      <c r="DF103" s="450">
        <v>55.37524134919312</v>
      </c>
      <c r="DG103" s="450">
        <v>57.75637672720842</v>
      </c>
      <c r="DH103" s="450">
        <v>59.027017015206994</v>
      </c>
      <c r="DI103" s="450">
        <v>60.325611389541535</v>
      </c>
      <c r="DJ103" s="450">
        <v>62.316356565396404</v>
      </c>
      <c r="DK103" s="450">
        <v>64.55974540175066</v>
      </c>
      <c r="DL103" s="450">
        <v>66.62565725460666</v>
      </c>
      <c r="DM103" s="450">
        <v>69.35730920204553</v>
      </c>
      <c r="DN103" s="450">
        <v>72.40903080693552</v>
      </c>
      <c r="DO103" s="450">
        <v>76.39152750131697</v>
      </c>
      <c r="DP103" s="450">
        <v>75.70400375380513</v>
      </c>
      <c r="DQ103" s="450">
        <v>79.56490794524917</v>
      </c>
      <c r="DR103" s="450">
        <v>46.33</v>
      </c>
      <c r="DS103" s="450">
        <v>48.51703570152069</v>
      </c>
      <c r="DT103" s="450">
        <v>50.77787725390829</v>
      </c>
      <c r="DU103" s="450">
        <v>53.6863983735509</v>
      </c>
      <c r="DV103" s="450">
        <v>56.89634252739186</v>
      </c>
      <c r="DW103" s="450">
        <v>60.0351307826581</v>
      </c>
      <c r="DX103" s="450">
        <v>63.86871875620677</v>
      </c>
      <c r="DY103" s="450">
        <v>67.31561887319715</v>
      </c>
      <c r="DZ103" s="450">
        <v>69.28943036549347</v>
      </c>
      <c r="EA103" s="450">
        <v>70.95839170119461</v>
      </c>
      <c r="EB103" s="450">
        <v>75.57479733141427</v>
      </c>
      <c r="EC103" s="450">
        <v>-2.6</v>
      </c>
      <c r="ED103" s="450">
        <v>72.97479733141428</v>
      </c>
      <c r="EE103" s="450">
        <v>3794.6894612335427</v>
      </c>
      <c r="EF103" s="443">
        <v>12114311.593179382</v>
      </c>
      <c r="EG103" s="450">
        <v>50.12</v>
      </c>
      <c r="EH103" s="450">
        <v>52.00307770152069</v>
      </c>
      <c r="EI103" s="450">
        <v>53.94475274190829</v>
      </c>
      <c r="EJ103" s="450">
        <v>56.5488579552669</v>
      </c>
      <c r="EK103" s="450">
        <v>59.43820663595566</v>
      </c>
      <c r="EL103" s="450">
        <v>62.22113391602297</v>
      </c>
      <c r="EM103" s="450">
        <v>65.68922216567303</v>
      </c>
      <c r="EN103" s="450">
        <v>69.00504603718184</v>
      </c>
      <c r="EO103" s="450">
        <v>70.90058073754687</v>
      </c>
      <c r="EP103" s="450">
        <v>72.03496028058197</v>
      </c>
      <c r="EQ103" s="450">
        <v>76.47997619296315</v>
      </c>
      <c r="ER103" s="443">
        <v>16128518</v>
      </c>
      <c r="ES103" s="443">
        <v>259000</v>
      </c>
      <c r="ET103" s="443">
        <v>0</v>
      </c>
      <c r="EU103" s="443">
        <v>0</v>
      </c>
      <c r="EV103" s="443">
        <v>0</v>
      </c>
      <c r="EW103" s="443">
        <v>0</v>
      </c>
      <c r="EX103" s="443">
        <v>0</v>
      </c>
      <c r="EY103" s="443">
        <v>0</v>
      </c>
      <c r="EZ103" s="443">
        <v>0</v>
      </c>
      <c r="FA103" s="443">
        <v>16258018</v>
      </c>
      <c r="FB103" s="443">
        <v>46919.39167954923</v>
      </c>
      <c r="FC103" s="443">
        <v>0</v>
      </c>
      <c r="FD103" s="443">
        <v>0</v>
      </c>
      <c r="FE103" s="443">
        <v>3471</v>
      </c>
      <c r="FF103" s="452">
        <v>0.0475</v>
      </c>
      <c r="FG103" s="443">
        <v>164.8725</v>
      </c>
      <c r="FH103" s="453">
        <v>164.8725</v>
      </c>
    </row>
    <row r="104" spans="2:164" ht="12.75">
      <c r="B104" s="356" t="s">
        <v>792</v>
      </c>
      <c r="C104" s="442">
        <v>17921</v>
      </c>
      <c r="D104" s="443">
        <v>4206393</v>
      </c>
      <c r="E104" s="443">
        <v>3609085.194</v>
      </c>
      <c r="F104" s="443">
        <v>904072.5147988014</v>
      </c>
      <c r="G104" s="443">
        <v>597307.8060000001</v>
      </c>
      <c r="H104" s="444">
        <v>0.7425885832263824</v>
      </c>
      <c r="I104" s="445">
        <v>12856.05</v>
      </c>
      <c r="J104" s="445">
        <v>451.88</v>
      </c>
      <c r="K104" s="443">
        <v>4513157.7087988015</v>
      </c>
      <c r="L104" s="443">
        <v>3610526.1670390414</v>
      </c>
      <c r="M104" s="443">
        <v>1649270.6641241654</v>
      </c>
      <c r="N104" s="443">
        <v>902631.5417597601</v>
      </c>
      <c r="O104" s="446">
        <v>1.8271804028793035</v>
      </c>
      <c r="P104" s="447">
        <v>0.3637073824005357</v>
      </c>
      <c r="Q104" s="448">
        <v>0.6362926175994643</v>
      </c>
      <c r="R104" s="443">
        <v>5259796.831163207</v>
      </c>
      <c r="S104" s="443">
        <v>3555622.657866328</v>
      </c>
      <c r="T104" s="443">
        <v>503997.4962495995</v>
      </c>
      <c r="U104" s="443">
        <v>2055815.1157235727</v>
      </c>
      <c r="V104" s="443">
        <v>1199233.6775052112</v>
      </c>
      <c r="W104" s="446">
        <v>1.7142740020446425</v>
      </c>
      <c r="X104" s="448">
        <v>32.00802502958664</v>
      </c>
      <c r="Y104" s="443">
        <v>503997.4962495995</v>
      </c>
      <c r="Z104" s="443">
        <v>504940.4957916679</v>
      </c>
      <c r="AA104" s="444">
        <v>0.9981324541209753</v>
      </c>
      <c r="AB104" s="444">
        <v>0.08188717147480609</v>
      </c>
      <c r="AC104" s="445">
        <v>1419</v>
      </c>
      <c r="AD104" s="445">
        <v>1516</v>
      </c>
      <c r="AE104" s="443">
        <v>6115435.2698395</v>
      </c>
      <c r="AF104" s="443">
        <v>739157.8718874617</v>
      </c>
      <c r="AG104" s="447">
        <v>1</v>
      </c>
      <c r="AH104" s="446">
        <v>0.428043757688491</v>
      </c>
      <c r="AI104" s="448">
        <v>0.3604598939418793</v>
      </c>
      <c r="AJ104" s="443">
        <v>6854593.141726961</v>
      </c>
      <c r="AK104" s="449">
        <v>1.2520966078131373</v>
      </c>
      <c r="AL104" s="443">
        <v>8582612.820695523</v>
      </c>
      <c r="AM104" s="443">
        <v>19128631.83565319</v>
      </c>
      <c r="AN104" s="443">
        <v>18895026.379617747</v>
      </c>
      <c r="AO104" s="443">
        <v>18318556.593890555</v>
      </c>
      <c r="AP104" s="443">
        <v>18895026.379617747</v>
      </c>
      <c r="AQ104" s="443">
        <v>71684</v>
      </c>
      <c r="AR104" s="443">
        <v>18966710.379617747</v>
      </c>
      <c r="AS104" s="450">
        <v>1058.3511176618351</v>
      </c>
      <c r="AT104" s="446">
        <v>17921</v>
      </c>
      <c r="AU104" s="446">
        <v>811</v>
      </c>
      <c r="AV104" s="446">
        <v>53</v>
      </c>
      <c r="AW104" s="446">
        <v>421</v>
      </c>
      <c r="AX104" s="446">
        <v>244</v>
      </c>
      <c r="AY104" s="446">
        <v>55</v>
      </c>
      <c r="AZ104" s="446">
        <v>310</v>
      </c>
      <c r="BA104" s="446">
        <v>1095</v>
      </c>
      <c r="BB104" s="446">
        <v>0</v>
      </c>
      <c r="BC104" s="446">
        <v>1893</v>
      </c>
      <c r="BD104" s="446">
        <v>1149</v>
      </c>
      <c r="BE104" s="446">
        <v>8161</v>
      </c>
      <c r="BF104" s="446">
        <v>3242</v>
      </c>
      <c r="BG104" s="446">
        <v>209</v>
      </c>
      <c r="BH104" s="446">
        <v>143</v>
      </c>
      <c r="BI104" s="446">
        <v>135</v>
      </c>
      <c r="BJ104" s="448">
        <v>2.209750401234886</v>
      </c>
      <c r="BK104" s="448">
        <v>20.050063900850702</v>
      </c>
      <c r="BL104" s="448">
        <v>10.75335383263247</v>
      </c>
      <c r="BM104" s="448">
        <v>18.59342013643646</v>
      </c>
      <c r="BN104" s="445">
        <v>6518</v>
      </c>
      <c r="BO104" s="445">
        <v>11403</v>
      </c>
      <c r="BP104" s="443">
        <v>6946432.147046709</v>
      </c>
      <c r="BQ104" s="443">
        <v>21468578</v>
      </c>
      <c r="BR104" s="443">
        <v>23006621</v>
      </c>
      <c r="BS104" s="444">
        <v>0.08188717147480609</v>
      </c>
      <c r="BT104" s="445">
        <v>1419</v>
      </c>
      <c r="BU104" s="445">
        <v>1516</v>
      </c>
      <c r="BV104" s="443">
        <v>1883947.1188828747</v>
      </c>
      <c r="BW104" s="444">
        <v>0.013267065881718497</v>
      </c>
      <c r="BX104" s="443">
        <v>61428.24931995142</v>
      </c>
      <c r="BY104" s="443">
        <v>30360385.515249535</v>
      </c>
      <c r="BZ104" s="451">
        <v>1.2133333333333332</v>
      </c>
      <c r="CA104" s="443">
        <v>36837267.75850277</v>
      </c>
      <c r="CB104" s="443">
        <v>26955221.244095817</v>
      </c>
      <c r="CC104" s="443">
        <v>26955221.244095817</v>
      </c>
      <c r="CD104" s="443">
        <v>25663327.78318445</v>
      </c>
      <c r="CE104" s="443">
        <v>26763654.607997064</v>
      </c>
      <c r="CF104" s="450">
        <v>1493.4241732044563</v>
      </c>
      <c r="CG104" s="446">
        <v>16589</v>
      </c>
      <c r="CH104" s="446">
        <v>751</v>
      </c>
      <c r="CI104" s="446">
        <v>51</v>
      </c>
      <c r="CJ104" s="446">
        <v>356</v>
      </c>
      <c r="CK104" s="446">
        <v>223</v>
      </c>
      <c r="CL104" s="446">
        <v>53</v>
      </c>
      <c r="CM104" s="446">
        <v>286</v>
      </c>
      <c r="CN104" s="446">
        <v>1047</v>
      </c>
      <c r="CO104" s="446">
        <v>0</v>
      </c>
      <c r="CP104" s="446">
        <v>1728</v>
      </c>
      <c r="CQ104" s="446">
        <v>1107</v>
      </c>
      <c r="CR104" s="446">
        <v>7440</v>
      </c>
      <c r="CS104" s="446">
        <v>3060</v>
      </c>
      <c r="CT104" s="446">
        <v>209</v>
      </c>
      <c r="CU104" s="446">
        <v>143</v>
      </c>
      <c r="CV104" s="446">
        <v>135</v>
      </c>
      <c r="CW104" s="443">
        <v>12866129.290884318</v>
      </c>
      <c r="CX104" s="448">
        <v>1.1845331559060077</v>
      </c>
      <c r="CY104" s="448">
        <v>1.2133333333333332</v>
      </c>
      <c r="CZ104" s="443">
        <v>15240356.733225927</v>
      </c>
      <c r="DA104" s="450">
        <v>918.7025579134322</v>
      </c>
      <c r="DB104" s="445">
        <v>17921</v>
      </c>
      <c r="DC104" s="448">
        <v>0.9940572512694604</v>
      </c>
      <c r="DD104" s="450">
        <v>354.1</v>
      </c>
      <c r="DE104" s="443">
        <v>51982</v>
      </c>
      <c r="DF104" s="450">
        <v>59.65655306033409</v>
      </c>
      <c r="DG104" s="450">
        <v>62.221784841928454</v>
      </c>
      <c r="DH104" s="450">
        <v>63.590664108450866</v>
      </c>
      <c r="DI104" s="450">
        <v>64.98965871883678</v>
      </c>
      <c r="DJ104" s="450">
        <v>67.13431745655839</v>
      </c>
      <c r="DK104" s="450">
        <v>69.55115288499448</v>
      </c>
      <c r="DL104" s="450">
        <v>71.77678977731429</v>
      </c>
      <c r="DM104" s="450">
        <v>74.71963815818417</v>
      </c>
      <c r="DN104" s="450">
        <v>78.00730223714426</v>
      </c>
      <c r="DO104" s="450">
        <v>82.29770386018718</v>
      </c>
      <c r="DP104" s="450">
        <v>81.5570245254455</v>
      </c>
      <c r="DQ104" s="450">
        <v>85.71643277624321</v>
      </c>
      <c r="DR104" s="450">
        <v>48.61</v>
      </c>
      <c r="DS104" s="450">
        <v>51.07054441084507</v>
      </c>
      <c r="DT104" s="450">
        <v>53.615825535767335</v>
      </c>
      <c r="DU104" s="450">
        <v>56.85379398821149</v>
      </c>
      <c r="DV104" s="450">
        <v>60.422048045102436</v>
      </c>
      <c r="DW104" s="450">
        <v>63.92575961500714</v>
      </c>
      <c r="DX104" s="450">
        <v>68.18130023901477</v>
      </c>
      <c r="DY104" s="450">
        <v>71.93972464815506</v>
      </c>
      <c r="DZ104" s="450">
        <v>74.09303099680302</v>
      </c>
      <c r="EA104" s="450">
        <v>76.0746728082597</v>
      </c>
      <c r="EB104" s="450">
        <v>81.10687145243341</v>
      </c>
      <c r="EC104" s="450">
        <v>-0.5</v>
      </c>
      <c r="ED104" s="450">
        <v>80.60687145243341</v>
      </c>
      <c r="EE104" s="450">
        <v>4191.557315526537</v>
      </c>
      <c r="EF104" s="443">
        <v>73614560.67852005</v>
      </c>
      <c r="EG104" s="450">
        <v>51.51</v>
      </c>
      <c r="EH104" s="450">
        <v>53.73796441084507</v>
      </c>
      <c r="EI104" s="450">
        <v>56.03902841576733</v>
      </c>
      <c r="EJ104" s="450">
        <v>59.044066491371495</v>
      </c>
      <c r="EK104" s="450">
        <v>62.36701002790851</v>
      </c>
      <c r="EL104" s="450">
        <v>65.59842692022036</v>
      </c>
      <c r="EM104" s="450">
        <v>69.57429757079635</v>
      </c>
      <c r="EN104" s="450">
        <v>73.23242617204836</v>
      </c>
      <c r="EO104" s="450">
        <v>75.32583735008927</v>
      </c>
      <c r="EP104" s="450">
        <v>76.89843240726323</v>
      </c>
      <c r="EQ104" s="450">
        <v>81.79948852327556</v>
      </c>
      <c r="ER104" s="443">
        <v>297683962</v>
      </c>
      <c r="ES104" s="443">
        <v>2700000</v>
      </c>
      <c r="ET104" s="443">
        <v>0</v>
      </c>
      <c r="EU104" s="443">
        <v>0</v>
      </c>
      <c r="EV104" s="443">
        <v>0</v>
      </c>
      <c r="EW104" s="443">
        <v>0</v>
      </c>
      <c r="EX104" s="443">
        <v>7880731</v>
      </c>
      <c r="EY104" s="443">
        <v>0</v>
      </c>
      <c r="EZ104" s="443">
        <v>0</v>
      </c>
      <c r="FA104" s="443">
        <v>291153231</v>
      </c>
      <c r="FB104" s="443">
        <v>176998.867363814</v>
      </c>
      <c r="FC104" s="443">
        <v>0</v>
      </c>
      <c r="FD104" s="443">
        <v>0</v>
      </c>
      <c r="FE104" s="443">
        <v>274659</v>
      </c>
      <c r="FF104" s="452">
        <v>0.056299999999999996</v>
      </c>
      <c r="FG104" s="443">
        <v>15463.301699999998</v>
      </c>
      <c r="FH104" s="453">
        <v>15463.301699999998</v>
      </c>
    </row>
    <row r="105" spans="2:164" ht="12.75">
      <c r="B105" s="356" t="s">
        <v>793</v>
      </c>
      <c r="C105" s="442">
        <v>7944</v>
      </c>
      <c r="D105" s="443">
        <v>1881752</v>
      </c>
      <c r="E105" s="443">
        <v>1614543.216</v>
      </c>
      <c r="F105" s="443">
        <v>264895.11473808135</v>
      </c>
      <c r="G105" s="443">
        <v>267208.78400000004</v>
      </c>
      <c r="H105" s="444">
        <v>0.4863695871097684</v>
      </c>
      <c r="I105" s="445">
        <v>3315.25</v>
      </c>
      <c r="J105" s="445">
        <v>548.47</v>
      </c>
      <c r="K105" s="443">
        <v>1879438.3307380814</v>
      </c>
      <c r="L105" s="443">
        <v>1503550.6645904651</v>
      </c>
      <c r="M105" s="443">
        <v>503956.3415246476</v>
      </c>
      <c r="N105" s="443">
        <v>375887.66614761617</v>
      </c>
      <c r="O105" s="446">
        <v>1.3407099697885196</v>
      </c>
      <c r="P105" s="447">
        <v>0.7379154078549849</v>
      </c>
      <c r="Q105" s="448">
        <v>0.2620845921450151</v>
      </c>
      <c r="R105" s="443">
        <v>2007507.0061151127</v>
      </c>
      <c r="S105" s="443">
        <v>1357074.7361338162</v>
      </c>
      <c r="T105" s="443">
        <v>223258.666055005</v>
      </c>
      <c r="U105" s="443">
        <v>618134.9721149562</v>
      </c>
      <c r="V105" s="443">
        <v>457711.59739424573</v>
      </c>
      <c r="W105" s="446">
        <v>1.350490080727693</v>
      </c>
      <c r="X105" s="448">
        <v>25.215642455397155</v>
      </c>
      <c r="Y105" s="443">
        <v>223258.666055005</v>
      </c>
      <c r="Z105" s="443">
        <v>192720.67258705082</v>
      </c>
      <c r="AA105" s="444">
        <v>1.1584572794294308</v>
      </c>
      <c r="AB105" s="444">
        <v>0.09504028197381671</v>
      </c>
      <c r="AC105" s="445">
        <v>749</v>
      </c>
      <c r="AD105" s="445">
        <v>761</v>
      </c>
      <c r="AE105" s="443">
        <v>2198468.3743037772</v>
      </c>
      <c r="AF105" s="443">
        <v>133692.78341812792</v>
      </c>
      <c r="AG105" s="447">
        <v>0.5</v>
      </c>
      <c r="AH105" s="446">
        <v>0.32887330074616405</v>
      </c>
      <c r="AI105" s="448">
        <v>0.2769474685192108</v>
      </c>
      <c r="AJ105" s="443">
        <v>2332161.157721905</v>
      </c>
      <c r="AK105" s="449">
        <v>1</v>
      </c>
      <c r="AL105" s="443">
        <v>2332161.157721905</v>
      </c>
      <c r="AM105" s="443">
        <v>5197840.459481173</v>
      </c>
      <c r="AN105" s="443">
        <v>5134362.637263204</v>
      </c>
      <c r="AO105" s="443">
        <v>5092447.823577803</v>
      </c>
      <c r="AP105" s="443">
        <v>5134362.637263204</v>
      </c>
      <c r="AQ105" s="443">
        <v>31776</v>
      </c>
      <c r="AR105" s="443">
        <v>5166138.637263204</v>
      </c>
      <c r="AS105" s="450">
        <v>650.3195666242704</v>
      </c>
      <c r="AT105" s="446">
        <v>7944</v>
      </c>
      <c r="AU105" s="446">
        <v>25</v>
      </c>
      <c r="AV105" s="446">
        <v>495</v>
      </c>
      <c r="AW105" s="446">
        <v>1224</v>
      </c>
      <c r="AX105" s="446">
        <v>1</v>
      </c>
      <c r="AY105" s="446">
        <v>1170</v>
      </c>
      <c r="AZ105" s="446">
        <v>187</v>
      </c>
      <c r="BA105" s="446">
        <v>459</v>
      </c>
      <c r="BB105" s="446">
        <v>89</v>
      </c>
      <c r="BC105" s="446">
        <v>50</v>
      </c>
      <c r="BD105" s="446">
        <v>1593</v>
      </c>
      <c r="BE105" s="446">
        <v>1782</v>
      </c>
      <c r="BF105" s="446">
        <v>300</v>
      </c>
      <c r="BG105" s="446">
        <v>569</v>
      </c>
      <c r="BH105" s="446">
        <v>0</v>
      </c>
      <c r="BI105" s="446">
        <v>0</v>
      </c>
      <c r="BJ105" s="448">
        <v>1.9879128437891562</v>
      </c>
      <c r="BK105" s="448">
        <v>25.419164627770954</v>
      </c>
      <c r="BL105" s="448">
        <v>19.051444169644494</v>
      </c>
      <c r="BM105" s="448">
        <v>12.735440916252921</v>
      </c>
      <c r="BN105" s="445">
        <v>5862</v>
      </c>
      <c r="BO105" s="445">
        <v>2082</v>
      </c>
      <c r="BP105" s="443">
        <v>3245935.656201311</v>
      </c>
      <c r="BQ105" s="443">
        <v>8957108</v>
      </c>
      <c r="BR105" s="443">
        <v>10959909</v>
      </c>
      <c r="BS105" s="444">
        <v>0.09504028197381671</v>
      </c>
      <c r="BT105" s="445">
        <v>749</v>
      </c>
      <c r="BU105" s="445">
        <v>761</v>
      </c>
      <c r="BV105" s="443">
        <v>1041632.8417673715</v>
      </c>
      <c r="BW105" s="444">
        <v>0.009701495821176184</v>
      </c>
      <c r="BX105" s="443">
        <v>25243.784373917697</v>
      </c>
      <c r="BY105" s="443">
        <v>13269920.2823426</v>
      </c>
      <c r="BZ105" s="451">
        <v>0.9066666666666667</v>
      </c>
      <c r="CA105" s="443">
        <v>12031394.389323957</v>
      </c>
      <c r="CB105" s="443">
        <v>8803826.053693775</v>
      </c>
      <c r="CC105" s="443">
        <v>8803826.053693775</v>
      </c>
      <c r="CD105" s="443">
        <v>8684258.96672063</v>
      </c>
      <c r="CE105" s="443">
        <v>8741258.607979558</v>
      </c>
      <c r="CF105" s="450">
        <v>1100.3598449118276</v>
      </c>
      <c r="CG105" s="446">
        <v>7944</v>
      </c>
      <c r="CH105" s="446">
        <v>25</v>
      </c>
      <c r="CI105" s="446">
        <v>495</v>
      </c>
      <c r="CJ105" s="446">
        <v>1224</v>
      </c>
      <c r="CK105" s="446">
        <v>1</v>
      </c>
      <c r="CL105" s="446">
        <v>1170</v>
      </c>
      <c r="CM105" s="446">
        <v>187</v>
      </c>
      <c r="CN105" s="446">
        <v>459</v>
      </c>
      <c r="CO105" s="446">
        <v>89</v>
      </c>
      <c r="CP105" s="446">
        <v>50</v>
      </c>
      <c r="CQ105" s="446">
        <v>1593</v>
      </c>
      <c r="CR105" s="446">
        <v>1782</v>
      </c>
      <c r="CS105" s="446">
        <v>300</v>
      </c>
      <c r="CT105" s="446">
        <v>569</v>
      </c>
      <c r="CU105" s="446">
        <v>0</v>
      </c>
      <c r="CV105" s="446">
        <v>0</v>
      </c>
      <c r="CW105" s="443">
        <v>5674955.077583332</v>
      </c>
      <c r="CX105" s="448">
        <v>0.8851456549627312</v>
      </c>
      <c r="CY105" s="448">
        <v>0.9066666666666667</v>
      </c>
      <c r="CZ105" s="443">
        <v>5023161.8290315755</v>
      </c>
      <c r="DA105" s="450">
        <v>632.3214789818197</v>
      </c>
      <c r="DB105" s="445">
        <v>7944</v>
      </c>
      <c r="DC105" s="448">
        <v>0.9868957703927493</v>
      </c>
      <c r="DD105" s="450">
        <v>286.7</v>
      </c>
      <c r="DE105" s="443">
        <v>25095</v>
      </c>
      <c r="DF105" s="450">
        <v>42.4564952363425</v>
      </c>
      <c r="DG105" s="450">
        <v>44.282124531505225</v>
      </c>
      <c r="DH105" s="450">
        <v>45.256331271198334</v>
      </c>
      <c r="DI105" s="450">
        <v>46.25197055916469</v>
      </c>
      <c r="DJ105" s="450">
        <v>47.77828558761712</v>
      </c>
      <c r="DK105" s="450">
        <v>49.49830386877133</v>
      </c>
      <c r="DL105" s="450">
        <v>51.082249592572005</v>
      </c>
      <c r="DM105" s="450">
        <v>53.17662182586745</v>
      </c>
      <c r="DN105" s="450">
        <v>55.516393186205605</v>
      </c>
      <c r="DO105" s="450">
        <v>58.56979481144691</v>
      </c>
      <c r="DP105" s="450">
        <v>58.04266665814389</v>
      </c>
      <c r="DQ105" s="450">
        <v>61.00284265770922</v>
      </c>
      <c r="DR105" s="450">
        <v>34.15</v>
      </c>
      <c r="DS105" s="450">
        <v>35.93680312711982</v>
      </c>
      <c r="DT105" s="450">
        <v>37.78569699183292</v>
      </c>
      <c r="DU105" s="450">
        <v>40.12583256694512</v>
      </c>
      <c r="DV105" s="450">
        <v>42.702925586414594</v>
      </c>
      <c r="DW105" s="450">
        <v>45.23822426974522</v>
      </c>
      <c r="DX105" s="450">
        <v>48.309717537017306</v>
      </c>
      <c r="DY105" s="450">
        <v>50.99990600615268</v>
      </c>
      <c r="DZ105" s="450">
        <v>52.54156334863073</v>
      </c>
      <c r="EA105" s="450">
        <v>54.01461024906336</v>
      </c>
      <c r="EB105" s="450">
        <v>57.61605282895431</v>
      </c>
      <c r="EC105" s="450">
        <v>0</v>
      </c>
      <c r="ED105" s="450">
        <v>57.61605282895431</v>
      </c>
      <c r="EE105" s="450">
        <v>2996.034747105624</v>
      </c>
      <c r="EF105" s="443">
        <v>23324490.030386936</v>
      </c>
      <c r="EG105" s="450">
        <v>35.17</v>
      </c>
      <c r="EH105" s="450">
        <v>36.87499912711983</v>
      </c>
      <c r="EI105" s="450">
        <v>38.63799593583293</v>
      </c>
      <c r="EJ105" s="450">
        <v>40.89620427495313</v>
      </c>
      <c r="EK105" s="450">
        <v>43.3870156631257</v>
      </c>
      <c r="EL105" s="450">
        <v>45.826541735716766</v>
      </c>
      <c r="EM105" s="450">
        <v>48.799668322678414</v>
      </c>
      <c r="EN105" s="450">
        <v>51.454580335246185</v>
      </c>
      <c r="EO105" s="450">
        <v>52.97517110047624</v>
      </c>
      <c r="EP105" s="450">
        <v>54.30434638388529</v>
      </c>
      <c r="EQ105" s="450">
        <v>57.85966297111259</v>
      </c>
      <c r="ER105" s="443">
        <v>40574903</v>
      </c>
      <c r="ES105" s="443">
        <v>1020000</v>
      </c>
      <c r="ET105" s="443">
        <v>0</v>
      </c>
      <c r="EU105" s="443">
        <v>0</v>
      </c>
      <c r="EV105" s="443">
        <v>0</v>
      </c>
      <c r="EW105" s="443">
        <v>0</v>
      </c>
      <c r="EX105" s="443">
        <v>0</v>
      </c>
      <c r="EY105" s="443">
        <v>0</v>
      </c>
      <c r="EZ105" s="443">
        <v>0</v>
      </c>
      <c r="FA105" s="443">
        <v>41084903</v>
      </c>
      <c r="FB105" s="443">
        <v>58667.38884701369</v>
      </c>
      <c r="FC105" s="443">
        <v>0</v>
      </c>
      <c r="FD105" s="443">
        <v>0</v>
      </c>
      <c r="FE105" s="443">
        <v>7584</v>
      </c>
      <c r="FF105" s="452">
        <v>0.047400000000000005</v>
      </c>
      <c r="FG105" s="443">
        <v>359.4816</v>
      </c>
      <c r="FH105" s="453">
        <v>359.4816</v>
      </c>
    </row>
    <row r="106" spans="2:164" ht="12.75">
      <c r="B106" s="356" t="s">
        <v>794</v>
      </c>
      <c r="C106" s="442">
        <v>8196.63</v>
      </c>
      <c r="D106" s="443">
        <v>1940614.79</v>
      </c>
      <c r="E106" s="443">
        <v>1665047.4898199998</v>
      </c>
      <c r="F106" s="443">
        <v>298722.4811967659</v>
      </c>
      <c r="G106" s="443">
        <v>275567.30018</v>
      </c>
      <c r="H106" s="444">
        <v>0.5318429647306272</v>
      </c>
      <c r="I106" s="445">
        <v>3857.26</v>
      </c>
      <c r="J106" s="445">
        <v>502.06</v>
      </c>
      <c r="K106" s="443">
        <v>1963769.9710167656</v>
      </c>
      <c r="L106" s="443">
        <v>1571015.9768134125</v>
      </c>
      <c r="M106" s="443">
        <v>549822.9128173158</v>
      </c>
      <c r="N106" s="443">
        <v>392753.994203353</v>
      </c>
      <c r="O106" s="446">
        <v>1.3999167950730973</v>
      </c>
      <c r="P106" s="447">
        <v>0.6922357115058262</v>
      </c>
      <c r="Q106" s="448">
        <v>0.30768742763794393</v>
      </c>
      <c r="R106" s="443">
        <v>2120838.8896307284</v>
      </c>
      <c r="S106" s="443">
        <v>1433687.0893903724</v>
      </c>
      <c r="T106" s="443">
        <v>203160.09494316706</v>
      </c>
      <c r="U106" s="443">
        <v>463937.35858416447</v>
      </c>
      <c r="V106" s="443">
        <v>483551.2668358061</v>
      </c>
      <c r="W106" s="446">
        <v>0.9594377895440368</v>
      </c>
      <c r="X106" s="448">
        <v>17.91411918131456</v>
      </c>
      <c r="Y106" s="443">
        <v>203160.09494316706</v>
      </c>
      <c r="Z106" s="443">
        <v>203600.53340454993</v>
      </c>
      <c r="AA106" s="444">
        <v>0.9978367519278167</v>
      </c>
      <c r="AB106" s="444">
        <v>0.08186291195283917</v>
      </c>
      <c r="AC106" s="445">
        <v>600</v>
      </c>
      <c r="AD106" s="445">
        <v>742</v>
      </c>
      <c r="AE106" s="443">
        <v>2100784.5429177037</v>
      </c>
      <c r="AF106" s="443">
        <v>125827.74836796554</v>
      </c>
      <c r="AG106" s="447">
        <v>0.5</v>
      </c>
      <c r="AH106" s="446">
        <v>0.29022630883066985</v>
      </c>
      <c r="AI106" s="448">
        <v>0.2444024533033371</v>
      </c>
      <c r="AJ106" s="443">
        <v>2226612.2912856694</v>
      </c>
      <c r="AK106" s="449">
        <v>1.0428149725139246</v>
      </c>
      <c r="AL106" s="443">
        <v>2321944.635336232</v>
      </c>
      <c r="AM106" s="443">
        <v>5175070.226285403</v>
      </c>
      <c r="AN106" s="443">
        <v>5111870.482016522</v>
      </c>
      <c r="AO106" s="443">
        <v>5080574.578540621</v>
      </c>
      <c r="AP106" s="443">
        <v>5111870.482016522</v>
      </c>
      <c r="AQ106" s="443">
        <v>32786.52</v>
      </c>
      <c r="AR106" s="443">
        <v>5144657.002016522</v>
      </c>
      <c r="AS106" s="450">
        <v>627.6551463243458</v>
      </c>
      <c r="AT106" s="446">
        <v>8183</v>
      </c>
      <c r="AU106" s="446">
        <v>19</v>
      </c>
      <c r="AV106" s="446">
        <v>74</v>
      </c>
      <c r="AW106" s="446">
        <v>323</v>
      </c>
      <c r="AX106" s="446">
        <v>0</v>
      </c>
      <c r="AY106" s="446">
        <v>1278</v>
      </c>
      <c r="AZ106" s="446">
        <v>240</v>
      </c>
      <c r="BA106" s="446">
        <v>624</v>
      </c>
      <c r="BB106" s="446">
        <v>1108</v>
      </c>
      <c r="BC106" s="446">
        <v>24</v>
      </c>
      <c r="BD106" s="446">
        <v>1788</v>
      </c>
      <c r="BE106" s="446">
        <v>1350</v>
      </c>
      <c r="BF106" s="446">
        <v>1172</v>
      </c>
      <c r="BG106" s="446">
        <v>183</v>
      </c>
      <c r="BH106" s="446">
        <v>0</v>
      </c>
      <c r="BI106" s="446">
        <v>0</v>
      </c>
      <c r="BJ106" s="448">
        <v>2.1264047270418622</v>
      </c>
      <c r="BK106" s="448">
        <v>27.135139508894227</v>
      </c>
      <c r="BL106" s="448">
        <v>13.607137567182924</v>
      </c>
      <c r="BM106" s="448">
        <v>27.05600388342261</v>
      </c>
      <c r="BN106" s="445">
        <v>5661</v>
      </c>
      <c r="BO106" s="445">
        <v>2522</v>
      </c>
      <c r="BP106" s="443">
        <v>3318052.568099757</v>
      </c>
      <c r="BQ106" s="443">
        <v>9275649</v>
      </c>
      <c r="BR106" s="443">
        <v>11442582</v>
      </c>
      <c r="BS106" s="444">
        <v>0.0819992667725773</v>
      </c>
      <c r="BT106" s="445">
        <v>600</v>
      </c>
      <c r="BU106" s="445">
        <v>742</v>
      </c>
      <c r="BV106" s="443">
        <v>938283.3339850911</v>
      </c>
      <c r="BW106" s="444">
        <v>0.014589178428982538</v>
      </c>
      <c r="BX106" s="443">
        <v>41743.67661822271</v>
      </c>
      <c r="BY106" s="443">
        <v>13573728.578703072</v>
      </c>
      <c r="BZ106" s="451">
        <v>1.0333333333333334</v>
      </c>
      <c r="CA106" s="443">
        <v>14026186.197993176</v>
      </c>
      <c r="CB106" s="443">
        <v>10263490.621953662</v>
      </c>
      <c r="CC106" s="443">
        <v>10263490.621953662</v>
      </c>
      <c r="CD106" s="443">
        <v>9973106.423666833</v>
      </c>
      <c r="CE106" s="443">
        <v>10190549.563326314</v>
      </c>
      <c r="CF106" s="450">
        <v>1245.331732045254</v>
      </c>
      <c r="CG106" s="446">
        <v>8183</v>
      </c>
      <c r="CH106" s="446">
        <v>19</v>
      </c>
      <c r="CI106" s="446">
        <v>74</v>
      </c>
      <c r="CJ106" s="446">
        <v>323</v>
      </c>
      <c r="CK106" s="446">
        <v>0</v>
      </c>
      <c r="CL106" s="446">
        <v>1278</v>
      </c>
      <c r="CM106" s="446">
        <v>240</v>
      </c>
      <c r="CN106" s="446">
        <v>624</v>
      </c>
      <c r="CO106" s="446">
        <v>1108</v>
      </c>
      <c r="CP106" s="446">
        <v>24</v>
      </c>
      <c r="CQ106" s="446">
        <v>1788</v>
      </c>
      <c r="CR106" s="446">
        <v>1350</v>
      </c>
      <c r="CS106" s="446">
        <v>1172</v>
      </c>
      <c r="CT106" s="446">
        <v>183</v>
      </c>
      <c r="CU106" s="446">
        <v>0</v>
      </c>
      <c r="CV106" s="446">
        <v>0</v>
      </c>
      <c r="CW106" s="443">
        <v>6296270.342104145</v>
      </c>
      <c r="CX106" s="448">
        <v>1.0088057097001717</v>
      </c>
      <c r="CY106" s="448">
        <v>1.0333333333333334</v>
      </c>
      <c r="CZ106" s="443">
        <v>6351713.470930515</v>
      </c>
      <c r="DA106" s="450">
        <v>776.2084163424802</v>
      </c>
      <c r="DB106" s="445">
        <v>8196.63</v>
      </c>
      <c r="DC106" s="448">
        <v>1.0075138197039517</v>
      </c>
      <c r="DD106" s="450">
        <v>343.7</v>
      </c>
      <c r="DE106" s="443">
        <v>35882</v>
      </c>
      <c r="DF106" s="450">
        <v>53.663363179199564</v>
      </c>
      <c r="DG106" s="450">
        <v>55.97088779590514</v>
      </c>
      <c r="DH106" s="450">
        <v>57.202247327415044</v>
      </c>
      <c r="DI106" s="450">
        <v>58.46069676861816</v>
      </c>
      <c r="DJ106" s="450">
        <v>60.389899761982555</v>
      </c>
      <c r="DK106" s="450">
        <v>62.56393615341391</v>
      </c>
      <c r="DL106" s="450">
        <v>64.56598211032315</v>
      </c>
      <c r="DM106" s="450">
        <v>67.21318737684639</v>
      </c>
      <c r="DN106" s="450">
        <v>70.17056762142762</v>
      </c>
      <c r="DO106" s="450">
        <v>74.02994884060614</v>
      </c>
      <c r="DP106" s="450">
        <v>73.36367930104068</v>
      </c>
      <c r="DQ106" s="450">
        <v>77.10522694539375</v>
      </c>
      <c r="DR106" s="450">
        <v>42.71</v>
      </c>
      <c r="DS106" s="450">
        <v>45.0048827327415</v>
      </c>
      <c r="DT106" s="450">
        <v>47.38006866572362</v>
      </c>
      <c r="DU106" s="450">
        <v>50.37439703547875</v>
      </c>
      <c r="DV106" s="450">
        <v>53.67016973227854</v>
      </c>
      <c r="DW106" s="450">
        <v>56.91734298814672</v>
      </c>
      <c r="DX106" s="450">
        <v>60.843400715897864</v>
      </c>
      <c r="DY106" s="450">
        <v>64.2594056000674</v>
      </c>
      <c r="DZ106" s="450">
        <v>66.2173830633047</v>
      </c>
      <c r="EA106" s="450">
        <v>68.14333302788665</v>
      </c>
      <c r="EB106" s="450">
        <v>72.71595979892584</v>
      </c>
      <c r="EC106" s="450">
        <v>-0.68</v>
      </c>
      <c r="ED106" s="450">
        <v>72.03595979892583</v>
      </c>
      <c r="EE106" s="450">
        <v>3745.8699095441434</v>
      </c>
      <c r="EF106" s="443">
        <v>30089439.483133473</v>
      </c>
      <c r="EG106" s="450">
        <v>45.16</v>
      </c>
      <c r="EH106" s="450">
        <v>47.25839273274149</v>
      </c>
      <c r="EI106" s="450">
        <v>49.427257305723614</v>
      </c>
      <c r="EJ106" s="450">
        <v>52.22479966745875</v>
      </c>
      <c r="EK106" s="450">
        <v>55.31332726947677</v>
      </c>
      <c r="EL106" s="450">
        <v>58.3304584701372</v>
      </c>
      <c r="EM106" s="450">
        <v>62.020243289299536</v>
      </c>
      <c r="EN106" s="450">
        <v>65.35151550818415</v>
      </c>
      <c r="EO106" s="450">
        <v>67.25889187901203</v>
      </c>
      <c r="EP106" s="450">
        <v>68.83926786152755</v>
      </c>
      <c r="EQ106" s="450">
        <v>73.30110180705111</v>
      </c>
      <c r="ER106" s="443">
        <v>39505280</v>
      </c>
      <c r="ES106" s="443">
        <v>1756000</v>
      </c>
      <c r="ET106" s="443">
        <v>0</v>
      </c>
      <c r="EU106" s="443">
        <v>0</v>
      </c>
      <c r="EV106" s="443">
        <v>0</v>
      </c>
      <c r="EW106" s="443">
        <v>0</v>
      </c>
      <c r="EX106" s="443">
        <v>0</v>
      </c>
      <c r="EY106" s="443">
        <v>0</v>
      </c>
      <c r="EZ106" s="443">
        <v>0</v>
      </c>
      <c r="FA106" s="443">
        <v>40383280</v>
      </c>
      <c r="FB106" s="443">
        <v>58335.38324032449</v>
      </c>
      <c r="FC106" s="443">
        <v>0</v>
      </c>
      <c r="FD106" s="443">
        <v>0</v>
      </c>
      <c r="FE106" s="443">
        <v>43186</v>
      </c>
      <c r="FF106" s="452">
        <v>0.0338</v>
      </c>
      <c r="FG106" s="443">
        <v>1459.6868</v>
      </c>
      <c r="FH106" s="453">
        <v>1459.6868</v>
      </c>
    </row>
    <row r="107" spans="2:164" ht="12.75">
      <c r="B107" s="356" t="s">
        <v>795</v>
      </c>
      <c r="C107" s="442">
        <v>17419</v>
      </c>
      <c r="D107" s="443">
        <v>4089427</v>
      </c>
      <c r="E107" s="443">
        <v>3508728.366</v>
      </c>
      <c r="F107" s="443">
        <v>531419.1970994831</v>
      </c>
      <c r="G107" s="443">
        <v>580698.6340000001</v>
      </c>
      <c r="H107" s="444">
        <v>0.44898272001837075</v>
      </c>
      <c r="I107" s="445">
        <v>6506.79</v>
      </c>
      <c r="J107" s="445">
        <v>1314.04</v>
      </c>
      <c r="K107" s="443">
        <v>4040147.563099483</v>
      </c>
      <c r="L107" s="443">
        <v>3232118.0504795867</v>
      </c>
      <c r="M107" s="443">
        <v>1037728.1025297615</v>
      </c>
      <c r="N107" s="443">
        <v>808029.5126198964</v>
      </c>
      <c r="O107" s="446">
        <v>1.2842700499454618</v>
      </c>
      <c r="P107" s="447">
        <v>0.7813307308111832</v>
      </c>
      <c r="Q107" s="448">
        <v>0.21866926918881682</v>
      </c>
      <c r="R107" s="443">
        <v>4269846.153009349</v>
      </c>
      <c r="S107" s="443">
        <v>2886415.99943432</v>
      </c>
      <c r="T107" s="443">
        <v>467541.4853772369</v>
      </c>
      <c r="U107" s="443">
        <v>1388139.6436228128</v>
      </c>
      <c r="V107" s="443">
        <v>973524.9228861314</v>
      </c>
      <c r="W107" s="446">
        <v>1.4258901965319042</v>
      </c>
      <c r="X107" s="448">
        <v>26.623473870338064</v>
      </c>
      <c r="Y107" s="443">
        <v>467541.4853772369</v>
      </c>
      <c r="Z107" s="443">
        <v>409905.2306888975</v>
      </c>
      <c r="AA107" s="444">
        <v>1.1406087319048708</v>
      </c>
      <c r="AB107" s="444">
        <v>0.09357598025144957</v>
      </c>
      <c r="AC107" s="445">
        <v>1681</v>
      </c>
      <c r="AD107" s="445">
        <v>1579</v>
      </c>
      <c r="AE107" s="443">
        <v>4742097.128434369</v>
      </c>
      <c r="AF107" s="443">
        <v>1198490.4709365484</v>
      </c>
      <c r="AG107" s="447">
        <v>1</v>
      </c>
      <c r="AH107" s="446">
        <v>0.7882827750904924</v>
      </c>
      <c r="AI107" s="448">
        <v>0.663820743560791</v>
      </c>
      <c r="AJ107" s="443">
        <v>5940587.599370917</v>
      </c>
      <c r="AK107" s="449">
        <v>1.0220191686347762</v>
      </c>
      <c r="AL107" s="443">
        <v>6071394.399511126</v>
      </c>
      <c r="AM107" s="443">
        <v>13531714.714806788</v>
      </c>
      <c r="AN107" s="443">
        <v>13366460.742957002</v>
      </c>
      <c r="AO107" s="443">
        <v>13617766.490906619</v>
      </c>
      <c r="AP107" s="443">
        <v>13617766.490906619</v>
      </c>
      <c r="AQ107" s="443">
        <v>69676</v>
      </c>
      <c r="AR107" s="443">
        <v>13687442.490906619</v>
      </c>
      <c r="AS107" s="450">
        <v>785.7765940011836</v>
      </c>
      <c r="AT107" s="446">
        <v>17419</v>
      </c>
      <c r="AU107" s="446">
        <v>820</v>
      </c>
      <c r="AV107" s="446">
        <v>1722</v>
      </c>
      <c r="AW107" s="446">
        <v>503</v>
      </c>
      <c r="AX107" s="446">
        <v>431</v>
      </c>
      <c r="AY107" s="446">
        <v>1027</v>
      </c>
      <c r="AZ107" s="446">
        <v>2050</v>
      </c>
      <c r="BA107" s="446">
        <v>2102</v>
      </c>
      <c r="BB107" s="446">
        <v>1128</v>
      </c>
      <c r="BC107" s="446">
        <v>838</v>
      </c>
      <c r="BD107" s="446">
        <v>2664</v>
      </c>
      <c r="BE107" s="446">
        <v>1474</v>
      </c>
      <c r="BF107" s="446">
        <v>2335</v>
      </c>
      <c r="BG107" s="446">
        <v>220</v>
      </c>
      <c r="BH107" s="446">
        <v>23</v>
      </c>
      <c r="BI107" s="446">
        <v>82</v>
      </c>
      <c r="BJ107" s="448">
        <v>2.4629705965536655</v>
      </c>
      <c r="BK107" s="448">
        <v>40.22048993033419</v>
      </c>
      <c r="BL107" s="448">
        <v>23.152177616367442</v>
      </c>
      <c r="BM107" s="448">
        <v>34.13662462793349</v>
      </c>
      <c r="BN107" s="445">
        <v>13610</v>
      </c>
      <c r="BO107" s="445">
        <v>3809</v>
      </c>
      <c r="BP107" s="443">
        <v>8380227.899126688</v>
      </c>
      <c r="BQ107" s="443">
        <v>18680684</v>
      </c>
      <c r="BR107" s="443">
        <v>25095427</v>
      </c>
      <c r="BS107" s="444">
        <v>0.09357598025144957</v>
      </c>
      <c r="BT107" s="445">
        <v>1681</v>
      </c>
      <c r="BU107" s="445">
        <v>1579</v>
      </c>
      <c r="BV107" s="443">
        <v>2348329.1813536943</v>
      </c>
      <c r="BW107" s="444">
        <v>0.024352497628476577</v>
      </c>
      <c r="BX107" s="443">
        <v>219851.45135114668</v>
      </c>
      <c r="BY107" s="443">
        <v>29629092.531831525</v>
      </c>
      <c r="BZ107" s="451">
        <v>0.9166666666666666</v>
      </c>
      <c r="CA107" s="443">
        <v>27160001.48751223</v>
      </c>
      <c r="CB107" s="443">
        <v>19873999.719126284</v>
      </c>
      <c r="CC107" s="443">
        <v>19873999.719126284</v>
      </c>
      <c r="CD107" s="443">
        <v>20128781.032838512</v>
      </c>
      <c r="CE107" s="443">
        <v>20128781.032838512</v>
      </c>
      <c r="CF107" s="450">
        <v>1155.564672647024</v>
      </c>
      <c r="CG107" s="446">
        <v>15372</v>
      </c>
      <c r="CH107" s="446">
        <v>820</v>
      </c>
      <c r="CI107" s="446">
        <v>1722</v>
      </c>
      <c r="CJ107" s="446">
        <v>503</v>
      </c>
      <c r="CK107" s="446">
        <v>250</v>
      </c>
      <c r="CL107" s="446">
        <v>727</v>
      </c>
      <c r="CM107" s="446">
        <v>1588</v>
      </c>
      <c r="CN107" s="446">
        <v>1747</v>
      </c>
      <c r="CO107" s="446">
        <v>970</v>
      </c>
      <c r="CP107" s="446">
        <v>838</v>
      </c>
      <c r="CQ107" s="446">
        <v>2477</v>
      </c>
      <c r="CR107" s="446">
        <v>1446</v>
      </c>
      <c r="CS107" s="446">
        <v>1961</v>
      </c>
      <c r="CT107" s="446">
        <v>218</v>
      </c>
      <c r="CU107" s="446">
        <v>23</v>
      </c>
      <c r="CV107" s="446">
        <v>82</v>
      </c>
      <c r="CW107" s="443">
        <v>10815119.850993542</v>
      </c>
      <c r="CX107" s="448">
        <v>0.8949082908630555</v>
      </c>
      <c r="CY107" s="448">
        <v>0.9166666666666666</v>
      </c>
      <c r="CZ107" s="443">
        <v>9678540.421331733</v>
      </c>
      <c r="DA107" s="450">
        <v>629.6214169484604</v>
      </c>
      <c r="DB107" s="445">
        <v>17419</v>
      </c>
      <c r="DC107" s="448">
        <v>1.0249784717836845</v>
      </c>
      <c r="DD107" s="450">
        <v>307.3</v>
      </c>
      <c r="DE107" s="443">
        <v>21169</v>
      </c>
      <c r="DF107" s="450">
        <v>45.03427537271298</v>
      </c>
      <c r="DG107" s="450">
        <v>46.97074921373964</v>
      </c>
      <c r="DH107" s="450">
        <v>48.0041056964419</v>
      </c>
      <c r="DI107" s="450">
        <v>49.06019602176361</v>
      </c>
      <c r="DJ107" s="450">
        <v>50.67918249048181</v>
      </c>
      <c r="DK107" s="450">
        <v>52.503633060139144</v>
      </c>
      <c r="DL107" s="450">
        <v>54.18374931806358</v>
      </c>
      <c r="DM107" s="450">
        <v>56.40528304010419</v>
      </c>
      <c r="DN107" s="450">
        <v>58.88711549386876</v>
      </c>
      <c r="DO107" s="450">
        <v>62.12590684603154</v>
      </c>
      <c r="DP107" s="450">
        <v>61.56677368441726</v>
      </c>
      <c r="DQ107" s="450">
        <v>64.70667914232253</v>
      </c>
      <c r="DR107" s="450">
        <v>36.29</v>
      </c>
      <c r="DS107" s="450">
        <v>38.179952569644186</v>
      </c>
      <c r="DT107" s="450">
        <v>40.13549869235271</v>
      </c>
      <c r="DU107" s="450">
        <v>42.61237169186053</v>
      </c>
      <c r="DV107" s="450">
        <v>45.34030507096345</v>
      </c>
      <c r="DW107" s="450">
        <v>48.023287247372494</v>
      </c>
      <c r="DX107" s="450">
        <v>51.27485022763265</v>
      </c>
      <c r="DY107" s="450">
        <v>54.12607384389518</v>
      </c>
      <c r="DZ107" s="450">
        <v>55.75995954553014</v>
      </c>
      <c r="EA107" s="450">
        <v>57.31305599261609</v>
      </c>
      <c r="EB107" s="450">
        <v>61.13015330705611</v>
      </c>
      <c r="EC107" s="450">
        <v>0</v>
      </c>
      <c r="ED107" s="450">
        <v>61.13015330705611</v>
      </c>
      <c r="EE107" s="450">
        <v>3178.7679719669177</v>
      </c>
      <c r="EF107" s="443">
        <v>54263540.117617905</v>
      </c>
      <c r="EG107" s="450">
        <v>51.13</v>
      </c>
      <c r="EH107" s="450">
        <v>51.82978456964418</v>
      </c>
      <c r="EI107" s="450">
        <v>52.53561274035271</v>
      </c>
      <c r="EJ107" s="450">
        <v>53.82052477699653</v>
      </c>
      <c r="EK107" s="450">
        <v>55.29314501056421</v>
      </c>
      <c r="EL107" s="450">
        <v>56.58272959542914</v>
      </c>
      <c r="EM107" s="450">
        <v>58.40315381509422</v>
      </c>
      <c r="EN107" s="450">
        <v>60.74113957305951</v>
      </c>
      <c r="EO107" s="450">
        <v>62.068527229243195</v>
      </c>
      <c r="EP107" s="450">
        <v>61.528432699241</v>
      </c>
      <c r="EQ107" s="450">
        <v>64.67444204198634</v>
      </c>
      <c r="ER107" s="443">
        <v>436043548</v>
      </c>
      <c r="ES107" s="443">
        <v>1727000</v>
      </c>
      <c r="ET107" s="443">
        <v>0</v>
      </c>
      <c r="EU107" s="443">
        <v>0</v>
      </c>
      <c r="EV107" s="443">
        <v>9210000</v>
      </c>
      <c r="EW107" s="443">
        <v>0</v>
      </c>
      <c r="EX107" s="443">
        <v>360292</v>
      </c>
      <c r="EY107" s="443">
        <v>0</v>
      </c>
      <c r="EZ107" s="443">
        <v>0</v>
      </c>
      <c r="FA107" s="443">
        <v>441151756</v>
      </c>
      <c r="FB107" s="443">
        <v>247977.65696322793</v>
      </c>
      <c r="FC107" s="443">
        <v>0</v>
      </c>
      <c r="FD107" s="443">
        <v>0</v>
      </c>
      <c r="FE107" s="443">
        <v>231942</v>
      </c>
      <c r="FF107" s="452">
        <v>0.049400000000000006</v>
      </c>
      <c r="FG107" s="443">
        <v>11457.9348</v>
      </c>
      <c r="FH107" s="453">
        <v>11457.9348</v>
      </c>
    </row>
    <row r="108" spans="2:164" ht="12.75">
      <c r="B108" s="356" t="s">
        <v>796</v>
      </c>
      <c r="C108" s="442">
        <v>6665</v>
      </c>
      <c r="D108" s="443">
        <v>1583745</v>
      </c>
      <c r="E108" s="443">
        <v>1358853.21</v>
      </c>
      <c r="F108" s="443">
        <v>151792.49458419377</v>
      </c>
      <c r="G108" s="443">
        <v>224891.79</v>
      </c>
      <c r="H108" s="444">
        <v>0.3311462865716429</v>
      </c>
      <c r="I108" s="445">
        <v>1569.96</v>
      </c>
      <c r="J108" s="445">
        <v>637.13</v>
      </c>
      <c r="K108" s="443">
        <v>1510645.7045841936</v>
      </c>
      <c r="L108" s="443">
        <v>1208516.5636673549</v>
      </c>
      <c r="M108" s="443">
        <v>318099.14787032735</v>
      </c>
      <c r="N108" s="443">
        <v>302129.14091683866</v>
      </c>
      <c r="O108" s="446">
        <v>1.0528582145536383</v>
      </c>
      <c r="P108" s="447">
        <v>0.9593398349587396</v>
      </c>
      <c r="Q108" s="448">
        <v>0.04066016504126031</v>
      </c>
      <c r="R108" s="443">
        <v>1526615.7115376822</v>
      </c>
      <c r="S108" s="443">
        <v>1031992.2209994732</v>
      </c>
      <c r="T108" s="443">
        <v>198605.5230719099</v>
      </c>
      <c r="U108" s="443">
        <v>448847.62982804346</v>
      </c>
      <c r="V108" s="443">
        <v>348068.38223059155</v>
      </c>
      <c r="W108" s="446">
        <v>1.289538644537632</v>
      </c>
      <c r="X108" s="448">
        <v>24.07758920788024</v>
      </c>
      <c r="Y108" s="443">
        <v>198605.5230719099</v>
      </c>
      <c r="Z108" s="443">
        <v>146555.10830761748</v>
      </c>
      <c r="AA108" s="444">
        <v>1.3551593347059538</v>
      </c>
      <c r="AB108" s="444">
        <v>0.11117779444861216</v>
      </c>
      <c r="AC108" s="445">
        <v>735</v>
      </c>
      <c r="AD108" s="445">
        <v>747</v>
      </c>
      <c r="AE108" s="443">
        <v>1679445.3738994268</v>
      </c>
      <c r="AF108" s="443">
        <v>225081.9384101439</v>
      </c>
      <c r="AG108" s="447">
        <v>0.75</v>
      </c>
      <c r="AH108" s="446">
        <v>0.47748555023760886</v>
      </c>
      <c r="AI108" s="448">
        <v>0.40209531784057617</v>
      </c>
      <c r="AJ108" s="443">
        <v>1904527.3123095706</v>
      </c>
      <c r="AK108" s="449">
        <v>1</v>
      </c>
      <c r="AL108" s="443">
        <v>1904527.3123095706</v>
      </c>
      <c r="AM108" s="443">
        <v>4244744.874226254</v>
      </c>
      <c r="AN108" s="443">
        <v>4192906.584346602</v>
      </c>
      <c r="AO108" s="443">
        <v>4048401.4594703005</v>
      </c>
      <c r="AP108" s="443">
        <v>4192906.584346602</v>
      </c>
      <c r="AQ108" s="443">
        <v>26660</v>
      </c>
      <c r="AR108" s="443">
        <v>4219566.584346602</v>
      </c>
      <c r="AS108" s="450">
        <v>633.093260967232</v>
      </c>
      <c r="AT108" s="446">
        <v>6665</v>
      </c>
      <c r="AU108" s="446">
        <v>160</v>
      </c>
      <c r="AV108" s="446">
        <v>697</v>
      </c>
      <c r="AW108" s="446">
        <v>484</v>
      </c>
      <c r="AX108" s="446">
        <v>7</v>
      </c>
      <c r="AY108" s="446">
        <v>643</v>
      </c>
      <c r="AZ108" s="446">
        <v>83</v>
      </c>
      <c r="BA108" s="446">
        <v>370</v>
      </c>
      <c r="BB108" s="446">
        <v>548</v>
      </c>
      <c r="BC108" s="446">
        <v>17</v>
      </c>
      <c r="BD108" s="446">
        <v>1476</v>
      </c>
      <c r="BE108" s="446">
        <v>270</v>
      </c>
      <c r="BF108" s="446">
        <v>0</v>
      </c>
      <c r="BG108" s="446">
        <v>1870</v>
      </c>
      <c r="BH108" s="446">
        <v>9</v>
      </c>
      <c r="BI108" s="446">
        <v>31</v>
      </c>
      <c r="BJ108" s="448">
        <v>1.6271470858636827</v>
      </c>
      <c r="BK108" s="448">
        <v>23.98157255835501</v>
      </c>
      <c r="BL108" s="448">
        <v>16.0677455398662</v>
      </c>
      <c r="BM108" s="448">
        <v>15.82765403697762</v>
      </c>
      <c r="BN108" s="445">
        <v>6395</v>
      </c>
      <c r="BO108" s="445">
        <v>270</v>
      </c>
      <c r="BP108" s="443">
        <v>2331521.1607161267</v>
      </c>
      <c r="BQ108" s="443">
        <v>6808163</v>
      </c>
      <c r="BR108" s="443">
        <v>8902951</v>
      </c>
      <c r="BS108" s="444">
        <v>0.11117779444861216</v>
      </c>
      <c r="BT108" s="445">
        <v>735</v>
      </c>
      <c r="BU108" s="445">
        <v>747</v>
      </c>
      <c r="BV108" s="443">
        <v>989810.456264066</v>
      </c>
      <c r="BW108" s="444">
        <v>0.0330683696152417</v>
      </c>
      <c r="BX108" s="443">
        <v>68109.2105652108</v>
      </c>
      <c r="BY108" s="443">
        <v>10197603.827545404</v>
      </c>
      <c r="BZ108" s="451">
        <v>0.9066666666666667</v>
      </c>
      <c r="CA108" s="443">
        <v>9245827.470307834</v>
      </c>
      <c r="CB108" s="443">
        <v>6765521.446398824</v>
      </c>
      <c r="CC108" s="443">
        <v>6765521.446398824</v>
      </c>
      <c r="CD108" s="443">
        <v>6635394.742685973</v>
      </c>
      <c r="CE108" s="443">
        <v>6717439.919884755</v>
      </c>
      <c r="CF108" s="450">
        <v>1007.8679549714561</v>
      </c>
      <c r="CG108" s="446">
        <v>6665</v>
      </c>
      <c r="CH108" s="446">
        <v>160</v>
      </c>
      <c r="CI108" s="446">
        <v>697</v>
      </c>
      <c r="CJ108" s="446">
        <v>484</v>
      </c>
      <c r="CK108" s="446">
        <v>7</v>
      </c>
      <c r="CL108" s="446">
        <v>643</v>
      </c>
      <c r="CM108" s="446">
        <v>83</v>
      </c>
      <c r="CN108" s="446">
        <v>370</v>
      </c>
      <c r="CO108" s="446">
        <v>548</v>
      </c>
      <c r="CP108" s="446">
        <v>17</v>
      </c>
      <c r="CQ108" s="446">
        <v>1476</v>
      </c>
      <c r="CR108" s="446">
        <v>270</v>
      </c>
      <c r="CS108" s="446">
        <v>0</v>
      </c>
      <c r="CT108" s="446">
        <v>1870</v>
      </c>
      <c r="CU108" s="446">
        <v>9</v>
      </c>
      <c r="CV108" s="446">
        <v>31</v>
      </c>
      <c r="CW108" s="443">
        <v>4397730.284737325</v>
      </c>
      <c r="CX108" s="448">
        <v>0.8851456549627312</v>
      </c>
      <c r="CY108" s="448">
        <v>0.9066666666666667</v>
      </c>
      <c r="CZ108" s="443">
        <v>3892631.8532332582</v>
      </c>
      <c r="DA108" s="450">
        <v>584.0407881820342</v>
      </c>
      <c r="DB108" s="445">
        <v>6665</v>
      </c>
      <c r="DC108" s="448">
        <v>0.997299324831208</v>
      </c>
      <c r="DD108" s="450">
        <v>298</v>
      </c>
      <c r="DE108" s="443">
        <v>28058</v>
      </c>
      <c r="DF108" s="450">
        <v>45.154652859802134</v>
      </c>
      <c r="DG108" s="450">
        <v>47.096302932773625</v>
      </c>
      <c r="DH108" s="450">
        <v>48.13242159729464</v>
      </c>
      <c r="DI108" s="450">
        <v>49.19133487243511</v>
      </c>
      <c r="DJ108" s="450">
        <v>50.81464892322546</v>
      </c>
      <c r="DK108" s="450">
        <v>52.64397628446157</v>
      </c>
      <c r="DL108" s="450">
        <v>54.32858352556433</v>
      </c>
      <c r="DM108" s="450">
        <v>56.55605545011247</v>
      </c>
      <c r="DN108" s="450">
        <v>59.044521889917405</v>
      </c>
      <c r="DO108" s="450">
        <v>62.29197059386286</v>
      </c>
      <c r="DP108" s="450">
        <v>61.73134285851809</v>
      </c>
      <c r="DQ108" s="450">
        <v>64.87964134430251</v>
      </c>
      <c r="DR108" s="450">
        <v>34.91</v>
      </c>
      <c r="DS108" s="450">
        <v>36.92346015972945</v>
      </c>
      <c r="DT108" s="450">
        <v>39.008616126487</v>
      </c>
      <c r="DU108" s="450">
        <v>41.610744016731616</v>
      </c>
      <c r="DV108" s="450">
        <v>44.470908727495036</v>
      </c>
      <c r="DW108" s="450">
        <v>47.29974542657311</v>
      </c>
      <c r="DX108" s="450">
        <v>50.70243908127257</v>
      </c>
      <c r="DY108" s="450">
        <v>53.612365899633986</v>
      </c>
      <c r="DZ108" s="450">
        <v>55.28112431920847</v>
      </c>
      <c r="EA108" s="450">
        <v>57.046704512447164</v>
      </c>
      <c r="EB108" s="450">
        <v>60.940797422926074</v>
      </c>
      <c r="EC108" s="450">
        <v>0</v>
      </c>
      <c r="ED108" s="450">
        <v>60.940797422926074</v>
      </c>
      <c r="EE108" s="450">
        <v>3168.921465992156</v>
      </c>
      <c r="EF108" s="443">
        <v>20698444.339420963</v>
      </c>
      <c r="EG108" s="450">
        <v>40.21</v>
      </c>
      <c r="EH108" s="450">
        <v>41.798400159729454</v>
      </c>
      <c r="EI108" s="450">
        <v>43.437228286487006</v>
      </c>
      <c r="EJ108" s="450">
        <v>45.61365583285162</v>
      </c>
      <c r="EK108" s="450">
        <v>48.0254944202096</v>
      </c>
      <c r="EL108" s="450">
        <v>50.35668912230763</v>
      </c>
      <c r="EM108" s="450">
        <v>53.24826179108028</v>
      </c>
      <c r="EN108" s="450">
        <v>55.97488937433554</v>
      </c>
      <c r="EO108" s="450">
        <v>57.53418420624885</v>
      </c>
      <c r="EP108" s="450">
        <v>58.552196193384624</v>
      </c>
      <c r="EQ108" s="450">
        <v>62.20661482825829</v>
      </c>
      <c r="ER108" s="443">
        <v>42918878</v>
      </c>
      <c r="ES108" s="443">
        <v>0</v>
      </c>
      <c r="ET108" s="443">
        <v>0</v>
      </c>
      <c r="EU108" s="443">
        <v>0</v>
      </c>
      <c r="EV108" s="443">
        <v>0</v>
      </c>
      <c r="EW108" s="443">
        <v>0</v>
      </c>
      <c r="EX108" s="443">
        <v>0</v>
      </c>
      <c r="EY108" s="443">
        <v>0</v>
      </c>
      <c r="EZ108" s="443">
        <v>0</v>
      </c>
      <c r="FA108" s="443">
        <v>42918878</v>
      </c>
      <c r="FB108" s="443">
        <v>59535.219551719514</v>
      </c>
      <c r="FC108" s="443">
        <v>0</v>
      </c>
      <c r="FD108" s="443">
        <v>0</v>
      </c>
      <c r="FE108" s="443">
        <v>70906</v>
      </c>
      <c r="FF108" s="452">
        <v>0.0716</v>
      </c>
      <c r="FG108" s="443">
        <v>5076.8696</v>
      </c>
      <c r="FH108" s="453">
        <v>5076.8696</v>
      </c>
    </row>
    <row r="109" spans="2:164" ht="12.75">
      <c r="B109" s="356" t="s">
        <v>797</v>
      </c>
      <c r="C109" s="442">
        <v>3050</v>
      </c>
      <c r="D109" s="443">
        <v>741450</v>
      </c>
      <c r="E109" s="443">
        <v>636164.1</v>
      </c>
      <c r="F109" s="443">
        <v>107573.73878641835</v>
      </c>
      <c r="G109" s="443">
        <v>105285.9</v>
      </c>
      <c r="H109" s="444">
        <v>0.5012786885245901</v>
      </c>
      <c r="I109" s="445">
        <v>1326.1</v>
      </c>
      <c r="J109" s="445">
        <v>202.8</v>
      </c>
      <c r="K109" s="443">
        <v>743737.8387864183</v>
      </c>
      <c r="L109" s="443">
        <v>594990.2710291346</v>
      </c>
      <c r="M109" s="443">
        <v>193888.79684454322</v>
      </c>
      <c r="N109" s="443">
        <v>148747.56775728363</v>
      </c>
      <c r="O109" s="446">
        <v>1.3034754098360657</v>
      </c>
      <c r="P109" s="447">
        <v>0.7665573770491804</v>
      </c>
      <c r="Q109" s="448">
        <v>0.23344262295081966</v>
      </c>
      <c r="R109" s="443">
        <v>788879.0678736778</v>
      </c>
      <c r="S109" s="443">
        <v>533282.2498826062</v>
      </c>
      <c r="T109" s="443">
        <v>111075.99118023246</v>
      </c>
      <c r="U109" s="443">
        <v>158579.7903515043</v>
      </c>
      <c r="V109" s="443">
        <v>179864.42747519855</v>
      </c>
      <c r="W109" s="446">
        <v>0.8816628867504712</v>
      </c>
      <c r="X109" s="448">
        <v>16.461946989284034</v>
      </c>
      <c r="Y109" s="443">
        <v>111075.99118023246</v>
      </c>
      <c r="Z109" s="443">
        <v>75732.39051587308</v>
      </c>
      <c r="AA109" s="444">
        <v>1.4666906778408317</v>
      </c>
      <c r="AB109" s="444">
        <v>0.12032786885245901</v>
      </c>
      <c r="AC109" s="445">
        <v>358</v>
      </c>
      <c r="AD109" s="445">
        <v>376</v>
      </c>
      <c r="AE109" s="443">
        <v>802938.031414343</v>
      </c>
      <c r="AF109" s="443">
        <v>28280.499596088797</v>
      </c>
      <c r="AG109" s="447">
        <v>0.5</v>
      </c>
      <c r="AH109" s="446">
        <v>0.13130182874607346</v>
      </c>
      <c r="AI109" s="448">
        <v>0.11057057231664658</v>
      </c>
      <c r="AJ109" s="443">
        <v>831218.5310104318</v>
      </c>
      <c r="AK109" s="449">
        <v>1.0108730912711368</v>
      </c>
      <c r="AL109" s="443">
        <v>840256.4459643685</v>
      </c>
      <c r="AM109" s="443">
        <v>1872734.6250118145</v>
      </c>
      <c r="AN109" s="443">
        <v>1849864.143219497</v>
      </c>
      <c r="AO109" s="443">
        <v>1802180.7837064515</v>
      </c>
      <c r="AP109" s="443">
        <v>1849864.143219497</v>
      </c>
      <c r="AQ109" s="443">
        <v>12200</v>
      </c>
      <c r="AR109" s="443">
        <v>1862064.143219497</v>
      </c>
      <c r="AS109" s="450">
        <v>610.512833842458</v>
      </c>
      <c r="AT109" s="446">
        <v>3050</v>
      </c>
      <c r="AU109" s="446">
        <v>218</v>
      </c>
      <c r="AV109" s="446">
        <v>168</v>
      </c>
      <c r="AW109" s="446">
        <v>56</v>
      </c>
      <c r="AX109" s="446">
        <v>8</v>
      </c>
      <c r="AY109" s="446">
        <v>584</v>
      </c>
      <c r="AZ109" s="446">
        <v>60</v>
      </c>
      <c r="BA109" s="446">
        <v>222</v>
      </c>
      <c r="BB109" s="446">
        <v>0</v>
      </c>
      <c r="BC109" s="446">
        <v>30</v>
      </c>
      <c r="BD109" s="446">
        <v>748</v>
      </c>
      <c r="BE109" s="446">
        <v>712</v>
      </c>
      <c r="BF109" s="446">
        <v>0</v>
      </c>
      <c r="BG109" s="446">
        <v>244</v>
      </c>
      <c r="BH109" s="446">
        <v>0</v>
      </c>
      <c r="BI109" s="446">
        <v>0</v>
      </c>
      <c r="BJ109" s="448">
        <v>1.545918667832248</v>
      </c>
      <c r="BK109" s="448">
        <v>14.6667795554959</v>
      </c>
      <c r="BL109" s="448">
        <v>10.15301983961958</v>
      </c>
      <c r="BM109" s="448">
        <v>9.02751943175264</v>
      </c>
      <c r="BN109" s="445">
        <v>2338</v>
      </c>
      <c r="BO109" s="445">
        <v>712</v>
      </c>
      <c r="BP109" s="443">
        <v>938357.1721874962</v>
      </c>
      <c r="BQ109" s="443">
        <v>3295374</v>
      </c>
      <c r="BR109" s="443">
        <v>4104642</v>
      </c>
      <c r="BS109" s="444">
        <v>0.12032786885245901</v>
      </c>
      <c r="BT109" s="445">
        <v>358</v>
      </c>
      <c r="BU109" s="445">
        <v>376</v>
      </c>
      <c r="BV109" s="443">
        <v>493902.82426229503</v>
      </c>
      <c r="BW109" s="444">
        <v>0.013898909176698943</v>
      </c>
      <c r="BX109" s="443">
        <v>8011.808727100327</v>
      </c>
      <c r="BY109" s="443">
        <v>4735645.805176891</v>
      </c>
      <c r="BZ109" s="451">
        <v>1.0633333333333335</v>
      </c>
      <c r="CA109" s="443">
        <v>5035570.039504762</v>
      </c>
      <c r="CB109" s="443">
        <v>3684716.9392377334</v>
      </c>
      <c r="CC109" s="443">
        <v>3684716.9392377334</v>
      </c>
      <c r="CD109" s="443">
        <v>3608652.796019227</v>
      </c>
      <c r="CE109" s="443">
        <v>3658530.2193205124</v>
      </c>
      <c r="CF109" s="450">
        <v>1199.51810469525</v>
      </c>
      <c r="CG109" s="446">
        <v>3050</v>
      </c>
      <c r="CH109" s="446">
        <v>218</v>
      </c>
      <c r="CI109" s="446">
        <v>168</v>
      </c>
      <c r="CJ109" s="446">
        <v>56</v>
      </c>
      <c r="CK109" s="446">
        <v>8</v>
      </c>
      <c r="CL109" s="446">
        <v>584</v>
      </c>
      <c r="CM109" s="446">
        <v>60</v>
      </c>
      <c r="CN109" s="446">
        <v>222</v>
      </c>
      <c r="CO109" s="446">
        <v>0</v>
      </c>
      <c r="CP109" s="446">
        <v>30</v>
      </c>
      <c r="CQ109" s="446">
        <v>748</v>
      </c>
      <c r="CR109" s="446">
        <v>712</v>
      </c>
      <c r="CS109" s="446">
        <v>0</v>
      </c>
      <c r="CT109" s="446">
        <v>244</v>
      </c>
      <c r="CU109" s="446">
        <v>0</v>
      </c>
      <c r="CV109" s="446">
        <v>0</v>
      </c>
      <c r="CW109" s="443">
        <v>2199231.9501782106</v>
      </c>
      <c r="CX109" s="448">
        <v>1.0380936174011444</v>
      </c>
      <c r="CY109" s="448">
        <v>1.0633333333333335</v>
      </c>
      <c r="CZ109" s="443">
        <v>2283008.650664672</v>
      </c>
      <c r="DA109" s="450">
        <v>748.5274264474334</v>
      </c>
      <c r="DB109" s="445">
        <v>3050</v>
      </c>
      <c r="DC109" s="448">
        <v>0.9846885245901641</v>
      </c>
      <c r="DD109" s="450">
        <v>316.4</v>
      </c>
      <c r="DE109" s="443">
        <v>39300</v>
      </c>
      <c r="DF109" s="450">
        <v>50.5926976320949</v>
      </c>
      <c r="DG109" s="450">
        <v>52.768183630274976</v>
      </c>
      <c r="DH109" s="450">
        <v>53.92908367014101</v>
      </c>
      <c r="DI109" s="450">
        <v>55.1155235108841</v>
      </c>
      <c r="DJ109" s="450">
        <v>56.934335786743276</v>
      </c>
      <c r="DK109" s="450">
        <v>58.983971875066025</v>
      </c>
      <c r="DL109" s="450">
        <v>60.87145897506813</v>
      </c>
      <c r="DM109" s="450">
        <v>63.36718879304592</v>
      </c>
      <c r="DN109" s="450">
        <v>66.15534509993992</v>
      </c>
      <c r="DO109" s="450">
        <v>69.79388908043661</v>
      </c>
      <c r="DP109" s="450">
        <v>69.16574407871268</v>
      </c>
      <c r="DQ109" s="450">
        <v>72.69319702672702</v>
      </c>
      <c r="DR109" s="450">
        <v>43.57</v>
      </c>
      <c r="DS109" s="450">
        <v>45.46859436701409</v>
      </c>
      <c r="DT109" s="450">
        <v>47.42963900617681</v>
      </c>
      <c r="DU109" s="450">
        <v>49.98725693005097</v>
      </c>
      <c r="DV109" s="450">
        <v>52.814965850323254</v>
      </c>
      <c r="DW109" s="450">
        <v>55.56611379378935</v>
      </c>
      <c r="DX109" s="450">
        <v>58.94889732607695</v>
      </c>
      <c r="DY109" s="450">
        <v>62.055170618592726</v>
      </c>
      <c r="DZ109" s="450">
        <v>63.83287365196037</v>
      </c>
      <c r="EA109" s="450">
        <v>65.18260133620021</v>
      </c>
      <c r="EB109" s="450">
        <v>69.34417060882254</v>
      </c>
      <c r="EC109" s="450">
        <v>0</v>
      </c>
      <c r="ED109" s="450">
        <v>69.34417060882254</v>
      </c>
      <c r="EE109" s="450">
        <v>3605.896871658772</v>
      </c>
      <c r="EF109" s="443">
        <v>10778025.749388069</v>
      </c>
      <c r="EG109" s="450">
        <v>47.09</v>
      </c>
      <c r="EH109" s="450">
        <v>48.70629036701409</v>
      </c>
      <c r="EI109" s="450">
        <v>50.370905950176805</v>
      </c>
      <c r="EJ109" s="450">
        <v>52.645794589058966</v>
      </c>
      <c r="EK109" s="450">
        <v>55.175747291522356</v>
      </c>
      <c r="EL109" s="450">
        <v>57.59638583322057</v>
      </c>
      <c r="EM109" s="450">
        <v>60.639707880515274</v>
      </c>
      <c r="EN109" s="450">
        <v>63.62424281311149</v>
      </c>
      <c r="EO109" s="450">
        <v>65.32924550146643</v>
      </c>
      <c r="EP109" s="450">
        <v>66.18247505636998</v>
      </c>
      <c r="EQ109" s="450">
        <v>70.18486443274128</v>
      </c>
      <c r="ER109" s="443">
        <v>26334343</v>
      </c>
      <c r="ES109" s="443">
        <v>735000</v>
      </c>
      <c r="ET109" s="443">
        <v>0</v>
      </c>
      <c r="EU109" s="443">
        <v>0</v>
      </c>
      <c r="EV109" s="443">
        <v>0</v>
      </c>
      <c r="EW109" s="443">
        <v>0</v>
      </c>
      <c r="EX109" s="443">
        <v>0</v>
      </c>
      <c r="EY109" s="443">
        <v>0</v>
      </c>
      <c r="EZ109" s="443">
        <v>0</v>
      </c>
      <c r="FA109" s="443">
        <v>26701843</v>
      </c>
      <c r="FB109" s="443">
        <v>51861.373990962624</v>
      </c>
      <c r="FC109" s="443">
        <v>0</v>
      </c>
      <c r="FD109" s="443">
        <v>0</v>
      </c>
      <c r="FE109" s="443">
        <v>33800</v>
      </c>
      <c r="FF109" s="452">
        <v>0.0313</v>
      </c>
      <c r="FG109" s="443">
        <v>1057.94</v>
      </c>
      <c r="FH109" s="453">
        <v>1057.94</v>
      </c>
    </row>
    <row r="110" spans="2:164" ht="12.75">
      <c r="B110" s="356" t="s">
        <v>798</v>
      </c>
      <c r="C110" s="442">
        <v>1897</v>
      </c>
      <c r="D110" s="443">
        <v>472801</v>
      </c>
      <c r="E110" s="443">
        <v>405663.258</v>
      </c>
      <c r="F110" s="443">
        <v>56988.70606846199</v>
      </c>
      <c r="G110" s="443">
        <v>67137.74200000001</v>
      </c>
      <c r="H110" s="444">
        <v>0.4164522930943595</v>
      </c>
      <c r="I110" s="445">
        <v>636.35</v>
      </c>
      <c r="J110" s="445">
        <v>153.66</v>
      </c>
      <c r="K110" s="443">
        <v>462651.96406846197</v>
      </c>
      <c r="L110" s="443">
        <v>370121.5712547696</v>
      </c>
      <c r="M110" s="443">
        <v>113709.46321944105</v>
      </c>
      <c r="N110" s="443">
        <v>92530.39281369238</v>
      </c>
      <c r="O110" s="446">
        <v>1.228887717448603</v>
      </c>
      <c r="P110" s="447">
        <v>0.8239325250395361</v>
      </c>
      <c r="Q110" s="448">
        <v>0.17606747496046388</v>
      </c>
      <c r="R110" s="443">
        <v>483831.03447421064</v>
      </c>
      <c r="S110" s="443">
        <v>327069.7793045664</v>
      </c>
      <c r="T110" s="443">
        <v>48497.94047868511</v>
      </c>
      <c r="U110" s="443">
        <v>74575.0305160118</v>
      </c>
      <c r="V110" s="443">
        <v>110313.47586012003</v>
      </c>
      <c r="W110" s="446">
        <v>0.6760282906013642</v>
      </c>
      <c r="X110" s="448">
        <v>12.622445665318814</v>
      </c>
      <c r="Y110" s="443">
        <v>48497.94047868511</v>
      </c>
      <c r="Z110" s="443">
        <v>46447.77930952422</v>
      </c>
      <c r="AA110" s="444">
        <v>1.044139056799654</v>
      </c>
      <c r="AB110" s="444">
        <v>0.0856615709014233</v>
      </c>
      <c r="AC110" s="445">
        <v>149</v>
      </c>
      <c r="AD110" s="445">
        <v>176</v>
      </c>
      <c r="AE110" s="443">
        <v>450142.7502992633</v>
      </c>
      <c r="AF110" s="443">
        <v>0</v>
      </c>
      <c r="AG110" s="447">
        <v>0</v>
      </c>
      <c r="AH110" s="446">
        <v>0</v>
      </c>
      <c r="AI110" s="448">
        <v>0</v>
      </c>
      <c r="AJ110" s="443">
        <v>450142.7502992633</v>
      </c>
      <c r="AK110" s="449">
        <v>1.0095808529678565</v>
      </c>
      <c r="AL110" s="443">
        <v>454455.50180442707</v>
      </c>
      <c r="AM110" s="443">
        <v>1012874.7691777422</v>
      </c>
      <c r="AN110" s="443">
        <v>1000505.1928069143</v>
      </c>
      <c r="AO110" s="443">
        <v>962381.1585948194</v>
      </c>
      <c r="AP110" s="443">
        <v>1000505.1928069143</v>
      </c>
      <c r="AQ110" s="443">
        <v>7588</v>
      </c>
      <c r="AR110" s="443">
        <v>1008093.1928069143</v>
      </c>
      <c r="AS110" s="450">
        <v>531.4144400669027</v>
      </c>
      <c r="AT110" s="446">
        <v>1897</v>
      </c>
      <c r="AU110" s="446">
        <v>49</v>
      </c>
      <c r="AV110" s="446">
        <v>86</v>
      </c>
      <c r="AW110" s="446">
        <v>66</v>
      </c>
      <c r="AX110" s="446">
        <v>39</v>
      </c>
      <c r="AY110" s="446">
        <v>375</v>
      </c>
      <c r="AZ110" s="446">
        <v>66</v>
      </c>
      <c r="BA110" s="446">
        <v>106</v>
      </c>
      <c r="BB110" s="446">
        <v>111</v>
      </c>
      <c r="BC110" s="446">
        <v>36</v>
      </c>
      <c r="BD110" s="446">
        <v>345</v>
      </c>
      <c r="BE110" s="446">
        <v>334</v>
      </c>
      <c r="BF110" s="446">
        <v>0</v>
      </c>
      <c r="BG110" s="446">
        <v>284</v>
      </c>
      <c r="BH110" s="446">
        <v>0</v>
      </c>
      <c r="BI110" s="446">
        <v>0</v>
      </c>
      <c r="BJ110" s="448">
        <v>1.3968652864840505</v>
      </c>
      <c r="BK110" s="448">
        <v>11.696822577601107</v>
      </c>
      <c r="BL110" s="448">
        <v>7.018525436059602</v>
      </c>
      <c r="BM110" s="448">
        <v>9.35659428308301</v>
      </c>
      <c r="BN110" s="445">
        <v>1563</v>
      </c>
      <c r="BO110" s="445">
        <v>334</v>
      </c>
      <c r="BP110" s="443">
        <v>544558.1538788017</v>
      </c>
      <c r="BQ110" s="443">
        <v>2011647</v>
      </c>
      <c r="BR110" s="443">
        <v>2583357</v>
      </c>
      <c r="BS110" s="444">
        <v>0.0856615709014233</v>
      </c>
      <c r="BT110" s="445">
        <v>149</v>
      </c>
      <c r="BU110" s="445">
        <v>176</v>
      </c>
      <c r="BV110" s="443">
        <v>221294.4188191882</v>
      </c>
      <c r="BW110" s="444">
        <v>0.030944082972380806</v>
      </c>
      <c r="BX110" s="443">
        <v>8847.653413099619</v>
      </c>
      <c r="BY110" s="443">
        <v>2786347.22611109</v>
      </c>
      <c r="BZ110" s="451">
        <v>0.9166666666666666</v>
      </c>
      <c r="CA110" s="443">
        <v>2554151.6239351653</v>
      </c>
      <c r="CB110" s="443">
        <v>1868969.2885338268</v>
      </c>
      <c r="CC110" s="443">
        <v>1868969.2885338268</v>
      </c>
      <c r="CD110" s="443">
        <v>1842317.8212228385</v>
      </c>
      <c r="CE110" s="443">
        <v>1855686.8095538137</v>
      </c>
      <c r="CF110" s="450">
        <v>978.2218289688001</v>
      </c>
      <c r="CG110" s="446">
        <v>1897</v>
      </c>
      <c r="CH110" s="446">
        <v>49</v>
      </c>
      <c r="CI110" s="446">
        <v>86</v>
      </c>
      <c r="CJ110" s="446">
        <v>66</v>
      </c>
      <c r="CK110" s="446">
        <v>39</v>
      </c>
      <c r="CL110" s="446">
        <v>375</v>
      </c>
      <c r="CM110" s="446">
        <v>66</v>
      </c>
      <c r="CN110" s="446">
        <v>106</v>
      </c>
      <c r="CO110" s="446">
        <v>111</v>
      </c>
      <c r="CP110" s="446">
        <v>36</v>
      </c>
      <c r="CQ110" s="446">
        <v>345</v>
      </c>
      <c r="CR110" s="446">
        <v>334</v>
      </c>
      <c r="CS110" s="446">
        <v>0</v>
      </c>
      <c r="CT110" s="446">
        <v>284</v>
      </c>
      <c r="CU110" s="446">
        <v>0</v>
      </c>
      <c r="CV110" s="446">
        <v>0</v>
      </c>
      <c r="CW110" s="443">
        <v>1348417.6631283704</v>
      </c>
      <c r="CX110" s="448">
        <v>0.8949082908630555</v>
      </c>
      <c r="CY110" s="448">
        <v>0.9166666666666666</v>
      </c>
      <c r="CZ110" s="443">
        <v>1206710.1462797653</v>
      </c>
      <c r="DA110" s="450">
        <v>636.1149954031446</v>
      </c>
      <c r="DB110" s="445">
        <v>1897</v>
      </c>
      <c r="DC110" s="448">
        <v>1.0056931997891407</v>
      </c>
      <c r="DD110" s="450">
        <v>303.1</v>
      </c>
      <c r="DE110" s="443">
        <v>32653</v>
      </c>
      <c r="DF110" s="450">
        <v>47.590157616091425</v>
      </c>
      <c r="DG110" s="450">
        <v>49.636534393583354</v>
      </c>
      <c r="DH110" s="450">
        <v>50.72853815024218</v>
      </c>
      <c r="DI110" s="450">
        <v>51.8445659895475</v>
      </c>
      <c r="DJ110" s="450">
        <v>53.555436667202564</v>
      </c>
      <c r="DK110" s="450">
        <v>55.483432387221846</v>
      </c>
      <c r="DL110" s="450">
        <v>57.258902223612935</v>
      </c>
      <c r="DM110" s="450">
        <v>59.606517214781064</v>
      </c>
      <c r="DN110" s="450">
        <v>62.22920397223142</v>
      </c>
      <c r="DO110" s="450">
        <v>65.65181019070414</v>
      </c>
      <c r="DP110" s="450">
        <v>65.0609438989878</v>
      </c>
      <c r="DQ110" s="450">
        <v>68.37905203783617</v>
      </c>
      <c r="DR110" s="450">
        <v>38.68</v>
      </c>
      <c r="DS110" s="450">
        <v>40.65071781502421</v>
      </c>
      <c r="DT110" s="450">
        <v>42.68942609390948</v>
      </c>
      <c r="DU110" s="450">
        <v>45.28033459403275</v>
      </c>
      <c r="DV110" s="450">
        <v>48.13514174624705</v>
      </c>
      <c r="DW110" s="450">
        <v>50.93937227237461</v>
      </c>
      <c r="DX110" s="450">
        <v>54.343612671389785</v>
      </c>
      <c r="DY110" s="450">
        <v>57.34522855596431</v>
      </c>
      <c r="DZ110" s="450">
        <v>59.065020312251576</v>
      </c>
      <c r="EA110" s="450">
        <v>60.65965948434245</v>
      </c>
      <c r="EB110" s="450">
        <v>64.67845210200237</v>
      </c>
      <c r="EC110" s="450">
        <v>0</v>
      </c>
      <c r="ED110" s="450">
        <v>64.67845210200237</v>
      </c>
      <c r="EE110" s="450">
        <v>3363.279509304123</v>
      </c>
      <c r="EF110" s="443">
        <v>6252538.404566923</v>
      </c>
      <c r="EG110" s="450">
        <v>38.68</v>
      </c>
      <c r="EH110" s="450">
        <v>40.65071781502421</v>
      </c>
      <c r="EI110" s="450">
        <v>42.68942609390948</v>
      </c>
      <c r="EJ110" s="450">
        <v>45.28033459403275</v>
      </c>
      <c r="EK110" s="450">
        <v>48.13514174624705</v>
      </c>
      <c r="EL110" s="450">
        <v>50.93937227237461</v>
      </c>
      <c r="EM110" s="450">
        <v>54.343612671389785</v>
      </c>
      <c r="EN110" s="450">
        <v>57.34522855596431</v>
      </c>
      <c r="EO110" s="450">
        <v>59.065020312251576</v>
      </c>
      <c r="EP110" s="450">
        <v>60.65965948434245</v>
      </c>
      <c r="EQ110" s="450">
        <v>64.67845210200237</v>
      </c>
      <c r="ER110" s="443">
        <v>5781224</v>
      </c>
      <c r="ES110" s="443">
        <v>300000</v>
      </c>
      <c r="ET110" s="443">
        <v>0</v>
      </c>
      <c r="EU110" s="443">
        <v>0</v>
      </c>
      <c r="EV110" s="443">
        <v>0</v>
      </c>
      <c r="EW110" s="443">
        <v>0</v>
      </c>
      <c r="EX110" s="443">
        <v>0</v>
      </c>
      <c r="EY110" s="443">
        <v>0</v>
      </c>
      <c r="EZ110" s="443">
        <v>0</v>
      </c>
      <c r="FA110" s="443">
        <v>5931224</v>
      </c>
      <c r="FB110" s="443">
        <v>42032.78803753015</v>
      </c>
      <c r="FC110" s="443">
        <v>0</v>
      </c>
      <c r="FD110" s="443">
        <v>0</v>
      </c>
      <c r="FE110" s="443">
        <v>9171</v>
      </c>
      <c r="FF110" s="452">
        <v>0.045599999999999995</v>
      </c>
      <c r="FG110" s="443">
        <v>418.19759999999997</v>
      </c>
      <c r="FH110" s="453">
        <v>418.19759999999997</v>
      </c>
    </row>
    <row r="111" spans="2:164" ht="12.75">
      <c r="B111" s="356" t="s">
        <v>799</v>
      </c>
      <c r="C111" s="442">
        <v>0</v>
      </c>
      <c r="D111" s="443">
        <v>0</v>
      </c>
      <c r="E111" s="443">
        <v>0</v>
      </c>
      <c r="F111" s="443">
        <v>0</v>
      </c>
      <c r="G111" s="443">
        <v>0</v>
      </c>
      <c r="H111" s="444">
        <v>0</v>
      </c>
      <c r="I111" s="445">
        <v>0</v>
      </c>
      <c r="J111" s="445">
        <v>0</v>
      </c>
      <c r="K111" s="443">
        <v>0</v>
      </c>
      <c r="L111" s="443">
        <v>0</v>
      </c>
      <c r="M111" s="443">
        <v>0</v>
      </c>
      <c r="N111" s="443">
        <v>0</v>
      </c>
      <c r="O111" s="446">
        <v>0</v>
      </c>
      <c r="P111" s="447">
        <v>0</v>
      </c>
      <c r="Q111" s="448">
        <v>0</v>
      </c>
      <c r="R111" s="443">
        <v>0</v>
      </c>
      <c r="S111" s="443">
        <v>0</v>
      </c>
      <c r="T111" s="443">
        <v>0</v>
      </c>
      <c r="U111" s="443">
        <v>0</v>
      </c>
      <c r="V111" s="443">
        <v>0</v>
      </c>
      <c r="W111" s="446">
        <v>0.9644923588847879</v>
      </c>
      <c r="X111" s="448">
        <v>18.00849544892381</v>
      </c>
      <c r="Y111" s="443">
        <v>0</v>
      </c>
      <c r="Z111" s="443">
        <v>0</v>
      </c>
      <c r="AA111" s="444">
        <v>0</v>
      </c>
      <c r="AB111" s="444">
        <v>0</v>
      </c>
      <c r="AC111" s="445">
        <v>435</v>
      </c>
      <c r="AD111" s="445">
        <v>421</v>
      </c>
      <c r="AE111" s="443">
        <v>0</v>
      </c>
      <c r="AF111" s="443">
        <v>0</v>
      </c>
      <c r="AG111" s="447">
        <v>0.25</v>
      </c>
      <c r="AH111" s="446">
        <v>0.03901061595695436</v>
      </c>
      <c r="AI111" s="448">
        <v>0.03285122662782669</v>
      </c>
      <c r="AJ111" s="443">
        <v>0</v>
      </c>
      <c r="AK111" s="449">
        <v>1.141284291320443</v>
      </c>
      <c r="AL111" s="443">
        <v>0</v>
      </c>
      <c r="AM111" s="443">
        <v>0</v>
      </c>
      <c r="AN111" s="443">
        <v>0</v>
      </c>
      <c r="AO111" s="443">
        <v>0</v>
      </c>
      <c r="AP111" s="443">
        <v>0</v>
      </c>
      <c r="AQ111" s="443">
        <v>0</v>
      </c>
      <c r="AR111" s="443">
        <v>0</v>
      </c>
      <c r="AS111" s="450">
        <v>0</v>
      </c>
      <c r="AT111" s="446">
        <v>0</v>
      </c>
      <c r="AU111" s="446">
        <v>0</v>
      </c>
      <c r="AV111" s="446">
        <v>0</v>
      </c>
      <c r="AW111" s="446">
        <v>0</v>
      </c>
      <c r="AX111" s="446">
        <v>0</v>
      </c>
      <c r="AY111" s="446">
        <v>0</v>
      </c>
      <c r="AZ111" s="446">
        <v>0</v>
      </c>
      <c r="BA111" s="446">
        <v>0</v>
      </c>
      <c r="BB111" s="446">
        <v>0</v>
      </c>
      <c r="BC111" s="446">
        <v>0</v>
      </c>
      <c r="BD111" s="446">
        <v>0</v>
      </c>
      <c r="BE111" s="446">
        <v>0</v>
      </c>
      <c r="BF111" s="446">
        <v>0</v>
      </c>
      <c r="BG111" s="446">
        <v>0</v>
      </c>
      <c r="BH111" s="446">
        <v>0</v>
      </c>
      <c r="BI111" s="446">
        <v>0</v>
      </c>
      <c r="BJ111" s="448">
        <v>1</v>
      </c>
      <c r="BK111" s="448">
        <v>12.215443451062619</v>
      </c>
      <c r="BL111" s="448">
        <v>6.046711864056449</v>
      </c>
      <c r="BM111" s="448">
        <v>12.337463174012342</v>
      </c>
      <c r="BN111" s="445">
        <v>0</v>
      </c>
      <c r="BO111" s="445">
        <v>0</v>
      </c>
      <c r="BP111" s="443">
        <v>0</v>
      </c>
      <c r="BQ111" s="443">
        <v>0</v>
      </c>
      <c r="BR111" s="443">
        <v>0</v>
      </c>
      <c r="BS111" s="444">
        <v>0</v>
      </c>
      <c r="BT111" s="445">
        <v>0</v>
      </c>
      <c r="BU111" s="445">
        <v>0</v>
      </c>
      <c r="BV111" s="443">
        <v>0</v>
      </c>
      <c r="BW111" s="444">
        <v>0</v>
      </c>
      <c r="BX111" s="443">
        <v>0</v>
      </c>
      <c r="BY111" s="443">
        <v>0</v>
      </c>
      <c r="BZ111" s="451">
        <v>1.1533333333333333</v>
      </c>
      <c r="CA111" s="443">
        <v>0</v>
      </c>
      <c r="CB111" s="443">
        <v>0</v>
      </c>
      <c r="CC111" s="443">
        <v>0</v>
      </c>
      <c r="CD111" s="443">
        <v>0</v>
      </c>
      <c r="CE111" s="443">
        <v>0</v>
      </c>
      <c r="CF111" s="450">
        <v>0</v>
      </c>
      <c r="CG111" s="446">
        <v>0</v>
      </c>
      <c r="CH111" s="446">
        <v>0</v>
      </c>
      <c r="CI111" s="446">
        <v>0</v>
      </c>
      <c r="CJ111" s="446">
        <v>0</v>
      </c>
      <c r="CK111" s="446">
        <v>0</v>
      </c>
      <c r="CL111" s="446">
        <v>0</v>
      </c>
      <c r="CM111" s="446">
        <v>0</v>
      </c>
      <c r="CN111" s="446">
        <v>0</v>
      </c>
      <c r="CO111" s="446">
        <v>0</v>
      </c>
      <c r="CP111" s="446">
        <v>0</v>
      </c>
      <c r="CQ111" s="446">
        <v>0</v>
      </c>
      <c r="CR111" s="446">
        <v>0</v>
      </c>
      <c r="CS111" s="446">
        <v>0</v>
      </c>
      <c r="CT111" s="446">
        <v>0</v>
      </c>
      <c r="CU111" s="446">
        <v>0</v>
      </c>
      <c r="CV111" s="446">
        <v>0</v>
      </c>
      <c r="CW111" s="443">
        <v>0</v>
      </c>
      <c r="CX111" s="448">
        <v>1.1259573405040626</v>
      </c>
      <c r="CY111" s="448">
        <v>1.1533333333333333</v>
      </c>
      <c r="CZ111" s="443">
        <v>0</v>
      </c>
      <c r="DA111" s="450">
        <v>0</v>
      </c>
      <c r="DB111" s="445">
        <v>0</v>
      </c>
      <c r="DC111" s="448">
        <v>0</v>
      </c>
      <c r="DD111" s="450">
        <v>354.1</v>
      </c>
      <c r="DE111" s="443">
        <v>0</v>
      </c>
      <c r="DF111" s="450">
        <v>0</v>
      </c>
      <c r="DG111" s="450">
        <v>0</v>
      </c>
      <c r="DH111" s="450">
        <v>0</v>
      </c>
      <c r="DI111" s="450">
        <v>0</v>
      </c>
      <c r="DJ111" s="450">
        <v>0</v>
      </c>
      <c r="DK111" s="450">
        <v>0</v>
      </c>
      <c r="DL111" s="450">
        <v>0</v>
      </c>
      <c r="DM111" s="450">
        <v>0</v>
      </c>
      <c r="DN111" s="450">
        <v>0</v>
      </c>
      <c r="DO111" s="450">
        <v>0</v>
      </c>
      <c r="DP111" s="450">
        <v>0</v>
      </c>
      <c r="DQ111" s="450">
        <v>0</v>
      </c>
      <c r="DR111" s="450">
        <v>0</v>
      </c>
      <c r="DS111" s="450">
        <v>0</v>
      </c>
      <c r="DT111" s="450">
        <v>0</v>
      </c>
      <c r="DU111" s="450">
        <v>0</v>
      </c>
      <c r="DV111" s="450">
        <v>0</v>
      </c>
      <c r="DW111" s="450">
        <v>0</v>
      </c>
      <c r="DX111" s="450">
        <v>0</v>
      </c>
      <c r="DY111" s="450">
        <v>0</v>
      </c>
      <c r="DZ111" s="450">
        <v>0</v>
      </c>
      <c r="EA111" s="450">
        <v>0</v>
      </c>
      <c r="EB111" s="450">
        <v>0</v>
      </c>
      <c r="EC111" s="450">
        <v>0</v>
      </c>
      <c r="ED111" s="450">
        <v>0</v>
      </c>
      <c r="EE111" s="450">
        <v>0</v>
      </c>
      <c r="EF111" s="443">
        <v>0</v>
      </c>
      <c r="EG111" s="450">
        <v>0</v>
      </c>
      <c r="EH111" s="450">
        <v>0</v>
      </c>
      <c r="EI111" s="450">
        <v>0</v>
      </c>
      <c r="EJ111" s="450">
        <v>0</v>
      </c>
      <c r="EK111" s="450">
        <v>0</v>
      </c>
      <c r="EL111" s="450">
        <v>0</v>
      </c>
      <c r="EM111" s="450">
        <v>0</v>
      </c>
      <c r="EN111" s="450">
        <v>0</v>
      </c>
      <c r="EO111" s="450">
        <v>0</v>
      </c>
      <c r="EP111" s="450">
        <v>0</v>
      </c>
      <c r="EQ111" s="450">
        <v>0</v>
      </c>
      <c r="ER111" s="443">
        <v>25135676</v>
      </c>
      <c r="ES111" s="443">
        <v>2090000</v>
      </c>
      <c r="ET111" s="443">
        <v>0</v>
      </c>
      <c r="EU111" s="443">
        <v>0</v>
      </c>
      <c r="EV111" s="443">
        <v>0</v>
      </c>
      <c r="EW111" s="443">
        <v>0</v>
      </c>
      <c r="EX111" s="443">
        <v>24147523</v>
      </c>
      <c r="EY111" s="443">
        <v>787500</v>
      </c>
      <c r="EZ111" s="443">
        <v>0</v>
      </c>
      <c r="FA111" s="443">
        <v>0</v>
      </c>
      <c r="FB111" s="443">
        <v>0</v>
      </c>
      <c r="FC111" s="443">
        <v>0</v>
      </c>
      <c r="FD111" s="443">
        <v>0</v>
      </c>
      <c r="FE111" s="443">
        <v>23891</v>
      </c>
      <c r="FF111" s="452">
        <v>0.061799999999999994</v>
      </c>
      <c r="FG111" s="443">
        <v>1476.4637999999998</v>
      </c>
      <c r="FH111" s="453">
        <v>1476.4637999999998</v>
      </c>
    </row>
    <row r="112" spans="2:164" ht="12.75">
      <c r="B112" s="356" t="s">
        <v>800</v>
      </c>
      <c r="C112" s="442">
        <v>3091</v>
      </c>
      <c r="D112" s="443">
        <v>751003</v>
      </c>
      <c r="E112" s="443">
        <v>644360.574</v>
      </c>
      <c r="F112" s="443">
        <v>59896.295296420074</v>
      </c>
      <c r="G112" s="443">
        <v>106642.426</v>
      </c>
      <c r="H112" s="444">
        <v>0.275558071821417</v>
      </c>
      <c r="I112" s="445">
        <v>526.88</v>
      </c>
      <c r="J112" s="445">
        <v>324.87</v>
      </c>
      <c r="K112" s="443">
        <v>704256.8692964201</v>
      </c>
      <c r="L112" s="443">
        <v>563405.4954371362</v>
      </c>
      <c r="M112" s="443">
        <v>148789.35811236952</v>
      </c>
      <c r="N112" s="443">
        <v>140851.373859284</v>
      </c>
      <c r="O112" s="446">
        <v>1.056357165965707</v>
      </c>
      <c r="P112" s="447">
        <v>0.9566483338725331</v>
      </c>
      <c r="Q112" s="448">
        <v>0.04335166612746684</v>
      </c>
      <c r="R112" s="443">
        <v>712194.8535495057</v>
      </c>
      <c r="S112" s="443">
        <v>481443.7209994659</v>
      </c>
      <c r="T112" s="443">
        <v>51631.19110200927</v>
      </c>
      <c r="U112" s="443">
        <v>78070.21172654486</v>
      </c>
      <c r="V112" s="443">
        <v>162380.4266092873</v>
      </c>
      <c r="W112" s="446">
        <v>0.4807858518218701</v>
      </c>
      <c r="X112" s="448">
        <v>8.976981253073216</v>
      </c>
      <c r="Y112" s="443">
        <v>51631.19110200927</v>
      </c>
      <c r="Z112" s="443">
        <v>68370.70594075255</v>
      </c>
      <c r="AA112" s="444">
        <v>0.7551653941784788</v>
      </c>
      <c r="AB112" s="444">
        <v>0.061954060174700745</v>
      </c>
      <c r="AC112" s="445">
        <v>194</v>
      </c>
      <c r="AD112" s="445">
        <v>189</v>
      </c>
      <c r="AE112" s="443">
        <v>611145.1238280201</v>
      </c>
      <c r="AF112" s="443">
        <v>0</v>
      </c>
      <c r="AG112" s="447">
        <v>0</v>
      </c>
      <c r="AH112" s="446">
        <v>0.03229338750844053</v>
      </c>
      <c r="AI112" s="448">
        <v>0.027194581925868988</v>
      </c>
      <c r="AJ112" s="443">
        <v>611145.1238280201</v>
      </c>
      <c r="AK112" s="449">
        <v>1</v>
      </c>
      <c r="AL112" s="443">
        <v>611145.1238280201</v>
      </c>
      <c r="AM112" s="443">
        <v>1362099.2017339428</v>
      </c>
      <c r="AN112" s="443">
        <v>1345464.7760248599</v>
      </c>
      <c r="AO112" s="443">
        <v>1324622.3776118597</v>
      </c>
      <c r="AP112" s="443">
        <v>1345464.7760248599</v>
      </c>
      <c r="AQ112" s="443">
        <v>12364</v>
      </c>
      <c r="AR112" s="443">
        <v>1357828.7760248599</v>
      </c>
      <c r="AS112" s="450">
        <v>439.28462504848267</v>
      </c>
      <c r="AT112" s="446">
        <v>3091</v>
      </c>
      <c r="AU112" s="446">
        <v>48</v>
      </c>
      <c r="AV112" s="446">
        <v>138</v>
      </c>
      <c r="AW112" s="446">
        <v>175</v>
      </c>
      <c r="AX112" s="446">
        <v>47</v>
      </c>
      <c r="AY112" s="446">
        <v>345</v>
      </c>
      <c r="AZ112" s="446">
        <v>162</v>
      </c>
      <c r="BA112" s="446">
        <v>260</v>
      </c>
      <c r="BB112" s="446">
        <v>307</v>
      </c>
      <c r="BC112" s="446">
        <v>14</v>
      </c>
      <c r="BD112" s="446">
        <v>444</v>
      </c>
      <c r="BE112" s="446">
        <v>134</v>
      </c>
      <c r="BF112" s="446">
        <v>0</v>
      </c>
      <c r="BG112" s="446">
        <v>1017</v>
      </c>
      <c r="BH112" s="446">
        <v>0</v>
      </c>
      <c r="BI112" s="446">
        <v>0</v>
      </c>
      <c r="BJ112" s="448">
        <v>1.215265946507495</v>
      </c>
      <c r="BK112" s="448">
        <v>8.180583976756932</v>
      </c>
      <c r="BL112" s="448">
        <v>5.598740873656673</v>
      </c>
      <c r="BM112" s="448">
        <v>5.163686206200519</v>
      </c>
      <c r="BN112" s="445">
        <v>2957</v>
      </c>
      <c r="BO112" s="445">
        <v>134</v>
      </c>
      <c r="BP112" s="443">
        <v>811766.0553523975</v>
      </c>
      <c r="BQ112" s="443">
        <v>3124254</v>
      </c>
      <c r="BR112" s="443">
        <v>4168700</v>
      </c>
      <c r="BS112" s="444">
        <v>0.061954060174700745</v>
      </c>
      <c r="BT112" s="445">
        <v>194</v>
      </c>
      <c r="BU112" s="445">
        <v>189</v>
      </c>
      <c r="BV112" s="443">
        <v>258267.890650275</v>
      </c>
      <c r="BW112" s="444">
        <v>0.007987362090249334</v>
      </c>
      <c r="BX112" s="443">
        <v>2602.5671068977076</v>
      </c>
      <c r="BY112" s="443">
        <v>4196890.51310957</v>
      </c>
      <c r="BZ112" s="451">
        <v>0.99</v>
      </c>
      <c r="CA112" s="443">
        <v>4154921.6079784743</v>
      </c>
      <c r="CB112" s="443">
        <v>3040313.1939415634</v>
      </c>
      <c r="CC112" s="443">
        <v>3040313.1939415634</v>
      </c>
      <c r="CD112" s="443">
        <v>2943003.346169808</v>
      </c>
      <c r="CE112" s="443">
        <v>3018706.1529169003</v>
      </c>
      <c r="CF112" s="450">
        <v>976.611502075995</v>
      </c>
      <c r="CG112" s="446">
        <v>3091</v>
      </c>
      <c r="CH112" s="446">
        <v>48</v>
      </c>
      <c r="CI112" s="446">
        <v>138</v>
      </c>
      <c r="CJ112" s="446">
        <v>175</v>
      </c>
      <c r="CK112" s="446">
        <v>47</v>
      </c>
      <c r="CL112" s="446">
        <v>345</v>
      </c>
      <c r="CM112" s="446">
        <v>162</v>
      </c>
      <c r="CN112" s="446">
        <v>260</v>
      </c>
      <c r="CO112" s="446">
        <v>307</v>
      </c>
      <c r="CP112" s="446">
        <v>14</v>
      </c>
      <c r="CQ112" s="446">
        <v>444</v>
      </c>
      <c r="CR112" s="446">
        <v>134</v>
      </c>
      <c r="CS112" s="446">
        <v>0</v>
      </c>
      <c r="CT112" s="446">
        <v>1017</v>
      </c>
      <c r="CU112" s="446">
        <v>0</v>
      </c>
      <c r="CV112" s="446">
        <v>0</v>
      </c>
      <c r="CW112" s="443">
        <v>2055405.1789331182</v>
      </c>
      <c r="CX112" s="448">
        <v>0.9665009541320998</v>
      </c>
      <c r="CY112" s="448">
        <v>0.99</v>
      </c>
      <c r="CZ112" s="443">
        <v>1986551.066566918</v>
      </c>
      <c r="DA112" s="450">
        <v>642.6887953953149</v>
      </c>
      <c r="DB112" s="445">
        <v>3091</v>
      </c>
      <c r="DC112" s="448">
        <v>1.0080879974118409</v>
      </c>
      <c r="DD112" s="450">
        <v>278</v>
      </c>
      <c r="DE112" s="443">
        <v>44438</v>
      </c>
      <c r="DF112" s="450">
        <v>48.50182608569075</v>
      </c>
      <c r="DG112" s="450">
        <v>50.58740460737545</v>
      </c>
      <c r="DH112" s="450">
        <v>51.70032750873769</v>
      </c>
      <c r="DI112" s="450">
        <v>52.83773471392991</v>
      </c>
      <c r="DJ112" s="450">
        <v>54.581379959489595</v>
      </c>
      <c r="DK112" s="450">
        <v>56.54630963803121</v>
      </c>
      <c r="DL112" s="450">
        <v>58.3557915464482</v>
      </c>
      <c r="DM112" s="450">
        <v>60.74837899985258</v>
      </c>
      <c r="DN112" s="450">
        <v>63.42130767584608</v>
      </c>
      <c r="DO112" s="450">
        <v>66.90947959801761</v>
      </c>
      <c r="DP112" s="450">
        <v>66.30729428163545</v>
      </c>
      <c r="DQ112" s="450">
        <v>69.68896628999886</v>
      </c>
      <c r="DR112" s="450">
        <v>43.05</v>
      </c>
      <c r="DS112" s="450">
        <v>44.76742275087376</v>
      </c>
      <c r="DT112" s="450">
        <v>46.53957590278597</v>
      </c>
      <c r="DU112" s="450">
        <v>48.888631664066864</v>
      </c>
      <c r="DV112" s="450">
        <v>51.49114915169583</v>
      </c>
      <c r="DW112" s="450">
        <v>54.00835352819978</v>
      </c>
      <c r="DX112" s="450">
        <v>57.12783261825528</v>
      </c>
      <c r="DY112" s="450">
        <v>60.06144063372379</v>
      </c>
      <c r="DZ112" s="450">
        <v>61.73922585756243</v>
      </c>
      <c r="EA112" s="450">
        <v>62.852537468750256</v>
      </c>
      <c r="EB112" s="450">
        <v>66.78420676172499</v>
      </c>
      <c r="EC112" s="450">
        <v>0</v>
      </c>
      <c r="ED112" s="450">
        <v>66.78420676172499</v>
      </c>
      <c r="EE112" s="450">
        <v>3472.7787516096996</v>
      </c>
      <c r="EF112" s="443">
        <v>10519671.938801069</v>
      </c>
      <c r="EG112" s="450">
        <v>45.44</v>
      </c>
      <c r="EH112" s="450">
        <v>46.96574475087376</v>
      </c>
      <c r="EI112" s="450">
        <v>48.53662931078597</v>
      </c>
      <c r="EJ112" s="450">
        <v>50.69371831322287</v>
      </c>
      <c r="EK112" s="450">
        <v>53.094066096146356</v>
      </c>
      <c r="EL112" s="450">
        <v>55.38686210042722</v>
      </c>
      <c r="EM112" s="450">
        <v>58.2758545572063</v>
      </c>
      <c r="EN112" s="450">
        <v>61.12680499307034</v>
      </c>
      <c r="EO112" s="450">
        <v>62.755228334925924</v>
      </c>
      <c r="EP112" s="450">
        <v>63.53142900034282</v>
      </c>
      <c r="EQ112" s="450">
        <v>67.35501876148801</v>
      </c>
      <c r="ER112" s="443">
        <v>6941783</v>
      </c>
      <c r="ES112" s="443">
        <v>0</v>
      </c>
      <c r="ET112" s="443">
        <v>0</v>
      </c>
      <c r="EU112" s="443">
        <v>204986</v>
      </c>
      <c r="EV112" s="443">
        <v>0</v>
      </c>
      <c r="EW112" s="443">
        <v>0</v>
      </c>
      <c r="EX112" s="443">
        <v>0</v>
      </c>
      <c r="EY112" s="443">
        <v>0</v>
      </c>
      <c r="EZ112" s="443">
        <v>0</v>
      </c>
      <c r="FA112" s="443">
        <v>7146769</v>
      </c>
      <c r="FB112" s="443">
        <v>42607.979778939734</v>
      </c>
      <c r="FC112" s="443">
        <v>0</v>
      </c>
      <c r="FD112" s="443">
        <v>0</v>
      </c>
      <c r="FE112" s="443">
        <v>10115</v>
      </c>
      <c r="FF112" s="452">
        <v>0.0313</v>
      </c>
      <c r="FG112" s="443">
        <v>316.59950000000003</v>
      </c>
      <c r="FH112" s="453">
        <v>316.59950000000003</v>
      </c>
    </row>
    <row r="113" spans="2:164" ht="12.75">
      <c r="B113" s="356" t="s">
        <v>801</v>
      </c>
      <c r="C113" s="442">
        <v>3433</v>
      </c>
      <c r="D113" s="443">
        <v>830689</v>
      </c>
      <c r="E113" s="443">
        <v>712731.162</v>
      </c>
      <c r="F113" s="443">
        <v>48820.09959123466</v>
      </c>
      <c r="G113" s="443">
        <v>117957.83800000002</v>
      </c>
      <c r="H113" s="444">
        <v>0.20305563646956012</v>
      </c>
      <c r="I113" s="445">
        <v>293.7</v>
      </c>
      <c r="J113" s="445">
        <v>403.39</v>
      </c>
      <c r="K113" s="443">
        <v>761551.2615912347</v>
      </c>
      <c r="L113" s="443">
        <v>609241.0092729878</v>
      </c>
      <c r="M113" s="443">
        <v>154732.66413781472</v>
      </c>
      <c r="N113" s="443">
        <v>152310.2523182469</v>
      </c>
      <c r="O113" s="446">
        <v>1.0159044567433733</v>
      </c>
      <c r="P113" s="447">
        <v>0.9877658025050976</v>
      </c>
      <c r="Q113" s="448">
        <v>0.012234197494902418</v>
      </c>
      <c r="R113" s="443">
        <v>763973.6734108026</v>
      </c>
      <c r="S113" s="443">
        <v>516446.20322570263</v>
      </c>
      <c r="T113" s="443">
        <v>66403.09313772888</v>
      </c>
      <c r="U113" s="443">
        <v>62184.38755866757</v>
      </c>
      <c r="V113" s="443">
        <v>174185.997537663</v>
      </c>
      <c r="W113" s="446">
        <v>0.35699992213910237</v>
      </c>
      <c r="X113" s="448">
        <v>6.665715299747802</v>
      </c>
      <c r="Y113" s="443">
        <v>66403.09313772888</v>
      </c>
      <c r="Z113" s="443">
        <v>73341.47264743705</v>
      </c>
      <c r="AA113" s="444">
        <v>0.9053962340916993</v>
      </c>
      <c r="AB113" s="444">
        <v>0.0742790562190504</v>
      </c>
      <c r="AC113" s="445">
        <v>257</v>
      </c>
      <c r="AD113" s="445">
        <v>253</v>
      </c>
      <c r="AE113" s="443">
        <v>645033.6839220991</v>
      </c>
      <c r="AF113" s="443">
        <v>0</v>
      </c>
      <c r="AG113" s="447">
        <v>0</v>
      </c>
      <c r="AH113" s="446">
        <v>0.0010690829745886967</v>
      </c>
      <c r="AI113" s="448">
        <v>0.000900285376701504</v>
      </c>
      <c r="AJ113" s="443">
        <v>645033.6839220991</v>
      </c>
      <c r="AK113" s="449">
        <v>1</v>
      </c>
      <c r="AL113" s="443">
        <v>645033.6839220991</v>
      </c>
      <c r="AM113" s="443">
        <v>1437628.8572156534</v>
      </c>
      <c r="AN113" s="443">
        <v>1420072.0372776159</v>
      </c>
      <c r="AO113" s="443">
        <v>1377993.3988251726</v>
      </c>
      <c r="AP113" s="443">
        <v>1420072.0372776159</v>
      </c>
      <c r="AQ113" s="443">
        <v>13732</v>
      </c>
      <c r="AR113" s="443">
        <v>1433804.0372776159</v>
      </c>
      <c r="AS113" s="450">
        <v>417.65337526292336</v>
      </c>
      <c r="AT113" s="446">
        <v>3424</v>
      </c>
      <c r="AU113" s="446">
        <v>21</v>
      </c>
      <c r="AV113" s="446">
        <v>534</v>
      </c>
      <c r="AW113" s="446">
        <v>128</v>
      </c>
      <c r="AX113" s="446">
        <v>0</v>
      </c>
      <c r="AY113" s="446">
        <v>520</v>
      </c>
      <c r="AZ113" s="446">
        <v>102</v>
      </c>
      <c r="BA113" s="446">
        <v>243</v>
      </c>
      <c r="BB113" s="446">
        <v>69</v>
      </c>
      <c r="BC113" s="446">
        <v>0</v>
      </c>
      <c r="BD113" s="446">
        <v>287</v>
      </c>
      <c r="BE113" s="446">
        <v>42</v>
      </c>
      <c r="BF113" s="446">
        <v>0</v>
      </c>
      <c r="BG113" s="446">
        <v>1478</v>
      </c>
      <c r="BH113" s="446">
        <v>0</v>
      </c>
      <c r="BI113" s="446">
        <v>0</v>
      </c>
      <c r="BJ113" s="448">
        <v>1.1261795353546904</v>
      </c>
      <c r="BK113" s="448">
        <v>5.143757675144092</v>
      </c>
      <c r="BL113" s="448">
        <v>3.290574134360119</v>
      </c>
      <c r="BM113" s="448">
        <v>3.706367081567946</v>
      </c>
      <c r="BN113" s="445">
        <v>3382</v>
      </c>
      <c r="BO113" s="445">
        <v>42</v>
      </c>
      <c r="BP113" s="443">
        <v>908822.3803130938</v>
      </c>
      <c r="BQ113" s="443">
        <v>3338423</v>
      </c>
      <c r="BR113" s="443">
        <v>4586559</v>
      </c>
      <c r="BS113" s="444">
        <v>0.07447429906542057</v>
      </c>
      <c r="BT113" s="445">
        <v>257</v>
      </c>
      <c r="BU113" s="445">
        <v>253</v>
      </c>
      <c r="BV113" s="443">
        <v>341580.76664719626</v>
      </c>
      <c r="BW113" s="444">
        <v>0.008950652608872421</v>
      </c>
      <c r="BX113" s="443">
        <v>2031.347434140728</v>
      </c>
      <c r="BY113" s="443">
        <v>4590857.494394431</v>
      </c>
      <c r="BZ113" s="451">
        <v>0.95</v>
      </c>
      <c r="CA113" s="443">
        <v>4361314.619674709</v>
      </c>
      <c r="CB113" s="443">
        <v>3191338.7621237505</v>
      </c>
      <c r="CC113" s="443">
        <v>3191338.7621237505</v>
      </c>
      <c r="CD113" s="443">
        <v>3159802.9808548493</v>
      </c>
      <c r="CE113" s="443">
        <v>3168658.4054768723</v>
      </c>
      <c r="CF113" s="450">
        <v>925.4259361789931</v>
      </c>
      <c r="CG113" s="446">
        <v>3424</v>
      </c>
      <c r="CH113" s="446">
        <v>21</v>
      </c>
      <c r="CI113" s="446">
        <v>534</v>
      </c>
      <c r="CJ113" s="446">
        <v>128</v>
      </c>
      <c r="CK113" s="446">
        <v>0</v>
      </c>
      <c r="CL113" s="446">
        <v>520</v>
      </c>
      <c r="CM113" s="446">
        <v>102</v>
      </c>
      <c r="CN113" s="446">
        <v>243</v>
      </c>
      <c r="CO113" s="446">
        <v>69</v>
      </c>
      <c r="CP113" s="446">
        <v>0</v>
      </c>
      <c r="CQ113" s="446">
        <v>287</v>
      </c>
      <c r="CR113" s="446">
        <v>42</v>
      </c>
      <c r="CS113" s="446">
        <v>0</v>
      </c>
      <c r="CT113" s="446">
        <v>1478</v>
      </c>
      <c r="CU113" s="446">
        <v>0</v>
      </c>
      <c r="CV113" s="446">
        <v>0</v>
      </c>
      <c r="CW113" s="443">
        <v>2187610.811848441</v>
      </c>
      <c r="CX113" s="448">
        <v>0.9274504105308028</v>
      </c>
      <c r="CY113" s="448">
        <v>0.95</v>
      </c>
      <c r="CZ113" s="443">
        <v>2028900.5455304596</v>
      </c>
      <c r="DA113" s="450">
        <v>592.5527294189426</v>
      </c>
      <c r="DB113" s="445">
        <v>3433</v>
      </c>
      <c r="DC113" s="448">
        <v>1.015059714535392</v>
      </c>
      <c r="DD113" s="450">
        <v>304.3</v>
      </c>
      <c r="DE113" s="443">
        <v>41016</v>
      </c>
      <c r="DF113" s="450">
        <v>50.834910728075215</v>
      </c>
      <c r="DG113" s="450">
        <v>53.02081188938244</v>
      </c>
      <c r="DH113" s="450">
        <v>54.18726975094884</v>
      </c>
      <c r="DI113" s="450">
        <v>55.379389685469704</v>
      </c>
      <c r="DJ113" s="450">
        <v>57.2069095450902</v>
      </c>
      <c r="DK113" s="450">
        <v>59.266358288713434</v>
      </c>
      <c r="DL113" s="450">
        <v>61.162881753952256</v>
      </c>
      <c r="DM113" s="450">
        <v>63.670559905864295</v>
      </c>
      <c r="DN113" s="450">
        <v>66.47206454172232</v>
      </c>
      <c r="DO113" s="450">
        <v>70.12802809151704</v>
      </c>
      <c r="DP113" s="450">
        <v>69.49687583869338</v>
      </c>
      <c r="DQ113" s="450">
        <v>73.04121650646674</v>
      </c>
      <c r="DR113" s="450">
        <v>43.92</v>
      </c>
      <c r="DS113" s="450">
        <v>45.81634297509488</v>
      </c>
      <c r="DT113" s="450">
        <v>47.77486776109393</v>
      </c>
      <c r="DU113" s="450">
        <v>50.333372290695046</v>
      </c>
      <c r="DV113" s="450">
        <v>53.16265720681054</v>
      </c>
      <c r="DW113" s="450">
        <v>55.913698823515766</v>
      </c>
      <c r="DX113" s="450">
        <v>59.299040361396784</v>
      </c>
      <c r="DY113" s="450">
        <v>62.41529440445646</v>
      </c>
      <c r="DZ113" s="450">
        <v>64.19858763648445</v>
      </c>
      <c r="EA113" s="450">
        <v>65.53483145229592</v>
      </c>
      <c r="EB113" s="450">
        <v>69.70992958638375</v>
      </c>
      <c r="EC113" s="450">
        <v>-0.74</v>
      </c>
      <c r="ED113" s="450">
        <v>68.96992958638376</v>
      </c>
      <c r="EE113" s="450">
        <v>3586.436338491955</v>
      </c>
      <c r="EF113" s="443">
        <v>12065991.231042026</v>
      </c>
      <c r="EG113" s="450">
        <v>46.55</v>
      </c>
      <c r="EH113" s="450">
        <v>48.23541697509487</v>
      </c>
      <c r="EI113" s="450">
        <v>49.97246209709392</v>
      </c>
      <c r="EJ113" s="450">
        <v>52.319722871147036</v>
      </c>
      <c r="EK113" s="450">
        <v>54.92653652225191</v>
      </c>
      <c r="EL113" s="450">
        <v>57.430635034795344</v>
      </c>
      <c r="EM113" s="450">
        <v>60.562344838150416</v>
      </c>
      <c r="EN113" s="450">
        <v>63.58764095888384</v>
      </c>
      <c r="EO113" s="450">
        <v>65.31661546722336</v>
      </c>
      <c r="EP113" s="450">
        <v>66.28189619208187</v>
      </c>
      <c r="EQ113" s="450">
        <v>70.33806161959578</v>
      </c>
      <c r="ER113" s="443">
        <v>20258243</v>
      </c>
      <c r="ES113" s="443">
        <v>500000</v>
      </c>
      <c r="ET113" s="443">
        <v>0</v>
      </c>
      <c r="EU113" s="443">
        <v>0</v>
      </c>
      <c r="EV113" s="443">
        <v>0</v>
      </c>
      <c r="EW113" s="443">
        <v>0</v>
      </c>
      <c r="EX113" s="443">
        <v>0</v>
      </c>
      <c r="EY113" s="443">
        <v>0</v>
      </c>
      <c r="EZ113" s="443">
        <v>0</v>
      </c>
      <c r="FA113" s="443">
        <v>20508243</v>
      </c>
      <c r="FB113" s="443">
        <v>48930.5836297712</v>
      </c>
      <c r="FC113" s="443">
        <v>0</v>
      </c>
      <c r="FD113" s="443">
        <v>0</v>
      </c>
      <c r="FE113" s="443">
        <v>12000</v>
      </c>
      <c r="FF113" s="452">
        <v>0.08800000000000001</v>
      </c>
      <c r="FG113" s="443">
        <v>1056</v>
      </c>
      <c r="FH113" s="453">
        <v>1056</v>
      </c>
    </row>
    <row r="114" spans="2:164" ht="12.75">
      <c r="B114" s="356" t="s">
        <v>802</v>
      </c>
      <c r="C114" s="442">
        <v>12511.3</v>
      </c>
      <c r="D114" s="443">
        <v>2945932.9</v>
      </c>
      <c r="E114" s="443">
        <v>2527610.4282</v>
      </c>
      <c r="F114" s="443">
        <v>289167.74994045275</v>
      </c>
      <c r="G114" s="443">
        <v>418322.47180000006</v>
      </c>
      <c r="H114" s="444">
        <v>0.3391422154372448</v>
      </c>
      <c r="I114" s="445">
        <v>3064.27</v>
      </c>
      <c r="J114" s="445">
        <v>1178.84</v>
      </c>
      <c r="K114" s="443">
        <v>2816778.1781404526</v>
      </c>
      <c r="L114" s="443">
        <v>2253422.5425123624</v>
      </c>
      <c r="M114" s="443">
        <v>641604.8522238474</v>
      </c>
      <c r="N114" s="443">
        <v>563355.6356280904</v>
      </c>
      <c r="O114" s="446">
        <v>1.1388984358140242</v>
      </c>
      <c r="P114" s="447">
        <v>0.893112626185928</v>
      </c>
      <c r="Q114" s="448">
        <v>0.10686339549047662</v>
      </c>
      <c r="R114" s="443">
        <v>2895027.39473621</v>
      </c>
      <c r="S114" s="443">
        <v>1957038.518841678</v>
      </c>
      <c r="T114" s="443">
        <v>280513.35017556266</v>
      </c>
      <c r="U114" s="443">
        <v>929848.6217899121</v>
      </c>
      <c r="V114" s="443">
        <v>660066.2459998559</v>
      </c>
      <c r="W114" s="446">
        <v>1.4087201510833127</v>
      </c>
      <c r="X114" s="448">
        <v>26.30288378740957</v>
      </c>
      <c r="Y114" s="443">
        <v>280513.35017556266</v>
      </c>
      <c r="Z114" s="443">
        <v>277922.62989467615</v>
      </c>
      <c r="AA114" s="444">
        <v>1.0093217320297678</v>
      </c>
      <c r="AB114" s="444">
        <v>0.08280514414968869</v>
      </c>
      <c r="AC114" s="445">
        <v>1078</v>
      </c>
      <c r="AD114" s="445">
        <v>994</v>
      </c>
      <c r="AE114" s="443">
        <v>3167400.490807153</v>
      </c>
      <c r="AF114" s="443">
        <v>54835.9042581816</v>
      </c>
      <c r="AG114" s="447">
        <v>0.25</v>
      </c>
      <c r="AH114" s="446">
        <v>0.11806066352119794</v>
      </c>
      <c r="AI114" s="448">
        <v>0.09942005574703217</v>
      </c>
      <c r="AJ114" s="443">
        <v>3222236.3950653346</v>
      </c>
      <c r="AK114" s="449">
        <v>1.090488652086243</v>
      </c>
      <c r="AL114" s="443">
        <v>3513812.2231580312</v>
      </c>
      <c r="AM114" s="443">
        <v>7831463.653391399</v>
      </c>
      <c r="AN114" s="443">
        <v>7735823.115484992</v>
      </c>
      <c r="AO114" s="443">
        <v>7459116.677503906</v>
      </c>
      <c r="AP114" s="443">
        <v>7735823.115484992</v>
      </c>
      <c r="AQ114" s="443">
        <v>50045.2</v>
      </c>
      <c r="AR114" s="443">
        <v>7785868.315484992</v>
      </c>
      <c r="AS114" s="450">
        <v>622.306899801379</v>
      </c>
      <c r="AT114" s="446">
        <v>11505</v>
      </c>
      <c r="AU114" s="446">
        <v>143</v>
      </c>
      <c r="AV114" s="446">
        <v>197</v>
      </c>
      <c r="AW114" s="446">
        <v>14</v>
      </c>
      <c r="AX114" s="446">
        <v>363</v>
      </c>
      <c r="AY114" s="446">
        <v>477</v>
      </c>
      <c r="AZ114" s="446">
        <v>918</v>
      </c>
      <c r="BA114" s="446">
        <v>2619</v>
      </c>
      <c r="BB114" s="446">
        <v>699</v>
      </c>
      <c r="BC114" s="446">
        <v>41</v>
      </c>
      <c r="BD114" s="446">
        <v>2008</v>
      </c>
      <c r="BE114" s="446">
        <v>1166</v>
      </c>
      <c r="BF114" s="446">
        <v>170</v>
      </c>
      <c r="BG114" s="446">
        <v>2652</v>
      </c>
      <c r="BH114" s="446">
        <v>20</v>
      </c>
      <c r="BI114" s="446">
        <v>18</v>
      </c>
      <c r="BJ114" s="448">
        <v>1.5984608714473951</v>
      </c>
      <c r="BK114" s="448">
        <v>19.62822746067616</v>
      </c>
      <c r="BL114" s="448">
        <v>13.702082889409759</v>
      </c>
      <c r="BM114" s="448">
        <v>11.852289142532802</v>
      </c>
      <c r="BN114" s="445">
        <v>10169</v>
      </c>
      <c r="BO114" s="445">
        <v>1336</v>
      </c>
      <c r="BP114" s="443">
        <v>3803780.6096615368</v>
      </c>
      <c r="BQ114" s="443">
        <v>11779902</v>
      </c>
      <c r="BR114" s="443">
        <v>15585966</v>
      </c>
      <c r="BS114" s="444">
        <v>0.0900478053020426</v>
      </c>
      <c r="BT114" s="445">
        <v>1078</v>
      </c>
      <c r="BU114" s="445">
        <v>994</v>
      </c>
      <c r="BV114" s="443">
        <v>1403482.0318122555</v>
      </c>
      <c r="BW114" s="444">
        <v>0.008235050923014697</v>
      </c>
      <c r="BX114" s="443">
        <v>23963.44462151013</v>
      </c>
      <c r="BY114" s="443">
        <v>17011128.086095303</v>
      </c>
      <c r="BZ114" s="451">
        <v>1.0433333333333332</v>
      </c>
      <c r="CA114" s="443">
        <v>17748276.9698261</v>
      </c>
      <c r="CB114" s="443">
        <v>12987085.132358298</v>
      </c>
      <c r="CC114" s="443">
        <v>12987085.132358298</v>
      </c>
      <c r="CD114" s="443">
        <v>12702736.176401256</v>
      </c>
      <c r="CE114" s="443">
        <v>12894787.903965896</v>
      </c>
      <c r="CF114" s="450">
        <v>1120.7986009531417</v>
      </c>
      <c r="CG114" s="446">
        <v>11505</v>
      </c>
      <c r="CH114" s="446">
        <v>143</v>
      </c>
      <c r="CI114" s="446">
        <v>197</v>
      </c>
      <c r="CJ114" s="446">
        <v>14</v>
      </c>
      <c r="CK114" s="446">
        <v>363</v>
      </c>
      <c r="CL114" s="446">
        <v>477</v>
      </c>
      <c r="CM114" s="446">
        <v>918</v>
      </c>
      <c r="CN114" s="446">
        <v>2619</v>
      </c>
      <c r="CO114" s="446">
        <v>699</v>
      </c>
      <c r="CP114" s="446">
        <v>41</v>
      </c>
      <c r="CQ114" s="446">
        <v>2008</v>
      </c>
      <c r="CR114" s="446">
        <v>1166</v>
      </c>
      <c r="CS114" s="446">
        <v>170</v>
      </c>
      <c r="CT114" s="446">
        <v>2652</v>
      </c>
      <c r="CU114" s="446">
        <v>20</v>
      </c>
      <c r="CV114" s="446">
        <v>18</v>
      </c>
      <c r="CW114" s="443">
        <v>7897983.088938743</v>
      </c>
      <c r="CX114" s="448">
        <v>1.0185683456004957</v>
      </c>
      <c r="CY114" s="448">
        <v>1.0433333333333332</v>
      </c>
      <c r="CZ114" s="443">
        <v>8044635.568481028</v>
      </c>
      <c r="DA114" s="450">
        <v>699.2295148614539</v>
      </c>
      <c r="DB114" s="445">
        <v>12511.3</v>
      </c>
      <c r="DC114" s="448">
        <v>1.0148445804992288</v>
      </c>
      <c r="DD114" s="450">
        <v>328.3</v>
      </c>
      <c r="DE114" s="443">
        <v>38570</v>
      </c>
      <c r="DF114" s="450">
        <v>52.964597481998005</v>
      </c>
      <c r="DG114" s="450">
        <v>55.24207517372392</v>
      </c>
      <c r="DH114" s="450">
        <v>56.45740082754583</v>
      </c>
      <c r="DI114" s="450">
        <v>57.69946364575183</v>
      </c>
      <c r="DJ114" s="450">
        <v>59.60354594606163</v>
      </c>
      <c r="DK114" s="450">
        <v>61.749273600119835</v>
      </c>
      <c r="DL114" s="450">
        <v>63.72525035532366</v>
      </c>
      <c r="DM114" s="450">
        <v>66.33798561989192</v>
      </c>
      <c r="DN114" s="450">
        <v>69.25685698716715</v>
      </c>
      <c r="DO114" s="450">
        <v>73.06598412146134</v>
      </c>
      <c r="DP114" s="450">
        <v>72.4083902643682</v>
      </c>
      <c r="DQ114" s="450">
        <v>76.10121816785097</v>
      </c>
      <c r="DR114" s="450">
        <v>41.89</v>
      </c>
      <c r="DS114" s="450">
        <v>44.17616208275457</v>
      </c>
      <c r="DT114" s="450">
        <v>46.54264053715035</v>
      </c>
      <c r="DU114" s="450">
        <v>49.51917245877447</v>
      </c>
      <c r="DV114" s="450">
        <v>52.79434994340884</v>
      </c>
      <c r="DW114" s="450">
        <v>56.0240160105522</v>
      </c>
      <c r="DX114" s="450">
        <v>59.92439765756625</v>
      </c>
      <c r="DY114" s="450">
        <v>63.30504735812894</v>
      </c>
      <c r="DZ114" s="450">
        <v>65.24297910529972</v>
      </c>
      <c r="EA114" s="450">
        <v>67.18106850540941</v>
      </c>
      <c r="EB114" s="450">
        <v>71.70608603291844</v>
      </c>
      <c r="EC114" s="450">
        <v>0</v>
      </c>
      <c r="ED114" s="450">
        <v>71.70608603291844</v>
      </c>
      <c r="EE114" s="450">
        <v>3728.7164737117587</v>
      </c>
      <c r="EF114" s="443">
        <v>45718068.60919892</v>
      </c>
      <c r="EG114" s="450">
        <v>42.26</v>
      </c>
      <c r="EH114" s="450">
        <v>44.51648808275457</v>
      </c>
      <c r="EI114" s="450">
        <v>46.85180780115035</v>
      </c>
      <c r="EJ114" s="450">
        <v>49.79862101952247</v>
      </c>
      <c r="EK114" s="450">
        <v>53.04250026535306</v>
      </c>
      <c r="EL114" s="450">
        <v>56.23742528742424</v>
      </c>
      <c r="EM114" s="450">
        <v>60.102124903345285</v>
      </c>
      <c r="EN114" s="450">
        <v>63.46997824221188</v>
      </c>
      <c r="EO114" s="450">
        <v>65.4002681917535</v>
      </c>
      <c r="EP114" s="450">
        <v>67.2861688680409</v>
      </c>
      <c r="EQ114" s="450">
        <v>71.79445441781898</v>
      </c>
      <c r="ER114" s="443">
        <v>88465749</v>
      </c>
      <c r="ES114" s="443">
        <v>832000</v>
      </c>
      <c r="ET114" s="443">
        <v>0</v>
      </c>
      <c r="EU114" s="443">
        <v>0</v>
      </c>
      <c r="EV114" s="443">
        <v>0</v>
      </c>
      <c r="EW114" s="443">
        <v>0</v>
      </c>
      <c r="EX114" s="443">
        <v>0</v>
      </c>
      <c r="EY114" s="443">
        <v>0</v>
      </c>
      <c r="EZ114" s="443">
        <v>0</v>
      </c>
      <c r="FA114" s="443">
        <v>88881749</v>
      </c>
      <c r="FB114" s="443">
        <v>81284.69308883601</v>
      </c>
      <c r="FC114" s="443">
        <v>0</v>
      </c>
      <c r="FD114" s="443">
        <v>0</v>
      </c>
      <c r="FE114" s="443">
        <v>35225</v>
      </c>
      <c r="FF114" s="452">
        <v>0.053399999999999996</v>
      </c>
      <c r="FG114" s="443">
        <v>1881.015</v>
      </c>
      <c r="FH114" s="453">
        <v>1881.015</v>
      </c>
    </row>
    <row r="115" spans="2:164" ht="12.75">
      <c r="B115" s="356" t="s">
        <v>803</v>
      </c>
      <c r="C115" s="442">
        <v>8189</v>
      </c>
      <c r="D115" s="443">
        <v>1938837</v>
      </c>
      <c r="E115" s="443">
        <v>1663522.146</v>
      </c>
      <c r="F115" s="443">
        <v>135654.81677338143</v>
      </c>
      <c r="G115" s="443">
        <v>275314.85400000005</v>
      </c>
      <c r="H115" s="444">
        <v>0.2417401392111369</v>
      </c>
      <c r="I115" s="445">
        <v>1071.56</v>
      </c>
      <c r="J115" s="445">
        <v>908.05</v>
      </c>
      <c r="K115" s="443">
        <v>1799176.9627733813</v>
      </c>
      <c r="L115" s="443">
        <v>1439341.570218705</v>
      </c>
      <c r="M115" s="443">
        <v>369889.16442138876</v>
      </c>
      <c r="N115" s="443">
        <v>359835.39255467616</v>
      </c>
      <c r="O115" s="446">
        <v>1.0279399194040786</v>
      </c>
      <c r="P115" s="447">
        <v>0.9785077543045549</v>
      </c>
      <c r="Q115" s="448">
        <v>0.021492245695445108</v>
      </c>
      <c r="R115" s="443">
        <v>1809230.734640094</v>
      </c>
      <c r="S115" s="443">
        <v>1223039.9766167037</v>
      </c>
      <c r="T115" s="443">
        <v>155374.98419462994</v>
      </c>
      <c r="U115" s="443">
        <v>212490.83869961905</v>
      </c>
      <c r="V115" s="443">
        <v>412504.60749794147</v>
      </c>
      <c r="W115" s="446">
        <v>0.5151235521670614</v>
      </c>
      <c r="X115" s="448">
        <v>9.618116783797264</v>
      </c>
      <c r="Y115" s="443">
        <v>155374.98419462994</v>
      </c>
      <c r="Z115" s="443">
        <v>173686.15052544902</v>
      </c>
      <c r="AA115" s="444">
        <v>0.89457325022506</v>
      </c>
      <c r="AB115" s="444">
        <v>0.07339113444865063</v>
      </c>
      <c r="AC115" s="445">
        <v>616</v>
      </c>
      <c r="AD115" s="445">
        <v>586</v>
      </c>
      <c r="AE115" s="443">
        <v>1590905.7995109526</v>
      </c>
      <c r="AF115" s="443">
        <v>0</v>
      </c>
      <c r="AG115" s="447">
        <v>0</v>
      </c>
      <c r="AH115" s="446">
        <v>0.10366119925595933</v>
      </c>
      <c r="AI115" s="448">
        <v>0.08729412406682968</v>
      </c>
      <c r="AJ115" s="443">
        <v>1590905.7995109526</v>
      </c>
      <c r="AK115" s="449">
        <v>1</v>
      </c>
      <c r="AL115" s="443">
        <v>1590905.7995109526</v>
      </c>
      <c r="AM115" s="443">
        <v>3545756.0488653546</v>
      </c>
      <c r="AN115" s="443">
        <v>3502454.0518431854</v>
      </c>
      <c r="AO115" s="443">
        <v>3496810.0957613555</v>
      </c>
      <c r="AP115" s="443">
        <v>3502454.0518431854</v>
      </c>
      <c r="AQ115" s="443">
        <v>32756</v>
      </c>
      <c r="AR115" s="443">
        <v>3535210.0518431854</v>
      </c>
      <c r="AS115" s="450">
        <v>431.7022898819374</v>
      </c>
      <c r="AT115" s="446">
        <v>8189</v>
      </c>
      <c r="AU115" s="446">
        <v>46</v>
      </c>
      <c r="AV115" s="446">
        <v>542</v>
      </c>
      <c r="AW115" s="446">
        <v>212</v>
      </c>
      <c r="AX115" s="446">
        <v>24</v>
      </c>
      <c r="AY115" s="446">
        <v>1031</v>
      </c>
      <c r="AZ115" s="446">
        <v>275</v>
      </c>
      <c r="BA115" s="446">
        <v>300</v>
      </c>
      <c r="BB115" s="446">
        <v>2705</v>
      </c>
      <c r="BC115" s="446">
        <v>0</v>
      </c>
      <c r="BD115" s="446">
        <v>1028</v>
      </c>
      <c r="BE115" s="446">
        <v>176</v>
      </c>
      <c r="BF115" s="446">
        <v>0</v>
      </c>
      <c r="BG115" s="446">
        <v>1850</v>
      </c>
      <c r="BH115" s="446">
        <v>0</v>
      </c>
      <c r="BI115" s="446">
        <v>0</v>
      </c>
      <c r="BJ115" s="448">
        <v>1.2372190577201283</v>
      </c>
      <c r="BK115" s="448">
        <v>9.466049586125495</v>
      </c>
      <c r="BL115" s="448">
        <v>6.35116484884693</v>
      </c>
      <c r="BM115" s="448">
        <v>6.229769474557128</v>
      </c>
      <c r="BN115" s="445">
        <v>8013</v>
      </c>
      <c r="BO115" s="445">
        <v>176</v>
      </c>
      <c r="BP115" s="443">
        <v>2232544.4685891634</v>
      </c>
      <c r="BQ115" s="443">
        <v>8618488</v>
      </c>
      <c r="BR115" s="443">
        <v>11647895</v>
      </c>
      <c r="BS115" s="444">
        <v>0.07339113444865063</v>
      </c>
      <c r="BT115" s="445">
        <v>616</v>
      </c>
      <c r="BU115" s="445">
        <v>586</v>
      </c>
      <c r="BV115" s="443">
        <v>854852.2279887653</v>
      </c>
      <c r="BW115" s="444">
        <v>0.011817381792338034</v>
      </c>
      <c r="BX115" s="443">
        <v>11804.189275574823</v>
      </c>
      <c r="BY115" s="443">
        <v>11717688.885853503</v>
      </c>
      <c r="BZ115" s="451">
        <v>0.92</v>
      </c>
      <c r="CA115" s="443">
        <v>10780273.774985224</v>
      </c>
      <c r="CB115" s="443">
        <v>7888333.8086217875</v>
      </c>
      <c r="CC115" s="443">
        <v>7888333.8086217875</v>
      </c>
      <c r="CD115" s="443">
        <v>7926099.976656763</v>
      </c>
      <c r="CE115" s="443">
        <v>7926099.976656763</v>
      </c>
      <c r="CF115" s="450">
        <v>967.8959551418687</v>
      </c>
      <c r="CG115" s="446">
        <v>8189</v>
      </c>
      <c r="CH115" s="446">
        <v>46</v>
      </c>
      <c r="CI115" s="446">
        <v>542</v>
      </c>
      <c r="CJ115" s="446">
        <v>212</v>
      </c>
      <c r="CK115" s="446">
        <v>24</v>
      </c>
      <c r="CL115" s="446">
        <v>1031</v>
      </c>
      <c r="CM115" s="446">
        <v>275</v>
      </c>
      <c r="CN115" s="446">
        <v>300</v>
      </c>
      <c r="CO115" s="446">
        <v>2705</v>
      </c>
      <c r="CP115" s="446">
        <v>0</v>
      </c>
      <c r="CQ115" s="446">
        <v>1028</v>
      </c>
      <c r="CR115" s="446">
        <v>176</v>
      </c>
      <c r="CS115" s="446">
        <v>0</v>
      </c>
      <c r="CT115" s="446">
        <v>1850</v>
      </c>
      <c r="CU115" s="446">
        <v>0</v>
      </c>
      <c r="CV115" s="446">
        <v>0</v>
      </c>
      <c r="CW115" s="443">
        <v>5422107.785229021</v>
      </c>
      <c r="CX115" s="448">
        <v>0.8981625028298302</v>
      </c>
      <c r="CY115" s="448">
        <v>0.92</v>
      </c>
      <c r="CZ115" s="443">
        <v>4869933.898994405</v>
      </c>
      <c r="DA115" s="450">
        <v>594.6921356691176</v>
      </c>
      <c r="DB115" s="445">
        <v>8189</v>
      </c>
      <c r="DC115" s="448">
        <v>1.0292465502503358</v>
      </c>
      <c r="DD115" s="450">
        <v>321.1</v>
      </c>
      <c r="DE115" s="443">
        <v>30814</v>
      </c>
      <c r="DF115" s="450">
        <v>50.085884174883205</v>
      </c>
      <c r="DG115" s="450">
        <v>52.23957719440318</v>
      </c>
      <c r="DH115" s="450">
        <v>53.38884789268004</v>
      </c>
      <c r="DI115" s="450">
        <v>54.56340254631899</v>
      </c>
      <c r="DJ115" s="450">
        <v>56.363994830347515</v>
      </c>
      <c r="DK115" s="450">
        <v>58.39309864424001</v>
      </c>
      <c r="DL115" s="450">
        <v>60.26167780085568</v>
      </c>
      <c r="DM115" s="450">
        <v>62.73240659069076</v>
      </c>
      <c r="DN115" s="450">
        <v>65.49263248068114</v>
      </c>
      <c r="DO115" s="450">
        <v>69.0947272671186</v>
      </c>
      <c r="DP115" s="450">
        <v>68.47287472171453</v>
      </c>
      <c r="DQ115" s="450">
        <v>71.96499133252198</v>
      </c>
      <c r="DR115" s="450">
        <v>35.9</v>
      </c>
      <c r="DS115" s="450">
        <v>38.359704789267994</v>
      </c>
      <c r="DT115" s="450">
        <v>40.91026098926378</v>
      </c>
      <c r="DU115" s="450">
        <v>44.02326150546424</v>
      </c>
      <c r="DV115" s="450">
        <v>47.43452745174367</v>
      </c>
      <c r="DW115" s="450">
        <v>50.83730657530883</v>
      </c>
      <c r="DX115" s="450">
        <v>54.88379023405534</v>
      </c>
      <c r="DY115" s="450">
        <v>58.20911650172347</v>
      </c>
      <c r="DZ115" s="450">
        <v>60.11840925495152</v>
      </c>
      <c r="EA115" s="450">
        <v>62.47491072151285</v>
      </c>
      <c r="EB115" s="450">
        <v>66.9219032011524</v>
      </c>
      <c r="EC115" s="450">
        <v>-3.91</v>
      </c>
      <c r="ED115" s="450">
        <v>63.01190320115241</v>
      </c>
      <c r="EE115" s="450">
        <v>3276.618966459925</v>
      </c>
      <c r="EF115" s="443">
        <v>26295588.062013518</v>
      </c>
      <c r="EG115" s="450">
        <v>36.37</v>
      </c>
      <c r="EH115" s="450">
        <v>38.79201078926799</v>
      </c>
      <c r="EI115" s="450">
        <v>41.30298697326378</v>
      </c>
      <c r="EJ115" s="450">
        <v>44.37823670425224</v>
      </c>
      <c r="EK115" s="450">
        <v>47.74974542826741</v>
      </c>
      <c r="EL115" s="450">
        <v>51.10839403511925</v>
      </c>
      <c r="EM115" s="450">
        <v>55.109551870585456</v>
      </c>
      <c r="EN115" s="450">
        <v>58.41862330042342</v>
      </c>
      <c r="EO115" s="450">
        <v>60.31820890531171</v>
      </c>
      <c r="EP115" s="450">
        <v>62.608416587558246</v>
      </c>
      <c r="EQ115" s="450">
        <v>67.03415493332336</v>
      </c>
      <c r="ER115" s="443">
        <v>39738446</v>
      </c>
      <c r="ES115" s="443">
        <v>647000</v>
      </c>
      <c r="ET115" s="443">
        <v>0</v>
      </c>
      <c r="EU115" s="443">
        <v>0</v>
      </c>
      <c r="EV115" s="443">
        <v>0</v>
      </c>
      <c r="EW115" s="443">
        <v>0</v>
      </c>
      <c r="EX115" s="443">
        <v>0</v>
      </c>
      <c r="EY115" s="443">
        <v>0</v>
      </c>
      <c r="EZ115" s="443">
        <v>0</v>
      </c>
      <c r="FA115" s="443">
        <v>40061946</v>
      </c>
      <c r="FB115" s="443">
        <v>58183.329089277744</v>
      </c>
      <c r="FC115" s="443">
        <v>0</v>
      </c>
      <c r="FD115" s="443">
        <v>0</v>
      </c>
      <c r="FE115" s="443">
        <v>43850</v>
      </c>
      <c r="FF115" s="452">
        <v>0.07139999999999999</v>
      </c>
      <c r="FG115" s="443">
        <v>3130.89</v>
      </c>
      <c r="FH115" s="453">
        <v>3130.89</v>
      </c>
    </row>
    <row r="116" spans="2:164" ht="12.75">
      <c r="B116" s="356" t="s">
        <v>804</v>
      </c>
      <c r="C116" s="442">
        <v>5017.25</v>
      </c>
      <c r="D116" s="443">
        <v>1199819.25</v>
      </c>
      <c r="E116" s="443">
        <v>1029444.9164999999</v>
      </c>
      <c r="F116" s="443">
        <v>115735.1489191512</v>
      </c>
      <c r="G116" s="443">
        <v>170374.3335</v>
      </c>
      <c r="H116" s="444">
        <v>0.3332761971199362</v>
      </c>
      <c r="I116" s="445">
        <v>1194.38</v>
      </c>
      <c r="J116" s="445">
        <v>477.75</v>
      </c>
      <c r="K116" s="443">
        <v>1145180.0654191512</v>
      </c>
      <c r="L116" s="443">
        <v>916144.052335321</v>
      </c>
      <c r="M116" s="443">
        <v>252169.00419055816</v>
      </c>
      <c r="N116" s="443">
        <v>229036.01308383018</v>
      </c>
      <c r="O116" s="446">
        <v>1.1010015446708854</v>
      </c>
      <c r="P116" s="447">
        <v>0.9222183467038716</v>
      </c>
      <c r="Q116" s="448">
        <v>0.07773182520304948</v>
      </c>
      <c r="R116" s="443">
        <v>1168313.056525879</v>
      </c>
      <c r="S116" s="443">
        <v>789779.6262114943</v>
      </c>
      <c r="T116" s="443">
        <v>81199.48829962613</v>
      </c>
      <c r="U116" s="443">
        <v>173178.04341936056</v>
      </c>
      <c r="V116" s="443">
        <v>266375.37688790046</v>
      </c>
      <c r="W116" s="446">
        <v>0.6501278212822186</v>
      </c>
      <c r="X116" s="448">
        <v>12.138845686986025</v>
      </c>
      <c r="Y116" s="443">
        <v>81199.48829962613</v>
      </c>
      <c r="Z116" s="443">
        <v>112158.05342648439</v>
      </c>
      <c r="AA116" s="444">
        <v>0.7239737657612746</v>
      </c>
      <c r="AB116" s="444">
        <v>0.05939508695002242</v>
      </c>
      <c r="AC116" s="445">
        <v>298</v>
      </c>
      <c r="AD116" s="445">
        <v>298</v>
      </c>
      <c r="AE116" s="443">
        <v>1044157.157930481</v>
      </c>
      <c r="AF116" s="443">
        <v>0</v>
      </c>
      <c r="AG116" s="447">
        <v>0</v>
      </c>
      <c r="AH116" s="446">
        <v>0.0121779758707017</v>
      </c>
      <c r="AI116" s="448">
        <v>0.010255194269120693</v>
      </c>
      <c r="AJ116" s="443">
        <v>1044157.157930481</v>
      </c>
      <c r="AK116" s="449">
        <v>1.0421109271193911</v>
      </c>
      <c r="AL116" s="443">
        <v>1088127.583909282</v>
      </c>
      <c r="AM116" s="443">
        <v>2425181.2796016014</v>
      </c>
      <c r="AN116" s="443">
        <v>2395564.128534163</v>
      </c>
      <c r="AO116" s="443">
        <v>2373149.0750526628</v>
      </c>
      <c r="AP116" s="443">
        <v>2395564.128534163</v>
      </c>
      <c r="AQ116" s="443">
        <v>20069</v>
      </c>
      <c r="AR116" s="443">
        <v>2415633.128534163</v>
      </c>
      <c r="AS116" s="450">
        <v>481.4655694920849</v>
      </c>
      <c r="AT116" s="446">
        <v>5017</v>
      </c>
      <c r="AU116" s="446">
        <v>34</v>
      </c>
      <c r="AV116" s="446">
        <v>309</v>
      </c>
      <c r="AW116" s="446">
        <v>9</v>
      </c>
      <c r="AX116" s="446">
        <v>82</v>
      </c>
      <c r="AY116" s="446">
        <v>1225</v>
      </c>
      <c r="AZ116" s="446">
        <v>421</v>
      </c>
      <c r="BA116" s="446">
        <v>451</v>
      </c>
      <c r="BB116" s="446">
        <v>241</v>
      </c>
      <c r="BC116" s="446">
        <v>0</v>
      </c>
      <c r="BD116" s="446">
        <v>952</v>
      </c>
      <c r="BE116" s="446">
        <v>390</v>
      </c>
      <c r="BF116" s="446">
        <v>0</v>
      </c>
      <c r="BG116" s="446">
        <v>880</v>
      </c>
      <c r="BH116" s="446">
        <v>10</v>
      </c>
      <c r="BI116" s="446">
        <v>13</v>
      </c>
      <c r="BJ116" s="448">
        <v>1.2082941348154843</v>
      </c>
      <c r="BK116" s="448">
        <v>7.3635561476954905</v>
      </c>
      <c r="BL116" s="448">
        <v>4.904628637917886</v>
      </c>
      <c r="BM116" s="448">
        <v>4.917855019555209</v>
      </c>
      <c r="BN116" s="445">
        <v>4627</v>
      </c>
      <c r="BO116" s="445">
        <v>390</v>
      </c>
      <c r="BP116" s="443">
        <v>1274932.7646446931</v>
      </c>
      <c r="BQ116" s="443">
        <v>5078886</v>
      </c>
      <c r="BR116" s="443">
        <v>6998202</v>
      </c>
      <c r="BS116" s="444">
        <v>0.05939804664141918</v>
      </c>
      <c r="BT116" s="445">
        <v>298</v>
      </c>
      <c r="BU116" s="445">
        <v>298</v>
      </c>
      <c r="BV116" s="443">
        <v>415679.528802073</v>
      </c>
      <c r="BW116" s="444">
        <v>0.005157466494873495</v>
      </c>
      <c r="BX116" s="443">
        <v>2455.1801863057017</v>
      </c>
      <c r="BY116" s="443">
        <v>6771953.473633071</v>
      </c>
      <c r="BZ116" s="451">
        <v>1.0233333333333334</v>
      </c>
      <c r="CA116" s="443">
        <v>6929965.721351177</v>
      </c>
      <c r="CB116" s="443">
        <v>5070917.866591889</v>
      </c>
      <c r="CC116" s="443">
        <v>5070917.866591889</v>
      </c>
      <c r="CD116" s="443">
        <v>5035379.346595523</v>
      </c>
      <c r="CE116" s="443">
        <v>5035379.346595523</v>
      </c>
      <c r="CF116" s="450">
        <v>1003.6634137124821</v>
      </c>
      <c r="CG116" s="446">
        <v>5017</v>
      </c>
      <c r="CH116" s="446">
        <v>34</v>
      </c>
      <c r="CI116" s="446">
        <v>309</v>
      </c>
      <c r="CJ116" s="446">
        <v>9</v>
      </c>
      <c r="CK116" s="446">
        <v>82</v>
      </c>
      <c r="CL116" s="446">
        <v>1225</v>
      </c>
      <c r="CM116" s="446">
        <v>421</v>
      </c>
      <c r="CN116" s="446">
        <v>451</v>
      </c>
      <c r="CO116" s="446">
        <v>241</v>
      </c>
      <c r="CP116" s="446">
        <v>0</v>
      </c>
      <c r="CQ116" s="446">
        <v>952</v>
      </c>
      <c r="CR116" s="446">
        <v>390</v>
      </c>
      <c r="CS116" s="446">
        <v>0</v>
      </c>
      <c r="CT116" s="446">
        <v>880</v>
      </c>
      <c r="CU116" s="446">
        <v>10</v>
      </c>
      <c r="CV116" s="446">
        <v>13</v>
      </c>
      <c r="CW116" s="443">
        <v>3576504.764012872</v>
      </c>
      <c r="CX116" s="448">
        <v>0.9990430737998475</v>
      </c>
      <c r="CY116" s="448">
        <v>1.0233333333333334</v>
      </c>
      <c r="CZ116" s="443">
        <v>3573082.3128992175</v>
      </c>
      <c r="DA116" s="450">
        <v>712.1949995812672</v>
      </c>
      <c r="DB116" s="445">
        <v>5017.25</v>
      </c>
      <c r="DC116" s="448">
        <v>1.014076436294783</v>
      </c>
      <c r="DD116" s="450">
        <v>328.7</v>
      </c>
      <c r="DE116" s="443">
        <v>63904</v>
      </c>
      <c r="DF116" s="450">
        <v>61.327319724401605</v>
      </c>
      <c r="DG116" s="450">
        <v>63.96439447255087</v>
      </c>
      <c r="DH116" s="450">
        <v>65.37161115094698</v>
      </c>
      <c r="DI116" s="450">
        <v>66.8097865962678</v>
      </c>
      <c r="DJ116" s="450">
        <v>69.01450955394463</v>
      </c>
      <c r="DK116" s="450">
        <v>71.49903189788662</v>
      </c>
      <c r="DL116" s="450">
        <v>73.78700091861899</v>
      </c>
      <c r="DM116" s="450">
        <v>76.81226795628235</v>
      </c>
      <c r="DN116" s="450">
        <v>80.19200774635877</v>
      </c>
      <c r="DO116" s="450">
        <v>84.6025681724085</v>
      </c>
      <c r="DP116" s="450">
        <v>83.84114505885682</v>
      </c>
      <c r="DQ116" s="450">
        <v>88.11704345685851</v>
      </c>
      <c r="DR116" s="450">
        <v>49.21</v>
      </c>
      <c r="DS116" s="450">
        <v>51.80051911509469</v>
      </c>
      <c r="DT116" s="450">
        <v>54.48120343125354</v>
      </c>
      <c r="DU116" s="450">
        <v>57.871011445667364</v>
      </c>
      <c r="DV116" s="450">
        <v>61.60360557773641</v>
      </c>
      <c r="DW116" s="450">
        <v>65.2769342832898</v>
      </c>
      <c r="DX116" s="450">
        <v>69.72508446238022</v>
      </c>
      <c r="DY116" s="450">
        <v>73.61510146401758</v>
      </c>
      <c r="DZ116" s="450">
        <v>75.84443964101202</v>
      </c>
      <c r="EA116" s="450">
        <v>77.98897498542007</v>
      </c>
      <c r="EB116" s="450">
        <v>83.19653885911289</v>
      </c>
      <c r="EC116" s="450">
        <v>-0.54</v>
      </c>
      <c r="ED116" s="450">
        <v>82.65653885911289</v>
      </c>
      <c r="EE116" s="450">
        <v>4298.14002067387</v>
      </c>
      <c r="EF116" s="443">
        <v>21133546.15835145</v>
      </c>
      <c r="EG116" s="450">
        <v>53.82</v>
      </c>
      <c r="EH116" s="450">
        <v>56.04079711509469</v>
      </c>
      <c r="EI116" s="450">
        <v>58.33326042325354</v>
      </c>
      <c r="EJ116" s="450">
        <v>61.35278945931137</v>
      </c>
      <c r="EK116" s="450">
        <v>64.69542445385228</v>
      </c>
      <c r="EL116" s="450">
        <v>67.93589851674946</v>
      </c>
      <c r="EM116" s="450">
        <v>71.93946987600542</v>
      </c>
      <c r="EN116" s="450">
        <v>75.67005112786177</v>
      </c>
      <c r="EO116" s="450">
        <v>77.80417663709807</v>
      </c>
      <c r="EP116" s="450">
        <v>79.29846869280152</v>
      </c>
      <c r="EQ116" s="450">
        <v>84.29756116827922</v>
      </c>
      <c r="ER116" s="443">
        <v>12832795</v>
      </c>
      <c r="ES116" s="443">
        <v>0</v>
      </c>
      <c r="ET116" s="443">
        <v>0</v>
      </c>
      <c r="EU116" s="443">
        <v>0</v>
      </c>
      <c r="EV116" s="443">
        <v>0</v>
      </c>
      <c r="EW116" s="443">
        <v>0</v>
      </c>
      <c r="EX116" s="443">
        <v>0</v>
      </c>
      <c r="EY116" s="443">
        <v>0</v>
      </c>
      <c r="EZ116" s="443">
        <v>0</v>
      </c>
      <c r="FA116" s="443">
        <v>12832795</v>
      </c>
      <c r="FB116" s="443">
        <v>45298.58785732449</v>
      </c>
      <c r="FC116" s="443">
        <v>0</v>
      </c>
      <c r="FD116" s="443">
        <v>0</v>
      </c>
      <c r="FE116" s="443">
        <v>12740</v>
      </c>
      <c r="FF116" s="452">
        <v>0.0313</v>
      </c>
      <c r="FG116" s="443">
        <v>398.762</v>
      </c>
      <c r="FH116" s="453">
        <v>398.762</v>
      </c>
    </row>
    <row r="117" spans="2:164" ht="12.75">
      <c r="B117" s="356" t="s">
        <v>805</v>
      </c>
      <c r="C117" s="442">
        <v>5431</v>
      </c>
      <c r="D117" s="443">
        <v>1296223</v>
      </c>
      <c r="E117" s="443">
        <v>1112159.334</v>
      </c>
      <c r="F117" s="443">
        <v>126314.12351465422</v>
      </c>
      <c r="G117" s="443">
        <v>184063.66600000003</v>
      </c>
      <c r="H117" s="444">
        <v>0.3366875345240287</v>
      </c>
      <c r="I117" s="445">
        <v>1314.53</v>
      </c>
      <c r="J117" s="445">
        <v>514.02</v>
      </c>
      <c r="K117" s="443">
        <v>1238473.4575146541</v>
      </c>
      <c r="L117" s="443">
        <v>990778.7660117233</v>
      </c>
      <c r="M117" s="443">
        <v>275798.07373532</v>
      </c>
      <c r="N117" s="443">
        <v>247694.69150293077</v>
      </c>
      <c r="O117" s="446">
        <v>1.113459767998527</v>
      </c>
      <c r="P117" s="447">
        <v>0.9127232553857485</v>
      </c>
      <c r="Q117" s="448">
        <v>0.08727674461425151</v>
      </c>
      <c r="R117" s="443">
        <v>1266576.8397470433</v>
      </c>
      <c r="S117" s="443">
        <v>856205.9436690013</v>
      </c>
      <c r="T117" s="443">
        <v>115707.40028714803</v>
      </c>
      <c r="U117" s="443">
        <v>196163.25402846298</v>
      </c>
      <c r="V117" s="443">
        <v>288779.5194623259</v>
      </c>
      <c r="W117" s="446">
        <v>0.6792838162266365</v>
      </c>
      <c r="X117" s="448">
        <v>12.683231132270942</v>
      </c>
      <c r="Y117" s="443">
        <v>115707.40028714803</v>
      </c>
      <c r="Z117" s="443">
        <v>121591.37661571616</v>
      </c>
      <c r="AA117" s="444">
        <v>0.951608605048003</v>
      </c>
      <c r="AB117" s="444">
        <v>0.07807033695452034</v>
      </c>
      <c r="AC117" s="445">
        <v>420</v>
      </c>
      <c r="AD117" s="445">
        <v>428</v>
      </c>
      <c r="AE117" s="443">
        <v>1168076.5979846125</v>
      </c>
      <c r="AF117" s="443">
        <v>0</v>
      </c>
      <c r="AG117" s="447">
        <v>0</v>
      </c>
      <c r="AH117" s="446">
        <v>0.1460595643058664</v>
      </c>
      <c r="AI117" s="448">
        <v>0.1229982078075409</v>
      </c>
      <c r="AJ117" s="443">
        <v>1168076.5979846125</v>
      </c>
      <c r="AK117" s="449">
        <v>1</v>
      </c>
      <c r="AL117" s="443">
        <v>1168076.5979846125</v>
      </c>
      <c r="AM117" s="443">
        <v>2603368.888412611</v>
      </c>
      <c r="AN117" s="443">
        <v>2571575.648748048</v>
      </c>
      <c r="AO117" s="443">
        <v>2468706.9350246615</v>
      </c>
      <c r="AP117" s="443">
        <v>2571575.648748048</v>
      </c>
      <c r="AQ117" s="443">
        <v>21724</v>
      </c>
      <c r="AR117" s="443">
        <v>2593299.648748048</v>
      </c>
      <c r="AS117" s="450">
        <v>477.49947500424383</v>
      </c>
      <c r="AT117" s="446">
        <v>5431</v>
      </c>
      <c r="AU117" s="446">
        <v>64</v>
      </c>
      <c r="AV117" s="446">
        <v>302</v>
      </c>
      <c r="AW117" s="446">
        <v>91</v>
      </c>
      <c r="AX117" s="446">
        <v>34</v>
      </c>
      <c r="AY117" s="446">
        <v>953</v>
      </c>
      <c r="AZ117" s="446">
        <v>188</v>
      </c>
      <c r="BA117" s="446">
        <v>209</v>
      </c>
      <c r="BB117" s="446">
        <v>326</v>
      </c>
      <c r="BC117" s="446">
        <v>19</v>
      </c>
      <c r="BD117" s="446">
        <v>984</v>
      </c>
      <c r="BE117" s="446">
        <v>474</v>
      </c>
      <c r="BF117" s="446">
        <v>0</v>
      </c>
      <c r="BG117" s="446">
        <v>1787</v>
      </c>
      <c r="BH117" s="446">
        <v>0</v>
      </c>
      <c r="BI117" s="446">
        <v>0</v>
      </c>
      <c r="BJ117" s="448">
        <v>1.4165912904012896</v>
      </c>
      <c r="BK117" s="448">
        <v>14.447608315242059</v>
      </c>
      <c r="BL117" s="448">
        <v>10.39865288713265</v>
      </c>
      <c r="BM117" s="448">
        <v>8.097910856218817</v>
      </c>
      <c r="BN117" s="445">
        <v>4957</v>
      </c>
      <c r="BO117" s="445">
        <v>474</v>
      </c>
      <c r="BP117" s="443">
        <v>1632125.6552358458</v>
      </c>
      <c r="BQ117" s="443">
        <v>5488058</v>
      </c>
      <c r="BR117" s="443">
        <v>7126379</v>
      </c>
      <c r="BS117" s="444">
        <v>0.07807033695452034</v>
      </c>
      <c r="BT117" s="445">
        <v>420</v>
      </c>
      <c r="BU117" s="445">
        <v>428</v>
      </c>
      <c r="BV117" s="443">
        <v>556358.8097956177</v>
      </c>
      <c r="BW117" s="444">
        <v>0.010836428056376676</v>
      </c>
      <c r="BX117" s="443">
        <v>10956.634277196477</v>
      </c>
      <c r="BY117" s="443">
        <v>7687499.09930866</v>
      </c>
      <c r="BZ117" s="451">
        <v>0.9066666666666667</v>
      </c>
      <c r="CA117" s="443">
        <v>6969999.183373186</v>
      </c>
      <c r="CB117" s="443">
        <v>5100211.863992695</v>
      </c>
      <c r="CC117" s="443">
        <v>5100211.863992695</v>
      </c>
      <c r="CD117" s="443">
        <v>5079364.285104866</v>
      </c>
      <c r="CE117" s="443">
        <v>5079364.285104866</v>
      </c>
      <c r="CF117" s="450">
        <v>935.2539652190878</v>
      </c>
      <c r="CG117" s="446">
        <v>5431</v>
      </c>
      <c r="CH117" s="446">
        <v>64</v>
      </c>
      <c r="CI117" s="446">
        <v>302</v>
      </c>
      <c r="CJ117" s="446">
        <v>91</v>
      </c>
      <c r="CK117" s="446">
        <v>34</v>
      </c>
      <c r="CL117" s="446">
        <v>953</v>
      </c>
      <c r="CM117" s="446">
        <v>188</v>
      </c>
      <c r="CN117" s="446">
        <v>209</v>
      </c>
      <c r="CO117" s="446">
        <v>326</v>
      </c>
      <c r="CP117" s="446">
        <v>19</v>
      </c>
      <c r="CQ117" s="446">
        <v>984</v>
      </c>
      <c r="CR117" s="446">
        <v>474</v>
      </c>
      <c r="CS117" s="446">
        <v>0</v>
      </c>
      <c r="CT117" s="446">
        <v>1787</v>
      </c>
      <c r="CU117" s="446">
        <v>0</v>
      </c>
      <c r="CV117" s="446">
        <v>0</v>
      </c>
      <c r="CW117" s="443">
        <v>3772384.8980492707</v>
      </c>
      <c r="CX117" s="448">
        <v>0.8851456549627312</v>
      </c>
      <c r="CY117" s="448">
        <v>0.9066666666666667</v>
      </c>
      <c r="CZ117" s="443">
        <v>3339110.101355338</v>
      </c>
      <c r="DA117" s="450">
        <v>614.8241762760704</v>
      </c>
      <c r="DB117" s="445">
        <v>5431</v>
      </c>
      <c r="DC117" s="448">
        <v>1.0205302890812005</v>
      </c>
      <c r="DD117" s="450">
        <v>298</v>
      </c>
      <c r="DE117" s="443">
        <v>35160</v>
      </c>
      <c r="DF117" s="450">
        <v>48.33037547375104</v>
      </c>
      <c r="DG117" s="450">
        <v>50.40858161912233</v>
      </c>
      <c r="DH117" s="450">
        <v>51.51757041474301</v>
      </c>
      <c r="DI117" s="450">
        <v>52.65095696386735</v>
      </c>
      <c r="DJ117" s="450">
        <v>54.38843854367497</v>
      </c>
      <c r="DK117" s="450">
        <v>56.34642233124726</v>
      </c>
      <c r="DL117" s="450">
        <v>58.14950784584716</v>
      </c>
      <c r="DM117" s="450">
        <v>60.53363766752689</v>
      </c>
      <c r="DN117" s="450">
        <v>63.197117724898064</v>
      </c>
      <c r="DO117" s="450">
        <v>66.67295919976745</v>
      </c>
      <c r="DP117" s="450">
        <v>66.07290256696955</v>
      </c>
      <c r="DQ117" s="450">
        <v>69.44262059788498</v>
      </c>
      <c r="DR117" s="450">
        <v>36.94</v>
      </c>
      <c r="DS117" s="450">
        <v>39.12916904147429</v>
      </c>
      <c r="DT117" s="450">
        <v>41.39678256077345</v>
      </c>
      <c r="DU117" s="450">
        <v>44.21607165507847</v>
      </c>
      <c r="DV117" s="450">
        <v>47.31336053417357</v>
      </c>
      <c r="DW117" s="450">
        <v>50.38107470036379</v>
      </c>
      <c r="DX117" s="450">
        <v>54.06408654396834</v>
      </c>
      <c r="DY117" s="450">
        <v>57.19337428223572</v>
      </c>
      <c r="DZ117" s="450">
        <v>58.98827855380997</v>
      </c>
      <c r="EA117" s="450">
        <v>60.93800897195398</v>
      </c>
      <c r="EB117" s="450">
        <v>65.12520206319589</v>
      </c>
      <c r="EC117" s="450">
        <v>-1.52</v>
      </c>
      <c r="ED117" s="450">
        <v>63.60520206319588</v>
      </c>
      <c r="EE117" s="450">
        <v>3307.4705072861857</v>
      </c>
      <c r="EF117" s="443">
        <v>17603614.87856985</v>
      </c>
      <c r="EG117" s="450">
        <v>40.59</v>
      </c>
      <c r="EH117" s="450">
        <v>42.4864390414743</v>
      </c>
      <c r="EI117" s="450">
        <v>44.44667584077346</v>
      </c>
      <c r="EJ117" s="450">
        <v>46.97279394353848</v>
      </c>
      <c r="EK117" s="450">
        <v>49.761329926326056</v>
      </c>
      <c r="EL117" s="450">
        <v>52.486328377614925</v>
      </c>
      <c r="EM117" s="450">
        <v>55.817341806383084</v>
      </c>
      <c r="EN117" s="450">
        <v>58.82039516575661</v>
      </c>
      <c r="EO117" s="450">
        <v>60.53991413639438</v>
      </c>
      <c r="EP117" s="450">
        <v>61.974809846561854</v>
      </c>
      <c r="EQ117" s="450">
        <v>65.9969442385662</v>
      </c>
      <c r="ER117" s="443">
        <v>73945399</v>
      </c>
      <c r="ES117" s="443">
        <v>374000</v>
      </c>
      <c r="ET117" s="443">
        <v>0</v>
      </c>
      <c r="EU117" s="443">
        <v>175000</v>
      </c>
      <c r="EV117" s="443">
        <v>0</v>
      </c>
      <c r="EW117" s="443">
        <v>0</v>
      </c>
      <c r="EX117" s="443">
        <v>0</v>
      </c>
      <c r="EY117" s="443">
        <v>0</v>
      </c>
      <c r="EZ117" s="443">
        <v>0</v>
      </c>
      <c r="FA117" s="443">
        <v>74307399</v>
      </c>
      <c r="FB117" s="443">
        <v>74388.16045827701</v>
      </c>
      <c r="FC117" s="443">
        <v>0</v>
      </c>
      <c r="FD117" s="443">
        <v>0</v>
      </c>
      <c r="FE117" s="443">
        <v>32389</v>
      </c>
      <c r="FF117" s="452">
        <v>0.0393</v>
      </c>
      <c r="FG117" s="443">
        <v>1272.8877</v>
      </c>
      <c r="FH117" s="453">
        <v>1272.8877</v>
      </c>
    </row>
    <row r="118" spans="2:164" ht="12.75">
      <c r="B118" s="356" t="s">
        <v>806</v>
      </c>
      <c r="C118" s="442">
        <v>29396</v>
      </c>
      <c r="D118" s="443">
        <v>6880068</v>
      </c>
      <c r="E118" s="443">
        <v>5903098.344</v>
      </c>
      <c r="F118" s="443">
        <v>920013.4668010264</v>
      </c>
      <c r="G118" s="443">
        <v>976969.6560000001</v>
      </c>
      <c r="H118" s="444">
        <v>0.46201524016873047</v>
      </c>
      <c r="I118" s="445">
        <v>11429.38</v>
      </c>
      <c r="J118" s="445">
        <v>2152.02</v>
      </c>
      <c r="K118" s="443">
        <v>6823111.8108010255</v>
      </c>
      <c r="L118" s="443">
        <v>5458489.448640821</v>
      </c>
      <c r="M118" s="443">
        <v>1906855.0299113365</v>
      </c>
      <c r="N118" s="443">
        <v>1364622.3621602047</v>
      </c>
      <c r="O118" s="446">
        <v>1.3973499795890598</v>
      </c>
      <c r="P118" s="447">
        <v>0.6943461695468771</v>
      </c>
      <c r="Q118" s="448">
        <v>0.3056538304531229</v>
      </c>
      <c r="R118" s="443">
        <v>7365344.478552157</v>
      </c>
      <c r="S118" s="443">
        <v>4978972.867501259</v>
      </c>
      <c r="T118" s="443">
        <v>816972.451297967</v>
      </c>
      <c r="U118" s="443">
        <v>1604132.2590320478</v>
      </c>
      <c r="V118" s="443">
        <v>1679298.5411098918</v>
      </c>
      <c r="W118" s="446">
        <v>0.9552394763422085</v>
      </c>
      <c r="X118" s="448">
        <v>17.835730479224996</v>
      </c>
      <c r="Y118" s="443">
        <v>816972.451297967</v>
      </c>
      <c r="Z118" s="443">
        <v>707073.0699410071</v>
      </c>
      <c r="AA118" s="444">
        <v>1.155428605654758</v>
      </c>
      <c r="AB118" s="444">
        <v>0.09479180840930738</v>
      </c>
      <c r="AC118" s="445">
        <v>2498</v>
      </c>
      <c r="AD118" s="445">
        <v>3075</v>
      </c>
      <c r="AE118" s="443">
        <v>7400077.577831274</v>
      </c>
      <c r="AF118" s="443">
        <v>1318479.1959931373</v>
      </c>
      <c r="AG118" s="447">
        <v>1</v>
      </c>
      <c r="AH118" s="446">
        <v>0.4751939021507249</v>
      </c>
      <c r="AI118" s="448">
        <v>0.40016549825668335</v>
      </c>
      <c r="AJ118" s="443">
        <v>8718556.77382441</v>
      </c>
      <c r="AK118" s="449">
        <v>1</v>
      </c>
      <c r="AL118" s="443">
        <v>8718556.77382441</v>
      </c>
      <c r="AM118" s="443">
        <v>19431619.035939716</v>
      </c>
      <c r="AN118" s="443">
        <v>19194313.395609654</v>
      </c>
      <c r="AO118" s="443">
        <v>19202549.665055018</v>
      </c>
      <c r="AP118" s="443">
        <v>19202549.665055018</v>
      </c>
      <c r="AQ118" s="443">
        <v>117584</v>
      </c>
      <c r="AR118" s="443">
        <v>19320133.665055018</v>
      </c>
      <c r="AS118" s="450">
        <v>657.236823549293</v>
      </c>
      <c r="AT118" s="446">
        <v>29393</v>
      </c>
      <c r="AU118" s="446">
        <v>4581</v>
      </c>
      <c r="AV118" s="446">
        <v>1441</v>
      </c>
      <c r="AW118" s="446">
        <v>759</v>
      </c>
      <c r="AX118" s="446">
        <v>1046</v>
      </c>
      <c r="AY118" s="446">
        <v>2583</v>
      </c>
      <c r="AZ118" s="446">
        <v>1653</v>
      </c>
      <c r="BA118" s="446">
        <v>1433</v>
      </c>
      <c r="BB118" s="446">
        <v>1553</v>
      </c>
      <c r="BC118" s="446">
        <v>1199</v>
      </c>
      <c r="BD118" s="446">
        <v>2658</v>
      </c>
      <c r="BE118" s="446">
        <v>4162</v>
      </c>
      <c r="BF118" s="446">
        <v>4823</v>
      </c>
      <c r="BG118" s="446">
        <v>1455</v>
      </c>
      <c r="BH118" s="446">
        <v>0</v>
      </c>
      <c r="BI118" s="446">
        <v>47</v>
      </c>
      <c r="BJ118" s="448">
        <v>1.895979303577632</v>
      </c>
      <c r="BK118" s="448">
        <v>21.659474415255055</v>
      </c>
      <c r="BL118" s="448">
        <v>15.040147805541054</v>
      </c>
      <c r="BM118" s="448">
        <v>13.238653219428002</v>
      </c>
      <c r="BN118" s="445">
        <v>20408</v>
      </c>
      <c r="BO118" s="445">
        <v>8985</v>
      </c>
      <c r="BP118" s="443">
        <v>10673749.181847708</v>
      </c>
      <c r="BQ118" s="443">
        <v>32303750</v>
      </c>
      <c r="BR118" s="443">
        <v>41694828</v>
      </c>
      <c r="BS118" s="444">
        <v>0.09480148334637499</v>
      </c>
      <c r="BT118" s="445">
        <v>2498</v>
      </c>
      <c r="BU118" s="445">
        <v>3075</v>
      </c>
      <c r="BV118" s="443">
        <v>3952731.54227197</v>
      </c>
      <c r="BW118" s="444">
        <v>0.027860679234602385</v>
      </c>
      <c r="BX118" s="443">
        <v>228559.23845626687</v>
      </c>
      <c r="BY118" s="443">
        <v>47158789.96257594</v>
      </c>
      <c r="BZ118" s="451">
        <v>0.9533333333333333</v>
      </c>
      <c r="CA118" s="443">
        <v>44958046.430989064</v>
      </c>
      <c r="CB118" s="443">
        <v>32897501.959002446</v>
      </c>
      <c r="CC118" s="443">
        <v>32897501.959002446</v>
      </c>
      <c r="CD118" s="443">
        <v>34154970.018655345</v>
      </c>
      <c r="CE118" s="443">
        <v>34154970.018655345</v>
      </c>
      <c r="CF118" s="450">
        <v>1162.0103432332646</v>
      </c>
      <c r="CG118" s="446">
        <v>29393</v>
      </c>
      <c r="CH118" s="446">
        <v>4581</v>
      </c>
      <c r="CI118" s="446">
        <v>1441</v>
      </c>
      <c r="CJ118" s="446">
        <v>759</v>
      </c>
      <c r="CK118" s="446">
        <v>1046</v>
      </c>
      <c r="CL118" s="446">
        <v>2583</v>
      </c>
      <c r="CM118" s="446">
        <v>1653</v>
      </c>
      <c r="CN118" s="446">
        <v>1433</v>
      </c>
      <c r="CO118" s="446">
        <v>1553</v>
      </c>
      <c r="CP118" s="446">
        <v>1199</v>
      </c>
      <c r="CQ118" s="446">
        <v>2658</v>
      </c>
      <c r="CR118" s="446">
        <v>4162</v>
      </c>
      <c r="CS118" s="446">
        <v>4823</v>
      </c>
      <c r="CT118" s="446">
        <v>1455</v>
      </c>
      <c r="CU118" s="446">
        <v>0</v>
      </c>
      <c r="CV118" s="446">
        <v>47</v>
      </c>
      <c r="CW118" s="443">
        <v>20759358.169512294</v>
      </c>
      <c r="CX118" s="448">
        <v>0.9307046224975776</v>
      </c>
      <c r="CY118" s="448">
        <v>0.9533333333333333</v>
      </c>
      <c r="CZ118" s="443">
        <v>19320830.608447943</v>
      </c>
      <c r="DA118" s="450">
        <v>657.3276157060506</v>
      </c>
      <c r="DB118" s="445">
        <v>29396</v>
      </c>
      <c r="DC118" s="448">
        <v>1.0219009389032523</v>
      </c>
      <c r="DD118" s="450">
        <v>307.9</v>
      </c>
      <c r="DE118" s="443">
        <v>25216</v>
      </c>
      <c r="DF118" s="450">
        <v>46.32703310860174</v>
      </c>
      <c r="DG118" s="450">
        <v>48.31909553227161</v>
      </c>
      <c r="DH118" s="450">
        <v>49.38211563398158</v>
      </c>
      <c r="DI118" s="450">
        <v>50.46852217792916</v>
      </c>
      <c r="DJ118" s="450">
        <v>52.13398340980082</v>
      </c>
      <c r="DK118" s="450">
        <v>54.01080681255364</v>
      </c>
      <c r="DL118" s="450">
        <v>55.739152630555346</v>
      </c>
      <c r="DM118" s="450">
        <v>58.02445788840811</v>
      </c>
      <c r="DN118" s="450">
        <v>60.577534035498054</v>
      </c>
      <c r="DO118" s="450">
        <v>63.90929840745044</v>
      </c>
      <c r="DP118" s="450">
        <v>63.334114721783386</v>
      </c>
      <c r="DQ118" s="450">
        <v>66.56415457259433</v>
      </c>
      <c r="DR118" s="450">
        <v>36.08</v>
      </c>
      <c r="DS118" s="450">
        <v>38.124595563398145</v>
      </c>
      <c r="DT118" s="450">
        <v>40.24169061158581</v>
      </c>
      <c r="DU118" s="450">
        <v>42.89020602777222</v>
      </c>
      <c r="DV118" s="450">
        <v>45.80233249731224</v>
      </c>
      <c r="DW118" s="450">
        <v>48.67986471944775</v>
      </c>
      <c r="DX118" s="450">
        <v>52.14548291603771</v>
      </c>
      <c r="DY118" s="450">
        <v>55.12184526113832</v>
      </c>
      <c r="DZ118" s="450">
        <v>56.82848632453561</v>
      </c>
      <c r="EA118" s="450">
        <v>58.602725313793485</v>
      </c>
      <c r="EB118" s="450">
        <v>62.586002358356424</v>
      </c>
      <c r="EC118" s="450">
        <v>-1.36</v>
      </c>
      <c r="ED118" s="450">
        <v>61.226002358356425</v>
      </c>
      <c r="EE118" s="450">
        <v>3183.7521226345343</v>
      </c>
      <c r="EF118" s="443">
        <v>91717785.84902547</v>
      </c>
      <c r="EG118" s="450">
        <v>39.71</v>
      </c>
      <c r="EH118" s="450">
        <v>41.46346956339816</v>
      </c>
      <c r="EI118" s="450">
        <v>43.274872147585825</v>
      </c>
      <c r="EJ118" s="450">
        <v>45.631822988624236</v>
      </c>
      <c r="EK118" s="450">
        <v>48.23688835854883</v>
      </c>
      <c r="EL118" s="450">
        <v>50.77358276011121</v>
      </c>
      <c r="EM118" s="450">
        <v>53.88913130030223</v>
      </c>
      <c r="EN118" s="450">
        <v>56.7399509617358</v>
      </c>
      <c r="EO118" s="450">
        <v>58.371619794338734</v>
      </c>
      <c r="EP118" s="450">
        <v>59.63384508771858</v>
      </c>
      <c r="EQ118" s="450">
        <v>63.45296786427265</v>
      </c>
      <c r="ER118" s="443">
        <v>645471100</v>
      </c>
      <c r="ES118" s="443">
        <v>6304000</v>
      </c>
      <c r="ET118" s="443">
        <v>0</v>
      </c>
      <c r="EU118" s="443">
        <v>0</v>
      </c>
      <c r="EV118" s="443">
        <v>30000000</v>
      </c>
      <c r="EW118" s="443">
        <v>0</v>
      </c>
      <c r="EX118" s="443">
        <v>0</v>
      </c>
      <c r="EY118" s="443">
        <v>0</v>
      </c>
      <c r="EZ118" s="443">
        <v>0</v>
      </c>
      <c r="FA118" s="443">
        <v>663623100</v>
      </c>
      <c r="FB118" s="443">
        <v>353250.33692907996</v>
      </c>
      <c r="FC118" s="443">
        <v>0</v>
      </c>
      <c r="FD118" s="443">
        <v>0</v>
      </c>
      <c r="FE118" s="443">
        <v>52813</v>
      </c>
      <c r="FF118" s="452">
        <v>0.0567</v>
      </c>
      <c r="FG118" s="443">
        <v>2994.4971</v>
      </c>
      <c r="FH118" s="453">
        <v>2994.4971</v>
      </c>
    </row>
    <row r="119" spans="2:164" ht="12.75">
      <c r="B119" s="356" t="s">
        <v>807</v>
      </c>
      <c r="C119" s="442">
        <v>18341</v>
      </c>
      <c r="D119" s="443">
        <v>4304253</v>
      </c>
      <c r="E119" s="443">
        <v>3693049.074</v>
      </c>
      <c r="F119" s="443">
        <v>863131.5162917201</v>
      </c>
      <c r="G119" s="443">
        <v>611203.9260000001</v>
      </c>
      <c r="H119" s="444">
        <v>0.6928417207349654</v>
      </c>
      <c r="I119" s="445">
        <v>12088.87</v>
      </c>
      <c r="J119" s="445">
        <v>618.54</v>
      </c>
      <c r="K119" s="443">
        <v>4556180.59029172</v>
      </c>
      <c r="L119" s="443">
        <v>3644944.472233376</v>
      </c>
      <c r="M119" s="443">
        <v>1526306.834919501</v>
      </c>
      <c r="N119" s="443">
        <v>911236.1180583438</v>
      </c>
      <c r="O119" s="446">
        <v>1.674985006270105</v>
      </c>
      <c r="P119" s="447">
        <v>0.48078076440761136</v>
      </c>
      <c r="Q119" s="448">
        <v>0.5192192355923886</v>
      </c>
      <c r="R119" s="443">
        <v>5171251.307152877</v>
      </c>
      <c r="S119" s="443">
        <v>3495765.883635345</v>
      </c>
      <c r="T119" s="443">
        <v>377929.9117970032</v>
      </c>
      <c r="U119" s="443">
        <v>1905890.0930360155</v>
      </c>
      <c r="V119" s="443">
        <v>1179045.2980308558</v>
      </c>
      <c r="W119" s="446">
        <v>1.6164689314473972</v>
      </c>
      <c r="X119" s="448">
        <v>30.181860050147378</v>
      </c>
      <c r="Y119" s="443">
        <v>377929.9117970032</v>
      </c>
      <c r="Z119" s="443">
        <v>496440.1254866762</v>
      </c>
      <c r="AA119" s="444">
        <v>0.7612799457467431</v>
      </c>
      <c r="AB119" s="444">
        <v>0.06245570034349272</v>
      </c>
      <c r="AC119" s="445">
        <v>1008</v>
      </c>
      <c r="AD119" s="445">
        <v>1283</v>
      </c>
      <c r="AE119" s="443">
        <v>5779585.888468363</v>
      </c>
      <c r="AF119" s="443">
        <v>1471335.418015382</v>
      </c>
      <c r="AG119" s="447">
        <v>1</v>
      </c>
      <c r="AH119" s="446">
        <v>0.9375308778292585</v>
      </c>
      <c r="AI119" s="448">
        <v>0.7895040512084961</v>
      </c>
      <c r="AJ119" s="443">
        <v>7250921.306483746</v>
      </c>
      <c r="AK119" s="449">
        <v>1.0879518101672272</v>
      </c>
      <c r="AL119" s="443">
        <v>7888652.960769107</v>
      </c>
      <c r="AM119" s="443">
        <v>17581958.002570022</v>
      </c>
      <c r="AN119" s="443">
        <v>17367241.06136511</v>
      </c>
      <c r="AO119" s="443">
        <v>16213713.7311876</v>
      </c>
      <c r="AP119" s="443">
        <v>17367241.06136511</v>
      </c>
      <c r="AQ119" s="443">
        <v>73364</v>
      </c>
      <c r="AR119" s="443">
        <v>17440605.06136511</v>
      </c>
      <c r="AS119" s="450">
        <v>950.9080781508701</v>
      </c>
      <c r="AT119" s="446">
        <v>18339</v>
      </c>
      <c r="AU119" s="446">
        <v>425</v>
      </c>
      <c r="AV119" s="446">
        <v>111</v>
      </c>
      <c r="AW119" s="446">
        <v>911</v>
      </c>
      <c r="AX119" s="446">
        <v>365</v>
      </c>
      <c r="AY119" s="446">
        <v>627</v>
      </c>
      <c r="AZ119" s="446">
        <v>509</v>
      </c>
      <c r="BA119" s="446">
        <v>1566</v>
      </c>
      <c r="BB119" s="446">
        <v>194</v>
      </c>
      <c r="BC119" s="446">
        <v>655</v>
      </c>
      <c r="BD119" s="446">
        <v>3405</v>
      </c>
      <c r="BE119" s="446">
        <v>5818</v>
      </c>
      <c r="BF119" s="446">
        <v>3705</v>
      </c>
      <c r="BG119" s="446">
        <v>34</v>
      </c>
      <c r="BH119" s="446">
        <v>14</v>
      </c>
      <c r="BI119" s="446">
        <v>0</v>
      </c>
      <c r="BJ119" s="448">
        <v>2.1955116896200977</v>
      </c>
      <c r="BK119" s="448">
        <v>22.29508585933944</v>
      </c>
      <c r="BL119" s="448">
        <v>11.193809740963596</v>
      </c>
      <c r="BM119" s="448">
        <v>22.20255223675169</v>
      </c>
      <c r="BN119" s="445">
        <v>8816</v>
      </c>
      <c r="BO119" s="445">
        <v>9523</v>
      </c>
      <c r="BP119" s="443">
        <v>7141290.37605843</v>
      </c>
      <c r="BQ119" s="443">
        <v>21685272</v>
      </c>
      <c r="BR119" s="443">
        <v>24365182</v>
      </c>
      <c r="BS119" s="444">
        <v>0.06246251158732755</v>
      </c>
      <c r="BT119" s="445">
        <v>1008</v>
      </c>
      <c r="BU119" s="445">
        <v>1283</v>
      </c>
      <c r="BV119" s="443">
        <v>1521910.4630023448</v>
      </c>
      <c r="BW119" s="444">
        <v>0.033538556273725026</v>
      </c>
      <c r="BX119" s="443">
        <v>176703.2002299246</v>
      </c>
      <c r="BY119" s="443">
        <v>30525176.0392907</v>
      </c>
      <c r="BZ119" s="451">
        <v>1.1533333333333333</v>
      </c>
      <c r="CA119" s="443">
        <v>35205703.03198194</v>
      </c>
      <c r="CB119" s="443">
        <v>25761343.661595676</v>
      </c>
      <c r="CC119" s="443">
        <v>25761343.661595676</v>
      </c>
      <c r="CD119" s="443">
        <v>23910370.35604389</v>
      </c>
      <c r="CE119" s="443">
        <v>25578261.73093941</v>
      </c>
      <c r="CF119" s="450">
        <v>1394.746809037538</v>
      </c>
      <c r="CG119" s="446">
        <v>16430</v>
      </c>
      <c r="CH119" s="446">
        <v>417</v>
      </c>
      <c r="CI119" s="446">
        <v>110</v>
      </c>
      <c r="CJ119" s="446">
        <v>867</v>
      </c>
      <c r="CK119" s="446">
        <v>342</v>
      </c>
      <c r="CL119" s="446">
        <v>428</v>
      </c>
      <c r="CM119" s="446">
        <v>467</v>
      </c>
      <c r="CN119" s="446">
        <v>1452</v>
      </c>
      <c r="CO119" s="446">
        <v>134</v>
      </c>
      <c r="CP119" s="446">
        <v>603</v>
      </c>
      <c r="CQ119" s="446">
        <v>2838</v>
      </c>
      <c r="CR119" s="446">
        <v>5106</v>
      </c>
      <c r="CS119" s="446">
        <v>3621</v>
      </c>
      <c r="CT119" s="446">
        <v>31</v>
      </c>
      <c r="CU119" s="446">
        <v>14</v>
      </c>
      <c r="CV119" s="446">
        <v>0</v>
      </c>
      <c r="CW119" s="443">
        <v>12967892.25747605</v>
      </c>
      <c r="CX119" s="448">
        <v>1.1259573405040626</v>
      </c>
      <c r="CY119" s="448">
        <v>1.1533333333333333</v>
      </c>
      <c r="CZ119" s="443">
        <v>14601293.478170957</v>
      </c>
      <c r="DA119" s="450">
        <v>888.6971076184393</v>
      </c>
      <c r="DB119" s="445">
        <v>18341</v>
      </c>
      <c r="DC119" s="448">
        <v>1.0045853552150918</v>
      </c>
      <c r="DD119" s="450">
        <v>354.1</v>
      </c>
      <c r="DE119" s="443">
        <v>49278</v>
      </c>
      <c r="DF119" s="450">
        <v>59.21643949423705</v>
      </c>
      <c r="DG119" s="450">
        <v>61.76274639248924</v>
      </c>
      <c r="DH119" s="450">
        <v>63.12152681312399</v>
      </c>
      <c r="DI119" s="450">
        <v>64.5102004030127</v>
      </c>
      <c r="DJ119" s="450">
        <v>66.63903701631212</v>
      </c>
      <c r="DK119" s="450">
        <v>69.03804234889934</v>
      </c>
      <c r="DL119" s="450">
        <v>71.2472597040641</v>
      </c>
      <c r="DM119" s="450">
        <v>74.16839735193074</v>
      </c>
      <c r="DN119" s="450">
        <v>77.43180683541567</v>
      </c>
      <c r="DO119" s="450">
        <v>81.69055621136353</v>
      </c>
      <c r="DP119" s="450">
        <v>80.95534120546125</v>
      </c>
      <c r="DQ119" s="450">
        <v>85.08406360693976</v>
      </c>
      <c r="DR119" s="450">
        <v>47.69</v>
      </c>
      <c r="DS119" s="450">
        <v>50.17741468131239</v>
      </c>
      <c r="DT119" s="450">
        <v>52.75119364860252</v>
      </c>
      <c r="DU119" s="450">
        <v>56.01036478616962</v>
      </c>
      <c r="DV119" s="450">
        <v>59.5997814085328</v>
      </c>
      <c r="DW119" s="450">
        <v>63.130355295348885</v>
      </c>
      <c r="DX119" s="450">
        <v>67.4086393603527</v>
      </c>
      <c r="DY119" s="450">
        <v>71.15875141923125</v>
      </c>
      <c r="DZ119" s="450">
        <v>73.30776635089778</v>
      </c>
      <c r="EA119" s="450">
        <v>75.3539719428998</v>
      </c>
      <c r="EB119" s="450">
        <v>80.37443233097811</v>
      </c>
      <c r="EC119" s="450">
        <v>0</v>
      </c>
      <c r="ED119" s="450">
        <v>80.37443233097811</v>
      </c>
      <c r="EE119" s="450">
        <v>4179.470481210862</v>
      </c>
      <c r="EF119" s="443">
        <v>75122554.73397066</v>
      </c>
      <c r="EG119" s="450">
        <v>51.27</v>
      </c>
      <c r="EH119" s="450">
        <v>53.47029868131239</v>
      </c>
      <c r="EI119" s="450">
        <v>55.742595824602525</v>
      </c>
      <c r="EJ119" s="450">
        <v>58.714218428001615</v>
      </c>
      <c r="EK119" s="450">
        <v>62.000803442479615</v>
      </c>
      <c r="EL119" s="450">
        <v>65.19523424454314</v>
      </c>
      <c r="EM119" s="450">
        <v>69.12827054924168</v>
      </c>
      <c r="EN119" s="450">
        <v>72.75456916252023</v>
      </c>
      <c r="EO119" s="450">
        <v>74.82964453874769</v>
      </c>
      <c r="EP119" s="450">
        <v>76.37088896511794</v>
      </c>
      <c r="EQ119" s="450">
        <v>81.22945616325912</v>
      </c>
      <c r="ER119" s="443">
        <v>758157658.6</v>
      </c>
      <c r="ES119" s="443">
        <v>16410000</v>
      </c>
      <c r="ET119" s="443">
        <v>0</v>
      </c>
      <c r="EU119" s="443">
        <v>0</v>
      </c>
      <c r="EV119" s="443">
        <v>40613000</v>
      </c>
      <c r="EW119" s="443">
        <v>0</v>
      </c>
      <c r="EX119" s="443">
        <v>0</v>
      </c>
      <c r="EY119" s="443">
        <v>0</v>
      </c>
      <c r="EZ119" s="443">
        <v>0</v>
      </c>
      <c r="FA119" s="443">
        <v>786669158.6</v>
      </c>
      <c r="FB119" s="443">
        <v>411475.3115040403</v>
      </c>
      <c r="FC119" s="443">
        <v>0</v>
      </c>
      <c r="FD119" s="443">
        <v>0</v>
      </c>
      <c r="FE119" s="443">
        <v>0</v>
      </c>
      <c r="FF119" s="452">
        <v>0</v>
      </c>
      <c r="FG119" s="443">
        <v>0</v>
      </c>
      <c r="FH119" s="453">
        <v>0</v>
      </c>
    </row>
    <row r="120" spans="2:164" ht="12.75">
      <c r="B120" s="356" t="s">
        <v>808</v>
      </c>
      <c r="C120" s="442">
        <v>3797</v>
      </c>
      <c r="D120" s="443">
        <v>915501</v>
      </c>
      <c r="E120" s="443">
        <v>785499.858</v>
      </c>
      <c r="F120" s="443">
        <v>56934.262052364895</v>
      </c>
      <c r="G120" s="443">
        <v>130001.142</v>
      </c>
      <c r="H120" s="444">
        <v>0.21486700026336583</v>
      </c>
      <c r="I120" s="445">
        <v>377.36</v>
      </c>
      <c r="J120" s="445">
        <v>438.49</v>
      </c>
      <c r="K120" s="443">
        <v>842434.1200523649</v>
      </c>
      <c r="L120" s="443">
        <v>673947.2960418919</v>
      </c>
      <c r="M120" s="443">
        <v>178639.5196474485</v>
      </c>
      <c r="N120" s="443">
        <v>168486.82401047295</v>
      </c>
      <c r="O120" s="446">
        <v>1.0602580984988148</v>
      </c>
      <c r="P120" s="447">
        <v>0.9536476165393732</v>
      </c>
      <c r="Q120" s="448">
        <v>0.04635238346062681</v>
      </c>
      <c r="R120" s="443">
        <v>852586.8156893405</v>
      </c>
      <c r="S120" s="443">
        <v>576348.6874059942</v>
      </c>
      <c r="T120" s="443">
        <v>80664.03276836062</v>
      </c>
      <c r="U120" s="443">
        <v>53288.51746545269</v>
      </c>
      <c r="V120" s="443">
        <v>194389.79397716964</v>
      </c>
      <c r="W120" s="446">
        <v>0.27413228017367636</v>
      </c>
      <c r="X120" s="448">
        <v>5.118454153041626</v>
      </c>
      <c r="Y120" s="443">
        <v>80664.03276836062</v>
      </c>
      <c r="Z120" s="443">
        <v>81848.3343061767</v>
      </c>
      <c r="AA120" s="444">
        <v>0.9855305358642259</v>
      </c>
      <c r="AB120" s="444">
        <v>0.08085330524097972</v>
      </c>
      <c r="AC120" s="445">
        <v>311</v>
      </c>
      <c r="AD120" s="445">
        <v>303</v>
      </c>
      <c r="AE120" s="443">
        <v>710301.2376398074</v>
      </c>
      <c r="AF120" s="443">
        <v>0</v>
      </c>
      <c r="AG120" s="447">
        <v>0</v>
      </c>
      <c r="AH120" s="446">
        <v>0</v>
      </c>
      <c r="AI120" s="448">
        <v>0</v>
      </c>
      <c r="AJ120" s="443">
        <v>710301.2376398074</v>
      </c>
      <c r="AK120" s="449">
        <v>1</v>
      </c>
      <c r="AL120" s="443">
        <v>710301.2376398074</v>
      </c>
      <c r="AM120" s="443">
        <v>1583094.932869126</v>
      </c>
      <c r="AN120" s="443">
        <v>1563761.630993819</v>
      </c>
      <c r="AO120" s="443">
        <v>1553629.185564862</v>
      </c>
      <c r="AP120" s="443">
        <v>1563761.630993819</v>
      </c>
      <c r="AQ120" s="443">
        <v>15188</v>
      </c>
      <c r="AR120" s="443">
        <v>1578949.630993819</v>
      </c>
      <c r="AS120" s="450">
        <v>415.84135659568585</v>
      </c>
      <c r="AT120" s="446">
        <v>3797</v>
      </c>
      <c r="AU120" s="446">
        <v>17</v>
      </c>
      <c r="AV120" s="446">
        <v>384</v>
      </c>
      <c r="AW120" s="446">
        <v>190</v>
      </c>
      <c r="AX120" s="446">
        <v>0</v>
      </c>
      <c r="AY120" s="446">
        <v>459</v>
      </c>
      <c r="AZ120" s="446">
        <v>36</v>
      </c>
      <c r="BA120" s="446">
        <v>59</v>
      </c>
      <c r="BB120" s="446">
        <v>609</v>
      </c>
      <c r="BC120" s="446">
        <v>0</v>
      </c>
      <c r="BD120" s="446">
        <v>248</v>
      </c>
      <c r="BE120" s="446">
        <v>176</v>
      </c>
      <c r="BF120" s="446">
        <v>0</v>
      </c>
      <c r="BG120" s="446">
        <v>1619</v>
      </c>
      <c r="BH120" s="446">
        <v>0</v>
      </c>
      <c r="BI120" s="446">
        <v>0</v>
      </c>
      <c r="BJ120" s="448">
        <v>1.167149449421647</v>
      </c>
      <c r="BK120" s="448">
        <v>6.310758141133238</v>
      </c>
      <c r="BL120" s="448">
        <v>4.292394658499622</v>
      </c>
      <c r="BM120" s="448">
        <v>4.036726965267233</v>
      </c>
      <c r="BN120" s="445">
        <v>3621</v>
      </c>
      <c r="BO120" s="445">
        <v>176</v>
      </c>
      <c r="BP120" s="443">
        <v>1023157.054697049</v>
      </c>
      <c r="BQ120" s="443">
        <v>3865603</v>
      </c>
      <c r="BR120" s="443">
        <v>5071574</v>
      </c>
      <c r="BS120" s="444">
        <v>0.08085330524097972</v>
      </c>
      <c r="BT120" s="445">
        <v>311</v>
      </c>
      <c r="BU120" s="445">
        <v>303</v>
      </c>
      <c r="BV120" s="443">
        <v>410053.5206742165</v>
      </c>
      <c r="BW120" s="444">
        <v>0.008452036967560405</v>
      </c>
      <c r="BX120" s="443">
        <v>2609.7491984070525</v>
      </c>
      <c r="BY120" s="443">
        <v>5301423.324569672</v>
      </c>
      <c r="BZ120" s="451">
        <v>0.9066666666666667</v>
      </c>
      <c r="CA120" s="443">
        <v>4806623.814276503</v>
      </c>
      <c r="CB120" s="443">
        <v>3517188.3322170936</v>
      </c>
      <c r="CC120" s="443">
        <v>3517188.3322170936</v>
      </c>
      <c r="CD120" s="443">
        <v>3528402.324302259</v>
      </c>
      <c r="CE120" s="443">
        <v>3528402.324302259</v>
      </c>
      <c r="CF120" s="450">
        <v>929.2605542012797</v>
      </c>
      <c r="CG120" s="446">
        <v>3797</v>
      </c>
      <c r="CH120" s="446">
        <v>17</v>
      </c>
      <c r="CI120" s="446">
        <v>384</v>
      </c>
      <c r="CJ120" s="446">
        <v>190</v>
      </c>
      <c r="CK120" s="446">
        <v>0</v>
      </c>
      <c r="CL120" s="446">
        <v>459</v>
      </c>
      <c r="CM120" s="446">
        <v>36</v>
      </c>
      <c r="CN120" s="446">
        <v>59</v>
      </c>
      <c r="CO120" s="446">
        <v>609</v>
      </c>
      <c r="CP120" s="446">
        <v>0</v>
      </c>
      <c r="CQ120" s="446">
        <v>248</v>
      </c>
      <c r="CR120" s="446">
        <v>176</v>
      </c>
      <c r="CS120" s="446">
        <v>0</v>
      </c>
      <c r="CT120" s="446">
        <v>1619</v>
      </c>
      <c r="CU120" s="446">
        <v>0</v>
      </c>
      <c r="CV120" s="446">
        <v>0</v>
      </c>
      <c r="CW120" s="443">
        <v>2445755.3806211604</v>
      </c>
      <c r="CX120" s="448">
        <v>0.8851456549627312</v>
      </c>
      <c r="CY120" s="448">
        <v>0.9066666666666667</v>
      </c>
      <c r="CZ120" s="443">
        <v>2164849.748258541</v>
      </c>
      <c r="DA120" s="450">
        <v>570.147418556371</v>
      </c>
      <c r="DB120" s="445">
        <v>3797</v>
      </c>
      <c r="DC120" s="448">
        <v>1.0303660784830129</v>
      </c>
      <c r="DD120" s="450">
        <v>286.7</v>
      </c>
      <c r="DE120" s="443">
        <v>35509</v>
      </c>
      <c r="DF120" s="450">
        <v>47.39255161761042</v>
      </c>
      <c r="DG120" s="450">
        <v>49.43043133716767</v>
      </c>
      <c r="DH120" s="450">
        <v>50.51790082658535</v>
      </c>
      <c r="DI120" s="450">
        <v>51.62929464477021</v>
      </c>
      <c r="DJ120" s="450">
        <v>53.33306136804762</v>
      </c>
      <c r="DK120" s="450">
        <v>55.25305157729733</v>
      </c>
      <c r="DL120" s="450">
        <v>57.021149227770835</v>
      </c>
      <c r="DM120" s="450">
        <v>59.359016346109435</v>
      </c>
      <c r="DN120" s="450">
        <v>61.97081306533824</v>
      </c>
      <c r="DO120" s="450">
        <v>65.37920778393185</v>
      </c>
      <c r="DP120" s="450">
        <v>64.79079491387645</v>
      </c>
      <c r="DQ120" s="450">
        <v>68.09512545448415</v>
      </c>
      <c r="DR120" s="450">
        <v>36.44</v>
      </c>
      <c r="DS120" s="450">
        <v>38.569302082658524</v>
      </c>
      <c r="DT120" s="450">
        <v>40.77465649695402</v>
      </c>
      <c r="DU120" s="450">
        <v>43.521825312190266</v>
      </c>
      <c r="DV120" s="450">
        <v>46.540673959696</v>
      </c>
      <c r="DW120" s="450">
        <v>49.52850447663369</v>
      </c>
      <c r="DX120" s="450">
        <v>53.119141797362424</v>
      </c>
      <c r="DY120" s="450">
        <v>56.18020948410101</v>
      </c>
      <c r="DZ120" s="450">
        <v>59.67739345760692</v>
      </c>
      <c r="EA120" s="450">
        <v>60.98085001010018</v>
      </c>
      <c r="EB120" s="450">
        <v>64.89172377938905</v>
      </c>
      <c r="EC120" s="450">
        <v>0</v>
      </c>
      <c r="ED120" s="450">
        <v>64.89172377938905</v>
      </c>
      <c r="EE120" s="450">
        <v>3374.369636528231</v>
      </c>
      <c r="EF120" s="443">
        <v>12556231.879699739</v>
      </c>
      <c r="EG120" s="450">
        <v>39.27</v>
      </c>
      <c r="EH120" s="450">
        <v>41.17233608265853</v>
      </c>
      <c r="EI120" s="450">
        <v>43.13936827295404</v>
      </c>
      <c r="EJ120" s="450">
        <v>45.65922916872228</v>
      </c>
      <c r="EK120" s="450">
        <v>48.43868858429642</v>
      </c>
      <c r="EL120" s="450">
        <v>51.160797053790056</v>
      </c>
      <c r="EM120" s="450">
        <v>54.478515055618246</v>
      </c>
      <c r="EN120" s="450">
        <v>57.44170786776241</v>
      </c>
      <c r="EO120" s="450">
        <v>60.9616727851552</v>
      </c>
      <c r="EP120" s="450">
        <v>61.83900378343983</v>
      </c>
      <c r="EQ120" s="450">
        <v>65.61325947201303</v>
      </c>
      <c r="ER120" s="443">
        <v>18868225</v>
      </c>
      <c r="ES120" s="443">
        <v>0</v>
      </c>
      <c r="ET120" s="443">
        <v>0</v>
      </c>
      <c r="EU120" s="443">
        <v>0</v>
      </c>
      <c r="EV120" s="443">
        <v>0</v>
      </c>
      <c r="EW120" s="443">
        <v>0</v>
      </c>
      <c r="EX120" s="443">
        <v>0</v>
      </c>
      <c r="EY120" s="443">
        <v>0</v>
      </c>
      <c r="EZ120" s="443">
        <v>0</v>
      </c>
      <c r="FA120" s="443">
        <v>18868225</v>
      </c>
      <c r="FB120" s="443">
        <v>48154.532714862195</v>
      </c>
      <c r="FC120" s="443">
        <v>0</v>
      </c>
      <c r="FD120" s="443">
        <v>0</v>
      </c>
      <c r="FE120" s="443">
        <v>50000</v>
      </c>
      <c r="FF120" s="452">
        <v>0.07769999999999999</v>
      </c>
      <c r="FG120" s="443">
        <v>3885</v>
      </c>
      <c r="FH120" s="453">
        <v>3885</v>
      </c>
    </row>
    <row r="121" spans="2:164" ht="12.75">
      <c r="B121" s="356" t="s">
        <v>809</v>
      </c>
      <c r="C121" s="442">
        <v>15668</v>
      </c>
      <c r="D121" s="443">
        <v>3681444</v>
      </c>
      <c r="E121" s="443">
        <v>3158678.952</v>
      </c>
      <c r="F121" s="443">
        <v>385313.383508314</v>
      </c>
      <c r="G121" s="443">
        <v>522765.04800000007</v>
      </c>
      <c r="H121" s="444">
        <v>0.36161858565228494</v>
      </c>
      <c r="I121" s="445">
        <v>4249.75</v>
      </c>
      <c r="J121" s="445">
        <v>1416.09</v>
      </c>
      <c r="K121" s="443">
        <v>3543992.335508314</v>
      </c>
      <c r="L121" s="443">
        <v>2835193.8684066515</v>
      </c>
      <c r="M121" s="443">
        <v>810834.141249467</v>
      </c>
      <c r="N121" s="443">
        <v>708798.4671016627</v>
      </c>
      <c r="O121" s="446">
        <v>1.143955833546081</v>
      </c>
      <c r="P121" s="447">
        <v>0.8892647434260914</v>
      </c>
      <c r="Q121" s="448">
        <v>0.1107352565739086</v>
      </c>
      <c r="R121" s="443">
        <v>3646028.0096561187</v>
      </c>
      <c r="S121" s="443">
        <v>2464714.9345275364</v>
      </c>
      <c r="T121" s="443">
        <v>436635.39884453075</v>
      </c>
      <c r="U121" s="443">
        <v>488067.3934861084</v>
      </c>
      <c r="V121" s="443">
        <v>831294.3862015951</v>
      </c>
      <c r="W121" s="446">
        <v>0.5871173937745664</v>
      </c>
      <c r="X121" s="448">
        <v>10.962348033527844</v>
      </c>
      <c r="Y121" s="443">
        <v>436635.39884453075</v>
      </c>
      <c r="Z121" s="443">
        <v>350018.6889269874</v>
      </c>
      <c r="AA121" s="444">
        <v>1.247463100279229</v>
      </c>
      <c r="AB121" s="444">
        <v>0.10234235384222619</v>
      </c>
      <c r="AC121" s="445">
        <v>1501</v>
      </c>
      <c r="AD121" s="445">
        <v>1706</v>
      </c>
      <c r="AE121" s="443">
        <v>3389417.7268581754</v>
      </c>
      <c r="AF121" s="443">
        <v>240086.70227952703</v>
      </c>
      <c r="AG121" s="447">
        <v>0.5</v>
      </c>
      <c r="AH121" s="446">
        <v>0.2895001047545841</v>
      </c>
      <c r="AI121" s="448">
        <v>0.2437909096479416</v>
      </c>
      <c r="AJ121" s="443">
        <v>3629504.4291377026</v>
      </c>
      <c r="AK121" s="449">
        <v>1</v>
      </c>
      <c r="AL121" s="443">
        <v>3629504.4291377026</v>
      </c>
      <c r="AM121" s="443">
        <v>8089314.45718198</v>
      </c>
      <c r="AN121" s="443">
        <v>7990524.956238063</v>
      </c>
      <c r="AO121" s="443">
        <v>8297634.677941722</v>
      </c>
      <c r="AP121" s="443">
        <v>8297634.677941722</v>
      </c>
      <c r="AQ121" s="443">
        <v>62672</v>
      </c>
      <c r="AR121" s="443">
        <v>8360306.677941722</v>
      </c>
      <c r="AS121" s="450">
        <v>533.5911844486675</v>
      </c>
      <c r="AT121" s="446">
        <v>15668</v>
      </c>
      <c r="AU121" s="446">
        <v>603</v>
      </c>
      <c r="AV121" s="446">
        <v>1721</v>
      </c>
      <c r="AW121" s="446">
        <v>874</v>
      </c>
      <c r="AX121" s="446">
        <v>71</v>
      </c>
      <c r="AY121" s="446">
        <v>3227</v>
      </c>
      <c r="AZ121" s="446">
        <v>1151</v>
      </c>
      <c r="BA121" s="446">
        <v>914</v>
      </c>
      <c r="BB121" s="446">
        <v>539</v>
      </c>
      <c r="BC121" s="446">
        <v>536</v>
      </c>
      <c r="BD121" s="446">
        <v>2504</v>
      </c>
      <c r="BE121" s="446">
        <v>1735</v>
      </c>
      <c r="BF121" s="446">
        <v>0</v>
      </c>
      <c r="BG121" s="446">
        <v>1793</v>
      </c>
      <c r="BH121" s="446">
        <v>0</v>
      </c>
      <c r="BI121" s="446">
        <v>0</v>
      </c>
      <c r="BJ121" s="448">
        <v>1.3590542501158684</v>
      </c>
      <c r="BK121" s="448">
        <v>11.89683990184924</v>
      </c>
      <c r="BL121" s="448">
        <v>9.24592999087529</v>
      </c>
      <c r="BM121" s="448">
        <v>5.301819821947904</v>
      </c>
      <c r="BN121" s="445">
        <v>13933</v>
      </c>
      <c r="BO121" s="445">
        <v>1735</v>
      </c>
      <c r="BP121" s="443">
        <v>4524335.0883717295</v>
      </c>
      <c r="BQ121" s="443">
        <v>16256643</v>
      </c>
      <c r="BR121" s="443">
        <v>22142825</v>
      </c>
      <c r="BS121" s="444">
        <v>0.10234235384222619</v>
      </c>
      <c r="BT121" s="445">
        <v>1501</v>
      </c>
      <c r="BU121" s="445">
        <v>1706</v>
      </c>
      <c r="BV121" s="443">
        <v>2266148.831216492</v>
      </c>
      <c r="BW121" s="444">
        <v>0.028541049496794715</v>
      </c>
      <c r="BX121" s="443">
        <v>68553.616467155</v>
      </c>
      <c r="BY121" s="443">
        <v>23115680.53605538</v>
      </c>
      <c r="BZ121" s="451">
        <v>0.9533333333333333</v>
      </c>
      <c r="CA121" s="443">
        <v>22036948.777706128</v>
      </c>
      <c r="CB121" s="443">
        <v>16125268.40323998</v>
      </c>
      <c r="CC121" s="443">
        <v>16125268.40323998</v>
      </c>
      <c r="CD121" s="443">
        <v>16676006.504439631</v>
      </c>
      <c r="CE121" s="443">
        <v>16676006.504439631</v>
      </c>
      <c r="CF121" s="450">
        <v>1064.3353653586694</v>
      </c>
      <c r="CG121" s="446">
        <v>15668</v>
      </c>
      <c r="CH121" s="446">
        <v>603</v>
      </c>
      <c r="CI121" s="446">
        <v>1721</v>
      </c>
      <c r="CJ121" s="446">
        <v>874</v>
      </c>
      <c r="CK121" s="446">
        <v>71</v>
      </c>
      <c r="CL121" s="446">
        <v>3227</v>
      </c>
      <c r="CM121" s="446">
        <v>1151</v>
      </c>
      <c r="CN121" s="446">
        <v>914</v>
      </c>
      <c r="CO121" s="446">
        <v>539</v>
      </c>
      <c r="CP121" s="446">
        <v>536</v>
      </c>
      <c r="CQ121" s="446">
        <v>2504</v>
      </c>
      <c r="CR121" s="446">
        <v>1735</v>
      </c>
      <c r="CS121" s="446">
        <v>0</v>
      </c>
      <c r="CT121" s="446">
        <v>1793</v>
      </c>
      <c r="CU121" s="446">
        <v>0</v>
      </c>
      <c r="CV121" s="446">
        <v>0</v>
      </c>
      <c r="CW121" s="443">
        <v>10708919.46265383</v>
      </c>
      <c r="CX121" s="448">
        <v>0.9307046224975776</v>
      </c>
      <c r="CY121" s="448">
        <v>0.9533333333333333</v>
      </c>
      <c r="CZ121" s="443">
        <v>9966840.845846195</v>
      </c>
      <c r="DA121" s="450">
        <v>636.1271921014932</v>
      </c>
      <c r="DB121" s="445">
        <v>15668</v>
      </c>
      <c r="DC121" s="448">
        <v>1.0172517232575953</v>
      </c>
      <c r="DD121" s="450">
        <v>307.9</v>
      </c>
      <c r="DE121" s="443">
        <v>28111</v>
      </c>
      <c r="DF121" s="450">
        <v>47.10756740586618</v>
      </c>
      <c r="DG121" s="450">
        <v>49.13319280431842</v>
      </c>
      <c r="DH121" s="450">
        <v>50.21412304601341</v>
      </c>
      <c r="DI121" s="450">
        <v>51.3188337530257</v>
      </c>
      <c r="DJ121" s="450">
        <v>53.012355266875545</v>
      </c>
      <c r="DK121" s="450">
        <v>54.92080005648305</v>
      </c>
      <c r="DL121" s="450">
        <v>56.6782656582905</v>
      </c>
      <c r="DM121" s="450">
        <v>59.002074550280405</v>
      </c>
      <c r="DN121" s="450">
        <v>61.59816583049273</v>
      </c>
      <c r="DO121" s="450">
        <v>64.98606495116982</v>
      </c>
      <c r="DP121" s="450">
        <v>64.4011903666093</v>
      </c>
      <c r="DQ121" s="450">
        <v>67.68565107530637</v>
      </c>
      <c r="DR121" s="450">
        <v>35.67</v>
      </c>
      <c r="DS121" s="450">
        <v>37.830678304601335</v>
      </c>
      <c r="DT121" s="450">
        <v>40.06916217460513</v>
      </c>
      <c r="DU121" s="450">
        <v>42.844058368930654</v>
      </c>
      <c r="DV121" s="450">
        <v>45.89135241110799</v>
      </c>
      <c r="DW121" s="450">
        <v>48.91294068326795</v>
      </c>
      <c r="DX121" s="450">
        <v>52.53511191108163</v>
      </c>
      <c r="DY121" s="450">
        <v>55.59682450131627</v>
      </c>
      <c r="DZ121" s="450">
        <v>57.35324262949994</v>
      </c>
      <c r="EA121" s="450">
        <v>59.30094843631485</v>
      </c>
      <c r="EB121" s="450">
        <v>63.3973676603148</v>
      </c>
      <c r="EC121" s="450">
        <v>-2.73</v>
      </c>
      <c r="ED121" s="450">
        <v>60.6673676603148</v>
      </c>
      <c r="EE121" s="450">
        <v>3154.7031183363697</v>
      </c>
      <c r="EF121" s="443">
        <v>48439330.68893235</v>
      </c>
      <c r="EG121" s="450">
        <v>36.48</v>
      </c>
      <c r="EH121" s="450">
        <v>38.57571630460133</v>
      </c>
      <c r="EI121" s="450">
        <v>40.74598780660512</v>
      </c>
      <c r="EJ121" s="450">
        <v>43.45582413705465</v>
      </c>
      <c r="EK121" s="450">
        <v>46.434600413202105</v>
      </c>
      <c r="EL121" s="450">
        <v>49.380133965068886</v>
      </c>
      <c r="EM121" s="450">
        <v>52.92419047616545</v>
      </c>
      <c r="EN121" s="450">
        <v>55.95788940971405</v>
      </c>
      <c r="EO121" s="450">
        <v>57.69757819714196</v>
      </c>
      <c r="EP121" s="450">
        <v>59.53103301396756</v>
      </c>
      <c r="EQ121" s="450">
        <v>63.5908227732052</v>
      </c>
      <c r="ER121" s="443">
        <v>141364217</v>
      </c>
      <c r="ES121" s="443">
        <v>2055000</v>
      </c>
      <c r="ET121" s="443">
        <v>0</v>
      </c>
      <c r="EU121" s="443">
        <v>0</v>
      </c>
      <c r="EV121" s="443">
        <v>0</v>
      </c>
      <c r="EW121" s="443">
        <v>0</v>
      </c>
      <c r="EX121" s="443">
        <v>0</v>
      </c>
      <c r="EY121" s="443">
        <v>0</v>
      </c>
      <c r="EZ121" s="443">
        <v>0</v>
      </c>
      <c r="FA121" s="443">
        <v>142391717</v>
      </c>
      <c r="FB121" s="443">
        <v>106605.4271436767</v>
      </c>
      <c r="FC121" s="443">
        <v>0</v>
      </c>
      <c r="FD121" s="443">
        <v>0</v>
      </c>
      <c r="FE121" s="443">
        <v>3884</v>
      </c>
      <c r="FF121" s="452">
        <v>0.058600000000000006</v>
      </c>
      <c r="FG121" s="443">
        <v>227.60240000000002</v>
      </c>
      <c r="FH121" s="453">
        <v>227.60240000000002</v>
      </c>
    </row>
    <row r="122" spans="2:164" ht="12.75">
      <c r="B122" s="356" t="s">
        <v>810</v>
      </c>
      <c r="C122" s="442">
        <v>2724</v>
      </c>
      <c r="D122" s="443">
        <v>665492</v>
      </c>
      <c r="E122" s="443">
        <v>570992.1359999999</v>
      </c>
      <c r="F122" s="443">
        <v>58358.384031001886</v>
      </c>
      <c r="G122" s="443">
        <v>94499.86400000002</v>
      </c>
      <c r="H122" s="444">
        <v>0.3029809104258443</v>
      </c>
      <c r="I122" s="445">
        <v>551.8</v>
      </c>
      <c r="J122" s="445">
        <v>273.52</v>
      </c>
      <c r="K122" s="443">
        <v>629350.5200310019</v>
      </c>
      <c r="L122" s="443">
        <v>503480.41602480155</v>
      </c>
      <c r="M122" s="443">
        <v>154944.06488751504</v>
      </c>
      <c r="N122" s="443">
        <v>125870.10400620034</v>
      </c>
      <c r="O122" s="446">
        <v>1.2309838472834067</v>
      </c>
      <c r="P122" s="447">
        <v>0.8223201174743024</v>
      </c>
      <c r="Q122" s="448">
        <v>0.1776798825256975</v>
      </c>
      <c r="R122" s="443">
        <v>658424.4809123166</v>
      </c>
      <c r="S122" s="443">
        <v>445094.949096726</v>
      </c>
      <c r="T122" s="443">
        <v>41577.63107157889</v>
      </c>
      <c r="U122" s="443">
        <v>68292.57103723477</v>
      </c>
      <c r="V122" s="443">
        <v>150120.78164800818</v>
      </c>
      <c r="W122" s="446">
        <v>0.45491750234395933</v>
      </c>
      <c r="X122" s="448">
        <v>8.493980999569109</v>
      </c>
      <c r="Y122" s="443">
        <v>41577.63107157889</v>
      </c>
      <c r="Z122" s="443">
        <v>63208.750167582395</v>
      </c>
      <c r="AA122" s="444">
        <v>0.6577828379986326</v>
      </c>
      <c r="AB122" s="444">
        <v>0.053964757709251104</v>
      </c>
      <c r="AC122" s="445">
        <v>144</v>
      </c>
      <c r="AD122" s="445">
        <v>150</v>
      </c>
      <c r="AE122" s="443">
        <v>554965.1512055397</v>
      </c>
      <c r="AF122" s="443">
        <v>0</v>
      </c>
      <c r="AG122" s="447">
        <v>0</v>
      </c>
      <c r="AH122" s="446">
        <v>0.03415123084866785</v>
      </c>
      <c r="AI122" s="448">
        <v>0.02875909022986889</v>
      </c>
      <c r="AJ122" s="443">
        <v>554965.1512055397</v>
      </c>
      <c r="AK122" s="449">
        <v>1.0205159980087553</v>
      </c>
      <c r="AL122" s="443">
        <v>566350.8151426011</v>
      </c>
      <c r="AM122" s="443">
        <v>1262263.189428946</v>
      </c>
      <c r="AN122" s="443">
        <v>1246847.9955699842</v>
      </c>
      <c r="AO122" s="443">
        <v>1249371.078541114</v>
      </c>
      <c r="AP122" s="443">
        <v>1249371.078541114</v>
      </c>
      <c r="AQ122" s="443">
        <v>10896</v>
      </c>
      <c r="AR122" s="443">
        <v>1260267.078541114</v>
      </c>
      <c r="AS122" s="450">
        <v>462.6531125334486</v>
      </c>
      <c r="AT122" s="446">
        <v>2724</v>
      </c>
      <c r="AU122" s="446">
        <v>37</v>
      </c>
      <c r="AV122" s="446">
        <v>378</v>
      </c>
      <c r="AW122" s="446">
        <v>60</v>
      </c>
      <c r="AX122" s="446">
        <v>63</v>
      </c>
      <c r="AY122" s="446">
        <v>556</v>
      </c>
      <c r="AZ122" s="446">
        <v>199</v>
      </c>
      <c r="BA122" s="446">
        <v>120</v>
      </c>
      <c r="BB122" s="446">
        <v>56</v>
      </c>
      <c r="BC122" s="446">
        <v>0</v>
      </c>
      <c r="BD122" s="446">
        <v>136</v>
      </c>
      <c r="BE122" s="446">
        <v>484</v>
      </c>
      <c r="BF122" s="446">
        <v>0</v>
      </c>
      <c r="BG122" s="446">
        <v>635</v>
      </c>
      <c r="BH122" s="446">
        <v>0</v>
      </c>
      <c r="BI122" s="446">
        <v>0</v>
      </c>
      <c r="BJ122" s="448">
        <v>1.3382367314638939</v>
      </c>
      <c r="BK122" s="448">
        <v>9.941752376546633</v>
      </c>
      <c r="BL122" s="448">
        <v>5.281132652650013</v>
      </c>
      <c r="BM122" s="448">
        <v>9.321239447793241</v>
      </c>
      <c r="BN122" s="445">
        <v>2240</v>
      </c>
      <c r="BO122" s="445">
        <v>484</v>
      </c>
      <c r="BP122" s="443">
        <v>826005.2107083851</v>
      </c>
      <c r="BQ122" s="443">
        <v>2859783</v>
      </c>
      <c r="BR122" s="443">
        <v>3786849</v>
      </c>
      <c r="BS122" s="444">
        <v>0.053964757709251104</v>
      </c>
      <c r="BT122" s="445">
        <v>144</v>
      </c>
      <c r="BU122" s="445">
        <v>150</v>
      </c>
      <c r="BV122" s="443">
        <v>204356.38876651984</v>
      </c>
      <c r="BW122" s="444">
        <v>0.006599502888402313</v>
      </c>
      <c r="BX122" s="443">
        <v>2303.013691635364</v>
      </c>
      <c r="BY122" s="443">
        <v>3892447.61316654</v>
      </c>
      <c r="BZ122" s="451">
        <v>0.9533333333333333</v>
      </c>
      <c r="CA122" s="443">
        <v>3710800.0578854345</v>
      </c>
      <c r="CB122" s="443">
        <v>2715332.6682274803</v>
      </c>
      <c r="CC122" s="443">
        <v>2715332.6682274803</v>
      </c>
      <c r="CD122" s="443">
        <v>2722207.1541264704</v>
      </c>
      <c r="CE122" s="443">
        <v>2722207.1541264704</v>
      </c>
      <c r="CF122" s="450">
        <v>999.3418333797615</v>
      </c>
      <c r="CG122" s="446">
        <v>2724</v>
      </c>
      <c r="CH122" s="446">
        <v>37</v>
      </c>
      <c r="CI122" s="446">
        <v>378</v>
      </c>
      <c r="CJ122" s="446">
        <v>60</v>
      </c>
      <c r="CK122" s="446">
        <v>63</v>
      </c>
      <c r="CL122" s="446">
        <v>556</v>
      </c>
      <c r="CM122" s="446">
        <v>199</v>
      </c>
      <c r="CN122" s="446">
        <v>120</v>
      </c>
      <c r="CO122" s="446">
        <v>56</v>
      </c>
      <c r="CP122" s="446">
        <v>0</v>
      </c>
      <c r="CQ122" s="446">
        <v>136</v>
      </c>
      <c r="CR122" s="446">
        <v>484</v>
      </c>
      <c r="CS122" s="446">
        <v>0</v>
      </c>
      <c r="CT122" s="446">
        <v>635</v>
      </c>
      <c r="CU122" s="446">
        <v>0</v>
      </c>
      <c r="CV122" s="446">
        <v>0</v>
      </c>
      <c r="CW122" s="443">
        <v>1868146.2193555431</v>
      </c>
      <c r="CX122" s="448">
        <v>0.9307046224975776</v>
      </c>
      <c r="CY122" s="448">
        <v>0.9533333333333333</v>
      </c>
      <c r="CZ122" s="443">
        <v>1738692.3218555776</v>
      </c>
      <c r="DA122" s="450">
        <v>638.2864617678332</v>
      </c>
      <c r="DB122" s="445">
        <v>2724</v>
      </c>
      <c r="DC122" s="448">
        <v>1.011747430249633</v>
      </c>
      <c r="DD122" s="450">
        <v>326.1</v>
      </c>
      <c r="DE122" s="443">
        <v>44909</v>
      </c>
      <c r="DF122" s="450">
        <v>54.660611078744864</v>
      </c>
      <c r="DG122" s="450">
        <v>57.01101735513089</v>
      </c>
      <c r="DH122" s="450">
        <v>58.265259736943754</v>
      </c>
      <c r="DI122" s="450">
        <v>59.54709545115651</v>
      </c>
      <c r="DJ122" s="450">
        <v>61.51214960104467</v>
      </c>
      <c r="DK122" s="450">
        <v>63.726586986682264</v>
      </c>
      <c r="DL122" s="450">
        <v>65.76583777025608</v>
      </c>
      <c r="DM122" s="450">
        <v>68.46223711883658</v>
      </c>
      <c r="DN122" s="450">
        <v>71.47457555206537</v>
      </c>
      <c r="DO122" s="450">
        <v>75.40567720742897</v>
      </c>
      <c r="DP122" s="450">
        <v>74.7270261125621</v>
      </c>
      <c r="DQ122" s="450">
        <v>78.53810444430276</v>
      </c>
      <c r="DR122" s="450">
        <v>40.79</v>
      </c>
      <c r="DS122" s="450">
        <v>43.345167973694366</v>
      </c>
      <c r="DT122" s="450">
        <v>45.993020978231286</v>
      </c>
      <c r="DU122" s="450">
        <v>49.26096053682938</v>
      </c>
      <c r="DV122" s="450">
        <v>52.847531097659086</v>
      </c>
      <c r="DW122" s="450">
        <v>56.40984970569615</v>
      </c>
      <c r="DX122" s="450">
        <v>60.67057025867107</v>
      </c>
      <c r="DY122" s="450">
        <v>64.24390870583179</v>
      </c>
      <c r="DZ122" s="450">
        <v>66.29431941629018</v>
      </c>
      <c r="EA122" s="450">
        <v>68.63882870799912</v>
      </c>
      <c r="EB122" s="450">
        <v>73.41914806654621</v>
      </c>
      <c r="EC122" s="450">
        <v>-4.36</v>
      </c>
      <c r="ED122" s="450">
        <v>69.05914806654621</v>
      </c>
      <c r="EE122" s="450">
        <v>3591.075699460403</v>
      </c>
      <c r="EF122" s="443">
        <v>9586448.401223535</v>
      </c>
      <c r="EG122" s="450">
        <v>40.79</v>
      </c>
      <c r="EH122" s="450">
        <v>43.345167973694366</v>
      </c>
      <c r="EI122" s="450">
        <v>45.993020978231286</v>
      </c>
      <c r="EJ122" s="450">
        <v>49.26096053682938</v>
      </c>
      <c r="EK122" s="450">
        <v>52.847531097659086</v>
      </c>
      <c r="EL122" s="450">
        <v>56.40984970569615</v>
      </c>
      <c r="EM122" s="450">
        <v>60.67057025867107</v>
      </c>
      <c r="EN122" s="450">
        <v>64.24390870583179</v>
      </c>
      <c r="EO122" s="450">
        <v>66.29431941629018</v>
      </c>
      <c r="EP122" s="450">
        <v>68.63882870799912</v>
      </c>
      <c r="EQ122" s="450">
        <v>73.41914806654621</v>
      </c>
      <c r="ER122" s="443">
        <v>3217342</v>
      </c>
      <c r="ES122" s="443">
        <v>400000</v>
      </c>
      <c r="ET122" s="443">
        <v>0</v>
      </c>
      <c r="EU122" s="443">
        <v>0</v>
      </c>
      <c r="EV122" s="443">
        <v>0</v>
      </c>
      <c r="EW122" s="443">
        <v>0</v>
      </c>
      <c r="EX122" s="443">
        <v>0</v>
      </c>
      <c r="EY122" s="443">
        <v>0</v>
      </c>
      <c r="EZ122" s="443">
        <v>0</v>
      </c>
      <c r="FA122" s="443">
        <v>3417342</v>
      </c>
      <c r="FB122" s="443">
        <v>40843.22766314811</v>
      </c>
      <c r="FC122" s="443">
        <v>0</v>
      </c>
      <c r="FD122" s="443">
        <v>0</v>
      </c>
      <c r="FE122" s="443">
        <v>12255</v>
      </c>
      <c r="FF122" s="452">
        <v>0.0313</v>
      </c>
      <c r="FG122" s="443">
        <v>383.5815</v>
      </c>
      <c r="FH122" s="453">
        <v>383.5815</v>
      </c>
    </row>
    <row r="123" spans="2:164" ht="12.75">
      <c r="B123" s="356" t="s">
        <v>811</v>
      </c>
      <c r="C123" s="442">
        <v>12249.7</v>
      </c>
      <c r="D123" s="443">
        <v>2884980.1</v>
      </c>
      <c r="E123" s="443">
        <v>2475312.9258</v>
      </c>
      <c r="F123" s="443">
        <v>377630.95110544586</v>
      </c>
      <c r="G123" s="443">
        <v>409667.17420000007</v>
      </c>
      <c r="H123" s="444">
        <v>0.4522510755365437</v>
      </c>
      <c r="I123" s="445">
        <v>4622.66</v>
      </c>
      <c r="J123" s="445">
        <v>917.28</v>
      </c>
      <c r="K123" s="443">
        <v>2852943.876905446</v>
      </c>
      <c r="L123" s="443">
        <v>2282355.1015243568</v>
      </c>
      <c r="M123" s="443">
        <v>769158.5321465267</v>
      </c>
      <c r="N123" s="443">
        <v>570588.7753810891</v>
      </c>
      <c r="O123" s="446">
        <v>1.3480085226576977</v>
      </c>
      <c r="P123" s="447">
        <v>0.7323444655787488</v>
      </c>
      <c r="Q123" s="448">
        <v>0.26768002481693426</v>
      </c>
      <c r="R123" s="443">
        <v>3051513.6336708833</v>
      </c>
      <c r="S123" s="443">
        <v>2062823.2163615173</v>
      </c>
      <c r="T123" s="443">
        <v>360435.4696439261</v>
      </c>
      <c r="U123" s="443">
        <v>770494.6341450069</v>
      </c>
      <c r="V123" s="443">
        <v>695745.1084769614</v>
      </c>
      <c r="W123" s="446">
        <v>1.107438090124238</v>
      </c>
      <c r="X123" s="448">
        <v>20.677503167601056</v>
      </c>
      <c r="Y123" s="443">
        <v>360435.4696439261</v>
      </c>
      <c r="Z123" s="443">
        <v>292945.3088324048</v>
      </c>
      <c r="AA123" s="444">
        <v>1.2303848492420566</v>
      </c>
      <c r="AB123" s="444">
        <v>0.10094124754075609</v>
      </c>
      <c r="AC123" s="445">
        <v>1245</v>
      </c>
      <c r="AD123" s="445">
        <v>1228</v>
      </c>
      <c r="AE123" s="443">
        <v>3193753.3201504503</v>
      </c>
      <c r="AF123" s="443">
        <v>76298.15163359024</v>
      </c>
      <c r="AG123" s="447">
        <v>0.25</v>
      </c>
      <c r="AH123" s="446">
        <v>0.2145659125752216</v>
      </c>
      <c r="AI123" s="448">
        <v>0.18068808317184448</v>
      </c>
      <c r="AJ123" s="443">
        <v>3270051.471784041</v>
      </c>
      <c r="AK123" s="449">
        <v>1.0157322142344678</v>
      </c>
      <c r="AL123" s="443">
        <v>3321496.6220958843</v>
      </c>
      <c r="AM123" s="443">
        <v>7402837.265853618</v>
      </c>
      <c r="AN123" s="443">
        <v>7312431.261372804</v>
      </c>
      <c r="AO123" s="443">
        <v>7013075.2361163385</v>
      </c>
      <c r="AP123" s="443">
        <v>7312431.261372804</v>
      </c>
      <c r="AQ123" s="443">
        <v>48998.8</v>
      </c>
      <c r="AR123" s="443">
        <v>7361430.0613728035</v>
      </c>
      <c r="AS123" s="450">
        <v>600.9477833230857</v>
      </c>
      <c r="AT123" s="446">
        <v>12214</v>
      </c>
      <c r="AU123" s="446">
        <v>35</v>
      </c>
      <c r="AV123" s="446">
        <v>471</v>
      </c>
      <c r="AW123" s="446">
        <v>1287</v>
      </c>
      <c r="AX123" s="446">
        <v>0</v>
      </c>
      <c r="AY123" s="446">
        <v>944</v>
      </c>
      <c r="AZ123" s="446">
        <v>870</v>
      </c>
      <c r="BA123" s="446">
        <v>1691</v>
      </c>
      <c r="BB123" s="446">
        <v>114</v>
      </c>
      <c r="BC123" s="446">
        <v>296</v>
      </c>
      <c r="BD123" s="446">
        <v>1619</v>
      </c>
      <c r="BE123" s="446">
        <v>2776</v>
      </c>
      <c r="BF123" s="446">
        <v>503</v>
      </c>
      <c r="BG123" s="446">
        <v>1608</v>
      </c>
      <c r="BH123" s="446">
        <v>0</v>
      </c>
      <c r="BI123" s="446">
        <v>0</v>
      </c>
      <c r="BJ123" s="448">
        <v>2.06542989826058</v>
      </c>
      <c r="BK123" s="448">
        <v>27.157971867319894</v>
      </c>
      <c r="BL123" s="448">
        <v>17.101975005207787</v>
      </c>
      <c r="BM123" s="448">
        <v>20.11199372422421</v>
      </c>
      <c r="BN123" s="445">
        <v>8935</v>
      </c>
      <c r="BO123" s="445">
        <v>3279</v>
      </c>
      <c r="BP123" s="443">
        <v>5198329.734549481</v>
      </c>
      <c r="BQ123" s="443">
        <v>13487980</v>
      </c>
      <c r="BR123" s="443">
        <v>16707528</v>
      </c>
      <c r="BS123" s="444">
        <v>0.10123628622891763</v>
      </c>
      <c r="BT123" s="445">
        <v>1245</v>
      </c>
      <c r="BU123" s="445">
        <v>1228</v>
      </c>
      <c r="BV123" s="443">
        <v>1691408.0867856557</v>
      </c>
      <c r="BW123" s="444">
        <v>0.022208827230990606</v>
      </c>
      <c r="BX123" s="443">
        <v>94928.39256474454</v>
      </c>
      <c r="BY123" s="443">
        <v>20472646.21389988</v>
      </c>
      <c r="BZ123" s="451">
        <v>0.9666666666666667</v>
      </c>
      <c r="CA123" s="443">
        <v>19790224.673436552</v>
      </c>
      <c r="CB123" s="443">
        <v>14481255.451409405</v>
      </c>
      <c r="CC123" s="443">
        <v>14481255.451409405</v>
      </c>
      <c r="CD123" s="443">
        <v>14243499.96361632</v>
      </c>
      <c r="CE123" s="443">
        <v>14378339.383008711</v>
      </c>
      <c r="CF123" s="450">
        <v>1177.2015214515075</v>
      </c>
      <c r="CG123" s="446">
        <v>12214</v>
      </c>
      <c r="CH123" s="446">
        <v>35</v>
      </c>
      <c r="CI123" s="446">
        <v>471</v>
      </c>
      <c r="CJ123" s="446">
        <v>1287</v>
      </c>
      <c r="CK123" s="446">
        <v>0</v>
      </c>
      <c r="CL123" s="446">
        <v>944</v>
      </c>
      <c r="CM123" s="446">
        <v>870</v>
      </c>
      <c r="CN123" s="446">
        <v>1691</v>
      </c>
      <c r="CO123" s="446">
        <v>114</v>
      </c>
      <c r="CP123" s="446">
        <v>296</v>
      </c>
      <c r="CQ123" s="446">
        <v>1619</v>
      </c>
      <c r="CR123" s="446">
        <v>2776</v>
      </c>
      <c r="CS123" s="446">
        <v>503</v>
      </c>
      <c r="CT123" s="446">
        <v>1608</v>
      </c>
      <c r="CU123" s="446">
        <v>0</v>
      </c>
      <c r="CV123" s="446">
        <v>0</v>
      </c>
      <c r="CW123" s="443">
        <v>8596832.949669981</v>
      </c>
      <c r="CX123" s="448">
        <v>0.9437214703646767</v>
      </c>
      <c r="CY123" s="448">
        <v>0.9666666666666667</v>
      </c>
      <c r="CZ123" s="443">
        <v>8113015.831742056</v>
      </c>
      <c r="DA123" s="450">
        <v>664.2390561439378</v>
      </c>
      <c r="DB123" s="445">
        <v>12249.7</v>
      </c>
      <c r="DC123" s="448">
        <v>0.9939786280480339</v>
      </c>
      <c r="DD123" s="450">
        <v>328.5</v>
      </c>
      <c r="DE123" s="443">
        <v>36326</v>
      </c>
      <c r="DF123" s="450">
        <v>51.421726764370575</v>
      </c>
      <c r="DG123" s="450">
        <v>53.632861015238504</v>
      </c>
      <c r="DH123" s="450">
        <v>54.81278395757374</v>
      </c>
      <c r="DI123" s="450">
        <v>56.01866520464036</v>
      </c>
      <c r="DJ123" s="450">
        <v>57.86728115639348</v>
      </c>
      <c r="DK123" s="450">
        <v>59.95050327802364</v>
      </c>
      <c r="DL123" s="450">
        <v>61.86891938292038</v>
      </c>
      <c r="DM123" s="450">
        <v>64.40554507762012</v>
      </c>
      <c r="DN123" s="450">
        <v>67.2393890610354</v>
      </c>
      <c r="DO123" s="450">
        <v>70.93755545939234</v>
      </c>
      <c r="DP123" s="450">
        <v>70.2991174602578</v>
      </c>
      <c r="DQ123" s="450">
        <v>73.88437245073095</v>
      </c>
      <c r="DR123" s="450">
        <v>39.5</v>
      </c>
      <c r="DS123" s="450">
        <v>41.81337839575737</v>
      </c>
      <c r="DT123" s="450">
        <v>44.20942744092806</v>
      </c>
      <c r="DU123" s="450">
        <v>47.19320637271803</v>
      </c>
      <c r="DV123" s="450">
        <v>50.47192487011984</v>
      </c>
      <c r="DW123" s="450">
        <v>53.71734195212312</v>
      </c>
      <c r="DX123" s="450">
        <v>57.61691139325216</v>
      </c>
      <c r="DY123" s="450">
        <v>60.93953700194193</v>
      </c>
      <c r="DZ123" s="450">
        <v>62.84517548481144</v>
      </c>
      <c r="EA123" s="450">
        <v>64.89179970506041</v>
      </c>
      <c r="EB123" s="450">
        <v>69.33789968216098</v>
      </c>
      <c r="EC123" s="450">
        <v>0</v>
      </c>
      <c r="ED123" s="450">
        <v>69.33789968216098</v>
      </c>
      <c r="EE123" s="450">
        <v>3605.5707834723707</v>
      </c>
      <c r="EF123" s="443">
        <v>43283817.21777547</v>
      </c>
      <c r="EG123" s="450">
        <v>42.43</v>
      </c>
      <c r="EH123" s="450">
        <v>44.50839239575736</v>
      </c>
      <c r="EI123" s="450">
        <v>46.65769793692805</v>
      </c>
      <c r="EJ123" s="450">
        <v>49.40613686729003</v>
      </c>
      <c r="EK123" s="450">
        <v>52.437007149299774</v>
      </c>
      <c r="EL123" s="450">
        <v>55.40731271221786</v>
      </c>
      <c r="EM123" s="450">
        <v>59.02431904225905</v>
      </c>
      <c r="EN123" s="450">
        <v>62.245611300220325</v>
      </c>
      <c r="EO123" s="450">
        <v>64.09073500726961</v>
      </c>
      <c r="EP123" s="450">
        <v>65.7240809550881</v>
      </c>
      <c r="EQ123" s="450">
        <v>70.03768175718426</v>
      </c>
      <c r="ER123" s="443">
        <v>15230089</v>
      </c>
      <c r="ES123" s="443">
        <v>500000</v>
      </c>
      <c r="ET123" s="443">
        <v>0</v>
      </c>
      <c r="EU123" s="443">
        <v>0</v>
      </c>
      <c r="EV123" s="443">
        <v>0</v>
      </c>
      <c r="EW123" s="443">
        <v>0</v>
      </c>
      <c r="EX123" s="443">
        <v>0</v>
      </c>
      <c r="EY123" s="443">
        <v>0</v>
      </c>
      <c r="EZ123" s="443">
        <v>0</v>
      </c>
      <c r="FA123" s="443">
        <v>15480089</v>
      </c>
      <c r="FB123" s="443">
        <v>46551.278334339455</v>
      </c>
      <c r="FC123" s="443">
        <v>0</v>
      </c>
      <c r="FD123" s="443">
        <v>0</v>
      </c>
      <c r="FE123" s="443">
        <v>36499</v>
      </c>
      <c r="FF123" s="452">
        <v>0.0313</v>
      </c>
      <c r="FG123" s="443">
        <v>1142.4187</v>
      </c>
      <c r="FH123" s="453">
        <v>1142.4187</v>
      </c>
    </row>
    <row r="124" spans="2:164" ht="12.75">
      <c r="B124" s="356" t="s">
        <v>812</v>
      </c>
      <c r="C124" s="442">
        <v>8526</v>
      </c>
      <c r="D124" s="443">
        <v>2017358</v>
      </c>
      <c r="E124" s="443">
        <v>1730893.1639999999</v>
      </c>
      <c r="F124" s="443">
        <v>143045.9279108957</v>
      </c>
      <c r="G124" s="443">
        <v>286464.836</v>
      </c>
      <c r="H124" s="444">
        <v>0.24498944405348344</v>
      </c>
      <c r="I124" s="445">
        <v>1148.1</v>
      </c>
      <c r="J124" s="445">
        <v>940.68</v>
      </c>
      <c r="K124" s="443">
        <v>1873939.0919108957</v>
      </c>
      <c r="L124" s="443">
        <v>1499151.2735287165</v>
      </c>
      <c r="M124" s="443">
        <v>397874.67766136274</v>
      </c>
      <c r="N124" s="443">
        <v>374787.8183821791</v>
      </c>
      <c r="O124" s="446">
        <v>1.0615998123387285</v>
      </c>
      <c r="P124" s="447">
        <v>0.9526155289702087</v>
      </c>
      <c r="Q124" s="448">
        <v>0.04738447102979123</v>
      </c>
      <c r="R124" s="443">
        <v>1897025.9511900793</v>
      </c>
      <c r="S124" s="443">
        <v>1282389.5430044937</v>
      </c>
      <c r="T124" s="443">
        <v>165718.07945480934</v>
      </c>
      <c r="U124" s="443">
        <v>468226.7201367075</v>
      </c>
      <c r="V124" s="443">
        <v>432521.9168713381</v>
      </c>
      <c r="W124" s="446">
        <v>1.0825502751944718</v>
      </c>
      <c r="X124" s="448">
        <v>20.212810940889604</v>
      </c>
      <c r="Y124" s="443">
        <v>165718.07945480934</v>
      </c>
      <c r="Z124" s="443">
        <v>182114.49131424763</v>
      </c>
      <c r="AA124" s="444">
        <v>0.9099664626295694</v>
      </c>
      <c r="AB124" s="444">
        <v>0.07465399953084682</v>
      </c>
      <c r="AC124" s="445">
        <v>636</v>
      </c>
      <c r="AD124" s="445">
        <v>637</v>
      </c>
      <c r="AE124" s="443">
        <v>1916334.3425960105</v>
      </c>
      <c r="AF124" s="443">
        <v>0</v>
      </c>
      <c r="AG124" s="447">
        <v>0</v>
      </c>
      <c r="AH124" s="446">
        <v>0.19376139405263404</v>
      </c>
      <c r="AI124" s="448">
        <v>0.16316839177239342</v>
      </c>
      <c r="AJ124" s="443">
        <v>1916334.3425960105</v>
      </c>
      <c r="AK124" s="449">
        <v>1</v>
      </c>
      <c r="AL124" s="443">
        <v>1916334.3425960105</v>
      </c>
      <c r="AM124" s="443">
        <v>4271059.976647874</v>
      </c>
      <c r="AN124" s="443">
        <v>4218900.3176523</v>
      </c>
      <c r="AO124" s="443">
        <v>3808581.0572879636</v>
      </c>
      <c r="AP124" s="443">
        <v>4218900.3176523</v>
      </c>
      <c r="AQ124" s="443">
        <v>34104</v>
      </c>
      <c r="AR124" s="443">
        <v>4253004.3176523</v>
      </c>
      <c r="AS124" s="450">
        <v>498.8276234637931</v>
      </c>
      <c r="AT124" s="446">
        <v>8526</v>
      </c>
      <c r="AU124" s="446">
        <v>245</v>
      </c>
      <c r="AV124" s="446">
        <v>1347</v>
      </c>
      <c r="AW124" s="446">
        <v>311</v>
      </c>
      <c r="AX124" s="446">
        <v>74</v>
      </c>
      <c r="AY124" s="446">
        <v>1973</v>
      </c>
      <c r="AZ124" s="446">
        <v>762</v>
      </c>
      <c r="BA124" s="446">
        <v>732</v>
      </c>
      <c r="BB124" s="446">
        <v>350</v>
      </c>
      <c r="BC124" s="446">
        <v>201</v>
      </c>
      <c r="BD124" s="446">
        <v>685</v>
      </c>
      <c r="BE124" s="446">
        <v>404</v>
      </c>
      <c r="BF124" s="446">
        <v>0</v>
      </c>
      <c r="BG124" s="446">
        <v>1432</v>
      </c>
      <c r="BH124" s="446">
        <v>10</v>
      </c>
      <c r="BI124" s="446">
        <v>0</v>
      </c>
      <c r="BJ124" s="448">
        <v>1.5509895744227662</v>
      </c>
      <c r="BK124" s="448">
        <v>20.75630432851158</v>
      </c>
      <c r="BL124" s="448">
        <v>16.65795003700328</v>
      </c>
      <c r="BM124" s="448">
        <v>8.1967085830166</v>
      </c>
      <c r="BN124" s="445">
        <v>8122</v>
      </c>
      <c r="BO124" s="445">
        <v>404</v>
      </c>
      <c r="BP124" s="443">
        <v>3013495.1936247135</v>
      </c>
      <c r="BQ124" s="443">
        <v>8584695</v>
      </c>
      <c r="BR124" s="443">
        <v>12405914</v>
      </c>
      <c r="BS124" s="444">
        <v>0.07465399953084682</v>
      </c>
      <c r="BT124" s="445">
        <v>636</v>
      </c>
      <c r="BU124" s="445">
        <v>637</v>
      </c>
      <c r="BV124" s="443">
        <v>926151.097935726</v>
      </c>
      <c r="BW124" s="444">
        <v>0.006107267496636994</v>
      </c>
      <c r="BX124" s="443">
        <v>13926.999242926013</v>
      </c>
      <c r="BY124" s="443">
        <v>12538268.290803365</v>
      </c>
      <c r="BZ124" s="451">
        <v>0.9866666666666667</v>
      </c>
      <c r="CA124" s="443">
        <v>12371091.38025932</v>
      </c>
      <c r="CB124" s="443">
        <v>9052395.182290528</v>
      </c>
      <c r="CC124" s="443">
        <v>9052395.182290528</v>
      </c>
      <c r="CD124" s="443">
        <v>9246661.204587419</v>
      </c>
      <c r="CE124" s="443">
        <v>9246661.204587419</v>
      </c>
      <c r="CF124" s="450">
        <v>1084.5251236907598</v>
      </c>
      <c r="CG124" s="446">
        <v>8526</v>
      </c>
      <c r="CH124" s="446">
        <v>245</v>
      </c>
      <c r="CI124" s="446">
        <v>1347</v>
      </c>
      <c r="CJ124" s="446">
        <v>311</v>
      </c>
      <c r="CK124" s="446">
        <v>74</v>
      </c>
      <c r="CL124" s="446">
        <v>1973</v>
      </c>
      <c r="CM124" s="446">
        <v>762</v>
      </c>
      <c r="CN124" s="446">
        <v>732</v>
      </c>
      <c r="CO124" s="446">
        <v>350</v>
      </c>
      <c r="CP124" s="446">
        <v>201</v>
      </c>
      <c r="CQ124" s="446">
        <v>685</v>
      </c>
      <c r="CR124" s="446">
        <v>404</v>
      </c>
      <c r="CS124" s="446">
        <v>0</v>
      </c>
      <c r="CT124" s="446">
        <v>1432</v>
      </c>
      <c r="CU124" s="446">
        <v>10</v>
      </c>
      <c r="CV124" s="446">
        <v>0</v>
      </c>
      <c r="CW124" s="443">
        <v>5621322.535715855</v>
      </c>
      <c r="CX124" s="448">
        <v>0.9632467421653251</v>
      </c>
      <c r="CY124" s="448">
        <v>0.9866666666666667</v>
      </c>
      <c r="CZ124" s="443">
        <v>5414720.619188822</v>
      </c>
      <c r="DA124" s="450">
        <v>635.0833473127869</v>
      </c>
      <c r="DB124" s="445">
        <v>8526</v>
      </c>
      <c r="DC124" s="448">
        <v>1.0176518883415435</v>
      </c>
      <c r="DD124" s="450">
        <v>276.1</v>
      </c>
      <c r="DE124" s="443">
        <v>24354</v>
      </c>
      <c r="DF124" s="450">
        <v>41.9744590599047</v>
      </c>
      <c r="DG124" s="450">
        <v>43.7793607994806</v>
      </c>
      <c r="DH124" s="450">
        <v>44.742506737069164</v>
      </c>
      <c r="DI124" s="450">
        <v>45.72684188528468</v>
      </c>
      <c r="DJ124" s="450">
        <v>47.235827667499066</v>
      </c>
      <c r="DK124" s="450">
        <v>48.93631746352902</v>
      </c>
      <c r="DL124" s="450">
        <v>50.50227962236194</v>
      </c>
      <c r="DM124" s="450">
        <v>52.57287308687877</v>
      </c>
      <c r="DN124" s="450">
        <v>54.88607950270143</v>
      </c>
      <c r="DO124" s="450">
        <v>57.90481387535</v>
      </c>
      <c r="DP124" s="450">
        <v>57.38367055047185</v>
      </c>
      <c r="DQ124" s="450">
        <v>60.31023774854591</v>
      </c>
      <c r="DR124" s="450">
        <v>34.75005861664713</v>
      </c>
      <c r="DS124" s="450">
        <v>36.43735458929894</v>
      </c>
      <c r="DT124" s="450">
        <v>38.18207255637697</v>
      </c>
      <c r="DU124" s="450">
        <v>40.41629929033262</v>
      </c>
      <c r="DV124" s="450">
        <v>42.88057626460522</v>
      </c>
      <c r="DW124" s="450">
        <v>45.29434219128747</v>
      </c>
      <c r="DX124" s="450">
        <v>48.23570279427996</v>
      </c>
      <c r="DY124" s="450">
        <v>50.861185471169726</v>
      </c>
      <c r="DZ124" s="450">
        <v>52.36493813602886</v>
      </c>
      <c r="EA124" s="450">
        <v>53.681932799536604</v>
      </c>
      <c r="EB124" s="450">
        <v>57.197816647559556</v>
      </c>
      <c r="EC124" s="450">
        <v>-1.06</v>
      </c>
      <c r="ED124" s="450">
        <v>56.13781664755955</v>
      </c>
      <c r="EE124" s="450">
        <v>2919.166465673097</v>
      </c>
      <c r="EF124" s="443">
        <v>24391037.020602245</v>
      </c>
      <c r="EG124" s="450">
        <v>35.307649472450166</v>
      </c>
      <c r="EH124" s="450">
        <v>36.95022665846657</v>
      </c>
      <c r="EI124" s="450">
        <v>38.64798833832303</v>
      </c>
      <c r="EJ124" s="450">
        <v>40.83742891773911</v>
      </c>
      <c r="EK124" s="450">
        <v>43.25453937374218</v>
      </c>
      <c r="EL124" s="450">
        <v>45.61595046514526</v>
      </c>
      <c r="EM124" s="450">
        <v>48.503538164748726</v>
      </c>
      <c r="EN124" s="450">
        <v>51.109736694964745</v>
      </c>
      <c r="EO124" s="450">
        <v>52.601973153121385</v>
      </c>
      <c r="EP124" s="450">
        <v>53.84031928911742</v>
      </c>
      <c r="EQ124" s="450">
        <v>57.3309880079991</v>
      </c>
      <c r="ER124" s="443">
        <v>46641089</v>
      </c>
      <c r="ES124" s="443">
        <v>400000</v>
      </c>
      <c r="ET124" s="443">
        <v>0</v>
      </c>
      <c r="EU124" s="443">
        <v>0</v>
      </c>
      <c r="EV124" s="443">
        <v>0</v>
      </c>
      <c r="EW124" s="443">
        <v>0</v>
      </c>
      <c r="EX124" s="443">
        <v>0</v>
      </c>
      <c r="EY124" s="443">
        <v>0</v>
      </c>
      <c r="EZ124" s="443">
        <v>48358000</v>
      </c>
      <c r="FA124" s="443">
        <v>95199089</v>
      </c>
      <c r="FB124" s="443">
        <v>84274.03679530219</v>
      </c>
      <c r="FC124" s="443">
        <v>0</v>
      </c>
      <c r="FD124" s="443">
        <v>0</v>
      </c>
      <c r="FE124" s="443">
        <v>6805</v>
      </c>
      <c r="FF124" s="452">
        <v>0.0313</v>
      </c>
      <c r="FG124" s="443">
        <v>212.9965</v>
      </c>
      <c r="FH124" s="453">
        <v>212.9965</v>
      </c>
    </row>
    <row r="125" spans="2:164" ht="12.75">
      <c r="B125" s="356" t="s">
        <v>813</v>
      </c>
      <c r="C125" s="442">
        <v>15710</v>
      </c>
      <c r="D125" s="443">
        <v>3691230</v>
      </c>
      <c r="E125" s="443">
        <v>3167075.34</v>
      </c>
      <c r="F125" s="443">
        <v>560367.0057929859</v>
      </c>
      <c r="G125" s="443">
        <v>524154.66</v>
      </c>
      <c r="H125" s="444">
        <v>0.5245130490133673</v>
      </c>
      <c r="I125" s="445">
        <v>7257.95</v>
      </c>
      <c r="J125" s="445">
        <v>982.15</v>
      </c>
      <c r="K125" s="443">
        <v>3727442.3457929855</v>
      </c>
      <c r="L125" s="443">
        <v>2981953.8766343887</v>
      </c>
      <c r="M125" s="443">
        <v>994588.8619021447</v>
      </c>
      <c r="N125" s="443">
        <v>745488.4691585969</v>
      </c>
      <c r="O125" s="446">
        <v>1.3341438574156586</v>
      </c>
      <c r="P125" s="447">
        <v>0.7429662635264163</v>
      </c>
      <c r="Q125" s="448">
        <v>0.2570337364735837</v>
      </c>
      <c r="R125" s="443">
        <v>3976542.7385365334</v>
      </c>
      <c r="S125" s="443">
        <v>2688142.891250697</v>
      </c>
      <c r="T125" s="443">
        <v>398377.9510037509</v>
      </c>
      <c r="U125" s="443">
        <v>1110890.2493793513</v>
      </c>
      <c r="V125" s="443">
        <v>906651.7443863297</v>
      </c>
      <c r="W125" s="446">
        <v>1.2252667645075355</v>
      </c>
      <c r="X125" s="448">
        <v>22.877538374554735</v>
      </c>
      <c r="Y125" s="443">
        <v>398377.9510037509</v>
      </c>
      <c r="Z125" s="443">
        <v>381748.1028995072</v>
      </c>
      <c r="AA125" s="444">
        <v>1.0435623595191026</v>
      </c>
      <c r="AB125" s="444">
        <v>0.08561425843411839</v>
      </c>
      <c r="AC125" s="445">
        <v>1404</v>
      </c>
      <c r="AD125" s="445">
        <v>1286</v>
      </c>
      <c r="AE125" s="443">
        <v>4197411.0916337995</v>
      </c>
      <c r="AF125" s="443">
        <v>481932.12054549716</v>
      </c>
      <c r="AG125" s="447">
        <v>0.75</v>
      </c>
      <c r="AH125" s="446">
        <v>0.4235603322702159</v>
      </c>
      <c r="AI125" s="448">
        <v>0.3566843569278717</v>
      </c>
      <c r="AJ125" s="443">
        <v>4679343.212179297</v>
      </c>
      <c r="AK125" s="449">
        <v>1</v>
      </c>
      <c r="AL125" s="443">
        <v>4679343.212179297</v>
      </c>
      <c r="AM125" s="443">
        <v>10429158.976227337</v>
      </c>
      <c r="AN125" s="443">
        <v>10301794.486197958</v>
      </c>
      <c r="AO125" s="443">
        <v>10072616.5215564</v>
      </c>
      <c r="AP125" s="443">
        <v>10301794.486197958</v>
      </c>
      <c r="AQ125" s="443">
        <v>62840</v>
      </c>
      <c r="AR125" s="443">
        <v>10364634.486197958</v>
      </c>
      <c r="AS125" s="450">
        <v>659.7475802799464</v>
      </c>
      <c r="AT125" s="446">
        <v>15710</v>
      </c>
      <c r="AU125" s="446">
        <v>255</v>
      </c>
      <c r="AV125" s="446">
        <v>992</v>
      </c>
      <c r="AW125" s="446">
        <v>2403</v>
      </c>
      <c r="AX125" s="446">
        <v>79</v>
      </c>
      <c r="AY125" s="446">
        <v>1561</v>
      </c>
      <c r="AZ125" s="446">
        <v>71</v>
      </c>
      <c r="BA125" s="446">
        <v>652</v>
      </c>
      <c r="BB125" s="446">
        <v>664</v>
      </c>
      <c r="BC125" s="446">
        <v>837</v>
      </c>
      <c r="BD125" s="446">
        <v>3280</v>
      </c>
      <c r="BE125" s="446">
        <v>3565</v>
      </c>
      <c r="BF125" s="446">
        <v>473</v>
      </c>
      <c r="BG125" s="446">
        <v>873</v>
      </c>
      <c r="BH125" s="446">
        <v>0</v>
      </c>
      <c r="BI125" s="446">
        <v>5</v>
      </c>
      <c r="BJ125" s="448">
        <v>1.8489530924718611</v>
      </c>
      <c r="BK125" s="448">
        <v>22.00781705703429</v>
      </c>
      <c r="BL125" s="448">
        <v>17.376012753752065</v>
      </c>
      <c r="BM125" s="448">
        <v>9.263608606564452</v>
      </c>
      <c r="BN125" s="445">
        <v>11672</v>
      </c>
      <c r="BO125" s="445">
        <v>4038</v>
      </c>
      <c r="BP125" s="443">
        <v>5792912.408102461</v>
      </c>
      <c r="BQ125" s="443">
        <v>17611066</v>
      </c>
      <c r="BR125" s="443">
        <v>21348996</v>
      </c>
      <c r="BS125" s="444">
        <v>0.08561425843411839</v>
      </c>
      <c r="BT125" s="445">
        <v>1404</v>
      </c>
      <c r="BU125" s="445">
        <v>1286</v>
      </c>
      <c r="BV125" s="443">
        <v>1827778.46085296</v>
      </c>
      <c r="BW125" s="444">
        <v>0.017212210056759974</v>
      </c>
      <c r="BX125" s="443">
        <v>76684.0499573777</v>
      </c>
      <c r="BY125" s="443">
        <v>25308440.9189128</v>
      </c>
      <c r="BZ125" s="451">
        <v>0.9333333333333332</v>
      </c>
      <c r="CA125" s="443">
        <v>23621211.52431861</v>
      </c>
      <c r="CB125" s="443">
        <v>17284533.339056548</v>
      </c>
      <c r="CC125" s="443">
        <v>17284533.339056548</v>
      </c>
      <c r="CD125" s="443">
        <v>16901681.753232926</v>
      </c>
      <c r="CE125" s="443">
        <v>17161694.803311825</v>
      </c>
      <c r="CF125" s="450">
        <v>1092.4057799689258</v>
      </c>
      <c r="CG125" s="446">
        <v>15710</v>
      </c>
      <c r="CH125" s="446">
        <v>255</v>
      </c>
      <c r="CI125" s="446">
        <v>992</v>
      </c>
      <c r="CJ125" s="446">
        <v>2403</v>
      </c>
      <c r="CK125" s="446">
        <v>79</v>
      </c>
      <c r="CL125" s="446">
        <v>1561</v>
      </c>
      <c r="CM125" s="446">
        <v>71</v>
      </c>
      <c r="CN125" s="446">
        <v>652</v>
      </c>
      <c r="CO125" s="446">
        <v>664</v>
      </c>
      <c r="CP125" s="446">
        <v>837</v>
      </c>
      <c r="CQ125" s="446">
        <v>3280</v>
      </c>
      <c r="CR125" s="446">
        <v>3565</v>
      </c>
      <c r="CS125" s="446">
        <v>473</v>
      </c>
      <c r="CT125" s="446">
        <v>873</v>
      </c>
      <c r="CU125" s="446">
        <v>0</v>
      </c>
      <c r="CV125" s="446">
        <v>5</v>
      </c>
      <c r="CW125" s="443">
        <v>10968827.805341942</v>
      </c>
      <c r="CX125" s="448">
        <v>0.9111793506969291</v>
      </c>
      <c r="CY125" s="448">
        <v>0.9333333333333332</v>
      </c>
      <c r="CZ125" s="443">
        <v>9994569.397577893</v>
      </c>
      <c r="DA125" s="450">
        <v>636.1915593620556</v>
      </c>
      <c r="DB125" s="445">
        <v>15710</v>
      </c>
      <c r="DC125" s="448">
        <v>1.0224633991088479</v>
      </c>
      <c r="DD125" s="450">
        <v>302.5</v>
      </c>
      <c r="DE125" s="443">
        <v>35482</v>
      </c>
      <c r="DF125" s="450">
        <v>49.06204231745267</v>
      </c>
      <c r="DG125" s="450">
        <v>51.17171013710313</v>
      </c>
      <c r="DH125" s="450">
        <v>52.297487760119395</v>
      </c>
      <c r="DI125" s="450">
        <v>53.44803249084201</v>
      </c>
      <c r="DJ125" s="450">
        <v>55.211817563039794</v>
      </c>
      <c r="DK125" s="450">
        <v>57.19944299530922</v>
      </c>
      <c r="DL125" s="450">
        <v>59.0298251711591</v>
      </c>
      <c r="DM125" s="450">
        <v>61.450048003176626</v>
      </c>
      <c r="DN125" s="450">
        <v>64.15385011531639</v>
      </c>
      <c r="DO125" s="450">
        <v>67.68231187165878</v>
      </c>
      <c r="DP125" s="450">
        <v>67.07317106481385</v>
      </c>
      <c r="DQ125" s="450">
        <v>70.49390278911935</v>
      </c>
      <c r="DR125" s="450">
        <v>40.65</v>
      </c>
      <c r="DS125" s="450">
        <v>42.61961877601193</v>
      </c>
      <c r="DT125" s="450">
        <v>44.65622617816839</v>
      </c>
      <c r="DU125" s="450">
        <v>47.26512363217192</v>
      </c>
      <c r="DV125" s="450">
        <v>50.14277878469854</v>
      </c>
      <c r="DW125" s="450">
        <v>52.96109395003392</v>
      </c>
      <c r="DX125" s="450">
        <v>56.39600864222357</v>
      </c>
      <c r="DY125" s="450">
        <v>59.46370158835195</v>
      </c>
      <c r="DZ125" s="450">
        <v>61.22070420620223</v>
      </c>
      <c r="EA125" s="450">
        <v>62.75553324178857</v>
      </c>
      <c r="EB125" s="450">
        <v>66.86363290751969</v>
      </c>
      <c r="EC125" s="450">
        <v>-1.56</v>
      </c>
      <c r="ED125" s="450">
        <v>65.30363290751968</v>
      </c>
      <c r="EE125" s="450">
        <v>3395.7889111910235</v>
      </c>
      <c r="EF125" s="443">
        <v>52280886.91891476</v>
      </c>
      <c r="EG125" s="450">
        <v>41.87</v>
      </c>
      <c r="EH125" s="450">
        <v>43.74177477601193</v>
      </c>
      <c r="EI125" s="450">
        <v>45.67564256216839</v>
      </c>
      <c r="EJ125" s="450">
        <v>48.18654861625993</v>
      </c>
      <c r="EK125" s="450">
        <v>50.9610041705687</v>
      </c>
      <c r="EL125" s="450">
        <v>53.664767781882254</v>
      </c>
      <c r="EM125" s="450">
        <v>56.98202820938686</v>
      </c>
      <c r="EN125" s="450">
        <v>60.007527746679486</v>
      </c>
      <c r="EO125" s="450">
        <v>61.73933308586059</v>
      </c>
      <c r="EP125" s="450">
        <v>63.10208038343834</v>
      </c>
      <c r="EQ125" s="450">
        <v>67.15500974421883</v>
      </c>
      <c r="ER125" s="443">
        <v>79729699</v>
      </c>
      <c r="ES125" s="443">
        <v>2300000</v>
      </c>
      <c r="ET125" s="443">
        <v>0</v>
      </c>
      <c r="EU125" s="443">
        <v>0</v>
      </c>
      <c r="EV125" s="443">
        <v>0</v>
      </c>
      <c r="EW125" s="443">
        <v>0</v>
      </c>
      <c r="EX125" s="443">
        <v>0</v>
      </c>
      <c r="EY125" s="443">
        <v>490000</v>
      </c>
      <c r="EZ125" s="443">
        <v>0</v>
      </c>
      <c r="FA125" s="443">
        <v>80389699</v>
      </c>
      <c r="FB125" s="443">
        <v>77266.28403969566</v>
      </c>
      <c r="FC125" s="443">
        <v>0</v>
      </c>
      <c r="FD125" s="443">
        <v>0</v>
      </c>
      <c r="FE125" s="443">
        <v>19014</v>
      </c>
      <c r="FF125" s="452">
        <v>0.0782</v>
      </c>
      <c r="FG125" s="443">
        <v>1486.8948</v>
      </c>
      <c r="FH125" s="453">
        <v>1486.8948</v>
      </c>
    </row>
    <row r="126" spans="2:164" ht="12.75">
      <c r="B126" s="356" t="s">
        <v>814</v>
      </c>
      <c r="C126" s="442">
        <v>28638</v>
      </c>
      <c r="D126" s="443">
        <v>6703454</v>
      </c>
      <c r="E126" s="443">
        <v>5751563.532</v>
      </c>
      <c r="F126" s="443">
        <v>779678.0262157943</v>
      </c>
      <c r="G126" s="443">
        <v>951890.4680000001</v>
      </c>
      <c r="H126" s="444">
        <v>0.4018569732523221</v>
      </c>
      <c r="I126" s="445">
        <v>9117.16</v>
      </c>
      <c r="J126" s="445">
        <v>2391.22</v>
      </c>
      <c r="K126" s="443">
        <v>6531241.558215794</v>
      </c>
      <c r="L126" s="443">
        <v>5224993.246572636</v>
      </c>
      <c r="M126" s="443">
        <v>1598518.976721581</v>
      </c>
      <c r="N126" s="443">
        <v>1306248.3116431586</v>
      </c>
      <c r="O126" s="446">
        <v>1.2237481667714225</v>
      </c>
      <c r="P126" s="447">
        <v>0.8278860255604442</v>
      </c>
      <c r="Q126" s="448">
        <v>0.17211397443955584</v>
      </c>
      <c r="R126" s="443">
        <v>6823512.223294217</v>
      </c>
      <c r="S126" s="443">
        <v>4612694.262946891</v>
      </c>
      <c r="T126" s="443">
        <v>756412.3703269636</v>
      </c>
      <c r="U126" s="443">
        <v>2439764.0087365974</v>
      </c>
      <c r="V126" s="443">
        <v>1555760.7869110815</v>
      </c>
      <c r="W126" s="446">
        <v>1.5682128186176225</v>
      </c>
      <c r="X126" s="448">
        <v>29.280847221717536</v>
      </c>
      <c r="Y126" s="443">
        <v>756412.3703269636</v>
      </c>
      <c r="Z126" s="443">
        <v>655057.1734362448</v>
      </c>
      <c r="AA126" s="444">
        <v>1.1547272528274717</v>
      </c>
      <c r="AB126" s="444">
        <v>0.0947342691528738</v>
      </c>
      <c r="AC126" s="445">
        <v>2629</v>
      </c>
      <c r="AD126" s="445">
        <v>2797</v>
      </c>
      <c r="AE126" s="443">
        <v>7808870.642010451</v>
      </c>
      <c r="AF126" s="443">
        <v>1707797.7879414025</v>
      </c>
      <c r="AG126" s="447">
        <v>1</v>
      </c>
      <c r="AH126" s="446">
        <v>0.6684179792840732</v>
      </c>
      <c r="AI126" s="448">
        <v>0.5628814101219177</v>
      </c>
      <c r="AJ126" s="443">
        <v>9516668.429951854</v>
      </c>
      <c r="AK126" s="449">
        <v>1</v>
      </c>
      <c r="AL126" s="443">
        <v>9516668.429951854</v>
      </c>
      <c r="AM126" s="443">
        <v>21210422.80499615</v>
      </c>
      <c r="AN126" s="443">
        <v>20951393.79891583</v>
      </c>
      <c r="AO126" s="443">
        <v>20887605.877672557</v>
      </c>
      <c r="AP126" s="443">
        <v>20951393.79891583</v>
      </c>
      <c r="AQ126" s="443">
        <v>114552</v>
      </c>
      <c r="AR126" s="443">
        <v>21065945.79891583</v>
      </c>
      <c r="AS126" s="450">
        <v>735.5941685493341</v>
      </c>
      <c r="AT126" s="446">
        <v>28638</v>
      </c>
      <c r="AU126" s="446">
        <v>2318</v>
      </c>
      <c r="AV126" s="446">
        <v>2207</v>
      </c>
      <c r="AW126" s="446">
        <v>3530</v>
      </c>
      <c r="AX126" s="446">
        <v>73</v>
      </c>
      <c r="AY126" s="446">
        <v>1627</v>
      </c>
      <c r="AZ126" s="446">
        <v>967</v>
      </c>
      <c r="BA126" s="446">
        <v>2104</v>
      </c>
      <c r="BB126" s="446">
        <v>3293</v>
      </c>
      <c r="BC126" s="446">
        <v>341</v>
      </c>
      <c r="BD126" s="446">
        <v>4974</v>
      </c>
      <c r="BE126" s="446">
        <v>2743</v>
      </c>
      <c r="BF126" s="446">
        <v>2145</v>
      </c>
      <c r="BG126" s="446">
        <v>2275</v>
      </c>
      <c r="BH126" s="446">
        <v>0</v>
      </c>
      <c r="BI126" s="446">
        <v>41</v>
      </c>
      <c r="BJ126" s="448">
        <v>2.3828102521125776</v>
      </c>
      <c r="BK126" s="448">
        <v>41.130180745022635</v>
      </c>
      <c r="BL126" s="448">
        <v>24.679013827988737</v>
      </c>
      <c r="BM126" s="448">
        <v>32.9023338340678</v>
      </c>
      <c r="BN126" s="445">
        <v>23750</v>
      </c>
      <c r="BO126" s="445">
        <v>4888</v>
      </c>
      <c r="BP126" s="443">
        <v>14024420.519689921</v>
      </c>
      <c r="BQ126" s="443">
        <v>31559303</v>
      </c>
      <c r="BR126" s="443">
        <v>40767460</v>
      </c>
      <c r="BS126" s="444">
        <v>0.0947342691528738</v>
      </c>
      <c r="BT126" s="445">
        <v>2629</v>
      </c>
      <c r="BU126" s="445">
        <v>2797</v>
      </c>
      <c r="BV126" s="443">
        <v>3862075.528319017</v>
      </c>
      <c r="BW126" s="444">
        <v>0.02970978940270746</v>
      </c>
      <c r="BX126" s="443">
        <v>450939.34292481025</v>
      </c>
      <c r="BY126" s="443">
        <v>49896738.39093375</v>
      </c>
      <c r="BZ126" s="451">
        <v>0.9066666666666667</v>
      </c>
      <c r="CA126" s="443">
        <v>45239709.4744466</v>
      </c>
      <c r="CB126" s="443">
        <v>33103605.45458352</v>
      </c>
      <c r="CC126" s="443">
        <v>33103605.45458352</v>
      </c>
      <c r="CD126" s="443">
        <v>32767571.781602196</v>
      </c>
      <c r="CE126" s="443">
        <v>32868343.191949934</v>
      </c>
      <c r="CF126" s="450">
        <v>1147.717829176267</v>
      </c>
      <c r="CG126" s="446">
        <v>28638</v>
      </c>
      <c r="CH126" s="446">
        <v>2318</v>
      </c>
      <c r="CI126" s="446">
        <v>2207</v>
      </c>
      <c r="CJ126" s="446">
        <v>3530</v>
      </c>
      <c r="CK126" s="446">
        <v>73</v>
      </c>
      <c r="CL126" s="446">
        <v>1627</v>
      </c>
      <c r="CM126" s="446">
        <v>967</v>
      </c>
      <c r="CN126" s="446">
        <v>2104</v>
      </c>
      <c r="CO126" s="446">
        <v>3293</v>
      </c>
      <c r="CP126" s="446">
        <v>341</v>
      </c>
      <c r="CQ126" s="446">
        <v>4974</v>
      </c>
      <c r="CR126" s="446">
        <v>2743</v>
      </c>
      <c r="CS126" s="446">
        <v>2145</v>
      </c>
      <c r="CT126" s="446">
        <v>2275</v>
      </c>
      <c r="CU126" s="446">
        <v>0</v>
      </c>
      <c r="CV126" s="446">
        <v>41</v>
      </c>
      <c r="CW126" s="443">
        <v>19176736.10185644</v>
      </c>
      <c r="CX126" s="448">
        <v>0.8851456549627312</v>
      </c>
      <c r="CY126" s="448">
        <v>0.9066666666666667</v>
      </c>
      <c r="CZ126" s="443">
        <v>16974204.636925172</v>
      </c>
      <c r="DA126" s="450">
        <v>592.716133700858</v>
      </c>
      <c r="DB126" s="445">
        <v>28638</v>
      </c>
      <c r="DC126" s="448">
        <v>1.0157762413576368</v>
      </c>
      <c r="DD126" s="450">
        <v>298</v>
      </c>
      <c r="DE126" s="443">
        <v>30014</v>
      </c>
      <c r="DF126" s="450">
        <v>46.46425796230917</v>
      </c>
      <c r="DG126" s="450">
        <v>48.46222105468846</v>
      </c>
      <c r="DH126" s="450">
        <v>49.5283899178916</v>
      </c>
      <c r="DI126" s="450">
        <v>50.61801449608521</v>
      </c>
      <c r="DJ126" s="450">
        <v>52.28840897445602</v>
      </c>
      <c r="DK126" s="450">
        <v>54.17079169753642</v>
      </c>
      <c r="DL126" s="450">
        <v>55.904257031857576</v>
      </c>
      <c r="DM126" s="450">
        <v>58.19633157016373</v>
      </c>
      <c r="DN126" s="450">
        <v>60.75697015925092</v>
      </c>
      <c r="DO126" s="450">
        <v>64.09860351800971</v>
      </c>
      <c r="DP126" s="450">
        <v>63.521716086347624</v>
      </c>
      <c r="DQ126" s="450">
        <v>66.76132360675135</v>
      </c>
      <c r="DR126" s="450">
        <v>35.61</v>
      </c>
      <c r="DS126" s="450">
        <v>37.70691699178915</v>
      </c>
      <c r="DT126" s="450">
        <v>39.87886309121703</v>
      </c>
      <c r="DU126" s="450">
        <v>42.58155849838079</v>
      </c>
      <c r="DV126" s="450">
        <v>45.55110847478162</v>
      </c>
      <c r="DW126" s="450">
        <v>48.49132946028845</v>
      </c>
      <c r="DX126" s="450">
        <v>52.02284548856096</v>
      </c>
      <c r="DY126" s="450">
        <v>55.02797507552355</v>
      </c>
      <c r="DZ126" s="450">
        <v>56.751585798224944</v>
      </c>
      <c r="EA126" s="450">
        <v>58.61244841864897</v>
      </c>
      <c r="EB126" s="450">
        <v>62.63361135175032</v>
      </c>
      <c r="EC126" s="450">
        <v>-1.43</v>
      </c>
      <c r="ED126" s="450">
        <v>61.20361135175032</v>
      </c>
      <c r="EE126" s="450">
        <v>3182.5877902910165</v>
      </c>
      <c r="EF126" s="443">
        <v>89320090.15558705</v>
      </c>
      <c r="EG126" s="450">
        <v>38.84</v>
      </c>
      <c r="EH126" s="450">
        <v>40.677870991789156</v>
      </c>
      <c r="EI126" s="450">
        <v>42.57780974721703</v>
      </c>
      <c r="EJ126" s="450">
        <v>45.02106890707279</v>
      </c>
      <c r="EK126" s="450">
        <v>47.71739371770012</v>
      </c>
      <c r="EL126" s="450">
        <v>50.35433476919836</v>
      </c>
      <c r="EM126" s="450">
        <v>53.574356309821134</v>
      </c>
      <c r="EN126" s="450">
        <v>56.46777711765299</v>
      </c>
      <c r="EO126" s="450">
        <v>58.12467701240239</v>
      </c>
      <c r="EP126" s="450">
        <v>59.52994617891841</v>
      </c>
      <c r="EQ126" s="450">
        <v>63.405043468584864</v>
      </c>
      <c r="ER126" s="443">
        <v>341839181</v>
      </c>
      <c r="ES126" s="443">
        <v>5600000</v>
      </c>
      <c r="ET126" s="443">
        <v>0</v>
      </c>
      <c r="EU126" s="443">
        <v>0</v>
      </c>
      <c r="EV126" s="443">
        <v>32000000</v>
      </c>
      <c r="EW126" s="443">
        <v>0</v>
      </c>
      <c r="EX126" s="443">
        <v>0</v>
      </c>
      <c r="EY126" s="443">
        <v>0</v>
      </c>
      <c r="EZ126" s="443">
        <v>0</v>
      </c>
      <c r="FA126" s="443">
        <v>360639181</v>
      </c>
      <c r="FB126" s="443">
        <v>209879.3815233059</v>
      </c>
      <c r="FC126" s="443">
        <v>0</v>
      </c>
      <c r="FD126" s="443">
        <v>0</v>
      </c>
      <c r="FE126" s="443">
        <v>276367</v>
      </c>
      <c r="FF126" s="452">
        <v>0.049699999999999994</v>
      </c>
      <c r="FG126" s="443">
        <v>13735.439899999998</v>
      </c>
      <c r="FH126" s="453">
        <v>13735.439899999998</v>
      </c>
    </row>
    <row r="127" spans="2:164" ht="12.75">
      <c r="B127" s="356" t="s">
        <v>815</v>
      </c>
      <c r="C127" s="442">
        <v>5931</v>
      </c>
      <c r="D127" s="443">
        <v>1412723</v>
      </c>
      <c r="E127" s="443">
        <v>1212116.334</v>
      </c>
      <c r="F127" s="443">
        <v>177854.69440101588</v>
      </c>
      <c r="G127" s="443">
        <v>200606.66600000003</v>
      </c>
      <c r="H127" s="444">
        <v>0.4349738661271286</v>
      </c>
      <c r="I127" s="445">
        <v>2118.2</v>
      </c>
      <c r="J127" s="445">
        <v>461.63</v>
      </c>
      <c r="K127" s="443">
        <v>1389971.0284010158</v>
      </c>
      <c r="L127" s="443">
        <v>1111976.8227208126</v>
      </c>
      <c r="M127" s="443">
        <v>345203.0897680202</v>
      </c>
      <c r="N127" s="443">
        <v>277994.2056802031</v>
      </c>
      <c r="O127" s="446">
        <v>1.2417636149047377</v>
      </c>
      <c r="P127" s="447">
        <v>0.8140279885348171</v>
      </c>
      <c r="Q127" s="448">
        <v>0.18597201146518294</v>
      </c>
      <c r="R127" s="443">
        <v>1457179.9124888328</v>
      </c>
      <c r="S127" s="443">
        <v>985053.6208424511</v>
      </c>
      <c r="T127" s="443">
        <v>174940.1014722353</v>
      </c>
      <c r="U127" s="443">
        <v>282435.69445921504</v>
      </c>
      <c r="V127" s="443">
        <v>332237.0200474539</v>
      </c>
      <c r="W127" s="446">
        <v>0.8501030210867963</v>
      </c>
      <c r="X127" s="448">
        <v>15.872677730759166</v>
      </c>
      <c r="Y127" s="443">
        <v>174940.1014722353</v>
      </c>
      <c r="Z127" s="443">
        <v>139889.27159892797</v>
      </c>
      <c r="AA127" s="444">
        <v>1.2505612437085272</v>
      </c>
      <c r="AB127" s="444">
        <v>0.10259652672399258</v>
      </c>
      <c r="AC127" s="445">
        <v>601</v>
      </c>
      <c r="AD127" s="445">
        <v>616</v>
      </c>
      <c r="AE127" s="443">
        <v>1442429.4167739013</v>
      </c>
      <c r="AF127" s="443">
        <v>37459.255745160764</v>
      </c>
      <c r="AG127" s="447">
        <v>0.25</v>
      </c>
      <c r="AH127" s="446">
        <v>0.2191289656334184</v>
      </c>
      <c r="AI127" s="448">
        <v>0.18453067541122437</v>
      </c>
      <c r="AJ127" s="443">
        <v>1479888.6725190622</v>
      </c>
      <c r="AK127" s="449">
        <v>1.0205159980087553</v>
      </c>
      <c r="AL127" s="443">
        <v>1510250.0655776428</v>
      </c>
      <c r="AM127" s="443">
        <v>3365993.3271771064</v>
      </c>
      <c r="AN127" s="443">
        <v>3324886.6545743183</v>
      </c>
      <c r="AO127" s="443">
        <v>3224077.9193852567</v>
      </c>
      <c r="AP127" s="443">
        <v>3324886.6545743183</v>
      </c>
      <c r="AQ127" s="443">
        <v>23724</v>
      </c>
      <c r="AR127" s="443">
        <v>3348610.6545743183</v>
      </c>
      <c r="AS127" s="450">
        <v>564.5946138213317</v>
      </c>
      <c r="AT127" s="446">
        <v>5931</v>
      </c>
      <c r="AU127" s="446">
        <v>51</v>
      </c>
      <c r="AV127" s="446">
        <v>834</v>
      </c>
      <c r="AW127" s="446">
        <v>145</v>
      </c>
      <c r="AX127" s="446">
        <v>48</v>
      </c>
      <c r="AY127" s="446">
        <v>734</v>
      </c>
      <c r="AZ127" s="446">
        <v>168</v>
      </c>
      <c r="BA127" s="446">
        <v>138</v>
      </c>
      <c r="BB127" s="446">
        <v>855</v>
      </c>
      <c r="BC127" s="446">
        <v>2</v>
      </c>
      <c r="BD127" s="446">
        <v>1275</v>
      </c>
      <c r="BE127" s="446">
        <v>1103</v>
      </c>
      <c r="BF127" s="446">
        <v>0</v>
      </c>
      <c r="BG127" s="446">
        <v>564</v>
      </c>
      <c r="BH127" s="446">
        <v>3</v>
      </c>
      <c r="BI127" s="446">
        <v>11</v>
      </c>
      <c r="BJ127" s="448">
        <v>1.66130062749142</v>
      </c>
      <c r="BK127" s="448">
        <v>19.169448422779396</v>
      </c>
      <c r="BL127" s="448">
        <v>11.753877610814115</v>
      </c>
      <c r="BM127" s="448">
        <v>14.831141623930563</v>
      </c>
      <c r="BN127" s="445">
        <v>4828</v>
      </c>
      <c r="BO127" s="445">
        <v>1103</v>
      </c>
      <c r="BP127" s="443">
        <v>2079034.6702741375</v>
      </c>
      <c r="BQ127" s="443">
        <v>6503359</v>
      </c>
      <c r="BR127" s="443">
        <v>8167913</v>
      </c>
      <c r="BS127" s="444">
        <v>0.10259652672399258</v>
      </c>
      <c r="BT127" s="445">
        <v>601</v>
      </c>
      <c r="BU127" s="445">
        <v>616</v>
      </c>
      <c r="BV127" s="443">
        <v>837999.5043837464</v>
      </c>
      <c r="BW127" s="444">
        <v>0.016920467129413128</v>
      </c>
      <c r="BX127" s="443">
        <v>24789.350096113496</v>
      </c>
      <c r="BY127" s="443">
        <v>9445182.524753997</v>
      </c>
      <c r="BZ127" s="451">
        <v>0.9533333333333333</v>
      </c>
      <c r="CA127" s="443">
        <v>9004407.340265477</v>
      </c>
      <c r="CB127" s="443">
        <v>6588865.211720072</v>
      </c>
      <c r="CC127" s="443">
        <v>6588865.211720072</v>
      </c>
      <c r="CD127" s="443">
        <v>6529947.105444094</v>
      </c>
      <c r="CE127" s="443">
        <v>6542039.154056243</v>
      </c>
      <c r="CF127" s="450">
        <v>1103.0246423969386</v>
      </c>
      <c r="CG127" s="446">
        <v>5931</v>
      </c>
      <c r="CH127" s="446">
        <v>51</v>
      </c>
      <c r="CI127" s="446">
        <v>834</v>
      </c>
      <c r="CJ127" s="446">
        <v>145</v>
      </c>
      <c r="CK127" s="446">
        <v>48</v>
      </c>
      <c r="CL127" s="446">
        <v>734</v>
      </c>
      <c r="CM127" s="446">
        <v>168</v>
      </c>
      <c r="CN127" s="446">
        <v>138</v>
      </c>
      <c r="CO127" s="446">
        <v>855</v>
      </c>
      <c r="CP127" s="446">
        <v>2</v>
      </c>
      <c r="CQ127" s="446">
        <v>1275</v>
      </c>
      <c r="CR127" s="446">
        <v>1103</v>
      </c>
      <c r="CS127" s="446">
        <v>0</v>
      </c>
      <c r="CT127" s="446">
        <v>564</v>
      </c>
      <c r="CU127" s="446">
        <v>3</v>
      </c>
      <c r="CV127" s="446">
        <v>11</v>
      </c>
      <c r="CW127" s="443">
        <v>4155028.5629334645</v>
      </c>
      <c r="CX127" s="448">
        <v>0.9307046224975776</v>
      </c>
      <c r="CY127" s="448">
        <v>0.9533333333333333</v>
      </c>
      <c r="CZ127" s="443">
        <v>3867104.2901316425</v>
      </c>
      <c r="DA127" s="450">
        <v>652.0155606359201</v>
      </c>
      <c r="DB127" s="445">
        <v>5931</v>
      </c>
      <c r="DC127" s="448">
        <v>0.9983476648120047</v>
      </c>
      <c r="DD127" s="450">
        <v>326.1</v>
      </c>
      <c r="DE127" s="443">
        <v>28072</v>
      </c>
      <c r="DF127" s="450">
        <v>48.5870284597901</v>
      </c>
      <c r="DG127" s="450">
        <v>50.67627068356107</v>
      </c>
      <c r="DH127" s="450">
        <v>51.7911486385994</v>
      </c>
      <c r="DI127" s="450">
        <v>52.93055390864858</v>
      </c>
      <c r="DJ127" s="450">
        <v>54.67726218763398</v>
      </c>
      <c r="DK127" s="450">
        <v>56.64564362638879</v>
      </c>
      <c r="DL127" s="450">
        <v>58.45830422243322</v>
      </c>
      <c r="DM127" s="450">
        <v>60.85509469555298</v>
      </c>
      <c r="DN127" s="450">
        <v>63.532718862157296</v>
      </c>
      <c r="DO127" s="450">
        <v>67.02701839957594</v>
      </c>
      <c r="DP127" s="450">
        <v>66.42377523397975</v>
      </c>
      <c r="DQ127" s="450">
        <v>69.81138777091272</v>
      </c>
      <c r="DR127" s="450">
        <v>38.35</v>
      </c>
      <c r="DS127" s="450">
        <v>40.453444863859936</v>
      </c>
      <c r="DT127" s="450">
        <v>42.6308799017297</v>
      </c>
      <c r="DU127" s="450">
        <v>45.36764434463018</v>
      </c>
      <c r="DV127" s="450">
        <v>48.37870298180142</v>
      </c>
      <c r="DW127" s="450">
        <v>51.34873526808808</v>
      </c>
      <c r="DX127" s="450">
        <v>54.93424567037434</v>
      </c>
      <c r="DY127" s="450">
        <v>58.03817096679152</v>
      </c>
      <c r="DZ127" s="450">
        <v>59.81753693863524</v>
      </c>
      <c r="EA127" s="450">
        <v>61.60640911524037</v>
      </c>
      <c r="EB127" s="450">
        <v>65.76094633827664</v>
      </c>
      <c r="EC127" s="450">
        <v>-0.36</v>
      </c>
      <c r="ED127" s="450">
        <v>65.40094633827664</v>
      </c>
      <c r="EE127" s="450">
        <v>3400.8492095903853</v>
      </c>
      <c r="EF127" s="443">
        <v>19767027.928838965</v>
      </c>
      <c r="EG127" s="450">
        <v>39.77</v>
      </c>
      <c r="EH127" s="450">
        <v>41.75956086385994</v>
      </c>
      <c r="EI127" s="450">
        <v>43.81741372572971</v>
      </c>
      <c r="EJ127" s="450">
        <v>46.440122604798184</v>
      </c>
      <c r="EK127" s="450">
        <v>49.3310636768306</v>
      </c>
      <c r="EL127" s="450">
        <v>52.167765465813176</v>
      </c>
      <c r="EM127" s="450">
        <v>55.616334019039805</v>
      </c>
      <c r="EN127" s="450">
        <v>58.67114895435307</v>
      </c>
      <c r="EO127" s="450">
        <v>60.421186946106445</v>
      </c>
      <c r="EP127" s="450">
        <v>62.009767263717954</v>
      </c>
      <c r="EQ127" s="450">
        <v>66.1000898695166</v>
      </c>
      <c r="ER127" s="443">
        <v>18195053</v>
      </c>
      <c r="ES127" s="443">
        <v>0</v>
      </c>
      <c r="ET127" s="443">
        <v>0</v>
      </c>
      <c r="EU127" s="443">
        <v>0</v>
      </c>
      <c r="EV127" s="443">
        <v>0</v>
      </c>
      <c r="EW127" s="443">
        <v>0</v>
      </c>
      <c r="EX127" s="443">
        <v>0</v>
      </c>
      <c r="EY127" s="443">
        <v>0</v>
      </c>
      <c r="EZ127" s="443">
        <v>0</v>
      </c>
      <c r="FA127" s="443">
        <v>18195053</v>
      </c>
      <c r="FB127" s="443">
        <v>47835.99002417763</v>
      </c>
      <c r="FC127" s="443">
        <v>0</v>
      </c>
      <c r="FD127" s="443">
        <v>0</v>
      </c>
      <c r="FE127" s="443">
        <v>0</v>
      </c>
      <c r="FF127" s="452">
        <v>0</v>
      </c>
      <c r="FG127" s="443">
        <v>0</v>
      </c>
      <c r="FH127" s="453">
        <v>0</v>
      </c>
    </row>
    <row r="128" spans="2:164" ht="12.75">
      <c r="B128" s="356" t="s">
        <v>816</v>
      </c>
      <c r="C128" s="442">
        <v>4383</v>
      </c>
      <c r="D128" s="443">
        <v>1052039</v>
      </c>
      <c r="E128" s="443">
        <v>902649.4619999999</v>
      </c>
      <c r="F128" s="443">
        <v>88369.59718064866</v>
      </c>
      <c r="G128" s="443">
        <v>149389.53800000003</v>
      </c>
      <c r="H128" s="444">
        <v>0.29021902806297056</v>
      </c>
      <c r="I128" s="445">
        <v>822.36</v>
      </c>
      <c r="J128" s="445">
        <v>449.67</v>
      </c>
      <c r="K128" s="443">
        <v>991019.0591806486</v>
      </c>
      <c r="L128" s="443">
        <v>792815.247344519</v>
      </c>
      <c r="M128" s="443">
        <v>201025.60463982</v>
      </c>
      <c r="N128" s="443">
        <v>198203.8118361297</v>
      </c>
      <c r="O128" s="446">
        <v>1.014236824093087</v>
      </c>
      <c r="P128" s="447">
        <v>0.9890485968514716</v>
      </c>
      <c r="Q128" s="448">
        <v>0.010951403148528405</v>
      </c>
      <c r="R128" s="443">
        <v>993840.8519843391</v>
      </c>
      <c r="S128" s="443">
        <v>671836.4159414133</v>
      </c>
      <c r="T128" s="443">
        <v>103479.30916641092</v>
      </c>
      <c r="U128" s="443">
        <v>185170.82796765715</v>
      </c>
      <c r="V128" s="443">
        <v>226595.71425242932</v>
      </c>
      <c r="W128" s="446">
        <v>0.8171859233020421</v>
      </c>
      <c r="X128" s="448">
        <v>15.258066945937662</v>
      </c>
      <c r="Y128" s="443">
        <v>103479.30916641092</v>
      </c>
      <c r="Z128" s="443">
        <v>95408.72179049655</v>
      </c>
      <c r="AA128" s="444">
        <v>1.0845896184799142</v>
      </c>
      <c r="AB128" s="444">
        <v>0.08898015058179329</v>
      </c>
      <c r="AC128" s="445">
        <v>382</v>
      </c>
      <c r="AD128" s="445">
        <v>398</v>
      </c>
      <c r="AE128" s="443">
        <v>960486.5530754813</v>
      </c>
      <c r="AF128" s="443">
        <v>0</v>
      </c>
      <c r="AG128" s="447">
        <v>0</v>
      </c>
      <c r="AH128" s="446">
        <v>0.04645434487332481</v>
      </c>
      <c r="AI128" s="448">
        <v>0.0391196645796299</v>
      </c>
      <c r="AJ128" s="443">
        <v>960486.5530754813</v>
      </c>
      <c r="AK128" s="449">
        <v>1.0095808529678565</v>
      </c>
      <c r="AL128" s="443">
        <v>969688.8335181008</v>
      </c>
      <c r="AM128" s="443">
        <v>2161209.0722284936</v>
      </c>
      <c r="AN128" s="443">
        <v>2134815.640892497</v>
      </c>
      <c r="AO128" s="443">
        <v>2073783.6998824894</v>
      </c>
      <c r="AP128" s="443">
        <v>2134815.640892497</v>
      </c>
      <c r="AQ128" s="443">
        <v>17532</v>
      </c>
      <c r="AR128" s="443">
        <v>2152347.640892497</v>
      </c>
      <c r="AS128" s="450">
        <v>491.0672235666203</v>
      </c>
      <c r="AT128" s="446">
        <v>4383</v>
      </c>
      <c r="AU128" s="446">
        <v>143</v>
      </c>
      <c r="AV128" s="446">
        <v>448</v>
      </c>
      <c r="AW128" s="446">
        <v>181</v>
      </c>
      <c r="AX128" s="446">
        <v>22</v>
      </c>
      <c r="AY128" s="446">
        <v>1331</v>
      </c>
      <c r="AZ128" s="446">
        <v>54</v>
      </c>
      <c r="BA128" s="446">
        <v>52</v>
      </c>
      <c r="BB128" s="446">
        <v>416</v>
      </c>
      <c r="BC128" s="446">
        <v>9</v>
      </c>
      <c r="BD128" s="446">
        <v>867</v>
      </c>
      <c r="BE128" s="446">
        <v>48</v>
      </c>
      <c r="BF128" s="446">
        <v>0</v>
      </c>
      <c r="BG128" s="446">
        <v>812</v>
      </c>
      <c r="BH128" s="446">
        <v>0</v>
      </c>
      <c r="BI128" s="446">
        <v>0</v>
      </c>
      <c r="BJ128" s="448">
        <v>1.2727788230472141</v>
      </c>
      <c r="BK128" s="448">
        <v>11.154242275474761</v>
      </c>
      <c r="BL128" s="448">
        <v>6.736260722010086</v>
      </c>
      <c r="BM128" s="448">
        <v>8.835963106929348</v>
      </c>
      <c r="BN128" s="445">
        <v>4335</v>
      </c>
      <c r="BO128" s="445">
        <v>48</v>
      </c>
      <c r="BP128" s="443">
        <v>1218517.7162630653</v>
      </c>
      <c r="BQ128" s="443">
        <v>4419935</v>
      </c>
      <c r="BR128" s="443">
        <v>6203864</v>
      </c>
      <c r="BS128" s="444">
        <v>0.08898015058179329</v>
      </c>
      <c r="BT128" s="445">
        <v>382</v>
      </c>
      <c r="BU128" s="445">
        <v>398</v>
      </c>
      <c r="BV128" s="443">
        <v>552020.7529089664</v>
      </c>
      <c r="BW128" s="444">
        <v>0.013219528091019412</v>
      </c>
      <c r="BX128" s="443">
        <v>8328.038948873098</v>
      </c>
      <c r="BY128" s="443">
        <v>6198801.508120905</v>
      </c>
      <c r="BZ128" s="451">
        <v>0.9166666666666666</v>
      </c>
      <c r="CA128" s="443">
        <v>5682234.715777496</v>
      </c>
      <c r="CB128" s="443">
        <v>4157905.926378337</v>
      </c>
      <c r="CC128" s="443">
        <v>4157905.926378337</v>
      </c>
      <c r="CD128" s="443">
        <v>4097594.931079415</v>
      </c>
      <c r="CE128" s="443">
        <v>4128356.3246771144</v>
      </c>
      <c r="CF128" s="450">
        <v>941.9019677565856</v>
      </c>
      <c r="CG128" s="446">
        <v>4383</v>
      </c>
      <c r="CH128" s="446">
        <v>143</v>
      </c>
      <c r="CI128" s="446">
        <v>448</v>
      </c>
      <c r="CJ128" s="446">
        <v>181</v>
      </c>
      <c r="CK128" s="446">
        <v>22</v>
      </c>
      <c r="CL128" s="446">
        <v>1331</v>
      </c>
      <c r="CM128" s="446">
        <v>54</v>
      </c>
      <c r="CN128" s="446">
        <v>52</v>
      </c>
      <c r="CO128" s="446">
        <v>416</v>
      </c>
      <c r="CP128" s="446">
        <v>9</v>
      </c>
      <c r="CQ128" s="446">
        <v>867</v>
      </c>
      <c r="CR128" s="446">
        <v>48</v>
      </c>
      <c r="CS128" s="446">
        <v>0</v>
      </c>
      <c r="CT128" s="446">
        <v>812</v>
      </c>
      <c r="CU128" s="446">
        <v>0</v>
      </c>
      <c r="CV128" s="446">
        <v>0</v>
      </c>
      <c r="CW128" s="443">
        <v>3007994.3419191586</v>
      </c>
      <c r="CX128" s="448">
        <v>0.8949082908630555</v>
      </c>
      <c r="CY128" s="448">
        <v>0.9166666666666666</v>
      </c>
      <c r="CZ128" s="443">
        <v>2691879.0754526155</v>
      </c>
      <c r="DA128" s="450">
        <v>614.1636037993648</v>
      </c>
      <c r="DB128" s="445">
        <v>4383</v>
      </c>
      <c r="DC128" s="448">
        <v>1.0330139174081678</v>
      </c>
      <c r="DD128" s="450">
        <v>303.1</v>
      </c>
      <c r="DE128" s="443">
        <v>33463</v>
      </c>
      <c r="DF128" s="450">
        <v>48.85761571958855</v>
      </c>
      <c r="DG128" s="450">
        <v>50.958493195530856</v>
      </c>
      <c r="DH128" s="450">
        <v>52.07958004583252</v>
      </c>
      <c r="DI128" s="450">
        <v>53.22533080684083</v>
      </c>
      <c r="DJ128" s="450">
        <v>54.98176672346657</v>
      </c>
      <c r="DK128" s="450">
        <v>56.961110325511356</v>
      </c>
      <c r="DL128" s="450">
        <v>58.78386585592771</v>
      </c>
      <c r="DM128" s="450">
        <v>61.19400435602074</v>
      </c>
      <c r="DN128" s="450">
        <v>63.88654054768564</v>
      </c>
      <c r="DO128" s="450">
        <v>67.40030027780834</v>
      </c>
      <c r="DP128" s="450">
        <v>66.79369757530806</v>
      </c>
      <c r="DQ128" s="450">
        <v>70.20017615164876</v>
      </c>
      <c r="DR128" s="450">
        <v>40.31</v>
      </c>
      <c r="DS128" s="450">
        <v>42.285096004583245</v>
      </c>
      <c r="DT128" s="450">
        <v>44.327586193368155</v>
      </c>
      <c r="DU128" s="450">
        <v>46.93931781096396</v>
      </c>
      <c r="DV128" s="450">
        <v>49.819415691209045</v>
      </c>
      <c r="DW128" s="450">
        <v>52.642008470427726</v>
      </c>
      <c r="DX128" s="450">
        <v>56.07906552537635</v>
      </c>
      <c r="DY128" s="450">
        <v>59.139877312847645</v>
      </c>
      <c r="DZ128" s="450">
        <v>60.893083015872925</v>
      </c>
      <c r="EA128" s="450">
        <v>62.44558347934179</v>
      </c>
      <c r="EB128" s="450">
        <v>66.54428181976033</v>
      </c>
      <c r="EC128" s="450">
        <v>-2.38</v>
      </c>
      <c r="ED128" s="450">
        <v>64.16428181976033</v>
      </c>
      <c r="EE128" s="450">
        <v>3336.5426546275376</v>
      </c>
      <c r="EF128" s="443">
        <v>14331585.126127847</v>
      </c>
      <c r="EG128" s="450">
        <v>40.31</v>
      </c>
      <c r="EH128" s="450">
        <v>42.285096004583245</v>
      </c>
      <c r="EI128" s="450">
        <v>44.327586193368155</v>
      </c>
      <c r="EJ128" s="450">
        <v>46.93931781096396</v>
      </c>
      <c r="EK128" s="450">
        <v>49.819415691209045</v>
      </c>
      <c r="EL128" s="450">
        <v>52.642008470427726</v>
      </c>
      <c r="EM128" s="450">
        <v>56.07906552537635</v>
      </c>
      <c r="EN128" s="450">
        <v>59.139877312847645</v>
      </c>
      <c r="EO128" s="450">
        <v>60.893083015872925</v>
      </c>
      <c r="EP128" s="450">
        <v>62.44558347934179</v>
      </c>
      <c r="EQ128" s="450">
        <v>66.54428181976033</v>
      </c>
      <c r="ER128" s="443">
        <v>13601534</v>
      </c>
      <c r="ES128" s="443">
        <v>0</v>
      </c>
      <c r="ET128" s="443">
        <v>0</v>
      </c>
      <c r="EU128" s="443">
        <v>0</v>
      </c>
      <c r="EV128" s="443">
        <v>0</v>
      </c>
      <c r="EW128" s="443">
        <v>0</v>
      </c>
      <c r="EX128" s="443">
        <v>0</v>
      </c>
      <c r="EY128" s="443">
        <v>0</v>
      </c>
      <c r="EZ128" s="443">
        <v>0</v>
      </c>
      <c r="FA128" s="443">
        <v>13601534</v>
      </c>
      <c r="FB128" s="443">
        <v>45662.35252592949</v>
      </c>
      <c r="FC128" s="443">
        <v>0</v>
      </c>
      <c r="FD128" s="443">
        <v>0</v>
      </c>
      <c r="FE128" s="443">
        <v>3747</v>
      </c>
      <c r="FF128" s="452">
        <v>0.053899999999999997</v>
      </c>
      <c r="FG128" s="443">
        <v>201.96329999999998</v>
      </c>
      <c r="FH128" s="453">
        <v>201.96329999999998</v>
      </c>
    </row>
    <row r="129" spans="2:164" ht="12.75">
      <c r="B129" s="356" t="s">
        <v>817</v>
      </c>
      <c r="C129" s="442">
        <v>1262</v>
      </c>
      <c r="D129" s="443">
        <v>322982</v>
      </c>
      <c r="E129" s="443">
        <v>277118.556</v>
      </c>
      <c r="F129" s="443">
        <v>43227.93765735514</v>
      </c>
      <c r="G129" s="443">
        <v>45863.444</v>
      </c>
      <c r="H129" s="444">
        <v>0.4624247226624406</v>
      </c>
      <c r="I129" s="445">
        <v>491.28</v>
      </c>
      <c r="J129" s="445">
        <v>92.3</v>
      </c>
      <c r="K129" s="443">
        <v>320346.49365735514</v>
      </c>
      <c r="L129" s="443">
        <v>256277.19492588413</v>
      </c>
      <c r="M129" s="443">
        <v>90600.68979095337</v>
      </c>
      <c r="N129" s="443">
        <v>64069.29873147101</v>
      </c>
      <c r="O129" s="446">
        <v>1.4141045958795562</v>
      </c>
      <c r="P129" s="447">
        <v>0.6814580031695721</v>
      </c>
      <c r="Q129" s="448">
        <v>0.3185419968304279</v>
      </c>
      <c r="R129" s="443">
        <v>346877.8847168375</v>
      </c>
      <c r="S129" s="443">
        <v>234489.45006858217</v>
      </c>
      <c r="T129" s="443">
        <v>39560.87680542972</v>
      </c>
      <c r="U129" s="443">
        <v>56476.50467044034</v>
      </c>
      <c r="V129" s="443">
        <v>79088.15771543895</v>
      </c>
      <c r="W129" s="446">
        <v>0.7140955903113098</v>
      </c>
      <c r="X129" s="448">
        <v>13.333218319206955</v>
      </c>
      <c r="Y129" s="443">
        <v>39560.87680542972</v>
      </c>
      <c r="Z129" s="443">
        <v>33300.2769328164</v>
      </c>
      <c r="AA129" s="444">
        <v>1.1880044386791178</v>
      </c>
      <c r="AB129" s="444">
        <v>0.09746434231378764</v>
      </c>
      <c r="AC129" s="445">
        <v>120</v>
      </c>
      <c r="AD129" s="445">
        <v>126</v>
      </c>
      <c r="AE129" s="443">
        <v>330526.83154445223</v>
      </c>
      <c r="AF129" s="443">
        <v>0</v>
      </c>
      <c r="AG129" s="447">
        <v>0</v>
      </c>
      <c r="AH129" s="446">
        <v>0</v>
      </c>
      <c r="AI129" s="448">
        <v>0</v>
      </c>
      <c r="AJ129" s="443">
        <v>330526.83154445223</v>
      </c>
      <c r="AK129" s="449">
        <v>1.0095808529678565</v>
      </c>
      <c r="AL129" s="443">
        <v>333693.5605194111</v>
      </c>
      <c r="AM129" s="443">
        <v>743724.7139603337</v>
      </c>
      <c r="AN129" s="443">
        <v>734642.0909864466</v>
      </c>
      <c r="AO129" s="443">
        <v>704306.933226886</v>
      </c>
      <c r="AP129" s="443">
        <v>734642.0909864466</v>
      </c>
      <c r="AQ129" s="443">
        <v>5048</v>
      </c>
      <c r="AR129" s="443">
        <v>739690.0909864466</v>
      </c>
      <c r="AS129" s="450">
        <v>586.1252701952826</v>
      </c>
      <c r="AT129" s="446">
        <v>1262</v>
      </c>
      <c r="AU129" s="446">
        <v>19</v>
      </c>
      <c r="AV129" s="446">
        <v>50</v>
      </c>
      <c r="AW129" s="446">
        <v>99</v>
      </c>
      <c r="AX129" s="446">
        <v>95</v>
      </c>
      <c r="AY129" s="446">
        <v>201</v>
      </c>
      <c r="AZ129" s="446">
        <v>29</v>
      </c>
      <c r="BA129" s="446">
        <v>33</v>
      </c>
      <c r="BB129" s="446">
        <v>0</v>
      </c>
      <c r="BC129" s="446">
        <v>0</v>
      </c>
      <c r="BD129" s="446">
        <v>150</v>
      </c>
      <c r="BE129" s="446">
        <v>361</v>
      </c>
      <c r="BF129" s="446">
        <v>41</v>
      </c>
      <c r="BG129" s="446">
        <v>184</v>
      </c>
      <c r="BH129" s="446">
        <v>0</v>
      </c>
      <c r="BI129" s="446">
        <v>0</v>
      </c>
      <c r="BJ129" s="448">
        <v>1.415111392998322</v>
      </c>
      <c r="BK129" s="448">
        <v>9.859111755153995</v>
      </c>
      <c r="BL129" s="448">
        <v>6.084004597370918</v>
      </c>
      <c r="BM129" s="448">
        <v>7.550214315566152</v>
      </c>
      <c r="BN129" s="445">
        <v>860</v>
      </c>
      <c r="BO129" s="445">
        <v>402</v>
      </c>
      <c r="BP129" s="443">
        <v>365768.0870824552</v>
      </c>
      <c r="BQ129" s="443">
        <v>1407617</v>
      </c>
      <c r="BR129" s="443">
        <v>1702031</v>
      </c>
      <c r="BS129" s="444">
        <v>0.09746434231378764</v>
      </c>
      <c r="BT129" s="445">
        <v>120</v>
      </c>
      <c r="BU129" s="445">
        <v>126</v>
      </c>
      <c r="BV129" s="443">
        <v>165887.3320126783</v>
      </c>
      <c r="BW129" s="444">
        <v>0.008290995820865087</v>
      </c>
      <c r="BX129" s="443">
        <v>1329.28802442621</v>
      </c>
      <c r="BY129" s="443">
        <v>1940601.7071195596</v>
      </c>
      <c r="BZ129" s="451">
        <v>0.9166666666666666</v>
      </c>
      <c r="CA129" s="443">
        <v>1778884.8981929296</v>
      </c>
      <c r="CB129" s="443">
        <v>1301677.3207210358</v>
      </c>
      <c r="CC129" s="443">
        <v>1301677.3207210358</v>
      </c>
      <c r="CD129" s="443">
        <v>1277499.8650268605</v>
      </c>
      <c r="CE129" s="443">
        <v>1292426.4990209104</v>
      </c>
      <c r="CF129" s="450">
        <v>1024.1097456584075</v>
      </c>
      <c r="CG129" s="446">
        <v>1262</v>
      </c>
      <c r="CH129" s="446">
        <v>19</v>
      </c>
      <c r="CI129" s="446">
        <v>50</v>
      </c>
      <c r="CJ129" s="446">
        <v>99</v>
      </c>
      <c r="CK129" s="446">
        <v>95</v>
      </c>
      <c r="CL129" s="446">
        <v>201</v>
      </c>
      <c r="CM129" s="446">
        <v>29</v>
      </c>
      <c r="CN129" s="446">
        <v>33</v>
      </c>
      <c r="CO129" s="446">
        <v>0</v>
      </c>
      <c r="CP129" s="446">
        <v>0</v>
      </c>
      <c r="CQ129" s="446">
        <v>150</v>
      </c>
      <c r="CR129" s="446">
        <v>361</v>
      </c>
      <c r="CS129" s="446">
        <v>41</v>
      </c>
      <c r="CT129" s="446">
        <v>184</v>
      </c>
      <c r="CU129" s="446">
        <v>0</v>
      </c>
      <c r="CV129" s="446">
        <v>0</v>
      </c>
      <c r="CW129" s="443">
        <v>919310.8817451359</v>
      </c>
      <c r="CX129" s="448">
        <v>0.8949082908630555</v>
      </c>
      <c r="CY129" s="448">
        <v>0.9166666666666666</v>
      </c>
      <c r="CZ129" s="443">
        <v>822698.929954348</v>
      </c>
      <c r="DA129" s="450">
        <v>651.9008953679461</v>
      </c>
      <c r="DB129" s="445">
        <v>1262</v>
      </c>
      <c r="DC129" s="448">
        <v>1.0107765451664028</v>
      </c>
      <c r="DD129" s="450">
        <v>303.1</v>
      </c>
      <c r="DE129" s="443">
        <v>36556</v>
      </c>
      <c r="DF129" s="450">
        <v>49.06186313879343</v>
      </c>
      <c r="DG129" s="450">
        <v>51.17152325376154</v>
      </c>
      <c r="DH129" s="450">
        <v>52.297296765344285</v>
      </c>
      <c r="DI129" s="450">
        <v>53.44783729418185</v>
      </c>
      <c r="DJ129" s="450">
        <v>55.21161592488985</v>
      </c>
      <c r="DK129" s="450">
        <v>57.19923409818587</v>
      </c>
      <c r="DL129" s="450">
        <v>59.029609589327805</v>
      </c>
      <c r="DM129" s="450">
        <v>61.44982358249024</v>
      </c>
      <c r="DN129" s="450">
        <v>64.1536158201198</v>
      </c>
      <c r="DO129" s="450">
        <v>67.68206469022638</v>
      </c>
      <c r="DP129" s="450">
        <v>67.07292610801434</v>
      </c>
      <c r="DQ129" s="450">
        <v>70.49364533952307</v>
      </c>
      <c r="DR129" s="450">
        <v>39.33</v>
      </c>
      <c r="DS129" s="450">
        <v>41.40546367653442</v>
      </c>
      <c r="DT129" s="450">
        <v>43.553212034836356</v>
      </c>
      <c r="DU129" s="450">
        <v>46.26811151859894</v>
      </c>
      <c r="DV129" s="450">
        <v>49.25740218539955</v>
      </c>
      <c r="DW129" s="450">
        <v>52.199634144331576</v>
      </c>
      <c r="DX129" s="450">
        <v>55.761820031897386</v>
      </c>
      <c r="DY129" s="450">
        <v>58.875148525169635</v>
      </c>
      <c r="DZ129" s="450">
        <v>60.65940428951854</v>
      </c>
      <c r="EA129" s="450">
        <v>62.38039357830749</v>
      </c>
      <c r="EB129" s="450">
        <v>66.54816398854554</v>
      </c>
      <c r="EC129" s="450">
        <v>-2.67</v>
      </c>
      <c r="ED129" s="450">
        <v>63.87816398854554</v>
      </c>
      <c r="EE129" s="450">
        <v>3321.664527404368</v>
      </c>
      <c r="EF129" s="443">
        <v>4108101.820912626</v>
      </c>
      <c r="EG129" s="450">
        <v>39.33</v>
      </c>
      <c r="EH129" s="450">
        <v>41.40546367653442</v>
      </c>
      <c r="EI129" s="450">
        <v>43.553212034836356</v>
      </c>
      <c r="EJ129" s="450">
        <v>46.26811151859894</v>
      </c>
      <c r="EK129" s="450">
        <v>49.25740218539955</v>
      </c>
      <c r="EL129" s="450">
        <v>52.199634144331576</v>
      </c>
      <c r="EM129" s="450">
        <v>55.761820031897386</v>
      </c>
      <c r="EN129" s="450">
        <v>58.875148525169635</v>
      </c>
      <c r="EO129" s="450">
        <v>60.65940428951854</v>
      </c>
      <c r="EP129" s="450">
        <v>62.38039357830749</v>
      </c>
      <c r="EQ129" s="450">
        <v>66.54816398854554</v>
      </c>
      <c r="ER129" s="443">
        <v>3599216</v>
      </c>
      <c r="ES129" s="443">
        <v>110000</v>
      </c>
      <c r="ET129" s="443">
        <v>0</v>
      </c>
      <c r="EU129" s="443">
        <v>0</v>
      </c>
      <c r="EV129" s="443">
        <v>0</v>
      </c>
      <c r="EW129" s="443">
        <v>0</v>
      </c>
      <c r="EX129" s="443">
        <v>0</v>
      </c>
      <c r="EY129" s="443">
        <v>0</v>
      </c>
      <c r="EZ129" s="443">
        <v>0</v>
      </c>
      <c r="FA129" s="443">
        <v>3654216</v>
      </c>
      <c r="FB129" s="443">
        <v>40955.31563073026</v>
      </c>
      <c r="FC129" s="443">
        <v>0</v>
      </c>
      <c r="FD129" s="443">
        <v>0</v>
      </c>
      <c r="FE129" s="443">
        <v>908</v>
      </c>
      <c r="FF129" s="452">
        <v>0.0391</v>
      </c>
      <c r="FG129" s="443">
        <v>35.5028</v>
      </c>
      <c r="FH129" s="453">
        <v>35.5028</v>
      </c>
    </row>
    <row r="130" spans="2:164" ht="12.75">
      <c r="B130" s="356" t="s">
        <v>818</v>
      </c>
      <c r="C130" s="442">
        <v>13799</v>
      </c>
      <c r="D130" s="443">
        <v>3245967</v>
      </c>
      <c r="E130" s="443">
        <v>2785039.6859999998</v>
      </c>
      <c r="F130" s="443">
        <v>469797.00082056783</v>
      </c>
      <c r="G130" s="443">
        <v>460927.3140000001</v>
      </c>
      <c r="H130" s="444">
        <v>0.5000586999057902</v>
      </c>
      <c r="I130" s="445">
        <v>5979.91</v>
      </c>
      <c r="J130" s="445">
        <v>920.4</v>
      </c>
      <c r="K130" s="443">
        <v>3254836.6868205676</v>
      </c>
      <c r="L130" s="443">
        <v>2603869.349456454</v>
      </c>
      <c r="M130" s="443">
        <v>877265.642845355</v>
      </c>
      <c r="N130" s="443">
        <v>650967.3373641134</v>
      </c>
      <c r="O130" s="446">
        <v>1.3476338865135156</v>
      </c>
      <c r="P130" s="447">
        <v>0.7325893180665266</v>
      </c>
      <c r="Q130" s="448">
        <v>0.26741068193347345</v>
      </c>
      <c r="R130" s="443">
        <v>3481134.992301809</v>
      </c>
      <c r="S130" s="443">
        <v>2353247.254796023</v>
      </c>
      <c r="T130" s="443">
        <v>486342.48912475695</v>
      </c>
      <c r="U130" s="443">
        <v>674470.6818059006</v>
      </c>
      <c r="V130" s="443">
        <v>793698.7782448125</v>
      </c>
      <c r="W130" s="446">
        <v>0.8497816807749494</v>
      </c>
      <c r="X130" s="448">
        <v>15.866677832999335</v>
      </c>
      <c r="Y130" s="443">
        <v>486342.48912475695</v>
      </c>
      <c r="Z130" s="443">
        <v>334188.9592609737</v>
      </c>
      <c r="AA130" s="444">
        <v>1.4552919109005156</v>
      </c>
      <c r="AB130" s="444">
        <v>0.11939270961663889</v>
      </c>
      <c r="AC130" s="445">
        <v>1569</v>
      </c>
      <c r="AD130" s="445">
        <v>1726</v>
      </c>
      <c r="AE130" s="443">
        <v>3514060.4257266806</v>
      </c>
      <c r="AF130" s="443">
        <v>622538.5921706919</v>
      </c>
      <c r="AG130" s="447">
        <v>1</v>
      </c>
      <c r="AH130" s="446">
        <v>0.4786243316586756</v>
      </c>
      <c r="AI130" s="448">
        <v>0.40305429697036743</v>
      </c>
      <c r="AJ130" s="443">
        <v>4136599.0178973726</v>
      </c>
      <c r="AK130" s="449">
        <v>1.0220191686347762</v>
      </c>
      <c r="AL130" s="443">
        <v>4227683.489246904</v>
      </c>
      <c r="AM130" s="443">
        <v>9422515.34270191</v>
      </c>
      <c r="AN130" s="443">
        <v>9307444.332263505</v>
      </c>
      <c r="AO130" s="443">
        <v>8708203.75640143</v>
      </c>
      <c r="AP130" s="443">
        <v>9307444.332263505</v>
      </c>
      <c r="AQ130" s="443">
        <v>55196</v>
      </c>
      <c r="AR130" s="443">
        <v>9362640.332263505</v>
      </c>
      <c r="AS130" s="450">
        <v>678.501364755671</v>
      </c>
      <c r="AT130" s="446">
        <v>13799</v>
      </c>
      <c r="AU130" s="446">
        <v>151</v>
      </c>
      <c r="AV130" s="446">
        <v>559</v>
      </c>
      <c r="AW130" s="446">
        <v>1144</v>
      </c>
      <c r="AX130" s="446">
        <v>48</v>
      </c>
      <c r="AY130" s="446">
        <v>1420</v>
      </c>
      <c r="AZ130" s="446">
        <v>768</v>
      </c>
      <c r="BA130" s="446">
        <v>736</v>
      </c>
      <c r="BB130" s="446">
        <v>1000</v>
      </c>
      <c r="BC130" s="446">
        <v>21</v>
      </c>
      <c r="BD130" s="446">
        <v>2988</v>
      </c>
      <c r="BE130" s="446">
        <v>3062</v>
      </c>
      <c r="BF130" s="446">
        <v>628</v>
      </c>
      <c r="BG130" s="446">
        <v>1254</v>
      </c>
      <c r="BH130" s="446">
        <v>0</v>
      </c>
      <c r="BI130" s="446">
        <v>20</v>
      </c>
      <c r="BJ130" s="448">
        <v>2.024566448269114</v>
      </c>
      <c r="BK130" s="448">
        <v>26.156592048218336</v>
      </c>
      <c r="BL130" s="448">
        <v>15.713044951320592</v>
      </c>
      <c r="BM130" s="448">
        <v>20.887094193795487</v>
      </c>
      <c r="BN130" s="445">
        <v>10109</v>
      </c>
      <c r="BO130" s="445">
        <v>3690</v>
      </c>
      <c r="BP130" s="443">
        <v>5522778.372037247</v>
      </c>
      <c r="BQ130" s="443">
        <v>15470932</v>
      </c>
      <c r="BR130" s="443">
        <v>18738956</v>
      </c>
      <c r="BS130" s="444">
        <v>0.11939270961663889</v>
      </c>
      <c r="BT130" s="445">
        <v>1569</v>
      </c>
      <c r="BU130" s="445">
        <v>1726</v>
      </c>
      <c r="BV130" s="443">
        <v>2237294.732226973</v>
      </c>
      <c r="BW130" s="444">
        <v>0.06601682171488496</v>
      </c>
      <c r="BX130" s="443">
        <v>307042.60159037175</v>
      </c>
      <c r="BY130" s="443">
        <v>23538047.70585459</v>
      </c>
      <c r="BZ130" s="451">
        <v>0.9166666666666666</v>
      </c>
      <c r="CA130" s="443">
        <v>21576543.730366707</v>
      </c>
      <c r="CB130" s="443">
        <v>15788372.627084922</v>
      </c>
      <c r="CC130" s="443">
        <v>15788372.627084922</v>
      </c>
      <c r="CD130" s="443">
        <v>15635987.550831906</v>
      </c>
      <c r="CE130" s="443">
        <v>15676167.07676666</v>
      </c>
      <c r="CF130" s="450">
        <v>1136.03645748001</v>
      </c>
      <c r="CG130" s="446">
        <v>12333</v>
      </c>
      <c r="CH130" s="446">
        <v>151</v>
      </c>
      <c r="CI130" s="446">
        <v>559</v>
      </c>
      <c r="CJ130" s="446">
        <v>1144</v>
      </c>
      <c r="CK130" s="446">
        <v>48</v>
      </c>
      <c r="CL130" s="446">
        <v>1420</v>
      </c>
      <c r="CM130" s="446">
        <v>768</v>
      </c>
      <c r="CN130" s="446">
        <v>734</v>
      </c>
      <c r="CO130" s="446">
        <v>1000</v>
      </c>
      <c r="CP130" s="446">
        <v>21</v>
      </c>
      <c r="CQ130" s="446">
        <v>2726</v>
      </c>
      <c r="CR130" s="446">
        <v>2672</v>
      </c>
      <c r="CS130" s="446">
        <v>628</v>
      </c>
      <c r="CT130" s="446">
        <v>442</v>
      </c>
      <c r="CU130" s="446">
        <v>0</v>
      </c>
      <c r="CV130" s="446">
        <v>20</v>
      </c>
      <c r="CW130" s="443">
        <v>9025282.335238699</v>
      </c>
      <c r="CX130" s="448">
        <v>0.8949082908630555</v>
      </c>
      <c r="CY130" s="448">
        <v>0.9166666666666666</v>
      </c>
      <c r="CZ130" s="443">
        <v>8076799.98918499</v>
      </c>
      <c r="DA130" s="450">
        <v>654.8933746197187</v>
      </c>
      <c r="DB130" s="445">
        <v>13799</v>
      </c>
      <c r="DC130" s="448">
        <v>0.9884556851945793</v>
      </c>
      <c r="DD130" s="450">
        <v>307.3</v>
      </c>
      <c r="DE130" s="443">
        <v>25446</v>
      </c>
      <c r="DF130" s="450">
        <v>45.08672739844711</v>
      </c>
      <c r="DG130" s="450">
        <v>47.02545667658033</v>
      </c>
      <c r="DH130" s="450">
        <v>48.06001672346509</v>
      </c>
      <c r="DI130" s="450">
        <v>49.11733709138131</v>
      </c>
      <c r="DJ130" s="450">
        <v>50.738209215396886</v>
      </c>
      <c r="DK130" s="450">
        <v>52.564784747151165</v>
      </c>
      <c r="DL130" s="450">
        <v>54.24685785905999</v>
      </c>
      <c r="DM130" s="450">
        <v>56.47097903128145</v>
      </c>
      <c r="DN130" s="450">
        <v>58.955702108657825</v>
      </c>
      <c r="DO130" s="450">
        <v>62.198265724634</v>
      </c>
      <c r="DP130" s="450">
        <v>61.63848133311229</v>
      </c>
      <c r="DQ130" s="450">
        <v>64.78204388110102</v>
      </c>
      <c r="DR130" s="450">
        <v>36.63</v>
      </c>
      <c r="DS130" s="450">
        <v>38.49827567234651</v>
      </c>
      <c r="DT130" s="450">
        <v>40.43102655427626</v>
      </c>
      <c r="DU130" s="450">
        <v>42.88687027867106</v>
      </c>
      <c r="DV130" s="450">
        <v>45.59279577133863</v>
      </c>
      <c r="DW130" s="450">
        <v>48.25094733986121</v>
      </c>
      <c r="DX130" s="450">
        <v>51.4775847508927</v>
      </c>
      <c r="DY130" s="450">
        <v>54.32183221645707</v>
      </c>
      <c r="DZ130" s="450">
        <v>55.95147170540349</v>
      </c>
      <c r="EA130" s="450">
        <v>57.46438170860777</v>
      </c>
      <c r="EB130" s="450">
        <v>61.27246091681761</v>
      </c>
      <c r="EC130" s="450">
        <v>-0.68</v>
      </c>
      <c r="ED130" s="450">
        <v>60.59246091681761</v>
      </c>
      <c r="EE130" s="450">
        <v>3150.8079676745156</v>
      </c>
      <c r="EF130" s="443">
        <v>42608439.163021825</v>
      </c>
      <c r="EG130" s="450">
        <v>38.55</v>
      </c>
      <c r="EH130" s="450">
        <v>40.2642916723465</v>
      </c>
      <c r="EI130" s="450">
        <v>42.035353978276255</v>
      </c>
      <c r="EJ130" s="450">
        <v>44.33698172903906</v>
      </c>
      <c r="EK130" s="450">
        <v>46.880494739265416</v>
      </c>
      <c r="EL130" s="450">
        <v>49.35836845227825</v>
      </c>
      <c r="EM130" s="450">
        <v>52.39984505331361</v>
      </c>
      <c r="EN130" s="450">
        <v>55.17768977710367</v>
      </c>
      <c r="EO130" s="450">
        <v>56.76767453240681</v>
      </c>
      <c r="EP130" s="450">
        <v>58.00976737415493</v>
      </c>
      <c r="EQ130" s="450">
        <v>61.73102118440967</v>
      </c>
      <c r="ER130" s="443">
        <v>127656709</v>
      </c>
      <c r="ES130" s="443">
        <v>0</v>
      </c>
      <c r="ET130" s="443">
        <v>0</v>
      </c>
      <c r="EU130" s="443">
        <v>0</v>
      </c>
      <c r="EV130" s="443">
        <v>0</v>
      </c>
      <c r="EW130" s="443">
        <v>0</v>
      </c>
      <c r="EX130" s="443">
        <v>0</v>
      </c>
      <c r="EY130" s="443">
        <v>0</v>
      </c>
      <c r="EZ130" s="443">
        <v>86400000</v>
      </c>
      <c r="FA130" s="443">
        <v>214056709</v>
      </c>
      <c r="FB130" s="443">
        <v>140517.0565334436</v>
      </c>
      <c r="FC130" s="443">
        <v>0</v>
      </c>
      <c r="FD130" s="443">
        <v>0</v>
      </c>
      <c r="FE130" s="443">
        <v>50737</v>
      </c>
      <c r="FF130" s="452">
        <v>0.0535</v>
      </c>
      <c r="FG130" s="443">
        <v>2714.4294999999997</v>
      </c>
      <c r="FH130" s="453">
        <v>2714.4294999999997</v>
      </c>
    </row>
    <row r="131" spans="2:164" ht="12.75">
      <c r="B131" s="356" t="s">
        <v>819</v>
      </c>
      <c r="C131" s="442">
        <v>7772</v>
      </c>
      <c r="D131" s="443">
        <v>1841676</v>
      </c>
      <c r="E131" s="443">
        <v>1580158.008</v>
      </c>
      <c r="F131" s="443">
        <v>250322.22784529376</v>
      </c>
      <c r="G131" s="443">
        <v>261517.99200000003</v>
      </c>
      <c r="H131" s="444">
        <v>0.4696139989706639</v>
      </c>
      <c r="I131" s="445">
        <v>3090.97</v>
      </c>
      <c r="J131" s="445">
        <v>558.87</v>
      </c>
      <c r="K131" s="443">
        <v>1830480.2358452936</v>
      </c>
      <c r="L131" s="443">
        <v>1464384.188676235</v>
      </c>
      <c r="M131" s="443">
        <v>499222.7389484196</v>
      </c>
      <c r="N131" s="443">
        <v>366096.04716905864</v>
      </c>
      <c r="O131" s="446">
        <v>1.3636387030365413</v>
      </c>
      <c r="P131" s="447">
        <v>0.720277920741122</v>
      </c>
      <c r="Q131" s="448">
        <v>0.27972207925887804</v>
      </c>
      <c r="R131" s="443">
        <v>1963606.9276246545</v>
      </c>
      <c r="S131" s="443">
        <v>1327398.2830742665</v>
      </c>
      <c r="T131" s="443">
        <v>112343.74578458005</v>
      </c>
      <c r="U131" s="443">
        <v>699967.026312899</v>
      </c>
      <c r="V131" s="443">
        <v>447702.3794984212</v>
      </c>
      <c r="W131" s="446">
        <v>1.563465057070056</v>
      </c>
      <c r="X131" s="448">
        <v>29.192199508301965</v>
      </c>
      <c r="Y131" s="443">
        <v>112343.74578458005</v>
      </c>
      <c r="Z131" s="443">
        <v>188506.26505196682</v>
      </c>
      <c r="AA131" s="444">
        <v>0.5959682334887356</v>
      </c>
      <c r="AB131" s="444">
        <v>0.048893463715903245</v>
      </c>
      <c r="AC131" s="445">
        <v>368</v>
      </c>
      <c r="AD131" s="445">
        <v>392</v>
      </c>
      <c r="AE131" s="443">
        <v>2139709.055171746</v>
      </c>
      <c r="AF131" s="443">
        <v>0</v>
      </c>
      <c r="AG131" s="447">
        <v>0</v>
      </c>
      <c r="AH131" s="446">
        <v>0.12833400043600557</v>
      </c>
      <c r="AI131" s="448">
        <v>0.10807133466005325</v>
      </c>
      <c r="AJ131" s="443">
        <v>2139709.055171746</v>
      </c>
      <c r="AK131" s="449">
        <v>1.0701235461696632</v>
      </c>
      <c r="AL131" s="443">
        <v>2289753.041891728</v>
      </c>
      <c r="AM131" s="443">
        <v>5103322.711622026</v>
      </c>
      <c r="AN131" s="443">
        <v>5040999.172772663</v>
      </c>
      <c r="AO131" s="443">
        <v>5001116.060512514</v>
      </c>
      <c r="AP131" s="443">
        <v>5040999.172772663</v>
      </c>
      <c r="AQ131" s="443">
        <v>31088</v>
      </c>
      <c r="AR131" s="443">
        <v>5072087.172772663</v>
      </c>
      <c r="AS131" s="450">
        <v>652.6102898575223</v>
      </c>
      <c r="AT131" s="446">
        <v>7769</v>
      </c>
      <c r="AU131" s="446">
        <v>6</v>
      </c>
      <c r="AV131" s="446">
        <v>72</v>
      </c>
      <c r="AW131" s="446">
        <v>1173</v>
      </c>
      <c r="AX131" s="446">
        <v>0</v>
      </c>
      <c r="AY131" s="446">
        <v>725</v>
      </c>
      <c r="AZ131" s="446">
        <v>482</v>
      </c>
      <c r="BA131" s="446">
        <v>512</v>
      </c>
      <c r="BB131" s="446">
        <v>1004</v>
      </c>
      <c r="BC131" s="446">
        <v>83</v>
      </c>
      <c r="BD131" s="446">
        <v>1216</v>
      </c>
      <c r="BE131" s="446">
        <v>1872</v>
      </c>
      <c r="BF131" s="446">
        <v>300</v>
      </c>
      <c r="BG131" s="446">
        <v>321</v>
      </c>
      <c r="BH131" s="446">
        <v>3</v>
      </c>
      <c r="BI131" s="446">
        <v>0</v>
      </c>
      <c r="BJ131" s="448">
        <v>1.7690975268795506</v>
      </c>
      <c r="BK131" s="448">
        <v>19.290940767217744</v>
      </c>
      <c r="BL131" s="448">
        <v>12.063677741649839</v>
      </c>
      <c r="BM131" s="448">
        <v>14.454526051135813</v>
      </c>
      <c r="BN131" s="445">
        <v>5597</v>
      </c>
      <c r="BO131" s="445">
        <v>2172</v>
      </c>
      <c r="BP131" s="443">
        <v>2767408.1067853156</v>
      </c>
      <c r="BQ131" s="443">
        <v>8976843</v>
      </c>
      <c r="BR131" s="443">
        <v>10928467</v>
      </c>
      <c r="BS131" s="444">
        <v>0.04891234393100785</v>
      </c>
      <c r="BT131" s="445">
        <v>368</v>
      </c>
      <c r="BU131" s="445">
        <v>392</v>
      </c>
      <c r="BV131" s="443">
        <v>534536.9365426695</v>
      </c>
      <c r="BW131" s="444">
        <v>0.016936004114364266</v>
      </c>
      <c r="BX131" s="443">
        <v>32707.30276118703</v>
      </c>
      <c r="BY131" s="443">
        <v>12311495.346089173</v>
      </c>
      <c r="BZ131" s="451">
        <v>1.0066666666666666</v>
      </c>
      <c r="CA131" s="443">
        <v>12393571.981729766</v>
      </c>
      <c r="CB131" s="443">
        <v>9068845.088138836</v>
      </c>
      <c r="CC131" s="443">
        <v>9068845.088138836</v>
      </c>
      <c r="CD131" s="443">
        <v>9078982.563092614</v>
      </c>
      <c r="CE131" s="443">
        <v>9078982.563092614</v>
      </c>
      <c r="CF131" s="450">
        <v>1168.6166254463399</v>
      </c>
      <c r="CG131" s="446">
        <v>7769</v>
      </c>
      <c r="CH131" s="446">
        <v>6</v>
      </c>
      <c r="CI131" s="446">
        <v>72</v>
      </c>
      <c r="CJ131" s="446">
        <v>1173</v>
      </c>
      <c r="CK131" s="446">
        <v>0</v>
      </c>
      <c r="CL131" s="446">
        <v>725</v>
      </c>
      <c r="CM131" s="446">
        <v>482</v>
      </c>
      <c r="CN131" s="446">
        <v>512</v>
      </c>
      <c r="CO131" s="446">
        <v>1004</v>
      </c>
      <c r="CP131" s="446">
        <v>83</v>
      </c>
      <c r="CQ131" s="446">
        <v>1216</v>
      </c>
      <c r="CR131" s="446">
        <v>1872</v>
      </c>
      <c r="CS131" s="446">
        <v>300</v>
      </c>
      <c r="CT131" s="446">
        <v>321</v>
      </c>
      <c r="CU131" s="446">
        <v>3</v>
      </c>
      <c r="CV131" s="446">
        <v>0</v>
      </c>
      <c r="CW131" s="443">
        <v>5554041.8850905225</v>
      </c>
      <c r="CX131" s="448">
        <v>0.9827720139659736</v>
      </c>
      <c r="CY131" s="448">
        <v>1.0066666666666666</v>
      </c>
      <c r="CZ131" s="443">
        <v>5458356.929061785</v>
      </c>
      <c r="DA131" s="450">
        <v>702.5816616117628</v>
      </c>
      <c r="DB131" s="445">
        <v>7772</v>
      </c>
      <c r="DC131" s="448">
        <v>1.0217575913535768</v>
      </c>
      <c r="DD131" s="450">
        <v>323.8</v>
      </c>
      <c r="DE131" s="443">
        <v>81767</v>
      </c>
      <c r="DF131" s="450">
        <v>66.91089501669545</v>
      </c>
      <c r="DG131" s="450">
        <v>69.78806350241335</v>
      </c>
      <c r="DH131" s="450">
        <v>71.32340089946644</v>
      </c>
      <c r="DI131" s="450">
        <v>72.89251571925469</v>
      </c>
      <c r="DJ131" s="450">
        <v>75.29796873799009</v>
      </c>
      <c r="DK131" s="450">
        <v>78.00869561255772</v>
      </c>
      <c r="DL131" s="450">
        <v>80.50497387215955</v>
      </c>
      <c r="DM131" s="450">
        <v>83.80567780091809</v>
      </c>
      <c r="DN131" s="450">
        <v>87.49312762415848</v>
      </c>
      <c r="DO131" s="450">
        <v>92.30524964348719</v>
      </c>
      <c r="DP131" s="450">
        <v>91.4745023966958</v>
      </c>
      <c r="DQ131" s="450">
        <v>96.13970201892728</v>
      </c>
      <c r="DR131" s="450">
        <v>47.2</v>
      </c>
      <c r="DS131" s="450">
        <v>50.54690008994663</v>
      </c>
      <c r="DT131" s="450">
        <v>54.01821898385092</v>
      </c>
      <c r="DU131" s="450">
        <v>58.23796377627701</v>
      </c>
      <c r="DV131" s="450">
        <v>62.85941120655651</v>
      </c>
      <c r="DW131" s="450">
        <v>67.47658928299852</v>
      </c>
      <c r="DX131" s="450">
        <v>72.95563911506477</v>
      </c>
      <c r="DY131" s="450">
        <v>77.4242917236866</v>
      </c>
      <c r="DZ131" s="450">
        <v>79.99064951672159</v>
      </c>
      <c r="EA131" s="450">
        <v>83.24590263707263</v>
      </c>
      <c r="EB131" s="450">
        <v>89.22109534103612</v>
      </c>
      <c r="EC131" s="450">
        <v>-4.2</v>
      </c>
      <c r="ED131" s="450">
        <v>85.02109534103612</v>
      </c>
      <c r="EE131" s="450">
        <v>4421.096957733878</v>
      </c>
      <c r="EF131" s="443">
        <v>33673550.24439755</v>
      </c>
      <c r="EG131" s="450">
        <v>48.62</v>
      </c>
      <c r="EH131" s="450">
        <v>51.853016089946635</v>
      </c>
      <c r="EI131" s="450">
        <v>55.20475280785092</v>
      </c>
      <c r="EJ131" s="450">
        <v>59.31044203644501</v>
      </c>
      <c r="EK131" s="450">
        <v>63.81177190158569</v>
      </c>
      <c r="EL131" s="450">
        <v>68.29561948072362</v>
      </c>
      <c r="EM131" s="450">
        <v>73.63772746373024</v>
      </c>
      <c r="EN131" s="450">
        <v>78.05726971124815</v>
      </c>
      <c r="EO131" s="450">
        <v>80.5942995241928</v>
      </c>
      <c r="EP131" s="450">
        <v>83.64926078555023</v>
      </c>
      <c r="EQ131" s="450">
        <v>89.56023887227609</v>
      </c>
      <c r="ER131" s="443">
        <v>34216207</v>
      </c>
      <c r="ES131" s="443">
        <v>546000</v>
      </c>
      <c r="ET131" s="443">
        <v>0</v>
      </c>
      <c r="EU131" s="443">
        <v>0</v>
      </c>
      <c r="EV131" s="443">
        <v>0</v>
      </c>
      <c r="EW131" s="443">
        <v>0</v>
      </c>
      <c r="EX131" s="443">
        <v>0</v>
      </c>
      <c r="EY131" s="443">
        <v>0</v>
      </c>
      <c r="EZ131" s="443">
        <v>0</v>
      </c>
      <c r="FA131" s="443">
        <v>34489207</v>
      </c>
      <c r="FB131" s="443">
        <v>55546.3280322777</v>
      </c>
      <c r="FC131" s="443">
        <v>0</v>
      </c>
      <c r="FD131" s="443">
        <v>0</v>
      </c>
      <c r="FE131" s="443">
        <v>71154</v>
      </c>
      <c r="FF131" s="452">
        <v>0.1017</v>
      </c>
      <c r="FG131" s="443">
        <v>7236.3618</v>
      </c>
      <c r="FH131" s="453">
        <v>7236.3618</v>
      </c>
    </row>
    <row r="132" spans="2:164" ht="12.75">
      <c r="B132" s="356" t="s">
        <v>820</v>
      </c>
      <c r="C132" s="442">
        <v>0</v>
      </c>
      <c r="D132" s="443">
        <v>0</v>
      </c>
      <c r="E132" s="443">
        <v>0</v>
      </c>
      <c r="F132" s="443">
        <v>0</v>
      </c>
      <c r="G132" s="443">
        <v>0</v>
      </c>
      <c r="H132" s="444">
        <v>0</v>
      </c>
      <c r="I132" s="445">
        <v>0</v>
      </c>
      <c r="J132" s="445">
        <v>0</v>
      </c>
      <c r="K132" s="443">
        <v>0</v>
      </c>
      <c r="L132" s="443">
        <v>0</v>
      </c>
      <c r="M132" s="443">
        <v>0</v>
      </c>
      <c r="N132" s="443">
        <v>0</v>
      </c>
      <c r="O132" s="446">
        <v>0</v>
      </c>
      <c r="P132" s="447">
        <v>0</v>
      </c>
      <c r="Q132" s="448">
        <v>0</v>
      </c>
      <c r="R132" s="443">
        <v>0</v>
      </c>
      <c r="S132" s="443">
        <v>0</v>
      </c>
      <c r="T132" s="443">
        <v>0</v>
      </c>
      <c r="U132" s="443">
        <v>0</v>
      </c>
      <c r="V132" s="443">
        <v>0</v>
      </c>
      <c r="W132" s="446">
        <v>1.1904694470146064</v>
      </c>
      <c r="X132" s="448">
        <v>22.22782111351729</v>
      </c>
      <c r="Y132" s="443">
        <v>0</v>
      </c>
      <c r="Z132" s="443">
        <v>0</v>
      </c>
      <c r="AA132" s="444">
        <v>0</v>
      </c>
      <c r="AB132" s="444">
        <v>0</v>
      </c>
      <c r="AC132" s="445">
        <v>826</v>
      </c>
      <c r="AD132" s="445">
        <v>849</v>
      </c>
      <c r="AE132" s="443">
        <v>0</v>
      </c>
      <c r="AF132" s="443">
        <v>0</v>
      </c>
      <c r="AG132" s="447">
        <v>0.75</v>
      </c>
      <c r="AH132" s="446">
        <v>0.328441435817291</v>
      </c>
      <c r="AI132" s="448">
        <v>0.27658379077911377</v>
      </c>
      <c r="AJ132" s="443">
        <v>0</v>
      </c>
      <c r="AK132" s="449">
        <v>1</v>
      </c>
      <c r="AL132" s="443">
        <v>0</v>
      </c>
      <c r="AM132" s="443">
        <v>0</v>
      </c>
      <c r="AN132" s="443">
        <v>0</v>
      </c>
      <c r="AO132" s="443">
        <v>0</v>
      </c>
      <c r="AP132" s="443">
        <v>0</v>
      </c>
      <c r="AQ132" s="443">
        <v>0</v>
      </c>
      <c r="AR132" s="443">
        <v>0</v>
      </c>
      <c r="AS132" s="450">
        <v>0</v>
      </c>
      <c r="AT132" s="446">
        <v>0</v>
      </c>
      <c r="AU132" s="446">
        <v>0</v>
      </c>
      <c r="AV132" s="446">
        <v>0</v>
      </c>
      <c r="AW132" s="446">
        <v>0</v>
      </c>
      <c r="AX132" s="446">
        <v>0</v>
      </c>
      <c r="AY132" s="446">
        <v>0</v>
      </c>
      <c r="AZ132" s="446">
        <v>0</v>
      </c>
      <c r="BA132" s="446">
        <v>0</v>
      </c>
      <c r="BB132" s="446">
        <v>0</v>
      </c>
      <c r="BC132" s="446">
        <v>0</v>
      </c>
      <c r="BD132" s="446">
        <v>0</v>
      </c>
      <c r="BE132" s="446">
        <v>0</v>
      </c>
      <c r="BF132" s="446">
        <v>0</v>
      </c>
      <c r="BG132" s="446">
        <v>0</v>
      </c>
      <c r="BH132" s="446">
        <v>0</v>
      </c>
      <c r="BI132" s="446">
        <v>0</v>
      </c>
      <c r="BJ132" s="448">
        <v>1</v>
      </c>
      <c r="BK132" s="448">
        <v>16.756044771164706</v>
      </c>
      <c r="BL132" s="448">
        <v>11.576661091466207</v>
      </c>
      <c r="BM132" s="448">
        <v>10.358767359397</v>
      </c>
      <c r="BN132" s="445">
        <v>0</v>
      </c>
      <c r="BO132" s="445">
        <v>0</v>
      </c>
      <c r="BP132" s="443">
        <v>0</v>
      </c>
      <c r="BQ132" s="443">
        <v>0</v>
      </c>
      <c r="BR132" s="443">
        <v>0</v>
      </c>
      <c r="BS132" s="444">
        <v>0</v>
      </c>
      <c r="BT132" s="445">
        <v>0</v>
      </c>
      <c r="BU132" s="445">
        <v>0</v>
      </c>
      <c r="BV132" s="443">
        <v>0</v>
      </c>
      <c r="BW132" s="444">
        <v>0</v>
      </c>
      <c r="BX132" s="443">
        <v>0</v>
      </c>
      <c r="BY132" s="443">
        <v>0</v>
      </c>
      <c r="BZ132" s="451">
        <v>0.99</v>
      </c>
      <c r="CA132" s="443">
        <v>0</v>
      </c>
      <c r="CB132" s="443">
        <v>0</v>
      </c>
      <c r="CC132" s="443">
        <v>0</v>
      </c>
      <c r="CD132" s="443">
        <v>0</v>
      </c>
      <c r="CE132" s="443">
        <v>0</v>
      </c>
      <c r="CF132" s="450">
        <v>0</v>
      </c>
      <c r="CG132" s="446">
        <v>0</v>
      </c>
      <c r="CH132" s="446">
        <v>0</v>
      </c>
      <c r="CI132" s="446">
        <v>0</v>
      </c>
      <c r="CJ132" s="446">
        <v>0</v>
      </c>
      <c r="CK132" s="446">
        <v>0</v>
      </c>
      <c r="CL132" s="446">
        <v>0</v>
      </c>
      <c r="CM132" s="446">
        <v>0</v>
      </c>
      <c r="CN132" s="446">
        <v>0</v>
      </c>
      <c r="CO132" s="446">
        <v>0</v>
      </c>
      <c r="CP132" s="446">
        <v>0</v>
      </c>
      <c r="CQ132" s="446">
        <v>0</v>
      </c>
      <c r="CR132" s="446">
        <v>0</v>
      </c>
      <c r="CS132" s="446">
        <v>0</v>
      </c>
      <c r="CT132" s="446">
        <v>0</v>
      </c>
      <c r="CU132" s="446">
        <v>0</v>
      </c>
      <c r="CV132" s="446">
        <v>0</v>
      </c>
      <c r="CW132" s="443">
        <v>0</v>
      </c>
      <c r="CX132" s="448">
        <v>0.9665009541320998</v>
      </c>
      <c r="CY132" s="448">
        <v>0.99</v>
      </c>
      <c r="CZ132" s="443">
        <v>0</v>
      </c>
      <c r="DA132" s="450">
        <v>0</v>
      </c>
      <c r="DB132" s="445">
        <v>0</v>
      </c>
      <c r="DC132" s="448">
        <v>0</v>
      </c>
      <c r="DD132" s="450">
        <v>278</v>
      </c>
      <c r="DE132" s="443">
        <v>0</v>
      </c>
      <c r="DF132" s="450">
        <v>0</v>
      </c>
      <c r="DG132" s="450">
        <v>0</v>
      </c>
      <c r="DH132" s="450">
        <v>0</v>
      </c>
      <c r="DI132" s="450">
        <v>0</v>
      </c>
      <c r="DJ132" s="450">
        <v>0</v>
      </c>
      <c r="DK132" s="450">
        <v>0</v>
      </c>
      <c r="DL132" s="450">
        <v>0</v>
      </c>
      <c r="DM132" s="450">
        <v>0</v>
      </c>
      <c r="DN132" s="450">
        <v>0</v>
      </c>
      <c r="DO132" s="450">
        <v>0</v>
      </c>
      <c r="DP132" s="450">
        <v>0</v>
      </c>
      <c r="DQ132" s="450">
        <v>0</v>
      </c>
      <c r="DR132" s="450">
        <v>0</v>
      </c>
      <c r="DS132" s="450">
        <v>0</v>
      </c>
      <c r="DT132" s="450">
        <v>0</v>
      </c>
      <c r="DU132" s="450">
        <v>0</v>
      </c>
      <c r="DV132" s="450">
        <v>0</v>
      </c>
      <c r="DW132" s="450">
        <v>0</v>
      </c>
      <c r="DX132" s="450">
        <v>0</v>
      </c>
      <c r="DY132" s="450">
        <v>0</v>
      </c>
      <c r="DZ132" s="450">
        <v>0</v>
      </c>
      <c r="EA132" s="450">
        <v>0</v>
      </c>
      <c r="EB132" s="450">
        <v>0</v>
      </c>
      <c r="EC132" s="450">
        <v>0</v>
      </c>
      <c r="ED132" s="450">
        <v>0</v>
      </c>
      <c r="EE132" s="450">
        <v>0</v>
      </c>
      <c r="EF132" s="443">
        <v>0</v>
      </c>
      <c r="EG132" s="450">
        <v>0</v>
      </c>
      <c r="EH132" s="450">
        <v>0</v>
      </c>
      <c r="EI132" s="450">
        <v>0</v>
      </c>
      <c r="EJ132" s="450">
        <v>0</v>
      </c>
      <c r="EK132" s="450">
        <v>0</v>
      </c>
      <c r="EL132" s="450">
        <v>0</v>
      </c>
      <c r="EM132" s="450">
        <v>0</v>
      </c>
      <c r="EN132" s="450">
        <v>0</v>
      </c>
      <c r="EO132" s="450">
        <v>0</v>
      </c>
      <c r="EP132" s="450">
        <v>0</v>
      </c>
      <c r="EQ132" s="450">
        <v>0</v>
      </c>
      <c r="ER132" s="443">
        <v>88548296</v>
      </c>
      <c r="ES132" s="443">
        <v>0</v>
      </c>
      <c r="ET132" s="443">
        <v>0</v>
      </c>
      <c r="EU132" s="443">
        <v>0</v>
      </c>
      <c r="EV132" s="443">
        <v>0</v>
      </c>
      <c r="EW132" s="443">
        <v>0</v>
      </c>
      <c r="EX132" s="443">
        <v>0</v>
      </c>
      <c r="EY132" s="443">
        <v>990000</v>
      </c>
      <c r="EZ132" s="443">
        <v>0</v>
      </c>
      <c r="FA132" s="443">
        <v>0</v>
      </c>
      <c r="FB132" s="443">
        <v>0</v>
      </c>
      <c r="FC132" s="443">
        <v>0</v>
      </c>
      <c r="FD132" s="443">
        <v>0</v>
      </c>
      <c r="FE132" s="443">
        <v>44124</v>
      </c>
      <c r="FF132" s="452">
        <v>0.0407</v>
      </c>
      <c r="FG132" s="443">
        <v>1795.8468</v>
      </c>
      <c r="FH132" s="453">
        <v>1795.8468</v>
      </c>
    </row>
    <row r="133" spans="2:164" ht="12.75">
      <c r="B133" s="356" t="s">
        <v>821</v>
      </c>
      <c r="C133" s="442">
        <v>4620</v>
      </c>
      <c r="D133" s="443">
        <v>1107260</v>
      </c>
      <c r="E133" s="443">
        <v>950029.08</v>
      </c>
      <c r="F133" s="443">
        <v>167027.36405335856</v>
      </c>
      <c r="G133" s="443">
        <v>157230.92</v>
      </c>
      <c r="H133" s="444">
        <v>0.5211861471861472</v>
      </c>
      <c r="I133" s="445">
        <v>2116.42</v>
      </c>
      <c r="J133" s="445">
        <v>291.46</v>
      </c>
      <c r="K133" s="443">
        <v>1117056.4440533584</v>
      </c>
      <c r="L133" s="443">
        <v>893645.1552426867</v>
      </c>
      <c r="M133" s="443">
        <v>286024.47858384426</v>
      </c>
      <c r="N133" s="443">
        <v>223411.28881067163</v>
      </c>
      <c r="O133" s="446">
        <v>1.2802597402597402</v>
      </c>
      <c r="P133" s="447">
        <v>0.7844155844155845</v>
      </c>
      <c r="Q133" s="448">
        <v>0.21558441558441557</v>
      </c>
      <c r="R133" s="443">
        <v>1179669.633826531</v>
      </c>
      <c r="S133" s="443">
        <v>797456.672466735</v>
      </c>
      <c r="T133" s="443">
        <v>84855.56012622137</v>
      </c>
      <c r="U133" s="443">
        <v>199181.5694430659</v>
      </c>
      <c r="V133" s="443">
        <v>268964.6765124491</v>
      </c>
      <c r="W133" s="446">
        <v>0.7405491755488819</v>
      </c>
      <c r="X133" s="448">
        <v>13.827145787859346</v>
      </c>
      <c r="Y133" s="443">
        <v>84855.56012622137</v>
      </c>
      <c r="Z133" s="443">
        <v>113248.28484734698</v>
      </c>
      <c r="AA133" s="444">
        <v>0.7492878169466533</v>
      </c>
      <c r="AB133" s="444">
        <v>0.06147186147186147</v>
      </c>
      <c r="AC133" s="445">
        <v>287</v>
      </c>
      <c r="AD133" s="445">
        <v>281</v>
      </c>
      <c r="AE133" s="443">
        <v>1081493.8020360223</v>
      </c>
      <c r="AF133" s="443">
        <v>0</v>
      </c>
      <c r="AG133" s="447">
        <v>0</v>
      </c>
      <c r="AH133" s="446">
        <v>0.05916546871306162</v>
      </c>
      <c r="AI133" s="448">
        <v>0.0498238280415535</v>
      </c>
      <c r="AJ133" s="443">
        <v>1081493.8020360223</v>
      </c>
      <c r="AK133" s="449">
        <v>1</v>
      </c>
      <c r="AL133" s="443">
        <v>1081493.8020360223</v>
      </c>
      <c r="AM133" s="443">
        <v>2410396.1350561515</v>
      </c>
      <c r="AN133" s="443">
        <v>2380959.5452783946</v>
      </c>
      <c r="AO133" s="443">
        <v>2365190.3547135484</v>
      </c>
      <c r="AP133" s="443">
        <v>2380959.5452783946</v>
      </c>
      <c r="AQ133" s="443">
        <v>18480</v>
      </c>
      <c r="AR133" s="443">
        <v>2399439.5452783946</v>
      </c>
      <c r="AS133" s="450">
        <v>519.3592089347175</v>
      </c>
      <c r="AT133" s="446">
        <v>4620</v>
      </c>
      <c r="AU133" s="446">
        <v>5</v>
      </c>
      <c r="AV133" s="446">
        <v>254</v>
      </c>
      <c r="AW133" s="446">
        <v>67</v>
      </c>
      <c r="AX133" s="446">
        <v>62</v>
      </c>
      <c r="AY133" s="446">
        <v>1025</v>
      </c>
      <c r="AZ133" s="446">
        <v>190</v>
      </c>
      <c r="BA133" s="446">
        <v>211</v>
      </c>
      <c r="BB133" s="446">
        <v>137</v>
      </c>
      <c r="BC133" s="446">
        <v>28</v>
      </c>
      <c r="BD133" s="446">
        <v>1354</v>
      </c>
      <c r="BE133" s="446">
        <v>682</v>
      </c>
      <c r="BF133" s="446">
        <v>314</v>
      </c>
      <c r="BG133" s="446">
        <v>273</v>
      </c>
      <c r="BH133" s="446">
        <v>0</v>
      </c>
      <c r="BI133" s="446">
        <v>18</v>
      </c>
      <c r="BJ133" s="448">
        <v>1.3531043778787066</v>
      </c>
      <c r="BK133" s="448">
        <v>9.755138089856311</v>
      </c>
      <c r="BL133" s="448">
        <v>7.089017585456578</v>
      </c>
      <c r="BM133" s="448">
        <v>5.3322410087994685</v>
      </c>
      <c r="BN133" s="445">
        <v>3624</v>
      </c>
      <c r="BO133" s="445">
        <v>996</v>
      </c>
      <c r="BP133" s="443">
        <v>1199366.0115685058</v>
      </c>
      <c r="BQ133" s="443">
        <v>4953292</v>
      </c>
      <c r="BR133" s="443">
        <v>6287365</v>
      </c>
      <c r="BS133" s="444">
        <v>0.06147186147186147</v>
      </c>
      <c r="BT133" s="445">
        <v>287</v>
      </c>
      <c r="BU133" s="445">
        <v>281</v>
      </c>
      <c r="BV133" s="443">
        <v>386496.0303030303</v>
      </c>
      <c r="BW133" s="444">
        <v>0.009080822494551064</v>
      </c>
      <c r="BX133" s="443">
        <v>5273.705030271246</v>
      </c>
      <c r="BY133" s="443">
        <v>6544427.746901806</v>
      </c>
      <c r="BZ133" s="451">
        <v>1.0233333333333334</v>
      </c>
      <c r="CA133" s="443">
        <v>6697131.060996182</v>
      </c>
      <c r="CB133" s="443">
        <v>4900543.944608651</v>
      </c>
      <c r="CC133" s="443">
        <v>4900543.944608651</v>
      </c>
      <c r="CD133" s="443">
        <v>4738195.427424874</v>
      </c>
      <c r="CE133" s="443">
        <v>4865716.528056527</v>
      </c>
      <c r="CF133" s="450">
        <v>1053.1853956832308</v>
      </c>
      <c r="CG133" s="446">
        <v>4620</v>
      </c>
      <c r="CH133" s="446">
        <v>5</v>
      </c>
      <c r="CI133" s="446">
        <v>254</v>
      </c>
      <c r="CJ133" s="446">
        <v>67</v>
      </c>
      <c r="CK133" s="446">
        <v>62</v>
      </c>
      <c r="CL133" s="446">
        <v>1025</v>
      </c>
      <c r="CM133" s="446">
        <v>190</v>
      </c>
      <c r="CN133" s="446">
        <v>211</v>
      </c>
      <c r="CO133" s="446">
        <v>137</v>
      </c>
      <c r="CP133" s="446">
        <v>28</v>
      </c>
      <c r="CQ133" s="446">
        <v>1354</v>
      </c>
      <c r="CR133" s="446">
        <v>682</v>
      </c>
      <c r="CS133" s="446">
        <v>314</v>
      </c>
      <c r="CT133" s="446">
        <v>273</v>
      </c>
      <c r="CU133" s="446">
        <v>0</v>
      </c>
      <c r="CV133" s="446">
        <v>18</v>
      </c>
      <c r="CW133" s="443">
        <v>3529645.06634312</v>
      </c>
      <c r="CX133" s="448">
        <v>0.9990430737998475</v>
      </c>
      <c r="CY133" s="448">
        <v>1.0233333333333334</v>
      </c>
      <c r="CZ133" s="443">
        <v>3526267.456501897</v>
      </c>
      <c r="DA133" s="450">
        <v>763.2613542211898</v>
      </c>
      <c r="DB133" s="445">
        <v>4620</v>
      </c>
      <c r="DC133" s="448">
        <v>0.9983766233766234</v>
      </c>
      <c r="DD133" s="450">
        <v>293.9</v>
      </c>
      <c r="DE133" s="443">
        <v>52558</v>
      </c>
      <c r="DF133" s="450">
        <v>52.768291783890426</v>
      </c>
      <c r="DG133" s="450">
        <v>55.03732833059771</v>
      </c>
      <c r="DH133" s="450">
        <v>56.248149553870846</v>
      </c>
      <c r="DI133" s="450">
        <v>57.485608844055996</v>
      </c>
      <c r="DJ133" s="450">
        <v>59.38263393590984</v>
      </c>
      <c r="DK133" s="450">
        <v>61.52040875760258</v>
      </c>
      <c r="DL133" s="450">
        <v>63.48906183784585</v>
      </c>
      <c r="DM133" s="450">
        <v>66.09211337319753</v>
      </c>
      <c r="DN133" s="450">
        <v>69.00016636161821</v>
      </c>
      <c r="DO133" s="450">
        <v>72.79517551150721</v>
      </c>
      <c r="DP133" s="450">
        <v>72.14001893190364</v>
      </c>
      <c r="DQ133" s="450">
        <v>75.81915989743072</v>
      </c>
      <c r="DR133" s="450">
        <v>44.77</v>
      </c>
      <c r="DS133" s="450">
        <v>46.80426095538708</v>
      </c>
      <c r="DT133" s="450">
        <v>48.906360712811185</v>
      </c>
      <c r="DU133" s="450">
        <v>51.62806603128094</v>
      </c>
      <c r="DV133" s="450">
        <v>54.63435245829212</v>
      </c>
      <c r="DW133" s="450">
        <v>57.56705342043885</v>
      </c>
      <c r="DX133" s="450">
        <v>61.160264763180976</v>
      </c>
      <c r="DY133" s="450">
        <v>64.42341085152285</v>
      </c>
      <c r="DZ133" s="450">
        <v>66.2914711828361</v>
      </c>
      <c r="EA133" s="450">
        <v>67.79425217336747</v>
      </c>
      <c r="EB133" s="450">
        <v>72.1652392068535</v>
      </c>
      <c r="EC133" s="450">
        <v>-0.59</v>
      </c>
      <c r="ED133" s="450">
        <v>71.5752392068535</v>
      </c>
      <c r="EE133" s="450">
        <v>3721.9124387563816</v>
      </c>
      <c r="EF133" s="443">
        <v>16851330.757713392</v>
      </c>
      <c r="EG133" s="450">
        <v>48.04</v>
      </c>
      <c r="EH133" s="450">
        <v>49.812006955387076</v>
      </c>
      <c r="EI133" s="450">
        <v>51.63873085681118</v>
      </c>
      <c r="EJ133" s="450">
        <v>54.097787095188934</v>
      </c>
      <c r="EK133" s="450">
        <v>56.82746476304242</v>
      </c>
      <c r="EL133" s="450">
        <v>59.45313000252411</v>
      </c>
      <c r="EM133" s="450">
        <v>62.73098934074159</v>
      </c>
      <c r="EN133" s="450">
        <v>65.8810432594991</v>
      </c>
      <c r="EO133" s="450">
        <v>67.68156662257611</v>
      </c>
      <c r="EP133" s="450">
        <v>68.72311213500248</v>
      </c>
      <c r="EQ133" s="450">
        <v>72.94622466259622</v>
      </c>
      <c r="ER133" s="443">
        <v>45663478</v>
      </c>
      <c r="ES133" s="443">
        <v>727000</v>
      </c>
      <c r="ET133" s="443">
        <v>0</v>
      </c>
      <c r="EU133" s="443">
        <v>0</v>
      </c>
      <c r="EV133" s="443">
        <v>0</v>
      </c>
      <c r="EW133" s="443">
        <v>0</v>
      </c>
      <c r="EX133" s="443">
        <v>0</v>
      </c>
      <c r="EY133" s="443">
        <v>162500</v>
      </c>
      <c r="EZ133" s="443">
        <v>0</v>
      </c>
      <c r="FA133" s="443">
        <v>45864478</v>
      </c>
      <c r="FB133" s="443">
        <v>60929.06740885034</v>
      </c>
      <c r="FC133" s="443">
        <v>0</v>
      </c>
      <c r="FD133" s="443">
        <v>0</v>
      </c>
      <c r="FE133" s="443">
        <v>1601</v>
      </c>
      <c r="FF133" s="452">
        <v>0.0313</v>
      </c>
      <c r="FG133" s="443">
        <v>50.1113</v>
      </c>
      <c r="FH133" s="453">
        <v>50.1113</v>
      </c>
    </row>
    <row r="134" spans="2:164" ht="12.75">
      <c r="B134" s="356" t="s">
        <v>822</v>
      </c>
      <c r="C134" s="442">
        <v>15177</v>
      </c>
      <c r="D134" s="443">
        <v>3567041</v>
      </c>
      <c r="E134" s="443">
        <v>3060521.178</v>
      </c>
      <c r="F134" s="443">
        <v>681549.3861422858</v>
      </c>
      <c r="G134" s="443">
        <v>506519.82200000004</v>
      </c>
      <c r="H134" s="444">
        <v>0.660152203992884</v>
      </c>
      <c r="I134" s="445">
        <v>9422.43</v>
      </c>
      <c r="J134" s="445">
        <v>596.7</v>
      </c>
      <c r="K134" s="443">
        <v>3742070.564142286</v>
      </c>
      <c r="L134" s="443">
        <v>2993656.451313829</v>
      </c>
      <c r="M134" s="443">
        <v>1282994.9175289548</v>
      </c>
      <c r="N134" s="443">
        <v>748414.112828457</v>
      </c>
      <c r="O134" s="446">
        <v>1.7142847730117943</v>
      </c>
      <c r="P134" s="447">
        <v>0.4505501746063122</v>
      </c>
      <c r="Q134" s="448">
        <v>0.5494498253936878</v>
      </c>
      <c r="R134" s="443">
        <v>4276651.368842784</v>
      </c>
      <c r="S134" s="443">
        <v>2891016.3253377224</v>
      </c>
      <c r="T134" s="443">
        <v>518339.1300870119</v>
      </c>
      <c r="U134" s="443">
        <v>1398818.67357085</v>
      </c>
      <c r="V134" s="443">
        <v>975076.5120961549</v>
      </c>
      <c r="W134" s="446">
        <v>1.434573242425625</v>
      </c>
      <c r="X134" s="448">
        <v>26.78559914900867</v>
      </c>
      <c r="Y134" s="443">
        <v>518339.1300870119</v>
      </c>
      <c r="Z134" s="443">
        <v>410558.5314089073</v>
      </c>
      <c r="AA134" s="444">
        <v>1.2625218828317502</v>
      </c>
      <c r="AB134" s="444">
        <v>0.1035777821703894</v>
      </c>
      <c r="AC134" s="445">
        <v>1539</v>
      </c>
      <c r="AD134" s="445">
        <v>1605</v>
      </c>
      <c r="AE134" s="443">
        <v>4808174.128995583</v>
      </c>
      <c r="AF134" s="443">
        <v>199566.71914369232</v>
      </c>
      <c r="AG134" s="447">
        <v>0.5</v>
      </c>
      <c r="AH134" s="446">
        <v>0.23266108140705224</v>
      </c>
      <c r="AI134" s="448">
        <v>0.19592620432376862</v>
      </c>
      <c r="AJ134" s="443">
        <v>5007740.848139276</v>
      </c>
      <c r="AK134" s="449">
        <v>1.0421109271193911</v>
      </c>
      <c r="AL134" s="443">
        <v>5218621.458028067</v>
      </c>
      <c r="AM134" s="443">
        <v>11631083.755700499</v>
      </c>
      <c r="AN134" s="443">
        <v>11489040.945306053</v>
      </c>
      <c r="AO134" s="443">
        <v>11391727.540069677</v>
      </c>
      <c r="AP134" s="443">
        <v>11489040.945306053</v>
      </c>
      <c r="AQ134" s="443">
        <v>60708</v>
      </c>
      <c r="AR134" s="443">
        <v>11549748.945306053</v>
      </c>
      <c r="AS134" s="450">
        <v>761.0034226333303</v>
      </c>
      <c r="AT134" s="446">
        <v>15177</v>
      </c>
      <c r="AU134" s="446">
        <v>265</v>
      </c>
      <c r="AV134" s="446">
        <v>178</v>
      </c>
      <c r="AW134" s="446">
        <v>415</v>
      </c>
      <c r="AX134" s="446">
        <v>1005</v>
      </c>
      <c r="AY134" s="446">
        <v>748</v>
      </c>
      <c r="AZ134" s="446">
        <v>314</v>
      </c>
      <c r="BA134" s="446">
        <v>307</v>
      </c>
      <c r="BB134" s="446">
        <v>1138</v>
      </c>
      <c r="BC134" s="446">
        <v>208</v>
      </c>
      <c r="BD134" s="446">
        <v>2040</v>
      </c>
      <c r="BE134" s="446">
        <v>5926</v>
      </c>
      <c r="BF134" s="446">
        <v>2413</v>
      </c>
      <c r="BG134" s="446">
        <v>220</v>
      </c>
      <c r="BH134" s="446">
        <v>0</v>
      </c>
      <c r="BI134" s="446">
        <v>0</v>
      </c>
      <c r="BJ134" s="448">
        <v>1.9792799541609796</v>
      </c>
      <c r="BK134" s="448">
        <v>17.691366197559322</v>
      </c>
      <c r="BL134" s="448">
        <v>10.866485792041908</v>
      </c>
      <c r="BM134" s="448">
        <v>13.649760811034826</v>
      </c>
      <c r="BN134" s="445">
        <v>6838</v>
      </c>
      <c r="BO134" s="445">
        <v>8339</v>
      </c>
      <c r="BP134" s="443">
        <v>5485140.930647193</v>
      </c>
      <c r="BQ134" s="443">
        <v>18312053</v>
      </c>
      <c r="BR134" s="443">
        <v>20196642</v>
      </c>
      <c r="BS134" s="444">
        <v>0.1035777821703894</v>
      </c>
      <c r="BT134" s="445">
        <v>1539</v>
      </c>
      <c r="BU134" s="445">
        <v>1605</v>
      </c>
      <c r="BV134" s="443">
        <v>2091923.385649338</v>
      </c>
      <c r="BW134" s="444">
        <v>0.006996240203176724</v>
      </c>
      <c r="BX134" s="443">
        <v>24206.236362157026</v>
      </c>
      <c r="BY134" s="443">
        <v>25913323.55265869</v>
      </c>
      <c r="BZ134" s="451">
        <v>1.0233333333333334</v>
      </c>
      <c r="CA134" s="443">
        <v>26517967.768887393</v>
      </c>
      <c r="CB134" s="443">
        <v>19404199.378743887</v>
      </c>
      <c r="CC134" s="443">
        <v>19404199.378743887</v>
      </c>
      <c r="CD134" s="443">
        <v>19111616.29949088</v>
      </c>
      <c r="CE134" s="443">
        <v>19266296.70053865</v>
      </c>
      <c r="CF134" s="450">
        <v>1269.4403835104863</v>
      </c>
      <c r="CG134" s="446">
        <v>15177</v>
      </c>
      <c r="CH134" s="446">
        <v>265</v>
      </c>
      <c r="CI134" s="446">
        <v>178</v>
      </c>
      <c r="CJ134" s="446">
        <v>415</v>
      </c>
      <c r="CK134" s="446">
        <v>1005</v>
      </c>
      <c r="CL134" s="446">
        <v>748</v>
      </c>
      <c r="CM134" s="446">
        <v>314</v>
      </c>
      <c r="CN134" s="446">
        <v>307</v>
      </c>
      <c r="CO134" s="446">
        <v>1138</v>
      </c>
      <c r="CP134" s="446">
        <v>208</v>
      </c>
      <c r="CQ134" s="446">
        <v>2040</v>
      </c>
      <c r="CR134" s="446">
        <v>5926</v>
      </c>
      <c r="CS134" s="446">
        <v>2413</v>
      </c>
      <c r="CT134" s="446">
        <v>220</v>
      </c>
      <c r="CU134" s="446">
        <v>0</v>
      </c>
      <c r="CV134" s="446">
        <v>0</v>
      </c>
      <c r="CW134" s="443">
        <v>11995321.596345218</v>
      </c>
      <c r="CX134" s="448">
        <v>0.9990430737998475</v>
      </c>
      <c r="CY134" s="448">
        <v>1.0233333333333334</v>
      </c>
      <c r="CZ134" s="443">
        <v>11983842.95883042</v>
      </c>
      <c r="DA134" s="450">
        <v>789.6055188001858</v>
      </c>
      <c r="DB134" s="445">
        <v>15177</v>
      </c>
      <c r="DC134" s="448">
        <v>1.0036766159320025</v>
      </c>
      <c r="DD134" s="450">
        <v>328.7</v>
      </c>
      <c r="DE134" s="443">
        <v>38311</v>
      </c>
      <c r="DF134" s="450">
        <v>52.484749929355665</v>
      </c>
      <c r="DG134" s="450">
        <v>54.74159417631795</v>
      </c>
      <c r="DH134" s="450">
        <v>55.945909248196934</v>
      </c>
      <c r="DI134" s="450">
        <v>57.17671925165725</v>
      </c>
      <c r="DJ134" s="450">
        <v>59.063550986961936</v>
      </c>
      <c r="DK134" s="450">
        <v>61.189838822492554</v>
      </c>
      <c r="DL134" s="450">
        <v>63.14791366481231</v>
      </c>
      <c r="DM134" s="450">
        <v>65.73697812506961</v>
      </c>
      <c r="DN134" s="450">
        <v>68.62940516257267</v>
      </c>
      <c r="DO134" s="450">
        <v>72.40402244651416</v>
      </c>
      <c r="DP134" s="450">
        <v>71.75238624449554</v>
      </c>
      <c r="DQ134" s="450">
        <v>75.41175794296481</v>
      </c>
      <c r="DR134" s="450">
        <v>40.44</v>
      </c>
      <c r="DS134" s="450">
        <v>42.79130292481968</v>
      </c>
      <c r="DT134" s="450">
        <v>45.22649021833143</v>
      </c>
      <c r="DU134" s="450">
        <v>48.26203771946456</v>
      </c>
      <c r="DV134" s="450">
        <v>51.59809504095488</v>
      </c>
      <c r="DW134" s="450">
        <v>54.8990140126899</v>
      </c>
      <c r="DX134" s="450">
        <v>58.86729449478207</v>
      </c>
      <c r="DY134" s="450">
        <v>62.25433875366583</v>
      </c>
      <c r="DZ134" s="450">
        <v>64.19682255451359</v>
      </c>
      <c r="EA134" s="450">
        <v>66.26834597008082</v>
      </c>
      <c r="EB134" s="450">
        <v>70.80077688023691</v>
      </c>
      <c r="EC134" s="450">
        <v>-3.28</v>
      </c>
      <c r="ED134" s="450">
        <v>67.52077688023691</v>
      </c>
      <c r="EE134" s="450">
        <v>3511.0803977723194</v>
      </c>
      <c r="EF134" s="443">
        <v>52221913.85305068</v>
      </c>
      <c r="EG134" s="450">
        <v>45.85</v>
      </c>
      <c r="EH134" s="450">
        <v>47.76742092481969</v>
      </c>
      <c r="EI134" s="450">
        <v>49.747016970331444</v>
      </c>
      <c r="EJ134" s="450">
        <v>52.34802883742857</v>
      </c>
      <c r="EK134" s="450">
        <v>55.22645515370693</v>
      </c>
      <c r="EL134" s="450">
        <v>58.019403709656665</v>
      </c>
      <c r="EM134" s="450">
        <v>61.465955034415984</v>
      </c>
      <c r="EN134" s="450">
        <v>64.6658957344461</v>
      </c>
      <c r="EO134" s="450">
        <v>66.49664406185104</v>
      </c>
      <c r="EP134" s="450">
        <v>67.8050837047736</v>
      </c>
      <c r="EQ134" s="450">
        <v>72.0928659675666</v>
      </c>
      <c r="ER134" s="443">
        <v>89016072</v>
      </c>
      <c r="ES134" s="443">
        <v>1913000</v>
      </c>
      <c r="ET134" s="443">
        <v>0</v>
      </c>
      <c r="EU134" s="443">
        <v>1529328</v>
      </c>
      <c r="EV134" s="443">
        <v>0</v>
      </c>
      <c r="EW134" s="443">
        <v>0</v>
      </c>
      <c r="EX134" s="443">
        <v>0</v>
      </c>
      <c r="EY134" s="443">
        <v>0</v>
      </c>
      <c r="EZ134" s="443">
        <v>0</v>
      </c>
      <c r="FA134" s="443">
        <v>91501900</v>
      </c>
      <c r="FB134" s="443">
        <v>82524.53959097789</v>
      </c>
      <c r="FC134" s="443">
        <v>0</v>
      </c>
      <c r="FD134" s="443">
        <v>0</v>
      </c>
      <c r="FE134" s="443">
        <v>15321</v>
      </c>
      <c r="FF134" s="452">
        <v>0.0482</v>
      </c>
      <c r="FG134" s="443">
        <v>738.4722</v>
      </c>
      <c r="FH134" s="453">
        <v>738.4722</v>
      </c>
    </row>
    <row r="135" spans="2:164" ht="12.75">
      <c r="B135" s="356" t="s">
        <v>823</v>
      </c>
      <c r="C135" s="442">
        <v>7297.63</v>
      </c>
      <c r="D135" s="443">
        <v>1731147.79</v>
      </c>
      <c r="E135" s="443">
        <v>1485324.80382</v>
      </c>
      <c r="F135" s="443">
        <v>233788.00585373092</v>
      </c>
      <c r="G135" s="443">
        <v>245822.98618000004</v>
      </c>
      <c r="H135" s="444">
        <v>0.46659805991808295</v>
      </c>
      <c r="I135" s="445">
        <v>2876.48</v>
      </c>
      <c r="J135" s="445">
        <v>528.58</v>
      </c>
      <c r="K135" s="443">
        <v>1719112.809673731</v>
      </c>
      <c r="L135" s="443">
        <v>1375290.2477389849</v>
      </c>
      <c r="M135" s="443">
        <v>436692.8115101443</v>
      </c>
      <c r="N135" s="443">
        <v>343822.5619347461</v>
      </c>
      <c r="O135" s="446">
        <v>1.270110981236374</v>
      </c>
      <c r="P135" s="447">
        <v>0.7923120245888049</v>
      </c>
      <c r="Q135" s="448">
        <v>0.20773867680329092</v>
      </c>
      <c r="R135" s="443">
        <v>1811983.0592491291</v>
      </c>
      <c r="S135" s="443">
        <v>1224900.5480524113</v>
      </c>
      <c r="T135" s="443">
        <v>130745.98050586629</v>
      </c>
      <c r="U135" s="443">
        <v>705342.8464679265</v>
      </c>
      <c r="V135" s="443">
        <v>413132.1375088015</v>
      </c>
      <c r="W135" s="446">
        <v>1.7073056836516374</v>
      </c>
      <c r="X135" s="448">
        <v>31.877916243434942</v>
      </c>
      <c r="Y135" s="443">
        <v>130745.98050586629</v>
      </c>
      <c r="Z135" s="443">
        <v>173950.3736879164</v>
      </c>
      <c r="AA135" s="444">
        <v>0.7516280519203544</v>
      </c>
      <c r="AB135" s="444">
        <v>0.061663855251636486</v>
      </c>
      <c r="AC135" s="445">
        <v>403</v>
      </c>
      <c r="AD135" s="445">
        <v>497</v>
      </c>
      <c r="AE135" s="443">
        <v>2060989.375026204</v>
      </c>
      <c r="AF135" s="443">
        <v>0</v>
      </c>
      <c r="AG135" s="447">
        <v>0</v>
      </c>
      <c r="AH135" s="446">
        <v>0.147783131114518</v>
      </c>
      <c r="AI135" s="448">
        <v>0.12444964051246643</v>
      </c>
      <c r="AJ135" s="443">
        <v>2060989.375026204</v>
      </c>
      <c r="AK135" s="449">
        <v>1.1287034737444066</v>
      </c>
      <c r="AL135" s="443">
        <v>2326245.86694239</v>
      </c>
      <c r="AM135" s="443">
        <v>5184656.663137788</v>
      </c>
      <c r="AN135" s="443">
        <v>5121339.8459924</v>
      </c>
      <c r="AO135" s="443">
        <v>4979245.475517873</v>
      </c>
      <c r="AP135" s="443">
        <v>5121339.8459924</v>
      </c>
      <c r="AQ135" s="443">
        <v>29190.52</v>
      </c>
      <c r="AR135" s="443">
        <v>5150530.3659924</v>
      </c>
      <c r="AS135" s="450">
        <v>705.7812421282525</v>
      </c>
      <c r="AT135" s="446">
        <v>7292</v>
      </c>
      <c r="AU135" s="446">
        <v>487</v>
      </c>
      <c r="AV135" s="446">
        <v>681</v>
      </c>
      <c r="AW135" s="446">
        <v>428</v>
      </c>
      <c r="AX135" s="446">
        <v>61</v>
      </c>
      <c r="AY135" s="446">
        <v>729</v>
      </c>
      <c r="AZ135" s="446">
        <v>358</v>
      </c>
      <c r="BA135" s="446">
        <v>360</v>
      </c>
      <c r="BB135" s="446">
        <v>602</v>
      </c>
      <c r="BC135" s="446">
        <v>56</v>
      </c>
      <c r="BD135" s="446">
        <v>1655</v>
      </c>
      <c r="BE135" s="446">
        <v>1092</v>
      </c>
      <c r="BF135" s="446">
        <v>420</v>
      </c>
      <c r="BG135" s="446">
        <v>357</v>
      </c>
      <c r="BH135" s="446">
        <v>2</v>
      </c>
      <c r="BI135" s="446">
        <v>4</v>
      </c>
      <c r="BJ135" s="448">
        <v>1.9429465447289367</v>
      </c>
      <c r="BK135" s="448">
        <v>26.395096427816203</v>
      </c>
      <c r="BL135" s="448">
        <v>11.583094712914738</v>
      </c>
      <c r="BM135" s="448">
        <v>29.62400342980293</v>
      </c>
      <c r="BN135" s="445">
        <v>5780</v>
      </c>
      <c r="BO135" s="445">
        <v>1512</v>
      </c>
      <c r="BP135" s="443">
        <v>2826849.273375927</v>
      </c>
      <c r="BQ135" s="443">
        <v>8005623</v>
      </c>
      <c r="BR135" s="443">
        <v>10174683</v>
      </c>
      <c r="BS135" s="444">
        <v>0.06171146461876029</v>
      </c>
      <c r="BT135" s="445">
        <v>403</v>
      </c>
      <c r="BU135" s="445">
        <v>497</v>
      </c>
      <c r="BV135" s="443">
        <v>627894.5899616018</v>
      </c>
      <c r="BW135" s="444">
        <v>0.01865060396167704</v>
      </c>
      <c r="BX135" s="443">
        <v>46257.06406174262</v>
      </c>
      <c r="BY135" s="443">
        <v>11506623.92739927</v>
      </c>
      <c r="BZ135" s="451">
        <v>1.0633333333333335</v>
      </c>
      <c r="CA135" s="443">
        <v>12235376.776134558</v>
      </c>
      <c r="CB135" s="443">
        <v>8953087.676527062</v>
      </c>
      <c r="CC135" s="443">
        <v>8953087.676527062</v>
      </c>
      <c r="CD135" s="443">
        <v>8634443.57274525</v>
      </c>
      <c r="CE135" s="443">
        <v>8889459.451280529</v>
      </c>
      <c r="CF135" s="450">
        <v>1219.0701386835613</v>
      </c>
      <c r="CG135" s="446">
        <v>5954</v>
      </c>
      <c r="CH135" s="446">
        <v>94</v>
      </c>
      <c r="CI135" s="446">
        <v>117</v>
      </c>
      <c r="CJ135" s="446">
        <v>230</v>
      </c>
      <c r="CK135" s="446">
        <v>61</v>
      </c>
      <c r="CL135" s="446">
        <v>702</v>
      </c>
      <c r="CM135" s="446">
        <v>358</v>
      </c>
      <c r="CN135" s="446">
        <v>360</v>
      </c>
      <c r="CO135" s="446">
        <v>602</v>
      </c>
      <c r="CP135" s="446">
        <v>35</v>
      </c>
      <c r="CQ135" s="446">
        <v>1552</v>
      </c>
      <c r="CR135" s="446">
        <v>1077</v>
      </c>
      <c r="CS135" s="446">
        <v>420</v>
      </c>
      <c r="CT135" s="446">
        <v>340</v>
      </c>
      <c r="CU135" s="446">
        <v>2</v>
      </c>
      <c r="CV135" s="446">
        <v>4</v>
      </c>
      <c r="CW135" s="443">
        <v>4462065.754476256</v>
      </c>
      <c r="CX135" s="448">
        <v>1.0380936174011444</v>
      </c>
      <c r="CY135" s="448">
        <v>1.0633333333333335</v>
      </c>
      <c r="CZ135" s="443">
        <v>4632041.9801460225</v>
      </c>
      <c r="DA135" s="450">
        <v>777.9714444316463</v>
      </c>
      <c r="DB135" s="445">
        <v>7297.63</v>
      </c>
      <c r="DC135" s="448">
        <v>0.9973827119215415</v>
      </c>
      <c r="DD135" s="450">
        <v>345.4</v>
      </c>
      <c r="DE135" s="443">
        <v>68916</v>
      </c>
      <c r="DF135" s="450">
        <v>64.32778390891416</v>
      </c>
      <c r="DG135" s="450">
        <v>67.09387861699746</v>
      </c>
      <c r="DH135" s="450">
        <v>68.56994394657139</v>
      </c>
      <c r="DI135" s="450">
        <v>70.07848271339594</v>
      </c>
      <c r="DJ135" s="450">
        <v>72.391072642938</v>
      </c>
      <c r="DK135" s="450">
        <v>74.99715125808375</v>
      </c>
      <c r="DL135" s="450">
        <v>77.39706009834241</v>
      </c>
      <c r="DM135" s="450">
        <v>80.57033956237444</v>
      </c>
      <c r="DN135" s="450">
        <v>84.1154345031189</v>
      </c>
      <c r="DO135" s="450">
        <v>88.74178340079044</v>
      </c>
      <c r="DP135" s="450">
        <v>87.94310735018333</v>
      </c>
      <c r="DQ135" s="450">
        <v>92.42820582504267</v>
      </c>
      <c r="DR135" s="450">
        <v>47.91</v>
      </c>
      <c r="DS135" s="450">
        <v>50.924612394657125</v>
      </c>
      <c r="DT135" s="450">
        <v>54.04867929467917</v>
      </c>
      <c r="DU135" s="450">
        <v>57.90213407784538</v>
      </c>
      <c r="DV135" s="450">
        <v>62.13097381228151</v>
      </c>
      <c r="DW135" s="450">
        <v>66.3321474949525</v>
      </c>
      <c r="DX135" s="450">
        <v>71.35548034627132</v>
      </c>
      <c r="DY135" s="450">
        <v>75.5640451505752</v>
      </c>
      <c r="DZ135" s="450">
        <v>77.97902995198459</v>
      </c>
      <c r="EA135" s="450">
        <v>80.75144951882278</v>
      </c>
      <c r="EB135" s="450">
        <v>86.38145992043472</v>
      </c>
      <c r="EC135" s="450">
        <v>0</v>
      </c>
      <c r="ED135" s="450">
        <v>86.38145992043472</v>
      </c>
      <c r="EE135" s="450">
        <v>4491.835915862605</v>
      </c>
      <c r="EF135" s="443">
        <v>32124161.403982896</v>
      </c>
      <c r="EG135" s="450">
        <v>63.41</v>
      </c>
      <c r="EH135" s="450">
        <v>65.18151239465712</v>
      </c>
      <c r="EI135" s="450">
        <v>67.00028089467916</v>
      </c>
      <c r="EJ135" s="450">
        <v>69.60876297404538</v>
      </c>
      <c r="EK135" s="450">
        <v>72.5264602721071</v>
      </c>
      <c r="EL135" s="450">
        <v>75.27226585040249</v>
      </c>
      <c r="EM135" s="450">
        <v>78.80081091269008</v>
      </c>
      <c r="EN135" s="450">
        <v>82.47331191621183</v>
      </c>
      <c r="EO135" s="450">
        <v>84.56816735748004</v>
      </c>
      <c r="EP135" s="450">
        <v>85.15430254797953</v>
      </c>
      <c r="EQ135" s="450">
        <v>90.08337874734971</v>
      </c>
      <c r="ER135" s="443">
        <v>54221647</v>
      </c>
      <c r="ES135" s="443">
        <v>26000</v>
      </c>
      <c r="ET135" s="443">
        <v>0</v>
      </c>
      <c r="EU135" s="443">
        <v>0</v>
      </c>
      <c r="EV135" s="443">
        <v>0</v>
      </c>
      <c r="EW135" s="443">
        <v>0</v>
      </c>
      <c r="EX135" s="443">
        <v>0</v>
      </c>
      <c r="EY135" s="443">
        <v>0</v>
      </c>
      <c r="EZ135" s="443">
        <v>0</v>
      </c>
      <c r="FA135" s="443">
        <v>54234647</v>
      </c>
      <c r="FB135" s="443">
        <v>64889.80278516511</v>
      </c>
      <c r="FC135" s="443">
        <v>0</v>
      </c>
      <c r="FD135" s="443">
        <v>0</v>
      </c>
      <c r="FE135" s="443">
        <v>60968</v>
      </c>
      <c r="FF135" s="452">
        <v>0.0385</v>
      </c>
      <c r="FG135" s="443">
        <v>2347.268</v>
      </c>
      <c r="FH135" s="453">
        <v>2347.268</v>
      </c>
    </row>
    <row r="136" spans="2:164" ht="12.75">
      <c r="B136" s="356" t="s">
        <v>824</v>
      </c>
      <c r="C136" s="442">
        <v>4691</v>
      </c>
      <c r="D136" s="443">
        <v>1123803</v>
      </c>
      <c r="E136" s="443">
        <v>964222.9739999999</v>
      </c>
      <c r="F136" s="443">
        <v>214549.79953609977</v>
      </c>
      <c r="G136" s="443">
        <v>159580.026</v>
      </c>
      <c r="H136" s="444">
        <v>0.6596184182477084</v>
      </c>
      <c r="I136" s="445">
        <v>2909.41</v>
      </c>
      <c r="J136" s="445">
        <v>184.86</v>
      </c>
      <c r="K136" s="443">
        <v>1178772.7735360996</v>
      </c>
      <c r="L136" s="443">
        <v>943018.2188288798</v>
      </c>
      <c r="M136" s="443">
        <v>403597.12267901737</v>
      </c>
      <c r="N136" s="443">
        <v>235754.55470721985</v>
      </c>
      <c r="O136" s="446">
        <v>1.711937753144319</v>
      </c>
      <c r="P136" s="447">
        <v>0.4523555745043701</v>
      </c>
      <c r="Q136" s="448">
        <v>0.54764442549563</v>
      </c>
      <c r="R136" s="443">
        <v>1346615.3415078972</v>
      </c>
      <c r="S136" s="443">
        <v>910311.9708593386</v>
      </c>
      <c r="T136" s="443">
        <v>108162.70415821012</v>
      </c>
      <c r="U136" s="443">
        <v>271164.1434216292</v>
      </c>
      <c r="V136" s="443">
        <v>307028.2978638006</v>
      </c>
      <c r="W136" s="446">
        <v>0.8831894170937921</v>
      </c>
      <c r="X136" s="448">
        <v>16.490449563189465</v>
      </c>
      <c r="Y136" s="443">
        <v>108162.70415821012</v>
      </c>
      <c r="Z136" s="443">
        <v>129275.07278475814</v>
      </c>
      <c r="AA136" s="444">
        <v>0.8366864688469375</v>
      </c>
      <c r="AB136" s="444">
        <v>0.06864208057983373</v>
      </c>
      <c r="AC136" s="445">
        <v>326</v>
      </c>
      <c r="AD136" s="445">
        <v>318</v>
      </c>
      <c r="AE136" s="443">
        <v>1289638.8184391782</v>
      </c>
      <c r="AF136" s="443">
        <v>56963.17833358129</v>
      </c>
      <c r="AG136" s="447">
        <v>0.75</v>
      </c>
      <c r="AH136" s="446">
        <v>0.10053294779399587</v>
      </c>
      <c r="AI136" s="448">
        <v>0.08465979248285294</v>
      </c>
      <c r="AJ136" s="443">
        <v>1346601.9967727594</v>
      </c>
      <c r="AK136" s="449">
        <v>1.0879518101672272</v>
      </c>
      <c r="AL136" s="443">
        <v>1465038.0799637262</v>
      </c>
      <c r="AM136" s="443">
        <v>3265226.4109203187</v>
      </c>
      <c r="AN136" s="443">
        <v>3225350.3386881007</v>
      </c>
      <c r="AO136" s="443">
        <v>3239189.3760561757</v>
      </c>
      <c r="AP136" s="443">
        <v>3239189.3760561757</v>
      </c>
      <c r="AQ136" s="443">
        <v>18764</v>
      </c>
      <c r="AR136" s="443">
        <v>3257953.3760561757</v>
      </c>
      <c r="AS136" s="450">
        <v>694.5114849831967</v>
      </c>
      <c r="AT136" s="446">
        <v>4691</v>
      </c>
      <c r="AU136" s="446">
        <v>96</v>
      </c>
      <c r="AV136" s="446">
        <v>114</v>
      </c>
      <c r="AW136" s="446">
        <v>99</v>
      </c>
      <c r="AX136" s="446">
        <v>88</v>
      </c>
      <c r="AY136" s="446">
        <v>304</v>
      </c>
      <c r="AZ136" s="446">
        <v>192</v>
      </c>
      <c r="BA136" s="446">
        <v>51</v>
      </c>
      <c r="BB136" s="446">
        <v>412</v>
      </c>
      <c r="BC136" s="446">
        <v>62</v>
      </c>
      <c r="BD136" s="446">
        <v>638</v>
      </c>
      <c r="BE136" s="446">
        <v>1889</v>
      </c>
      <c r="BF136" s="446">
        <v>680</v>
      </c>
      <c r="BG136" s="446">
        <v>66</v>
      </c>
      <c r="BH136" s="446">
        <v>0</v>
      </c>
      <c r="BI136" s="446">
        <v>0</v>
      </c>
      <c r="BJ136" s="448">
        <v>1.980442696877732</v>
      </c>
      <c r="BK136" s="448">
        <v>17.745581996636293</v>
      </c>
      <c r="BL136" s="448">
        <v>5.515663830107688</v>
      </c>
      <c r="BM136" s="448">
        <v>24.45983633305721</v>
      </c>
      <c r="BN136" s="445">
        <v>2122</v>
      </c>
      <c r="BO136" s="445">
        <v>2569</v>
      </c>
      <c r="BP136" s="443">
        <v>1719079.713285384</v>
      </c>
      <c r="BQ136" s="443">
        <v>5683716</v>
      </c>
      <c r="BR136" s="443">
        <v>6243558</v>
      </c>
      <c r="BS136" s="444">
        <v>0.06864208057983373</v>
      </c>
      <c r="BT136" s="445">
        <v>326</v>
      </c>
      <c r="BU136" s="445">
        <v>318</v>
      </c>
      <c r="BV136" s="443">
        <v>428570.8113408655</v>
      </c>
      <c r="BW136" s="444">
        <v>0.010307862199132902</v>
      </c>
      <c r="BX136" s="443">
        <v>11057.056682056254</v>
      </c>
      <c r="BY136" s="443">
        <v>7842423.581308305</v>
      </c>
      <c r="BZ136" s="451">
        <v>1.1533333333333333</v>
      </c>
      <c r="CA136" s="443">
        <v>9044928.530442245</v>
      </c>
      <c r="CB136" s="443">
        <v>6618516.098247527</v>
      </c>
      <c r="CC136" s="443">
        <v>6618516.098247527</v>
      </c>
      <c r="CD136" s="443">
        <v>6206041.825327008</v>
      </c>
      <c r="CE136" s="443">
        <v>6571479.3162665805</v>
      </c>
      <c r="CF136" s="450">
        <v>1400.8696048319293</v>
      </c>
      <c r="CG136" s="446">
        <v>4691</v>
      </c>
      <c r="CH136" s="446">
        <v>96</v>
      </c>
      <c r="CI136" s="446">
        <v>114</v>
      </c>
      <c r="CJ136" s="446">
        <v>99</v>
      </c>
      <c r="CK136" s="446">
        <v>88</v>
      </c>
      <c r="CL136" s="446">
        <v>304</v>
      </c>
      <c r="CM136" s="446">
        <v>192</v>
      </c>
      <c r="CN136" s="446">
        <v>51</v>
      </c>
      <c r="CO136" s="446">
        <v>412</v>
      </c>
      <c r="CP136" s="446">
        <v>62</v>
      </c>
      <c r="CQ136" s="446">
        <v>638</v>
      </c>
      <c r="CR136" s="446">
        <v>1889</v>
      </c>
      <c r="CS136" s="446">
        <v>680</v>
      </c>
      <c r="CT136" s="446">
        <v>66</v>
      </c>
      <c r="CU136" s="446">
        <v>0</v>
      </c>
      <c r="CV136" s="446">
        <v>0</v>
      </c>
      <c r="CW136" s="443">
        <v>3704076.4709965345</v>
      </c>
      <c r="CX136" s="448">
        <v>1.1259573405040626</v>
      </c>
      <c r="CY136" s="448">
        <v>1.1533333333333333</v>
      </c>
      <c r="CZ136" s="443">
        <v>4170632.0923069315</v>
      </c>
      <c r="DA136" s="450">
        <v>889.071006673829</v>
      </c>
      <c r="DB136" s="445">
        <v>4691</v>
      </c>
      <c r="DC136" s="448">
        <v>0.9812833084630145</v>
      </c>
      <c r="DD136" s="450">
        <v>354.1</v>
      </c>
      <c r="DE136" s="443">
        <v>64897</v>
      </c>
      <c r="DF136" s="450">
        <v>63.36373261097194</v>
      </c>
      <c r="DG136" s="450">
        <v>66.08837311324372</v>
      </c>
      <c r="DH136" s="450">
        <v>67.54231732173507</v>
      </c>
      <c r="DI136" s="450">
        <v>69.02824830281322</v>
      </c>
      <c r="DJ136" s="450">
        <v>71.30618049680605</v>
      </c>
      <c r="DK136" s="450">
        <v>73.87320299469106</v>
      </c>
      <c r="DL136" s="450">
        <v>76.23714549052116</v>
      </c>
      <c r="DM136" s="450">
        <v>79.36286845563252</v>
      </c>
      <c r="DN136" s="450">
        <v>82.85483466768034</v>
      </c>
      <c r="DO136" s="450">
        <v>87.41185057440275</v>
      </c>
      <c r="DP136" s="450">
        <v>86.62514391923312</v>
      </c>
      <c r="DQ136" s="450">
        <v>91.04302625911401</v>
      </c>
      <c r="DR136" s="450">
        <v>52.31</v>
      </c>
      <c r="DS136" s="450">
        <v>54.8689697321735</v>
      </c>
      <c r="DT136" s="450">
        <v>57.515216092562625</v>
      </c>
      <c r="DU136" s="450">
        <v>60.89983850776579</v>
      </c>
      <c r="DV136" s="450">
        <v>64.6323713084233</v>
      </c>
      <c r="DW136" s="450">
        <v>68.29003024033088</v>
      </c>
      <c r="DX136" s="450">
        <v>72.74451087527406</v>
      </c>
      <c r="DY136" s="450">
        <v>76.71299883310769</v>
      </c>
      <c r="DZ136" s="450">
        <v>78.98608659213389</v>
      </c>
      <c r="EA136" s="450">
        <v>80.99505940447519</v>
      </c>
      <c r="EB136" s="450">
        <v>86.30925119910553</v>
      </c>
      <c r="EC136" s="450">
        <v>-0.27</v>
      </c>
      <c r="ED136" s="450">
        <v>86.03925119910554</v>
      </c>
      <c r="EE136" s="450">
        <v>4474.041062353488</v>
      </c>
      <c r="EF136" s="443">
        <v>20567972.09103021</v>
      </c>
      <c r="EG136" s="450">
        <v>70.99</v>
      </c>
      <c r="EH136" s="450">
        <v>72.05083373217349</v>
      </c>
      <c r="EI136" s="450">
        <v>73.12398498856261</v>
      </c>
      <c r="EJ136" s="450">
        <v>75.00821449363778</v>
      </c>
      <c r="EK136" s="450">
        <v>77.16060918387763</v>
      </c>
      <c r="EL136" s="450">
        <v>79.06431481322161</v>
      </c>
      <c r="EM136" s="450">
        <v>81.71733506757747</v>
      </c>
      <c r="EN136" s="450">
        <v>85.03977968356526</v>
      </c>
      <c r="EO136" s="450">
        <v>86.92705992985358</v>
      </c>
      <c r="EP136" s="450">
        <v>86.30120744219442</v>
      </c>
      <c r="EQ136" s="450">
        <v>90.77066046921986</v>
      </c>
      <c r="ER136" s="443">
        <v>32935548</v>
      </c>
      <c r="ES136" s="443">
        <v>0</v>
      </c>
      <c r="ET136" s="443">
        <v>0</v>
      </c>
      <c r="EU136" s="443">
        <v>0</v>
      </c>
      <c r="EV136" s="443">
        <v>0</v>
      </c>
      <c r="EW136" s="443">
        <v>0</v>
      </c>
      <c r="EX136" s="443">
        <v>0</v>
      </c>
      <c r="EY136" s="443">
        <v>0</v>
      </c>
      <c r="EZ136" s="443">
        <v>0</v>
      </c>
      <c r="FA136" s="443">
        <v>32935548</v>
      </c>
      <c r="FB136" s="443">
        <v>54811.141901145835</v>
      </c>
      <c r="FC136" s="443">
        <v>0</v>
      </c>
      <c r="FD136" s="443">
        <v>0</v>
      </c>
      <c r="FE136" s="443">
        <v>344793</v>
      </c>
      <c r="FF136" s="452">
        <v>0.0506</v>
      </c>
      <c r="FG136" s="443">
        <v>17446.5258</v>
      </c>
      <c r="FH136" s="453">
        <v>17446.5258</v>
      </c>
    </row>
    <row r="137" spans="2:164" ht="12.75">
      <c r="B137" s="356" t="s">
        <v>825</v>
      </c>
      <c r="C137" s="442">
        <v>6041</v>
      </c>
      <c r="D137" s="443">
        <v>1438353</v>
      </c>
      <c r="E137" s="443">
        <v>1234106.874</v>
      </c>
      <c r="F137" s="443">
        <v>168818.49361044826</v>
      </c>
      <c r="G137" s="443">
        <v>204246.12600000002</v>
      </c>
      <c r="H137" s="444">
        <v>0.40551729846051976</v>
      </c>
      <c r="I137" s="445">
        <v>1949.1</v>
      </c>
      <c r="J137" s="445">
        <v>500.63</v>
      </c>
      <c r="K137" s="443">
        <v>1402925.3676104483</v>
      </c>
      <c r="L137" s="443">
        <v>1122340.2940883588</v>
      </c>
      <c r="M137" s="443">
        <v>332331.4450517966</v>
      </c>
      <c r="N137" s="443">
        <v>280585.0735220896</v>
      </c>
      <c r="O137" s="446">
        <v>1.1844231087568284</v>
      </c>
      <c r="P137" s="447">
        <v>0.8581360701870552</v>
      </c>
      <c r="Q137" s="448">
        <v>0.14186392981294488</v>
      </c>
      <c r="R137" s="443">
        <v>1454671.7391401553</v>
      </c>
      <c r="S137" s="443">
        <v>983358.095658745</v>
      </c>
      <c r="T137" s="443">
        <v>154693.49446270432</v>
      </c>
      <c r="U137" s="443">
        <v>317716.95276153664</v>
      </c>
      <c r="V137" s="443">
        <v>331665.1565239554</v>
      </c>
      <c r="W137" s="446">
        <v>0.9579449227992349</v>
      </c>
      <c r="X137" s="448">
        <v>17.88624515646412</v>
      </c>
      <c r="Y137" s="443">
        <v>154693.49446270432</v>
      </c>
      <c r="Z137" s="443">
        <v>139648.4869574549</v>
      </c>
      <c r="AA137" s="444">
        <v>1.107734840763674</v>
      </c>
      <c r="AB137" s="444">
        <v>0.09087899354411522</v>
      </c>
      <c r="AC137" s="445">
        <v>533</v>
      </c>
      <c r="AD137" s="445">
        <v>565</v>
      </c>
      <c r="AE137" s="443">
        <v>1455768.542882986</v>
      </c>
      <c r="AF137" s="443">
        <v>41608.26237435422</v>
      </c>
      <c r="AG137" s="447">
        <v>0.25</v>
      </c>
      <c r="AH137" s="446">
        <v>0.24902718027556117</v>
      </c>
      <c r="AI137" s="448">
        <v>0.20970825850963593</v>
      </c>
      <c r="AJ137" s="443">
        <v>1497376.8052573402</v>
      </c>
      <c r="AK137" s="449">
        <v>1</v>
      </c>
      <c r="AL137" s="443">
        <v>1497376.8052573402</v>
      </c>
      <c r="AM137" s="443">
        <v>3337301.84798119</v>
      </c>
      <c r="AN137" s="443">
        <v>3296545.565627923</v>
      </c>
      <c r="AO137" s="443">
        <v>3093785.265248567</v>
      </c>
      <c r="AP137" s="443">
        <v>3296545.565627923</v>
      </c>
      <c r="AQ137" s="443">
        <v>24164</v>
      </c>
      <c r="AR137" s="443">
        <v>3320709.565627923</v>
      </c>
      <c r="AS137" s="450">
        <v>549.6953427624437</v>
      </c>
      <c r="AT137" s="446">
        <v>6041</v>
      </c>
      <c r="AU137" s="446">
        <v>19</v>
      </c>
      <c r="AV137" s="446">
        <v>226</v>
      </c>
      <c r="AW137" s="446">
        <v>180</v>
      </c>
      <c r="AX137" s="446">
        <v>2</v>
      </c>
      <c r="AY137" s="446">
        <v>281</v>
      </c>
      <c r="AZ137" s="446">
        <v>498</v>
      </c>
      <c r="BA137" s="446">
        <v>1067</v>
      </c>
      <c r="BB137" s="446">
        <v>850</v>
      </c>
      <c r="BC137" s="446">
        <v>25</v>
      </c>
      <c r="BD137" s="446">
        <v>1308</v>
      </c>
      <c r="BE137" s="446">
        <v>857</v>
      </c>
      <c r="BF137" s="446">
        <v>0</v>
      </c>
      <c r="BG137" s="446">
        <v>728</v>
      </c>
      <c r="BH137" s="446">
        <v>0</v>
      </c>
      <c r="BI137" s="446">
        <v>0</v>
      </c>
      <c r="BJ137" s="448">
        <v>1.475118873580519</v>
      </c>
      <c r="BK137" s="448">
        <v>14.862900727133733</v>
      </c>
      <c r="BL137" s="448">
        <v>10.338612882795916</v>
      </c>
      <c r="BM137" s="448">
        <v>9.048575688675633</v>
      </c>
      <c r="BN137" s="445">
        <v>5184</v>
      </c>
      <c r="BO137" s="445">
        <v>857</v>
      </c>
      <c r="BP137" s="443">
        <v>1823836.9752949537</v>
      </c>
      <c r="BQ137" s="443">
        <v>6479753</v>
      </c>
      <c r="BR137" s="443">
        <v>8354719</v>
      </c>
      <c r="BS137" s="444">
        <v>0.09087899354411522</v>
      </c>
      <c r="BT137" s="445">
        <v>533</v>
      </c>
      <c r="BU137" s="445">
        <v>565</v>
      </c>
      <c r="BV137" s="443">
        <v>759268.4540638968</v>
      </c>
      <c r="BW137" s="444">
        <v>0.0063446244483249216</v>
      </c>
      <c r="BX137" s="443">
        <v>7340.634233813045</v>
      </c>
      <c r="BY137" s="443">
        <v>9070199.063592663</v>
      </c>
      <c r="BZ137" s="451">
        <v>0.9333333333333332</v>
      </c>
      <c r="CA137" s="443">
        <v>8465519.126019819</v>
      </c>
      <c r="CB137" s="443">
        <v>6194540.335726124</v>
      </c>
      <c r="CC137" s="443">
        <v>6194540.335726124</v>
      </c>
      <c r="CD137" s="443">
        <v>6084394.9096436715</v>
      </c>
      <c r="CE137" s="443">
        <v>6150516.6846662015</v>
      </c>
      <c r="CF137" s="450">
        <v>1018.1288999612981</v>
      </c>
      <c r="CG137" s="446">
        <v>6041</v>
      </c>
      <c r="CH137" s="446">
        <v>19</v>
      </c>
      <c r="CI137" s="446">
        <v>226</v>
      </c>
      <c r="CJ137" s="446">
        <v>180</v>
      </c>
      <c r="CK137" s="446">
        <v>2</v>
      </c>
      <c r="CL137" s="446">
        <v>281</v>
      </c>
      <c r="CM137" s="446">
        <v>498</v>
      </c>
      <c r="CN137" s="446">
        <v>1067</v>
      </c>
      <c r="CO137" s="446">
        <v>850</v>
      </c>
      <c r="CP137" s="446">
        <v>25</v>
      </c>
      <c r="CQ137" s="446">
        <v>1308</v>
      </c>
      <c r="CR137" s="446">
        <v>857</v>
      </c>
      <c r="CS137" s="446">
        <v>0</v>
      </c>
      <c r="CT137" s="446">
        <v>728</v>
      </c>
      <c r="CU137" s="446">
        <v>0</v>
      </c>
      <c r="CV137" s="446">
        <v>0</v>
      </c>
      <c r="CW137" s="443">
        <v>4193898.2814010824</v>
      </c>
      <c r="CX137" s="448">
        <v>0.9111793506969291</v>
      </c>
      <c r="CY137" s="448">
        <v>0.9333333333333332</v>
      </c>
      <c r="CZ137" s="443">
        <v>3821393.5129360054</v>
      </c>
      <c r="DA137" s="450">
        <v>632.5763140102641</v>
      </c>
      <c r="DB137" s="445">
        <v>6041</v>
      </c>
      <c r="DC137" s="448">
        <v>0.9987088230425427</v>
      </c>
      <c r="DD137" s="450">
        <v>289.6</v>
      </c>
      <c r="DE137" s="443">
        <v>40529</v>
      </c>
      <c r="DF137" s="450">
        <v>48.29919210543674</v>
      </c>
      <c r="DG137" s="450">
        <v>50.37605736597052</v>
      </c>
      <c r="DH137" s="450">
        <v>51.48433062802186</v>
      </c>
      <c r="DI137" s="450">
        <v>52.616985901838326</v>
      </c>
      <c r="DJ137" s="450">
        <v>54.35334643659899</v>
      </c>
      <c r="DK137" s="450">
        <v>56.31006690831654</v>
      </c>
      <c r="DL137" s="450">
        <v>58.111989049382665</v>
      </c>
      <c r="DM137" s="450">
        <v>60.494580600407346</v>
      </c>
      <c r="DN137" s="450">
        <v>63.15634214682526</v>
      </c>
      <c r="DO137" s="450">
        <v>66.62994096490064</v>
      </c>
      <c r="DP137" s="450">
        <v>66.03027149621653</v>
      </c>
      <c r="DQ137" s="450">
        <v>69.39781534252357</v>
      </c>
      <c r="DR137" s="450">
        <v>38.41</v>
      </c>
      <c r="DS137" s="450">
        <v>40.47795106280218</v>
      </c>
      <c r="DT137" s="450">
        <v>42.618301532367646</v>
      </c>
      <c r="DU137" s="450">
        <v>45.31578560214368</v>
      </c>
      <c r="DV137" s="450">
        <v>48.284712887320225</v>
      </c>
      <c r="DW137" s="450">
        <v>51.21018459132583</v>
      </c>
      <c r="DX137" s="450">
        <v>54.74675784773761</v>
      </c>
      <c r="DY137" s="450">
        <v>57.82236263234775</v>
      </c>
      <c r="DZ137" s="450">
        <v>59.58525589470901</v>
      </c>
      <c r="EA137" s="450">
        <v>61.32302211105724</v>
      </c>
      <c r="EB137" s="450">
        <v>65.43996005948163</v>
      </c>
      <c r="EC137" s="450">
        <v>0</v>
      </c>
      <c r="ED137" s="450">
        <v>65.43996005948163</v>
      </c>
      <c r="EE137" s="450">
        <v>3402.877923093045</v>
      </c>
      <c r="EF137" s="443">
        <v>20145649.822736982</v>
      </c>
      <c r="EG137" s="450">
        <v>42.8</v>
      </c>
      <c r="EH137" s="450">
        <v>44.51587306280218</v>
      </c>
      <c r="EI137" s="450">
        <v>46.28652934036765</v>
      </c>
      <c r="EJ137" s="450">
        <v>48.63140501209968</v>
      </c>
      <c r="EK137" s="450">
        <v>51.22898292336115</v>
      </c>
      <c r="EL137" s="450">
        <v>53.742256822321025</v>
      </c>
      <c r="EM137" s="450">
        <v>56.855467601710416</v>
      </c>
      <c r="EN137" s="450">
        <v>59.77924528403451</v>
      </c>
      <c r="EO137" s="450">
        <v>61.451469650200956</v>
      </c>
      <c r="EP137" s="450">
        <v>62.5700237109281</v>
      </c>
      <c r="EQ137" s="450">
        <v>66.48843900465306</v>
      </c>
      <c r="ER137" s="443">
        <v>-7449163</v>
      </c>
      <c r="ES137" s="443">
        <v>0</v>
      </c>
      <c r="ET137" s="443">
        <v>0</v>
      </c>
      <c r="EU137" s="443">
        <v>0</v>
      </c>
      <c r="EV137" s="443">
        <v>0</v>
      </c>
      <c r="EW137" s="443">
        <v>0</v>
      </c>
      <c r="EX137" s="443">
        <v>0</v>
      </c>
      <c r="EY137" s="443">
        <v>0</v>
      </c>
      <c r="EZ137" s="443">
        <v>0</v>
      </c>
      <c r="FA137" s="443">
        <v>-7449163</v>
      </c>
      <c r="FB137" s="443">
        <v>0</v>
      </c>
      <c r="FC137" s="443">
        <v>7449163</v>
      </c>
      <c r="FD137" s="443">
        <v>54006.43175</v>
      </c>
      <c r="FE137" s="443">
        <v>51434</v>
      </c>
      <c r="FF137" s="452">
        <v>0.0313</v>
      </c>
      <c r="FG137" s="443">
        <v>1609.8842</v>
      </c>
      <c r="FH137" s="453">
        <v>55616.315950000004</v>
      </c>
    </row>
    <row r="138" spans="2:164" ht="12.75">
      <c r="B138" s="356" t="s">
        <v>826</v>
      </c>
      <c r="C138" s="442">
        <v>1591</v>
      </c>
      <c r="D138" s="443">
        <v>401503</v>
      </c>
      <c r="E138" s="443">
        <v>344489.574</v>
      </c>
      <c r="F138" s="443">
        <v>41530.10073507386</v>
      </c>
      <c r="G138" s="443">
        <v>57013.42600000001</v>
      </c>
      <c r="H138" s="444">
        <v>0.35737900691389063</v>
      </c>
      <c r="I138" s="445">
        <v>423.64</v>
      </c>
      <c r="J138" s="445">
        <v>144.95</v>
      </c>
      <c r="K138" s="443">
        <v>386019.6747350739</v>
      </c>
      <c r="L138" s="443">
        <v>308815.7397880591</v>
      </c>
      <c r="M138" s="443">
        <v>86161.72651911968</v>
      </c>
      <c r="N138" s="443">
        <v>77203.93494701476</v>
      </c>
      <c r="O138" s="446">
        <v>1.1160276555625392</v>
      </c>
      <c r="P138" s="447">
        <v>0.9107479572595851</v>
      </c>
      <c r="Q138" s="448">
        <v>0.08925204274041483</v>
      </c>
      <c r="R138" s="443">
        <v>394977.4663071788</v>
      </c>
      <c r="S138" s="443">
        <v>267004.76722365286</v>
      </c>
      <c r="T138" s="443">
        <v>48803.94864418518</v>
      </c>
      <c r="U138" s="443">
        <v>37949.684572159495</v>
      </c>
      <c r="V138" s="443">
        <v>90054.86231803677</v>
      </c>
      <c r="W138" s="446">
        <v>0.42140628051972145</v>
      </c>
      <c r="X138" s="448">
        <v>7.868277042300378</v>
      </c>
      <c r="Y138" s="443">
        <v>48803.94864418518</v>
      </c>
      <c r="Z138" s="443">
        <v>37917.83676548916</v>
      </c>
      <c r="AA138" s="444">
        <v>1.2870973875968574</v>
      </c>
      <c r="AB138" s="444">
        <v>0.10559396605908233</v>
      </c>
      <c r="AC138" s="445">
        <v>166</v>
      </c>
      <c r="AD138" s="445">
        <v>170</v>
      </c>
      <c r="AE138" s="443">
        <v>353758.40043999755</v>
      </c>
      <c r="AF138" s="443">
        <v>0</v>
      </c>
      <c r="AG138" s="447">
        <v>0</v>
      </c>
      <c r="AH138" s="446">
        <v>0</v>
      </c>
      <c r="AI138" s="448">
        <v>0</v>
      </c>
      <c r="AJ138" s="443">
        <v>353758.40043999755</v>
      </c>
      <c r="AK138" s="449">
        <v>1</v>
      </c>
      <c r="AL138" s="443">
        <v>353758.40043999755</v>
      </c>
      <c r="AM138" s="443">
        <v>788444.5380629328</v>
      </c>
      <c r="AN138" s="443">
        <v>778815.7811578232</v>
      </c>
      <c r="AO138" s="443">
        <v>768251.2860253067</v>
      </c>
      <c r="AP138" s="443">
        <v>778815.7811578232</v>
      </c>
      <c r="AQ138" s="443">
        <v>6364</v>
      </c>
      <c r="AR138" s="443">
        <v>785179.7811578232</v>
      </c>
      <c r="AS138" s="450">
        <v>493.5133759634338</v>
      </c>
      <c r="AT138" s="446">
        <v>1591</v>
      </c>
      <c r="AU138" s="446">
        <v>11</v>
      </c>
      <c r="AV138" s="446">
        <v>75</v>
      </c>
      <c r="AW138" s="446">
        <v>19</v>
      </c>
      <c r="AX138" s="446">
        <v>0</v>
      </c>
      <c r="AY138" s="446">
        <v>199</v>
      </c>
      <c r="AZ138" s="446">
        <v>52</v>
      </c>
      <c r="BA138" s="446">
        <v>45</v>
      </c>
      <c r="BB138" s="446">
        <v>311</v>
      </c>
      <c r="BC138" s="446">
        <v>3</v>
      </c>
      <c r="BD138" s="446">
        <v>331</v>
      </c>
      <c r="BE138" s="446">
        <v>142</v>
      </c>
      <c r="BF138" s="446">
        <v>0</v>
      </c>
      <c r="BG138" s="446">
        <v>403</v>
      </c>
      <c r="BH138" s="446">
        <v>0</v>
      </c>
      <c r="BI138" s="446">
        <v>0</v>
      </c>
      <c r="BJ138" s="448">
        <v>1.1436376127866565</v>
      </c>
      <c r="BK138" s="448">
        <v>4.96192524538707</v>
      </c>
      <c r="BL138" s="448">
        <v>3.451681220277013</v>
      </c>
      <c r="BM138" s="448">
        <v>3.0204880502201132</v>
      </c>
      <c r="BN138" s="445">
        <v>1449</v>
      </c>
      <c r="BO138" s="445">
        <v>142</v>
      </c>
      <c r="BP138" s="443">
        <v>378346.20052537124</v>
      </c>
      <c r="BQ138" s="443">
        <v>1663824</v>
      </c>
      <c r="BR138" s="443">
        <v>2128963</v>
      </c>
      <c r="BS138" s="444">
        <v>0.10559396605908233</v>
      </c>
      <c r="BT138" s="445">
        <v>166</v>
      </c>
      <c r="BU138" s="445">
        <v>170</v>
      </c>
      <c r="BV138" s="443">
        <v>224805.6467630421</v>
      </c>
      <c r="BW138" s="444">
        <v>0.016509810035927563</v>
      </c>
      <c r="BX138" s="443">
        <v>1679.4911687701162</v>
      </c>
      <c r="BY138" s="443">
        <v>2268655.3384571834</v>
      </c>
      <c r="BZ138" s="451">
        <v>0.9766666666666666</v>
      </c>
      <c r="CA138" s="443">
        <v>2215720.0472265156</v>
      </c>
      <c r="CB138" s="443">
        <v>1621326.111358609</v>
      </c>
      <c r="CC138" s="443">
        <v>1621326.111358609</v>
      </c>
      <c r="CD138" s="443">
        <v>1656818.592664748</v>
      </c>
      <c r="CE138" s="443">
        <v>1656818.592664748</v>
      </c>
      <c r="CF138" s="450">
        <v>1041.3693228565355</v>
      </c>
      <c r="CG138" s="446">
        <v>1591</v>
      </c>
      <c r="CH138" s="446">
        <v>11</v>
      </c>
      <c r="CI138" s="446">
        <v>75</v>
      </c>
      <c r="CJ138" s="446">
        <v>19</v>
      </c>
      <c r="CK138" s="446">
        <v>0</v>
      </c>
      <c r="CL138" s="446">
        <v>199</v>
      </c>
      <c r="CM138" s="446">
        <v>52</v>
      </c>
      <c r="CN138" s="446">
        <v>45</v>
      </c>
      <c r="CO138" s="446">
        <v>311</v>
      </c>
      <c r="CP138" s="446">
        <v>3</v>
      </c>
      <c r="CQ138" s="446">
        <v>331</v>
      </c>
      <c r="CR138" s="446">
        <v>142</v>
      </c>
      <c r="CS138" s="446">
        <v>0</v>
      </c>
      <c r="CT138" s="446">
        <v>403</v>
      </c>
      <c r="CU138" s="446">
        <v>0</v>
      </c>
      <c r="CV138" s="446">
        <v>0</v>
      </c>
      <c r="CW138" s="443">
        <v>1106168.496414212</v>
      </c>
      <c r="CX138" s="448">
        <v>0.9534841062650008</v>
      </c>
      <c r="CY138" s="448">
        <v>0.9766666666666666</v>
      </c>
      <c r="CZ138" s="443">
        <v>1054714.0801820047</v>
      </c>
      <c r="DA138" s="450">
        <v>662.9252546712789</v>
      </c>
      <c r="DB138" s="445">
        <v>1591</v>
      </c>
      <c r="DC138" s="448">
        <v>0.9983658076681334</v>
      </c>
      <c r="DD138" s="450">
        <v>299.6</v>
      </c>
      <c r="DE138" s="443">
        <v>35803</v>
      </c>
      <c r="DF138" s="450">
        <v>47.93703277329719</v>
      </c>
      <c r="DG138" s="450">
        <v>49.99832518254897</v>
      </c>
      <c r="DH138" s="450">
        <v>51.098288336565034</v>
      </c>
      <c r="DI138" s="450">
        <v>52.222450679969455</v>
      </c>
      <c r="DJ138" s="450">
        <v>53.945791552408444</v>
      </c>
      <c r="DK138" s="450">
        <v>55.88784004829514</v>
      </c>
      <c r="DL138" s="450">
        <v>57.67625092984057</v>
      </c>
      <c r="DM138" s="450">
        <v>60.04097721796403</v>
      </c>
      <c r="DN138" s="450">
        <v>62.68278021555443</v>
      </c>
      <c r="DO138" s="450">
        <v>66.13033312740993</v>
      </c>
      <c r="DP138" s="450">
        <v>65.53516012926323</v>
      </c>
      <c r="DQ138" s="450">
        <v>68.87745329585566</v>
      </c>
      <c r="DR138" s="450">
        <v>39.05</v>
      </c>
      <c r="DS138" s="450">
        <v>41.02801883365649</v>
      </c>
      <c r="DT138" s="450">
        <v>43.07417029599387</v>
      </c>
      <c r="DU138" s="450">
        <v>45.676889620342514</v>
      </c>
      <c r="DV138" s="450">
        <v>48.5450551326206</v>
      </c>
      <c r="DW138" s="450">
        <v>51.36145590236047</v>
      </c>
      <c r="DX138" s="450">
        <v>54.7820159190786</v>
      </c>
      <c r="DY138" s="450">
        <v>57.80246413018876</v>
      </c>
      <c r="DZ138" s="450">
        <v>59.53297216731735</v>
      </c>
      <c r="EA138" s="450">
        <v>61.12681213163942</v>
      </c>
      <c r="EB138" s="450">
        <v>65.17091429945356</v>
      </c>
      <c r="EC138" s="450">
        <v>-0.2</v>
      </c>
      <c r="ED138" s="450">
        <v>64.97091429945355</v>
      </c>
      <c r="EE138" s="450">
        <v>3378.487543571585</v>
      </c>
      <c r="EF138" s="443">
        <v>5267670.208185943</v>
      </c>
      <c r="EG138" s="450">
        <v>44.89</v>
      </c>
      <c r="EH138" s="450">
        <v>46.3996508336565</v>
      </c>
      <c r="EI138" s="450">
        <v>47.95399954399388</v>
      </c>
      <c r="EJ138" s="450">
        <v>50.087645281878515</v>
      </c>
      <c r="EK138" s="450">
        <v>52.46180616006456</v>
      </c>
      <c r="EL138" s="450">
        <v>54.72986178596228</v>
      </c>
      <c r="EM138" s="450">
        <v>57.587224338942185</v>
      </c>
      <c r="EN138" s="450">
        <v>60.405697543822164</v>
      </c>
      <c r="EO138" s="450">
        <v>62.0155890994524</v>
      </c>
      <c r="EP138" s="450">
        <v>62.78569353101202</v>
      </c>
      <c r="EQ138" s="450">
        <v>66.56570178004604</v>
      </c>
      <c r="ER138" s="443">
        <v>6191615</v>
      </c>
      <c r="ES138" s="443">
        <v>80000</v>
      </c>
      <c r="ET138" s="443">
        <v>0</v>
      </c>
      <c r="EU138" s="443">
        <v>0</v>
      </c>
      <c r="EV138" s="443">
        <v>0</v>
      </c>
      <c r="EW138" s="443">
        <v>0</v>
      </c>
      <c r="EX138" s="443">
        <v>0</v>
      </c>
      <c r="EY138" s="443">
        <v>0</v>
      </c>
      <c r="EZ138" s="443">
        <v>0</v>
      </c>
      <c r="FA138" s="443">
        <v>6231615</v>
      </c>
      <c r="FB138" s="443">
        <v>42174.93203252315</v>
      </c>
      <c r="FC138" s="443">
        <v>0</v>
      </c>
      <c r="FD138" s="443">
        <v>0</v>
      </c>
      <c r="FE138" s="443">
        <v>6242</v>
      </c>
      <c r="FF138" s="452">
        <v>0.0467</v>
      </c>
      <c r="FG138" s="443">
        <v>291.5014</v>
      </c>
      <c r="FH138" s="453">
        <v>291.5014</v>
      </c>
    </row>
    <row r="139" spans="2:164" ht="12.75">
      <c r="B139" s="356" t="s">
        <v>827</v>
      </c>
      <c r="C139" s="442">
        <v>13776.75</v>
      </c>
      <c r="D139" s="443">
        <v>3240782.75</v>
      </c>
      <c r="E139" s="443">
        <v>2780591.5995</v>
      </c>
      <c r="F139" s="443">
        <v>432612.3578231604</v>
      </c>
      <c r="G139" s="443">
        <v>460191.15050000005</v>
      </c>
      <c r="H139" s="444">
        <v>0.4612154535721415</v>
      </c>
      <c r="I139" s="445">
        <v>5343.56</v>
      </c>
      <c r="J139" s="445">
        <v>1010.49</v>
      </c>
      <c r="K139" s="443">
        <v>3213203.9573231605</v>
      </c>
      <c r="L139" s="443">
        <v>2570563.1658585286</v>
      </c>
      <c r="M139" s="443">
        <v>800197.230341037</v>
      </c>
      <c r="N139" s="443">
        <v>642640.7914646319</v>
      </c>
      <c r="O139" s="446">
        <v>1.2451703050429166</v>
      </c>
      <c r="P139" s="447">
        <v>0.8114395630319198</v>
      </c>
      <c r="Q139" s="448">
        <v>0.18857858348304207</v>
      </c>
      <c r="R139" s="443">
        <v>3370760.3961995654</v>
      </c>
      <c r="S139" s="443">
        <v>2278634.027830906</v>
      </c>
      <c r="T139" s="443">
        <v>529802.1718943686</v>
      </c>
      <c r="U139" s="443">
        <v>826021.8417075394</v>
      </c>
      <c r="V139" s="443">
        <v>768533.3703335009</v>
      </c>
      <c r="W139" s="446">
        <v>1.0748028304211328</v>
      </c>
      <c r="X139" s="448">
        <v>20.068154715616043</v>
      </c>
      <c r="Y139" s="443">
        <v>529802.1718943686</v>
      </c>
      <c r="Z139" s="443">
        <v>323592.99803515826</v>
      </c>
      <c r="AA139" s="444">
        <v>1.6372485656713924</v>
      </c>
      <c r="AB139" s="444">
        <v>0.13432050374725535</v>
      </c>
      <c r="AC139" s="445">
        <v>1835</v>
      </c>
      <c r="AD139" s="445">
        <v>1866</v>
      </c>
      <c r="AE139" s="443">
        <v>3634458.041432814</v>
      </c>
      <c r="AF139" s="443">
        <v>655167.8608636121</v>
      </c>
      <c r="AG139" s="447">
        <v>1</v>
      </c>
      <c r="AH139" s="446">
        <v>0.5105366478249975</v>
      </c>
      <c r="AI139" s="448">
        <v>0.4299279749393463</v>
      </c>
      <c r="AJ139" s="443">
        <v>4289625.902296427</v>
      </c>
      <c r="AK139" s="449">
        <v>1.0220191686347762</v>
      </c>
      <c r="AL139" s="443">
        <v>4384079.898419196</v>
      </c>
      <c r="AM139" s="443">
        <v>9771086.27255454</v>
      </c>
      <c r="AN139" s="443">
        <v>9651758.393578514</v>
      </c>
      <c r="AO139" s="443">
        <v>9347310.52866216</v>
      </c>
      <c r="AP139" s="443">
        <v>9651758.393578514</v>
      </c>
      <c r="AQ139" s="443">
        <v>55107</v>
      </c>
      <c r="AR139" s="443">
        <v>9706865.393578514</v>
      </c>
      <c r="AS139" s="450">
        <v>704.5831123870662</v>
      </c>
      <c r="AT139" s="446">
        <v>13771</v>
      </c>
      <c r="AU139" s="446">
        <v>587</v>
      </c>
      <c r="AV139" s="446">
        <v>1641</v>
      </c>
      <c r="AW139" s="446">
        <v>569</v>
      </c>
      <c r="AX139" s="446">
        <v>568</v>
      </c>
      <c r="AY139" s="446">
        <v>1449</v>
      </c>
      <c r="AZ139" s="446">
        <v>148</v>
      </c>
      <c r="BA139" s="446">
        <v>624</v>
      </c>
      <c r="BB139" s="446">
        <v>568</v>
      </c>
      <c r="BC139" s="446">
        <v>69</v>
      </c>
      <c r="BD139" s="446">
        <v>3337</v>
      </c>
      <c r="BE139" s="446">
        <v>1876</v>
      </c>
      <c r="BF139" s="446">
        <v>716</v>
      </c>
      <c r="BG139" s="446">
        <v>1619</v>
      </c>
      <c r="BH139" s="446">
        <v>0</v>
      </c>
      <c r="BI139" s="446">
        <v>0</v>
      </c>
      <c r="BJ139" s="448">
        <v>2.193226451865568</v>
      </c>
      <c r="BK139" s="448">
        <v>34.459707230172874</v>
      </c>
      <c r="BL139" s="448">
        <v>24.35486952015367</v>
      </c>
      <c r="BM139" s="448">
        <v>20.209675420038405</v>
      </c>
      <c r="BN139" s="445">
        <v>11179</v>
      </c>
      <c r="BO139" s="445">
        <v>2592</v>
      </c>
      <c r="BP139" s="443">
        <v>6129381.453084829</v>
      </c>
      <c r="BQ139" s="443">
        <v>14759041</v>
      </c>
      <c r="BR139" s="443">
        <v>18704534</v>
      </c>
      <c r="BS139" s="444">
        <v>0.13437658848304407</v>
      </c>
      <c r="BT139" s="445">
        <v>1835</v>
      </c>
      <c r="BU139" s="445">
        <v>1866</v>
      </c>
      <c r="BV139" s="443">
        <v>2513451.468085106</v>
      </c>
      <c r="BW139" s="444">
        <v>0.01096470279192722</v>
      </c>
      <c r="BX139" s="443">
        <v>67048.51716150701</v>
      </c>
      <c r="BY139" s="443">
        <v>23468922.438331444</v>
      </c>
      <c r="BZ139" s="451">
        <v>0.9166666666666666</v>
      </c>
      <c r="CA139" s="443">
        <v>21513178.90180382</v>
      </c>
      <c r="CB139" s="443">
        <v>15742006.1868754</v>
      </c>
      <c r="CC139" s="443">
        <v>15742006.1868754</v>
      </c>
      <c r="CD139" s="443">
        <v>15649434.710303454</v>
      </c>
      <c r="CE139" s="443">
        <v>15649434.710303454</v>
      </c>
      <c r="CF139" s="450">
        <v>1136.4051056788508</v>
      </c>
      <c r="CG139" s="446">
        <v>13771</v>
      </c>
      <c r="CH139" s="446">
        <v>587</v>
      </c>
      <c r="CI139" s="446">
        <v>1641</v>
      </c>
      <c r="CJ139" s="446">
        <v>569</v>
      </c>
      <c r="CK139" s="446">
        <v>568</v>
      </c>
      <c r="CL139" s="446">
        <v>1449</v>
      </c>
      <c r="CM139" s="446">
        <v>148</v>
      </c>
      <c r="CN139" s="446">
        <v>624</v>
      </c>
      <c r="CO139" s="446">
        <v>568</v>
      </c>
      <c r="CP139" s="446">
        <v>69</v>
      </c>
      <c r="CQ139" s="446">
        <v>3337</v>
      </c>
      <c r="CR139" s="446">
        <v>1876</v>
      </c>
      <c r="CS139" s="446">
        <v>716</v>
      </c>
      <c r="CT139" s="446">
        <v>1619</v>
      </c>
      <c r="CU139" s="446">
        <v>0</v>
      </c>
      <c r="CV139" s="446">
        <v>0</v>
      </c>
      <c r="CW139" s="443">
        <v>9681509.843061134</v>
      </c>
      <c r="CX139" s="448">
        <v>0.8949082908630555</v>
      </c>
      <c r="CY139" s="448">
        <v>0.9166666666666666</v>
      </c>
      <c r="CZ139" s="443">
        <v>8664063.426627688</v>
      </c>
      <c r="DA139" s="450">
        <v>629.1528158178555</v>
      </c>
      <c r="DB139" s="445">
        <v>13776.75</v>
      </c>
      <c r="DC139" s="448">
        <v>0.9898415809243835</v>
      </c>
      <c r="DD139" s="450">
        <v>307.3</v>
      </c>
      <c r="DE139" s="443">
        <v>24984</v>
      </c>
      <c r="DF139" s="450">
        <v>44.986024257541</v>
      </c>
      <c r="DG139" s="450">
        <v>46.920423300615255</v>
      </c>
      <c r="DH139" s="450">
        <v>47.95267261322878</v>
      </c>
      <c r="DI139" s="450">
        <v>49.0076314107198</v>
      </c>
      <c r="DJ139" s="450">
        <v>50.62488324727355</v>
      </c>
      <c r="DK139" s="450">
        <v>52.44737904417539</v>
      </c>
      <c r="DL139" s="450">
        <v>54.125695173588994</v>
      </c>
      <c r="DM139" s="450">
        <v>56.34484867570614</v>
      </c>
      <c r="DN139" s="450">
        <v>58.8240220174372</v>
      </c>
      <c r="DO139" s="450">
        <v>62.059343228396244</v>
      </c>
      <c r="DP139" s="450">
        <v>61.500809139340674</v>
      </c>
      <c r="DQ139" s="450">
        <v>64.63735040544705</v>
      </c>
      <c r="DR139" s="450">
        <v>35.72</v>
      </c>
      <c r="DS139" s="450">
        <v>37.650523261322874</v>
      </c>
      <c r="DT139" s="450">
        <v>39.64870106614395</v>
      </c>
      <c r="DU139" s="450">
        <v>42.16558008207005</v>
      </c>
      <c r="DV139" s="450">
        <v>44.935517833474684</v>
      </c>
      <c r="DW139" s="450">
        <v>47.66549453238639</v>
      </c>
      <c r="DX139" s="450">
        <v>50.964793581712605</v>
      </c>
      <c r="DY139" s="450">
        <v>53.8313308902112</v>
      </c>
      <c r="DZ139" s="450">
        <v>55.47443544085783</v>
      </c>
      <c r="EA139" s="450">
        <v>57.100782335391926</v>
      </c>
      <c r="EB139" s="450">
        <v>60.93780786868694</v>
      </c>
      <c r="EC139" s="450">
        <v>-0.86</v>
      </c>
      <c r="ED139" s="450">
        <v>60.07780786868694</v>
      </c>
      <c r="EE139" s="450">
        <v>3124.046009171721</v>
      </c>
      <c r="EF139" s="443">
        <v>42178416.83971937</v>
      </c>
      <c r="EG139" s="450">
        <v>40.55</v>
      </c>
      <c r="EH139" s="450">
        <v>42.093157261322865</v>
      </c>
      <c r="EI139" s="450">
        <v>43.68458724214394</v>
      </c>
      <c r="EJ139" s="450">
        <v>45.813516699402044</v>
      </c>
      <c r="EK139" s="450">
        <v>48.1748855496655</v>
      </c>
      <c r="EL139" s="450">
        <v>50.45135076831049</v>
      </c>
      <c r="EM139" s="450">
        <v>53.284854654990205</v>
      </c>
      <c r="EN139" s="450">
        <v>55.98434756621281</v>
      </c>
      <c r="EO139" s="450">
        <v>57.527695677538034</v>
      </c>
      <c r="EP139" s="450">
        <v>58.472768150284</v>
      </c>
      <c r="EQ139" s="450">
        <v>62.09137354184819</v>
      </c>
      <c r="ER139" s="443">
        <v>134476958</v>
      </c>
      <c r="ES139" s="443">
        <v>0</v>
      </c>
      <c r="ET139" s="443">
        <v>0</v>
      </c>
      <c r="EU139" s="443">
        <v>0</v>
      </c>
      <c r="EV139" s="443">
        <v>0</v>
      </c>
      <c r="EW139" s="443">
        <v>0</v>
      </c>
      <c r="EX139" s="443">
        <v>0</v>
      </c>
      <c r="EY139" s="443">
        <v>0</v>
      </c>
      <c r="EZ139" s="443">
        <v>106300000</v>
      </c>
      <c r="FA139" s="443">
        <v>240776958</v>
      </c>
      <c r="FB139" s="443">
        <v>153160.98707752695</v>
      </c>
      <c r="FC139" s="443">
        <v>0</v>
      </c>
      <c r="FD139" s="443">
        <v>0</v>
      </c>
      <c r="FE139" s="443">
        <v>217000</v>
      </c>
      <c r="FF139" s="452">
        <v>0.0554</v>
      </c>
      <c r="FG139" s="443">
        <v>12021.8</v>
      </c>
      <c r="FH139" s="453">
        <v>12021.8</v>
      </c>
    </row>
    <row r="140" spans="2:164" ht="12.75">
      <c r="B140" s="356" t="s">
        <v>828</v>
      </c>
      <c r="C140" s="442">
        <v>20910</v>
      </c>
      <c r="D140" s="443">
        <v>4902830</v>
      </c>
      <c r="E140" s="443">
        <v>4206628.14</v>
      </c>
      <c r="F140" s="443">
        <v>459479.76894874184</v>
      </c>
      <c r="G140" s="443">
        <v>696201.86</v>
      </c>
      <c r="H140" s="444">
        <v>0.32379818268770927</v>
      </c>
      <c r="I140" s="445">
        <v>4745.48</v>
      </c>
      <c r="J140" s="445">
        <v>2025.14</v>
      </c>
      <c r="K140" s="443">
        <v>4666107.908948742</v>
      </c>
      <c r="L140" s="443">
        <v>3732886.3271589936</v>
      </c>
      <c r="M140" s="443">
        <v>1049260.6115675264</v>
      </c>
      <c r="N140" s="443">
        <v>933221.5817897482</v>
      </c>
      <c r="O140" s="446">
        <v>1.1243424198947871</v>
      </c>
      <c r="P140" s="447">
        <v>0.9043519846963175</v>
      </c>
      <c r="Q140" s="448">
        <v>0.09564801530368244</v>
      </c>
      <c r="R140" s="443">
        <v>4782146.93872652</v>
      </c>
      <c r="S140" s="443">
        <v>3232731.3305791277</v>
      </c>
      <c r="T140" s="443">
        <v>436214.42974743235</v>
      </c>
      <c r="U140" s="443">
        <v>857644.629913085</v>
      </c>
      <c r="V140" s="443">
        <v>1090329.5020296467</v>
      </c>
      <c r="W140" s="446">
        <v>0.7865921524792101</v>
      </c>
      <c r="X140" s="448">
        <v>14.68683610356434</v>
      </c>
      <c r="Y140" s="443">
        <v>436214.42974743235</v>
      </c>
      <c r="Z140" s="443">
        <v>459086.1061177459</v>
      </c>
      <c r="AA140" s="444">
        <v>0.950179985703058</v>
      </c>
      <c r="AB140" s="444">
        <v>0.0779531324725012</v>
      </c>
      <c r="AC140" s="445">
        <v>1715</v>
      </c>
      <c r="AD140" s="445">
        <v>1545</v>
      </c>
      <c r="AE140" s="443">
        <v>4526590.390239645</v>
      </c>
      <c r="AF140" s="443">
        <v>551314.8039578123</v>
      </c>
      <c r="AG140" s="447">
        <v>0.75</v>
      </c>
      <c r="AH140" s="446">
        <v>0.34842846889850554</v>
      </c>
      <c r="AI140" s="448">
        <v>0.2934150695800781</v>
      </c>
      <c r="AJ140" s="443">
        <v>5077905.194197457</v>
      </c>
      <c r="AK140" s="449">
        <v>1</v>
      </c>
      <c r="AL140" s="443">
        <v>5077905.194197457</v>
      </c>
      <c r="AM140" s="443">
        <v>11317460.19369922</v>
      </c>
      <c r="AN140" s="443">
        <v>11179247.4625208</v>
      </c>
      <c r="AO140" s="443">
        <v>11123904.994194606</v>
      </c>
      <c r="AP140" s="443">
        <v>11179247.4625208</v>
      </c>
      <c r="AQ140" s="443">
        <v>83640</v>
      </c>
      <c r="AR140" s="443">
        <v>11262887.4625208</v>
      </c>
      <c r="AS140" s="450">
        <v>538.6364161894213</v>
      </c>
      <c r="AT140" s="446">
        <v>20910</v>
      </c>
      <c r="AU140" s="446">
        <v>399</v>
      </c>
      <c r="AV140" s="446">
        <v>3321</v>
      </c>
      <c r="AW140" s="446">
        <v>1044</v>
      </c>
      <c r="AX140" s="446">
        <v>34</v>
      </c>
      <c r="AY140" s="446">
        <v>3874</v>
      </c>
      <c r="AZ140" s="446">
        <v>701</v>
      </c>
      <c r="BA140" s="446">
        <v>932</v>
      </c>
      <c r="BB140" s="446">
        <v>536</v>
      </c>
      <c r="BC140" s="446">
        <v>4</v>
      </c>
      <c r="BD140" s="446">
        <v>3328</v>
      </c>
      <c r="BE140" s="446">
        <v>1952</v>
      </c>
      <c r="BF140" s="446">
        <v>48</v>
      </c>
      <c r="BG140" s="446">
        <v>4737</v>
      </c>
      <c r="BH140" s="446">
        <v>0</v>
      </c>
      <c r="BI140" s="446">
        <v>0</v>
      </c>
      <c r="BJ140" s="448">
        <v>1.6193752042693506</v>
      </c>
      <c r="BK140" s="448">
        <v>21.128302812302383</v>
      </c>
      <c r="BL140" s="448">
        <v>15.553095603489801</v>
      </c>
      <c r="BM140" s="448">
        <v>11.150414417625166</v>
      </c>
      <c r="BN140" s="445">
        <v>18910</v>
      </c>
      <c r="BO140" s="445">
        <v>2000</v>
      </c>
      <c r="BP140" s="443">
        <v>7572674.551473538</v>
      </c>
      <c r="BQ140" s="443">
        <v>21566924</v>
      </c>
      <c r="BR140" s="443">
        <v>28798546</v>
      </c>
      <c r="BS140" s="444">
        <v>0.0779531324725012</v>
      </c>
      <c r="BT140" s="445">
        <v>1715</v>
      </c>
      <c r="BU140" s="445">
        <v>1545</v>
      </c>
      <c r="BV140" s="443">
        <v>2244936.8713534195</v>
      </c>
      <c r="BW140" s="444">
        <v>0.014608385251917141</v>
      </c>
      <c r="BX140" s="443">
        <v>83164.1418569418</v>
      </c>
      <c r="BY140" s="443">
        <v>31467699.5646839</v>
      </c>
      <c r="BZ140" s="451">
        <v>0.95</v>
      </c>
      <c r="CA140" s="443">
        <v>29894314.586449705</v>
      </c>
      <c r="CB140" s="443">
        <v>21874799.968908016</v>
      </c>
      <c r="CC140" s="443">
        <v>21874799.968908016</v>
      </c>
      <c r="CD140" s="443">
        <v>22098683.780817144</v>
      </c>
      <c r="CE140" s="443">
        <v>22098683.780817144</v>
      </c>
      <c r="CF140" s="450">
        <v>1056.8476222294187</v>
      </c>
      <c r="CG140" s="446">
        <v>20910</v>
      </c>
      <c r="CH140" s="446">
        <v>399</v>
      </c>
      <c r="CI140" s="446">
        <v>3321</v>
      </c>
      <c r="CJ140" s="446">
        <v>1044</v>
      </c>
      <c r="CK140" s="446">
        <v>34</v>
      </c>
      <c r="CL140" s="446">
        <v>3874</v>
      </c>
      <c r="CM140" s="446">
        <v>701</v>
      </c>
      <c r="CN140" s="446">
        <v>932</v>
      </c>
      <c r="CO140" s="446">
        <v>536</v>
      </c>
      <c r="CP140" s="446">
        <v>4</v>
      </c>
      <c r="CQ140" s="446">
        <v>3328</v>
      </c>
      <c r="CR140" s="446">
        <v>1952</v>
      </c>
      <c r="CS140" s="446">
        <v>48</v>
      </c>
      <c r="CT140" s="446">
        <v>4737</v>
      </c>
      <c r="CU140" s="446">
        <v>0</v>
      </c>
      <c r="CV140" s="446">
        <v>0</v>
      </c>
      <c r="CW140" s="443">
        <v>14063694.860467196</v>
      </c>
      <c r="CX140" s="448">
        <v>0.927450410530803</v>
      </c>
      <c r="CY140" s="448">
        <v>0.95</v>
      </c>
      <c r="CZ140" s="443">
        <v>13043379.571920244</v>
      </c>
      <c r="DA140" s="450">
        <v>623.7866844533833</v>
      </c>
      <c r="DB140" s="445">
        <v>20910</v>
      </c>
      <c r="DC140" s="448">
        <v>1.021037780966045</v>
      </c>
      <c r="DD140" s="450">
        <v>299.1</v>
      </c>
      <c r="DE140" s="443">
        <v>30388</v>
      </c>
      <c r="DF140" s="450">
        <v>46.91263321446729</v>
      </c>
      <c r="DG140" s="450">
        <v>48.929876442689384</v>
      </c>
      <c r="DH140" s="450">
        <v>50.00633372442854</v>
      </c>
      <c r="DI140" s="450">
        <v>51.106473066365965</v>
      </c>
      <c r="DJ140" s="450">
        <v>52.79298667755604</v>
      </c>
      <c r="DK140" s="450">
        <v>54.69353419794805</v>
      </c>
      <c r="DL140" s="450">
        <v>56.443727292282375</v>
      </c>
      <c r="DM140" s="450">
        <v>58.757920111265946</v>
      </c>
      <c r="DN140" s="450">
        <v>61.343268596161636</v>
      </c>
      <c r="DO140" s="450">
        <v>64.71714836895052</v>
      </c>
      <c r="DP140" s="450">
        <v>64.13469403362997</v>
      </c>
      <c r="DQ140" s="450">
        <v>67.4055634293451</v>
      </c>
      <c r="DR140" s="450">
        <v>33.1</v>
      </c>
      <c r="DS140" s="450">
        <v>35.44601337244285</v>
      </c>
      <c r="DT140" s="450">
        <v>37.87923093327318</v>
      </c>
      <c r="DU140" s="450">
        <v>40.837213194506795</v>
      </c>
      <c r="DV140" s="450">
        <v>44.07680734500032</v>
      </c>
      <c r="DW140" s="450">
        <v>47.31334219874733</v>
      </c>
      <c r="DX140" s="450">
        <v>51.154135405369956</v>
      </c>
      <c r="DY140" s="450">
        <v>54.28695638909016</v>
      </c>
      <c r="DZ140" s="450">
        <v>56.08613730099235</v>
      </c>
      <c r="EA140" s="450">
        <v>58.36746368363734</v>
      </c>
      <c r="EB140" s="450">
        <v>62.55647615107129</v>
      </c>
      <c r="EC140" s="450">
        <v>-3.63</v>
      </c>
      <c r="ED140" s="450">
        <v>58.926476151071284</v>
      </c>
      <c r="EE140" s="450">
        <v>3064.1767598557067</v>
      </c>
      <c r="EF140" s="443">
        <v>62790497.32761117</v>
      </c>
      <c r="EG140" s="450">
        <v>34.42</v>
      </c>
      <c r="EH140" s="450">
        <v>36.66014937244285</v>
      </c>
      <c r="EI140" s="450">
        <v>38.98220603727319</v>
      </c>
      <c r="EJ140" s="450">
        <v>41.834164816634804</v>
      </c>
      <c r="EK140" s="450">
        <v>44.962100385449986</v>
      </c>
      <c r="EL140" s="450">
        <v>48.074694213534045</v>
      </c>
      <c r="EM140" s="450">
        <v>51.78818936328434</v>
      </c>
      <c r="EN140" s="450">
        <v>54.87535846203471</v>
      </c>
      <c r="EO140" s="450">
        <v>56.64727674455714</v>
      </c>
      <c r="EP140" s="450">
        <v>58.742416328701026</v>
      </c>
      <c r="EQ140" s="450">
        <v>62.871736335040836</v>
      </c>
      <c r="ER140" s="443">
        <v>310058872</v>
      </c>
      <c r="ES140" s="443">
        <v>1315000</v>
      </c>
      <c r="ET140" s="443">
        <v>0</v>
      </c>
      <c r="EU140" s="443">
        <v>0</v>
      </c>
      <c r="EV140" s="443">
        <v>8030000</v>
      </c>
      <c r="EW140" s="443">
        <v>0</v>
      </c>
      <c r="EX140" s="443">
        <v>0</v>
      </c>
      <c r="EY140" s="443">
        <v>0</v>
      </c>
      <c r="EZ140" s="443">
        <v>0</v>
      </c>
      <c r="FA140" s="443">
        <v>314731372</v>
      </c>
      <c r="FB140" s="443">
        <v>188155.96313648456</v>
      </c>
      <c r="FC140" s="443">
        <v>0</v>
      </c>
      <c r="FD140" s="443">
        <v>0</v>
      </c>
      <c r="FE140" s="443">
        <v>43386</v>
      </c>
      <c r="FF140" s="452">
        <v>0.0526</v>
      </c>
      <c r="FG140" s="443">
        <v>2282.1036</v>
      </c>
      <c r="FH140" s="453">
        <v>2282.1036</v>
      </c>
    </row>
    <row r="141" spans="2:164" ht="12.75">
      <c r="B141" s="356" t="s">
        <v>829</v>
      </c>
      <c r="C141" s="442">
        <v>3920</v>
      </c>
      <c r="D141" s="443">
        <v>944160</v>
      </c>
      <c r="E141" s="443">
        <v>810089.28</v>
      </c>
      <c r="F141" s="443">
        <v>122837.31199518633</v>
      </c>
      <c r="G141" s="443">
        <v>134070.72</v>
      </c>
      <c r="H141" s="444">
        <v>0.4495102040816326</v>
      </c>
      <c r="I141" s="445">
        <v>1466.72</v>
      </c>
      <c r="J141" s="445">
        <v>295.36</v>
      </c>
      <c r="K141" s="443">
        <v>932926.5919951864</v>
      </c>
      <c r="L141" s="443">
        <v>746341.2735961492</v>
      </c>
      <c r="M141" s="443">
        <v>228167.18935653695</v>
      </c>
      <c r="N141" s="443">
        <v>186585.31839903723</v>
      </c>
      <c r="O141" s="446">
        <v>1.2228571428571429</v>
      </c>
      <c r="P141" s="447">
        <v>0.8285714285714286</v>
      </c>
      <c r="Q141" s="448">
        <v>0.17142857142857143</v>
      </c>
      <c r="R141" s="443">
        <v>974508.4629526861</v>
      </c>
      <c r="S141" s="443">
        <v>658767.7209560159</v>
      </c>
      <c r="T141" s="443">
        <v>108650.99152385053</v>
      </c>
      <c r="U141" s="443">
        <v>172151.6681782313</v>
      </c>
      <c r="V141" s="443">
        <v>222187.92955321245</v>
      </c>
      <c r="W141" s="446">
        <v>0.7748020719415462</v>
      </c>
      <c r="X141" s="448">
        <v>14.466697903661474</v>
      </c>
      <c r="Y141" s="443">
        <v>108650.99152385053</v>
      </c>
      <c r="Z141" s="443">
        <v>93552.81244345786</v>
      </c>
      <c r="AA141" s="444">
        <v>1.1613866936337998</v>
      </c>
      <c r="AB141" s="444">
        <v>0.09528061224489796</v>
      </c>
      <c r="AC141" s="445">
        <v>392</v>
      </c>
      <c r="AD141" s="445">
        <v>355</v>
      </c>
      <c r="AE141" s="443">
        <v>939570.3806580978</v>
      </c>
      <c r="AF141" s="443">
        <v>0</v>
      </c>
      <c r="AG141" s="447">
        <v>0</v>
      </c>
      <c r="AH141" s="446">
        <v>0.0314249330773924</v>
      </c>
      <c r="AI141" s="448">
        <v>0.02646324783563614</v>
      </c>
      <c r="AJ141" s="443">
        <v>939570.3806580978</v>
      </c>
      <c r="AK141" s="449">
        <v>1.0205159980087553</v>
      </c>
      <c r="AL141" s="443">
        <v>958846.6047167648</v>
      </c>
      <c r="AM141" s="443">
        <v>2137044.286125296</v>
      </c>
      <c r="AN141" s="443">
        <v>2110945.9634999554</v>
      </c>
      <c r="AO141" s="443">
        <v>2068821.0424903398</v>
      </c>
      <c r="AP141" s="443">
        <v>2110945.9634999554</v>
      </c>
      <c r="AQ141" s="443">
        <v>15680</v>
      </c>
      <c r="AR141" s="443">
        <v>2126625.9634999554</v>
      </c>
      <c r="AS141" s="450">
        <v>542.5066233418254</v>
      </c>
      <c r="AT141" s="446">
        <v>3914</v>
      </c>
      <c r="AU141" s="446">
        <v>85</v>
      </c>
      <c r="AV141" s="446">
        <v>343</v>
      </c>
      <c r="AW141" s="446">
        <v>7</v>
      </c>
      <c r="AX141" s="446">
        <v>44</v>
      </c>
      <c r="AY141" s="446">
        <v>326</v>
      </c>
      <c r="AZ141" s="446">
        <v>53</v>
      </c>
      <c r="BA141" s="446">
        <v>441</v>
      </c>
      <c r="BB141" s="446">
        <v>560</v>
      </c>
      <c r="BC141" s="446">
        <v>1</v>
      </c>
      <c r="BD141" s="446">
        <v>975</v>
      </c>
      <c r="BE141" s="446">
        <v>365</v>
      </c>
      <c r="BF141" s="446">
        <v>307</v>
      </c>
      <c r="BG141" s="446">
        <v>407</v>
      </c>
      <c r="BH141" s="446">
        <v>0</v>
      </c>
      <c r="BI141" s="446">
        <v>0</v>
      </c>
      <c r="BJ141" s="448">
        <v>1.4806046965430066</v>
      </c>
      <c r="BK141" s="448">
        <v>14.27048630152694</v>
      </c>
      <c r="BL141" s="448">
        <v>8.452985866882281</v>
      </c>
      <c r="BM141" s="448">
        <v>11.635000869289316</v>
      </c>
      <c r="BN141" s="445">
        <v>3242</v>
      </c>
      <c r="BO141" s="445">
        <v>672</v>
      </c>
      <c r="BP141" s="443">
        <v>1171072.4398931188</v>
      </c>
      <c r="BQ141" s="443">
        <v>4212338</v>
      </c>
      <c r="BR141" s="443">
        <v>5397650</v>
      </c>
      <c r="BS141" s="444">
        <v>0.09542667347981605</v>
      </c>
      <c r="BT141" s="445">
        <v>392</v>
      </c>
      <c r="BU141" s="445">
        <v>355</v>
      </c>
      <c r="BV141" s="443">
        <v>515079.7841083291</v>
      </c>
      <c r="BW141" s="444">
        <v>0.01431776106353212</v>
      </c>
      <c r="BX141" s="443">
        <v>10305.046516661521</v>
      </c>
      <c r="BY141" s="443">
        <v>5908795.270518109</v>
      </c>
      <c r="BZ141" s="451">
        <v>0.9533333333333333</v>
      </c>
      <c r="CA141" s="443">
        <v>5633051.491227264</v>
      </c>
      <c r="CB141" s="443">
        <v>4121916.70188045</v>
      </c>
      <c r="CC141" s="443">
        <v>4121916.70188045</v>
      </c>
      <c r="CD141" s="443">
        <v>4121304.455302401</v>
      </c>
      <c r="CE141" s="443">
        <v>4121304.455302401</v>
      </c>
      <c r="CF141" s="450">
        <v>1052.9648582785899</v>
      </c>
      <c r="CG141" s="446">
        <v>3914</v>
      </c>
      <c r="CH141" s="446">
        <v>85</v>
      </c>
      <c r="CI141" s="446">
        <v>343</v>
      </c>
      <c r="CJ141" s="446">
        <v>7</v>
      </c>
      <c r="CK141" s="446">
        <v>44</v>
      </c>
      <c r="CL141" s="446">
        <v>326</v>
      </c>
      <c r="CM141" s="446">
        <v>53</v>
      </c>
      <c r="CN141" s="446">
        <v>441</v>
      </c>
      <c r="CO141" s="446">
        <v>560</v>
      </c>
      <c r="CP141" s="446">
        <v>1</v>
      </c>
      <c r="CQ141" s="446">
        <v>975</v>
      </c>
      <c r="CR141" s="446">
        <v>365</v>
      </c>
      <c r="CS141" s="446">
        <v>307</v>
      </c>
      <c r="CT141" s="446">
        <v>407</v>
      </c>
      <c r="CU141" s="446">
        <v>0</v>
      </c>
      <c r="CV141" s="446">
        <v>0</v>
      </c>
      <c r="CW141" s="443">
        <v>2786374.541688734</v>
      </c>
      <c r="CX141" s="448">
        <v>0.9307046224975776</v>
      </c>
      <c r="CY141" s="448">
        <v>0.9533333333333333</v>
      </c>
      <c r="CZ141" s="443">
        <v>2593291.665959274</v>
      </c>
      <c r="DA141" s="450">
        <v>662.5681313130491</v>
      </c>
      <c r="DB141" s="445">
        <v>3920</v>
      </c>
      <c r="DC141" s="448">
        <v>0.9979591836734696</v>
      </c>
      <c r="DD141" s="450">
        <v>326.1</v>
      </c>
      <c r="DE141" s="443">
        <v>42745</v>
      </c>
      <c r="DF141" s="450">
        <v>53.404519469670916</v>
      </c>
      <c r="DG141" s="450">
        <v>55.70091380686676</v>
      </c>
      <c r="DH141" s="450">
        <v>56.926333910617814</v>
      </c>
      <c r="DI141" s="450">
        <v>58.17871325665139</v>
      </c>
      <c r="DJ141" s="450">
        <v>60.09861079412088</v>
      </c>
      <c r="DK141" s="450">
        <v>62.26216078270922</v>
      </c>
      <c r="DL141" s="450">
        <v>64.2545499277559</v>
      </c>
      <c r="DM141" s="450">
        <v>66.8889864747939</v>
      </c>
      <c r="DN141" s="450">
        <v>69.83210187968481</v>
      </c>
      <c r="DO141" s="450">
        <v>73.67286748306748</v>
      </c>
      <c r="DP141" s="450">
        <v>73.00981167571987</v>
      </c>
      <c r="DQ141" s="450">
        <v>76.73331207118159</v>
      </c>
      <c r="DR141" s="450">
        <v>40.52</v>
      </c>
      <c r="DS141" s="450">
        <v>42.96292939106178</v>
      </c>
      <c r="DT141" s="450">
        <v>45.49373599533027</v>
      </c>
      <c r="DU141" s="450">
        <v>48.632976972044254</v>
      </c>
      <c r="DV141" s="450">
        <v>52.08067794870518</v>
      </c>
      <c r="DW141" s="450">
        <v>55.49847469051243</v>
      </c>
      <c r="DX141" s="450">
        <v>59.596927017217524</v>
      </c>
      <c r="DY141" s="450">
        <v>63.06507070305395</v>
      </c>
      <c r="DZ141" s="450">
        <v>65.05458025935029</v>
      </c>
      <c r="EA141" s="450">
        <v>67.25108338187077</v>
      </c>
      <c r="EB141" s="450">
        <v>71.89137332171326</v>
      </c>
      <c r="EC141" s="450">
        <v>-1.91</v>
      </c>
      <c r="ED141" s="450">
        <v>69.98137332171326</v>
      </c>
      <c r="EE141" s="450">
        <v>3639.03141272909</v>
      </c>
      <c r="EF141" s="443">
        <v>13979703.07514007</v>
      </c>
      <c r="EG141" s="450">
        <v>43.26</v>
      </c>
      <c r="EH141" s="450">
        <v>45.48318139106178</v>
      </c>
      <c r="EI141" s="450">
        <v>47.783244923330265</v>
      </c>
      <c r="EJ141" s="450">
        <v>50.70240685434025</v>
      </c>
      <c r="EK141" s="450">
        <v>53.918331684184025</v>
      </c>
      <c r="EL141" s="450">
        <v>57.07885690302424</v>
      </c>
      <c r="EM141" s="450">
        <v>60.91306932379736</v>
      </c>
      <c r="EN141" s="450">
        <v>64.28645076356003</v>
      </c>
      <c r="EO141" s="450">
        <v>66.21936971038625</v>
      </c>
      <c r="EP141" s="450">
        <v>68.02939417541202</v>
      </c>
      <c r="EQ141" s="450">
        <v>72.54577703692274</v>
      </c>
      <c r="ER141" s="443">
        <v>9955907</v>
      </c>
      <c r="ES141" s="443">
        <v>0</v>
      </c>
      <c r="ET141" s="443">
        <v>0</v>
      </c>
      <c r="EU141" s="443">
        <v>0</v>
      </c>
      <c r="EV141" s="443">
        <v>0</v>
      </c>
      <c r="EW141" s="443">
        <v>0</v>
      </c>
      <c r="EX141" s="443">
        <v>0</v>
      </c>
      <c r="EY141" s="443">
        <v>0</v>
      </c>
      <c r="EZ141" s="443">
        <v>0</v>
      </c>
      <c r="FA141" s="443">
        <v>9955907</v>
      </c>
      <c r="FB141" s="443">
        <v>43937.25428385716</v>
      </c>
      <c r="FC141" s="443">
        <v>0</v>
      </c>
      <c r="FD141" s="443">
        <v>0</v>
      </c>
      <c r="FE141" s="443">
        <v>6804</v>
      </c>
      <c r="FF141" s="452">
        <v>0.045</v>
      </c>
      <c r="FG141" s="443">
        <v>306.18</v>
      </c>
      <c r="FH141" s="453">
        <v>306.18</v>
      </c>
    </row>
    <row r="142" spans="2:164" ht="12.75">
      <c r="B142" s="356" t="s">
        <v>830</v>
      </c>
      <c r="C142" s="442">
        <v>2988</v>
      </c>
      <c r="D142" s="443">
        <v>727004</v>
      </c>
      <c r="E142" s="443">
        <v>623769.432</v>
      </c>
      <c r="F142" s="443">
        <v>81034.69853836416</v>
      </c>
      <c r="G142" s="443">
        <v>103234.56800000001</v>
      </c>
      <c r="H142" s="444">
        <v>0.38511378848728245</v>
      </c>
      <c r="I142" s="445">
        <v>892.67</v>
      </c>
      <c r="J142" s="445">
        <v>258.05</v>
      </c>
      <c r="K142" s="443">
        <v>704804.1305383642</v>
      </c>
      <c r="L142" s="443">
        <v>563843.3044306914</v>
      </c>
      <c r="M142" s="443">
        <v>166350.75803911508</v>
      </c>
      <c r="N142" s="443">
        <v>140960.8261076728</v>
      </c>
      <c r="O142" s="446">
        <v>1.180120481927711</v>
      </c>
      <c r="P142" s="447">
        <v>0.8614457831325302</v>
      </c>
      <c r="Q142" s="448">
        <v>0.13855421686746988</v>
      </c>
      <c r="R142" s="443">
        <v>730194.0624698065</v>
      </c>
      <c r="S142" s="443">
        <v>493611.1862295892</v>
      </c>
      <c r="T142" s="443">
        <v>52330.19264946299</v>
      </c>
      <c r="U142" s="443">
        <v>94766.37206477713</v>
      </c>
      <c r="V142" s="443">
        <v>166484.2462431159</v>
      </c>
      <c r="W142" s="446">
        <v>0.5692212578864092</v>
      </c>
      <c r="X142" s="448">
        <v>10.628200770746162</v>
      </c>
      <c r="Y142" s="443">
        <v>52330.19264946299</v>
      </c>
      <c r="Z142" s="443">
        <v>70098.62999710142</v>
      </c>
      <c r="AA142" s="444">
        <v>0.7465223307734665</v>
      </c>
      <c r="AB142" s="444">
        <v>0.06124497991967871</v>
      </c>
      <c r="AC142" s="445">
        <v>193</v>
      </c>
      <c r="AD142" s="445">
        <v>173</v>
      </c>
      <c r="AE142" s="443">
        <v>640707.7509438293</v>
      </c>
      <c r="AF142" s="443">
        <v>0</v>
      </c>
      <c r="AG142" s="447">
        <v>0</v>
      </c>
      <c r="AH142" s="446">
        <v>0</v>
      </c>
      <c r="AI142" s="448">
        <v>0</v>
      </c>
      <c r="AJ142" s="443">
        <v>640707.7509438293</v>
      </c>
      <c r="AK142" s="449">
        <v>1.1323222768566725</v>
      </c>
      <c r="AL142" s="443">
        <v>725487.6593484347</v>
      </c>
      <c r="AM142" s="443">
        <v>1616941.9064929183</v>
      </c>
      <c r="AN142" s="443">
        <v>1597195.2536902297</v>
      </c>
      <c r="AO142" s="443">
        <v>1531450.8430283496</v>
      </c>
      <c r="AP142" s="443">
        <v>1597195.2536902297</v>
      </c>
      <c r="AQ142" s="443">
        <v>11952</v>
      </c>
      <c r="AR142" s="443">
        <v>1609147.2536902297</v>
      </c>
      <c r="AS142" s="450">
        <v>538.5365641533567</v>
      </c>
      <c r="AT142" s="446">
        <v>2937</v>
      </c>
      <c r="AU142" s="446">
        <v>20</v>
      </c>
      <c r="AV142" s="446">
        <v>171</v>
      </c>
      <c r="AW142" s="446">
        <v>78</v>
      </c>
      <c r="AX142" s="446">
        <v>18</v>
      </c>
      <c r="AY142" s="446">
        <v>615</v>
      </c>
      <c r="AZ142" s="446">
        <v>162</v>
      </c>
      <c r="BA142" s="446">
        <v>385</v>
      </c>
      <c r="BB142" s="446">
        <v>132</v>
      </c>
      <c r="BC142" s="446">
        <v>4</v>
      </c>
      <c r="BD142" s="446">
        <v>581</v>
      </c>
      <c r="BE142" s="446">
        <v>321</v>
      </c>
      <c r="BF142" s="446">
        <v>93</v>
      </c>
      <c r="BG142" s="446">
        <v>329</v>
      </c>
      <c r="BH142" s="446">
        <v>28</v>
      </c>
      <c r="BI142" s="446">
        <v>0</v>
      </c>
      <c r="BJ142" s="448">
        <v>1.2916611496208492</v>
      </c>
      <c r="BK142" s="448">
        <v>9.13871154649621</v>
      </c>
      <c r="BL142" s="448">
        <v>4.29821446431117</v>
      </c>
      <c r="BM142" s="448">
        <v>9.680994164370084</v>
      </c>
      <c r="BN142" s="445">
        <v>2523</v>
      </c>
      <c r="BO142" s="445">
        <v>414</v>
      </c>
      <c r="BP142" s="443">
        <v>788446.7573235114</v>
      </c>
      <c r="BQ142" s="443">
        <v>3071561</v>
      </c>
      <c r="BR142" s="443">
        <v>4121344</v>
      </c>
      <c r="BS142" s="444">
        <v>0.06230847803881512</v>
      </c>
      <c r="BT142" s="445">
        <v>193</v>
      </c>
      <c r="BU142" s="445">
        <v>173</v>
      </c>
      <c r="BV142" s="443">
        <v>256794.67211440246</v>
      </c>
      <c r="BW142" s="444">
        <v>0.007142001068175788</v>
      </c>
      <c r="BX142" s="443">
        <v>2470.154276165903</v>
      </c>
      <c r="BY142" s="443">
        <v>4119272.5837140796</v>
      </c>
      <c r="BZ142" s="451">
        <v>1.1133333333333335</v>
      </c>
      <c r="CA142" s="443">
        <v>4586123.476535009</v>
      </c>
      <c r="CB142" s="443">
        <v>3355839.900319673</v>
      </c>
      <c r="CC142" s="443">
        <v>3355839.900319673</v>
      </c>
      <c r="CD142" s="443">
        <v>3273662.1995102805</v>
      </c>
      <c r="CE142" s="443">
        <v>3331990.459234821</v>
      </c>
      <c r="CF142" s="450">
        <v>1134.487728714614</v>
      </c>
      <c r="CG142" s="446">
        <v>2937</v>
      </c>
      <c r="CH142" s="446">
        <v>20</v>
      </c>
      <c r="CI142" s="446">
        <v>171</v>
      </c>
      <c r="CJ142" s="446">
        <v>78</v>
      </c>
      <c r="CK142" s="446">
        <v>18</v>
      </c>
      <c r="CL142" s="446">
        <v>615</v>
      </c>
      <c r="CM142" s="446">
        <v>162</v>
      </c>
      <c r="CN142" s="446">
        <v>385</v>
      </c>
      <c r="CO142" s="446">
        <v>132</v>
      </c>
      <c r="CP142" s="446">
        <v>4</v>
      </c>
      <c r="CQ142" s="446">
        <v>581</v>
      </c>
      <c r="CR142" s="446">
        <v>321</v>
      </c>
      <c r="CS142" s="446">
        <v>93</v>
      </c>
      <c r="CT142" s="446">
        <v>329</v>
      </c>
      <c r="CU142" s="446">
        <v>28</v>
      </c>
      <c r="CV142" s="446">
        <v>0</v>
      </c>
      <c r="CW142" s="443">
        <v>2102730.531971485</v>
      </c>
      <c r="CX142" s="448">
        <v>1.0869067969027657</v>
      </c>
      <c r="CY142" s="448">
        <v>1.1133333333333335</v>
      </c>
      <c r="CZ142" s="443">
        <v>2285472.1072547752</v>
      </c>
      <c r="DA142" s="450">
        <v>778.1655114929436</v>
      </c>
      <c r="DB142" s="445">
        <v>2988</v>
      </c>
      <c r="DC142" s="448">
        <v>1.0121151271753683</v>
      </c>
      <c r="DD142" s="450">
        <v>333.2</v>
      </c>
      <c r="DE142" s="443">
        <v>81884</v>
      </c>
      <c r="DF142" s="450">
        <v>67.72180272462978</v>
      </c>
      <c r="DG142" s="450">
        <v>70.63384024178886</v>
      </c>
      <c r="DH142" s="450">
        <v>72.1877847271082</v>
      </c>
      <c r="DI142" s="450">
        <v>73.77591599110455</v>
      </c>
      <c r="DJ142" s="450">
        <v>76.210521218811</v>
      </c>
      <c r="DK142" s="450">
        <v>78.95409998268818</v>
      </c>
      <c r="DL142" s="450">
        <v>81.48063118213419</v>
      </c>
      <c r="DM142" s="450">
        <v>84.82133706060168</v>
      </c>
      <c r="DN142" s="450">
        <v>88.55347589126814</v>
      </c>
      <c r="DO142" s="450">
        <v>93.42391706528788</v>
      </c>
      <c r="DP142" s="450">
        <v>92.58310181170029</v>
      </c>
      <c r="DQ142" s="450">
        <v>97.304840004097</v>
      </c>
      <c r="DR142" s="450">
        <v>54.77</v>
      </c>
      <c r="DS142" s="450">
        <v>57.59622447271081</v>
      </c>
      <c r="DT142" s="450">
        <v>60.52029414222089</v>
      </c>
      <c r="DU142" s="450">
        <v>64.22909602015127</v>
      </c>
      <c r="DV142" s="450">
        <v>68.31459440627835</v>
      </c>
      <c r="DW142" s="450">
        <v>72.33065638642174</v>
      </c>
      <c r="DX142" s="450">
        <v>77.20123805073234</v>
      </c>
      <c r="DY142" s="450">
        <v>81.4820240101094</v>
      </c>
      <c r="DZ142" s="450">
        <v>83.9349513686602</v>
      </c>
      <c r="EA142" s="450">
        <v>86.24258729668689</v>
      </c>
      <c r="EB142" s="450">
        <v>91.97373539987373</v>
      </c>
      <c r="EC142" s="450">
        <v>0</v>
      </c>
      <c r="ED142" s="450">
        <v>91.97373539987373</v>
      </c>
      <c r="EE142" s="450">
        <v>4782.634240793434</v>
      </c>
      <c r="EF142" s="443">
        <v>14004700.889260966</v>
      </c>
      <c r="EG142" s="450">
        <v>60.42</v>
      </c>
      <c r="EH142" s="450">
        <v>62.793094472710806</v>
      </c>
      <c r="EI142" s="450">
        <v>65.2413618222209</v>
      </c>
      <c r="EJ142" s="450">
        <v>68.49635106941129</v>
      </c>
      <c r="EK142" s="450">
        <v>72.10391689002124</v>
      </c>
      <c r="EL142" s="450">
        <v>75.58947372244062</v>
      </c>
      <c r="EM142" s="450">
        <v>79.91518112816887</v>
      </c>
      <c r="EN142" s="450">
        <v>84.00056318597049</v>
      </c>
      <c r="EO142" s="450">
        <v>86.33679822937304</v>
      </c>
      <c r="EP142" s="450">
        <v>87.84749823957306</v>
      </c>
      <c r="EQ142" s="450">
        <v>93.32314452065242</v>
      </c>
      <c r="ER142" s="443">
        <v>235100</v>
      </c>
      <c r="ES142" s="443">
        <v>0</v>
      </c>
      <c r="ET142" s="443">
        <v>0</v>
      </c>
      <c r="EU142" s="443">
        <v>0</v>
      </c>
      <c r="EV142" s="443">
        <v>0</v>
      </c>
      <c r="EW142" s="443">
        <v>0</v>
      </c>
      <c r="EX142" s="443">
        <v>0</v>
      </c>
      <c r="EY142" s="443">
        <v>0</v>
      </c>
      <c r="EZ142" s="443">
        <v>0</v>
      </c>
      <c r="FA142" s="443">
        <v>235100</v>
      </c>
      <c r="FB142" s="443">
        <v>39337.40162004256</v>
      </c>
      <c r="FC142" s="443">
        <v>0</v>
      </c>
      <c r="FD142" s="443">
        <v>0</v>
      </c>
      <c r="FE142" s="443">
        <v>21000</v>
      </c>
      <c r="FF142" s="452">
        <v>0.0393</v>
      </c>
      <c r="FG142" s="443">
        <v>825.3</v>
      </c>
      <c r="FH142" s="453">
        <v>825.3</v>
      </c>
    </row>
    <row r="143" spans="2:164" ht="12.75">
      <c r="B143" s="356" t="s">
        <v>831</v>
      </c>
      <c r="C143" s="442">
        <v>0</v>
      </c>
      <c r="D143" s="443">
        <v>0</v>
      </c>
      <c r="E143" s="443">
        <v>0</v>
      </c>
      <c r="F143" s="443">
        <v>0</v>
      </c>
      <c r="G143" s="443">
        <v>0</v>
      </c>
      <c r="H143" s="444">
        <v>0</v>
      </c>
      <c r="I143" s="445">
        <v>0</v>
      </c>
      <c r="J143" s="445">
        <v>0</v>
      </c>
      <c r="K143" s="443">
        <v>0</v>
      </c>
      <c r="L143" s="443">
        <v>0</v>
      </c>
      <c r="M143" s="443">
        <v>0</v>
      </c>
      <c r="N143" s="443">
        <v>0</v>
      </c>
      <c r="O143" s="446">
        <v>0</v>
      </c>
      <c r="P143" s="447">
        <v>0</v>
      </c>
      <c r="Q143" s="448">
        <v>0</v>
      </c>
      <c r="R143" s="443">
        <v>0</v>
      </c>
      <c r="S143" s="443">
        <v>0</v>
      </c>
      <c r="T143" s="443">
        <v>0</v>
      </c>
      <c r="U143" s="443">
        <v>0</v>
      </c>
      <c r="V143" s="443">
        <v>0</v>
      </c>
      <c r="W143" s="446">
        <v>0.424053539024116</v>
      </c>
      <c r="X143" s="448">
        <v>7.917705264607538</v>
      </c>
      <c r="Y143" s="443">
        <v>0</v>
      </c>
      <c r="Z143" s="443">
        <v>0</v>
      </c>
      <c r="AA143" s="444">
        <v>0</v>
      </c>
      <c r="AB143" s="444">
        <v>0</v>
      </c>
      <c r="AC143" s="445">
        <v>77</v>
      </c>
      <c r="AD143" s="445">
        <v>95</v>
      </c>
      <c r="AE143" s="443">
        <v>0</v>
      </c>
      <c r="AF143" s="443">
        <v>0</v>
      </c>
      <c r="AG143" s="447">
        <v>0</v>
      </c>
      <c r="AH143" s="446">
        <v>0</v>
      </c>
      <c r="AI143" s="448">
        <v>0</v>
      </c>
      <c r="AJ143" s="443">
        <v>0</v>
      </c>
      <c r="AK143" s="449">
        <v>1.0095808529678565</v>
      </c>
      <c r="AL143" s="443">
        <v>0</v>
      </c>
      <c r="AM143" s="443">
        <v>0</v>
      </c>
      <c r="AN143" s="443">
        <v>0</v>
      </c>
      <c r="AO143" s="443">
        <v>0</v>
      </c>
      <c r="AP143" s="443">
        <v>0</v>
      </c>
      <c r="AQ143" s="443">
        <v>0</v>
      </c>
      <c r="AR143" s="443">
        <v>0</v>
      </c>
      <c r="AS143" s="450">
        <v>0</v>
      </c>
      <c r="AT143" s="446">
        <v>0</v>
      </c>
      <c r="AU143" s="446">
        <v>0</v>
      </c>
      <c r="AV143" s="446">
        <v>0</v>
      </c>
      <c r="AW143" s="446">
        <v>0</v>
      </c>
      <c r="AX143" s="446">
        <v>0</v>
      </c>
      <c r="AY143" s="446">
        <v>0</v>
      </c>
      <c r="AZ143" s="446">
        <v>0</v>
      </c>
      <c r="BA143" s="446">
        <v>0</v>
      </c>
      <c r="BB143" s="446">
        <v>0</v>
      </c>
      <c r="BC143" s="446">
        <v>0</v>
      </c>
      <c r="BD143" s="446">
        <v>0</v>
      </c>
      <c r="BE143" s="446">
        <v>0</v>
      </c>
      <c r="BF143" s="446">
        <v>0</v>
      </c>
      <c r="BG143" s="446">
        <v>0</v>
      </c>
      <c r="BH143" s="446">
        <v>0</v>
      </c>
      <c r="BI143" s="446">
        <v>0</v>
      </c>
      <c r="BJ143" s="448">
        <v>1</v>
      </c>
      <c r="BK143" s="448">
        <v>7.011998395869364</v>
      </c>
      <c r="BL143" s="448">
        <v>2.893470687019074</v>
      </c>
      <c r="BM143" s="448">
        <v>8.23705541770058</v>
      </c>
      <c r="BN143" s="445">
        <v>0</v>
      </c>
      <c r="BO143" s="445">
        <v>0</v>
      </c>
      <c r="BP143" s="443">
        <v>0</v>
      </c>
      <c r="BQ143" s="443">
        <v>0</v>
      </c>
      <c r="BR143" s="443">
        <v>0</v>
      </c>
      <c r="BS143" s="444">
        <v>0</v>
      </c>
      <c r="BT143" s="445">
        <v>0</v>
      </c>
      <c r="BU143" s="445">
        <v>0</v>
      </c>
      <c r="BV143" s="443">
        <v>0</v>
      </c>
      <c r="BW143" s="444">
        <v>0</v>
      </c>
      <c r="BX143" s="443">
        <v>0</v>
      </c>
      <c r="BY143" s="443">
        <v>0</v>
      </c>
      <c r="BZ143" s="451">
        <v>0.9166666666666666</v>
      </c>
      <c r="CA143" s="443">
        <v>0</v>
      </c>
      <c r="CB143" s="443">
        <v>0</v>
      </c>
      <c r="CC143" s="443">
        <v>0</v>
      </c>
      <c r="CD143" s="443">
        <v>0</v>
      </c>
      <c r="CE143" s="443">
        <v>0</v>
      </c>
      <c r="CF143" s="450">
        <v>0</v>
      </c>
      <c r="CG143" s="446">
        <v>0</v>
      </c>
      <c r="CH143" s="446">
        <v>0</v>
      </c>
      <c r="CI143" s="446">
        <v>0</v>
      </c>
      <c r="CJ143" s="446">
        <v>0</v>
      </c>
      <c r="CK143" s="446">
        <v>0</v>
      </c>
      <c r="CL143" s="446">
        <v>0</v>
      </c>
      <c r="CM143" s="446">
        <v>0</v>
      </c>
      <c r="CN143" s="446">
        <v>0</v>
      </c>
      <c r="CO143" s="446">
        <v>0</v>
      </c>
      <c r="CP143" s="446">
        <v>0</v>
      </c>
      <c r="CQ143" s="446">
        <v>0</v>
      </c>
      <c r="CR143" s="446">
        <v>0</v>
      </c>
      <c r="CS143" s="446">
        <v>0</v>
      </c>
      <c r="CT143" s="446">
        <v>0</v>
      </c>
      <c r="CU143" s="446">
        <v>0</v>
      </c>
      <c r="CV143" s="446">
        <v>0</v>
      </c>
      <c r="CW143" s="443">
        <v>0</v>
      </c>
      <c r="CX143" s="448">
        <v>0.8949082908630555</v>
      </c>
      <c r="CY143" s="448">
        <v>0.9166666666666666</v>
      </c>
      <c r="CZ143" s="443">
        <v>0</v>
      </c>
      <c r="DA143" s="450">
        <v>0</v>
      </c>
      <c r="DB143" s="445">
        <v>0</v>
      </c>
      <c r="DC143" s="448">
        <v>0</v>
      </c>
      <c r="DD143" s="450">
        <v>303.1</v>
      </c>
      <c r="DE143" s="443">
        <v>0</v>
      </c>
      <c r="DF143" s="450">
        <v>0</v>
      </c>
      <c r="DG143" s="450">
        <v>0</v>
      </c>
      <c r="DH143" s="450">
        <v>0</v>
      </c>
      <c r="DI143" s="450">
        <v>0</v>
      </c>
      <c r="DJ143" s="450">
        <v>0</v>
      </c>
      <c r="DK143" s="450">
        <v>0</v>
      </c>
      <c r="DL143" s="450">
        <v>0</v>
      </c>
      <c r="DM143" s="450">
        <v>0</v>
      </c>
      <c r="DN143" s="450">
        <v>0</v>
      </c>
      <c r="DO143" s="450">
        <v>0</v>
      </c>
      <c r="DP143" s="450">
        <v>0</v>
      </c>
      <c r="DQ143" s="450">
        <v>0</v>
      </c>
      <c r="DR143" s="450">
        <v>0</v>
      </c>
      <c r="DS143" s="450">
        <v>0</v>
      </c>
      <c r="DT143" s="450">
        <v>0</v>
      </c>
      <c r="DU143" s="450">
        <v>0</v>
      </c>
      <c r="DV143" s="450">
        <v>0</v>
      </c>
      <c r="DW143" s="450">
        <v>0</v>
      </c>
      <c r="DX143" s="450">
        <v>0</v>
      </c>
      <c r="DY143" s="450">
        <v>0</v>
      </c>
      <c r="DZ143" s="450">
        <v>0</v>
      </c>
      <c r="EA143" s="450">
        <v>0</v>
      </c>
      <c r="EB143" s="450">
        <v>0</v>
      </c>
      <c r="EC143" s="450">
        <v>0</v>
      </c>
      <c r="ED143" s="450">
        <v>0</v>
      </c>
      <c r="EE143" s="450">
        <v>0</v>
      </c>
      <c r="EF143" s="443">
        <v>0</v>
      </c>
      <c r="EG143" s="450">
        <v>0</v>
      </c>
      <c r="EH143" s="450">
        <v>0</v>
      </c>
      <c r="EI143" s="450">
        <v>0</v>
      </c>
      <c r="EJ143" s="450">
        <v>0</v>
      </c>
      <c r="EK143" s="450">
        <v>0</v>
      </c>
      <c r="EL143" s="450">
        <v>0</v>
      </c>
      <c r="EM143" s="450">
        <v>0</v>
      </c>
      <c r="EN143" s="450">
        <v>0</v>
      </c>
      <c r="EO143" s="450">
        <v>0</v>
      </c>
      <c r="EP143" s="450">
        <v>0</v>
      </c>
      <c r="EQ143" s="450">
        <v>0</v>
      </c>
      <c r="ER143" s="443">
        <v>1505921</v>
      </c>
      <c r="ES143" s="443">
        <v>0</v>
      </c>
      <c r="ET143" s="443">
        <v>0</v>
      </c>
      <c r="EU143" s="443">
        <v>0</v>
      </c>
      <c r="EV143" s="443">
        <v>0</v>
      </c>
      <c r="EW143" s="443">
        <v>0</v>
      </c>
      <c r="EX143" s="443">
        <v>0</v>
      </c>
      <c r="EY143" s="443">
        <v>0</v>
      </c>
      <c r="EZ143" s="443">
        <v>0</v>
      </c>
      <c r="FA143" s="443">
        <v>0</v>
      </c>
      <c r="FB143" s="443">
        <v>0</v>
      </c>
      <c r="FC143" s="443">
        <v>0</v>
      </c>
      <c r="FD143" s="443">
        <v>0</v>
      </c>
      <c r="FE143" s="443">
        <v>0</v>
      </c>
      <c r="FF143" s="452">
        <v>0</v>
      </c>
      <c r="FG143" s="443">
        <v>0</v>
      </c>
      <c r="FH143" s="453">
        <v>0</v>
      </c>
    </row>
    <row r="144" spans="2:164" ht="12.75">
      <c r="B144" s="356" t="s">
        <v>832</v>
      </c>
      <c r="C144" s="442">
        <v>10522</v>
      </c>
      <c r="D144" s="443">
        <v>2482426</v>
      </c>
      <c r="E144" s="443">
        <v>2129921.508</v>
      </c>
      <c r="F144" s="443">
        <v>366845.6912987982</v>
      </c>
      <c r="G144" s="443">
        <v>352504.492</v>
      </c>
      <c r="H144" s="444">
        <v>0.5105778369131344</v>
      </c>
      <c r="I144" s="445">
        <v>4689.41</v>
      </c>
      <c r="J144" s="445">
        <v>682.89</v>
      </c>
      <c r="K144" s="443">
        <v>2496767.199298798</v>
      </c>
      <c r="L144" s="443">
        <v>1997413.7594390386</v>
      </c>
      <c r="M144" s="443">
        <v>725775.7228450201</v>
      </c>
      <c r="N144" s="443">
        <v>499353.4398597595</v>
      </c>
      <c r="O144" s="446">
        <v>1.4534309066717352</v>
      </c>
      <c r="P144" s="447">
        <v>0.6512069948678958</v>
      </c>
      <c r="Q144" s="448">
        <v>0.34879300513210415</v>
      </c>
      <c r="R144" s="443">
        <v>2723189.482284059</v>
      </c>
      <c r="S144" s="443">
        <v>1840876.0900240238</v>
      </c>
      <c r="T144" s="443">
        <v>380829.95120590366</v>
      </c>
      <c r="U144" s="443">
        <v>694048.1435640384</v>
      </c>
      <c r="V144" s="443">
        <v>620887.2019607654</v>
      </c>
      <c r="W144" s="446">
        <v>1.117832903258805</v>
      </c>
      <c r="X144" s="448">
        <v>20.871589666370948</v>
      </c>
      <c r="Y144" s="443">
        <v>380829.95120590366</v>
      </c>
      <c r="Z144" s="443">
        <v>261426.19029926966</v>
      </c>
      <c r="AA144" s="444">
        <v>1.4567398575098602</v>
      </c>
      <c r="AB144" s="444">
        <v>0.1195114997148831</v>
      </c>
      <c r="AC144" s="445">
        <v>1248</v>
      </c>
      <c r="AD144" s="445">
        <v>1267</v>
      </c>
      <c r="AE144" s="443">
        <v>2915754.184793966</v>
      </c>
      <c r="AF144" s="443">
        <v>546361.5309523253</v>
      </c>
      <c r="AG144" s="447">
        <v>1</v>
      </c>
      <c r="AH144" s="446">
        <v>0.5676553588339965</v>
      </c>
      <c r="AI144" s="448">
        <v>0.47802820801734924</v>
      </c>
      <c r="AJ144" s="443">
        <v>3462115.715746291</v>
      </c>
      <c r="AK144" s="449">
        <v>1.0220191686347762</v>
      </c>
      <c r="AL144" s="443">
        <v>3538348.6255244175</v>
      </c>
      <c r="AM144" s="443">
        <v>7886149.54185491</v>
      </c>
      <c r="AN144" s="443">
        <v>7789841.1609985735</v>
      </c>
      <c r="AO144" s="443">
        <v>7729947.678787278</v>
      </c>
      <c r="AP144" s="443">
        <v>7789841.1609985735</v>
      </c>
      <c r="AQ144" s="443">
        <v>42088</v>
      </c>
      <c r="AR144" s="443">
        <v>7831929.1609985735</v>
      </c>
      <c r="AS144" s="450">
        <v>744.3384490589787</v>
      </c>
      <c r="AT144" s="446">
        <v>10522</v>
      </c>
      <c r="AU144" s="446">
        <v>592</v>
      </c>
      <c r="AV144" s="446">
        <v>437</v>
      </c>
      <c r="AW144" s="446">
        <v>223</v>
      </c>
      <c r="AX144" s="446">
        <v>113</v>
      </c>
      <c r="AY144" s="446">
        <v>230</v>
      </c>
      <c r="AZ144" s="446">
        <v>622</v>
      </c>
      <c r="BA144" s="446">
        <v>1690</v>
      </c>
      <c r="BB144" s="446">
        <v>1216</v>
      </c>
      <c r="BC144" s="446">
        <v>191</v>
      </c>
      <c r="BD144" s="446">
        <v>1408</v>
      </c>
      <c r="BE144" s="446">
        <v>875</v>
      </c>
      <c r="BF144" s="446">
        <v>2795</v>
      </c>
      <c r="BG144" s="446">
        <v>130</v>
      </c>
      <c r="BH144" s="446">
        <v>0</v>
      </c>
      <c r="BI144" s="446">
        <v>0</v>
      </c>
      <c r="BJ144" s="448">
        <v>2.3137212608221334</v>
      </c>
      <c r="BK144" s="448">
        <v>29.966197040333967</v>
      </c>
      <c r="BL144" s="448">
        <v>19.98688509461898</v>
      </c>
      <c r="BM144" s="448">
        <v>19.95862389142997</v>
      </c>
      <c r="BN144" s="445">
        <v>6852</v>
      </c>
      <c r="BO144" s="445">
        <v>3670</v>
      </c>
      <c r="BP144" s="443">
        <v>4611836.471740021</v>
      </c>
      <c r="BQ144" s="443">
        <v>11887712</v>
      </c>
      <c r="BR144" s="443">
        <v>15165397</v>
      </c>
      <c r="BS144" s="444">
        <v>0.1195114997148831</v>
      </c>
      <c r="BT144" s="445">
        <v>1248</v>
      </c>
      <c r="BU144" s="445">
        <v>1267</v>
      </c>
      <c r="BV144" s="443">
        <v>1812439.3392415892</v>
      </c>
      <c r="BW144" s="444">
        <v>0.016680146267715922</v>
      </c>
      <c r="BX144" s="443">
        <v>67771.17798925962</v>
      </c>
      <c r="BY144" s="443">
        <v>18379758.988970872</v>
      </c>
      <c r="BZ144" s="451">
        <v>0.9166666666666666</v>
      </c>
      <c r="CA144" s="443">
        <v>16848112.406556632</v>
      </c>
      <c r="CB144" s="443">
        <v>12328400.695768325</v>
      </c>
      <c r="CC144" s="443">
        <v>12328400.695768325</v>
      </c>
      <c r="CD144" s="443">
        <v>12159811.584661692</v>
      </c>
      <c r="CE144" s="443">
        <v>12240784.63695808</v>
      </c>
      <c r="CF144" s="450">
        <v>1163.3515146320167</v>
      </c>
      <c r="CG144" s="446">
        <v>10522</v>
      </c>
      <c r="CH144" s="446">
        <v>592</v>
      </c>
      <c r="CI144" s="446">
        <v>437</v>
      </c>
      <c r="CJ144" s="446">
        <v>223</v>
      </c>
      <c r="CK144" s="446">
        <v>113</v>
      </c>
      <c r="CL144" s="446">
        <v>230</v>
      </c>
      <c r="CM144" s="446">
        <v>622</v>
      </c>
      <c r="CN144" s="446">
        <v>1690</v>
      </c>
      <c r="CO144" s="446">
        <v>1216</v>
      </c>
      <c r="CP144" s="446">
        <v>191</v>
      </c>
      <c r="CQ144" s="446">
        <v>1408</v>
      </c>
      <c r="CR144" s="446">
        <v>875</v>
      </c>
      <c r="CS144" s="446">
        <v>2795</v>
      </c>
      <c r="CT144" s="446">
        <v>130</v>
      </c>
      <c r="CU144" s="446">
        <v>0</v>
      </c>
      <c r="CV144" s="446">
        <v>0</v>
      </c>
      <c r="CW144" s="443">
        <v>7858596.504921307</v>
      </c>
      <c r="CX144" s="448">
        <v>0.8949082908630555</v>
      </c>
      <c r="CY144" s="448">
        <v>0.9166666666666666</v>
      </c>
      <c r="CZ144" s="443">
        <v>7032723.166801508</v>
      </c>
      <c r="DA144" s="450">
        <v>668.3827377686283</v>
      </c>
      <c r="DB144" s="445">
        <v>10522</v>
      </c>
      <c r="DC144" s="448">
        <v>1.0135145409617945</v>
      </c>
      <c r="DD144" s="450">
        <v>307.3</v>
      </c>
      <c r="DE144" s="443">
        <v>26797</v>
      </c>
      <c r="DF144" s="450">
        <v>46.46224630098324</v>
      </c>
      <c r="DG144" s="450">
        <v>48.460122891925515</v>
      </c>
      <c r="DH144" s="450">
        <v>49.52624559554787</v>
      </c>
      <c r="DI144" s="450">
        <v>50.61582299864991</v>
      </c>
      <c r="DJ144" s="450">
        <v>52.286145157605354</v>
      </c>
      <c r="DK144" s="450">
        <v>54.16844638327914</v>
      </c>
      <c r="DL144" s="450">
        <v>55.90183666754406</v>
      </c>
      <c r="DM144" s="450">
        <v>58.193811970913366</v>
      </c>
      <c r="DN144" s="450">
        <v>60.75433969763354</v>
      </c>
      <c r="DO144" s="450">
        <v>64.09582838100339</v>
      </c>
      <c r="DP144" s="450">
        <v>63.518965925574356</v>
      </c>
      <c r="DQ144" s="450">
        <v>66.75843318777865</v>
      </c>
      <c r="DR144" s="450">
        <v>36.7</v>
      </c>
      <c r="DS144" s="450">
        <v>38.70928455955478</v>
      </c>
      <c r="DT144" s="450">
        <v>40.78921483972997</v>
      </c>
      <c r="DU144" s="450">
        <v>43.4041197079616</v>
      </c>
      <c r="DV144" s="450">
        <v>46.281207783995484</v>
      </c>
      <c r="DW144" s="450">
        <v>49.11881147216012</v>
      </c>
      <c r="DX144" s="450">
        <v>52.54490858819762</v>
      </c>
      <c r="DY144" s="450">
        <v>55.51215735847333</v>
      </c>
      <c r="DZ144" s="450">
        <v>57.213149292930964</v>
      </c>
      <c r="EA144" s="450">
        <v>58.919968726584415</v>
      </c>
      <c r="EB144" s="450">
        <v>62.891596342867906</v>
      </c>
      <c r="EC144" s="450">
        <v>-0.59</v>
      </c>
      <c r="ED144" s="450">
        <v>62.3015963428679</v>
      </c>
      <c r="EE144" s="450">
        <v>3239.683009829131</v>
      </c>
      <c r="EF144" s="443">
        <v>33406185.736833677</v>
      </c>
      <c r="EG144" s="450">
        <v>45.41</v>
      </c>
      <c r="EH144" s="450">
        <v>46.72074255955477</v>
      </c>
      <c r="EI144" s="450">
        <v>48.06717935172996</v>
      </c>
      <c r="EJ144" s="450">
        <v>49.982489881245584</v>
      </c>
      <c r="EK144" s="450">
        <v>52.12280049787166</v>
      </c>
      <c r="EL144" s="450">
        <v>54.142581206093624</v>
      </c>
      <c r="EM144" s="450">
        <v>56.72870402261744</v>
      </c>
      <c r="EN144" s="450">
        <v>59.394719521614924</v>
      </c>
      <c r="EO144" s="450">
        <v>60.91581940918032</v>
      </c>
      <c r="EP144" s="450">
        <v>61.39408807393635</v>
      </c>
      <c r="EQ144" s="450">
        <v>64.97183589012141</v>
      </c>
      <c r="ER144" s="443">
        <v>111757293</v>
      </c>
      <c r="ES144" s="443">
        <v>141000</v>
      </c>
      <c r="ET144" s="443">
        <v>0</v>
      </c>
      <c r="EU144" s="443">
        <v>0</v>
      </c>
      <c r="EV144" s="443">
        <v>0</v>
      </c>
      <c r="EW144" s="443">
        <v>0</v>
      </c>
      <c r="EX144" s="443">
        <v>0</v>
      </c>
      <c r="EY144" s="443">
        <v>0</v>
      </c>
      <c r="EZ144" s="443">
        <v>0</v>
      </c>
      <c r="FA144" s="443">
        <v>111827793</v>
      </c>
      <c r="FB144" s="443">
        <v>92142.68272050002</v>
      </c>
      <c r="FC144" s="443">
        <v>0</v>
      </c>
      <c r="FD144" s="443">
        <v>0</v>
      </c>
      <c r="FE144" s="443">
        <v>24278</v>
      </c>
      <c r="FF144" s="452">
        <v>0.0369</v>
      </c>
      <c r="FG144" s="443">
        <v>895.8582</v>
      </c>
      <c r="FH144" s="453">
        <v>895.8582</v>
      </c>
    </row>
    <row r="145" spans="2:164" ht="12.75">
      <c r="B145" s="356" t="s">
        <v>833</v>
      </c>
      <c r="C145" s="442">
        <v>30317</v>
      </c>
      <c r="D145" s="443">
        <v>7094661</v>
      </c>
      <c r="E145" s="443">
        <v>6087219.138</v>
      </c>
      <c r="F145" s="443">
        <v>881412.1242597541</v>
      </c>
      <c r="G145" s="443">
        <v>1007441.8620000001</v>
      </c>
      <c r="H145" s="444">
        <v>0.4292420094336511</v>
      </c>
      <c r="I145" s="445">
        <v>10623.93</v>
      </c>
      <c r="J145" s="445">
        <v>2389.4</v>
      </c>
      <c r="K145" s="443">
        <v>6968631.262259754</v>
      </c>
      <c r="L145" s="443">
        <v>5574905.009807804</v>
      </c>
      <c r="M145" s="443">
        <v>1704316.1503373156</v>
      </c>
      <c r="N145" s="443">
        <v>1393726.2524519505</v>
      </c>
      <c r="O145" s="446">
        <v>1.2228485668107</v>
      </c>
      <c r="P145" s="447">
        <v>0.8285780255302305</v>
      </c>
      <c r="Q145" s="448">
        <v>0.17142197446976942</v>
      </c>
      <c r="R145" s="443">
        <v>7279221.160145119</v>
      </c>
      <c r="S145" s="443">
        <v>4920753.504258101</v>
      </c>
      <c r="T145" s="443">
        <v>702536.8181200605</v>
      </c>
      <c r="U145" s="443">
        <v>1474319.0308523765</v>
      </c>
      <c r="V145" s="443">
        <v>1659662.4245130871</v>
      </c>
      <c r="W145" s="446">
        <v>0.8883246430580081</v>
      </c>
      <c r="X145" s="448">
        <v>16.586331808967657</v>
      </c>
      <c r="Y145" s="443">
        <v>702536.8181200605</v>
      </c>
      <c r="Z145" s="443">
        <v>698805.2313739314</v>
      </c>
      <c r="AA145" s="444">
        <v>1.0053399525054962</v>
      </c>
      <c r="AB145" s="444">
        <v>0.0824784774219085</v>
      </c>
      <c r="AC145" s="445">
        <v>2424</v>
      </c>
      <c r="AD145" s="445">
        <v>2577</v>
      </c>
      <c r="AE145" s="443">
        <v>7097609.353230538</v>
      </c>
      <c r="AF145" s="443">
        <v>1808072.287073249</v>
      </c>
      <c r="AG145" s="447">
        <v>1</v>
      </c>
      <c r="AH145" s="446">
        <v>0.6684822476370056</v>
      </c>
      <c r="AI145" s="448">
        <v>0.5629355311393738</v>
      </c>
      <c r="AJ145" s="443">
        <v>8905681.640303787</v>
      </c>
      <c r="AK145" s="449">
        <v>1.011974155871452</v>
      </c>
      <c r="AL145" s="443">
        <v>9012319.660406312</v>
      </c>
      <c r="AM145" s="443">
        <v>20086347.639198385</v>
      </c>
      <c r="AN145" s="443">
        <v>19841046.22712376</v>
      </c>
      <c r="AO145" s="443">
        <v>19212761.00220026</v>
      </c>
      <c r="AP145" s="443">
        <v>19841046.22712376</v>
      </c>
      <c r="AQ145" s="443">
        <v>121268</v>
      </c>
      <c r="AR145" s="443">
        <v>19962314.22712376</v>
      </c>
      <c r="AS145" s="450">
        <v>658.4528227437992</v>
      </c>
      <c r="AT145" s="446">
        <v>30317</v>
      </c>
      <c r="AU145" s="446">
        <v>430</v>
      </c>
      <c r="AV145" s="446">
        <v>5056</v>
      </c>
      <c r="AW145" s="446">
        <v>4249</v>
      </c>
      <c r="AX145" s="446">
        <v>46</v>
      </c>
      <c r="AY145" s="446">
        <v>3920</v>
      </c>
      <c r="AZ145" s="446">
        <v>1508</v>
      </c>
      <c r="BA145" s="446">
        <v>1083</v>
      </c>
      <c r="BB145" s="446">
        <v>555</v>
      </c>
      <c r="BC145" s="446">
        <v>274</v>
      </c>
      <c r="BD145" s="446">
        <v>6466</v>
      </c>
      <c r="BE145" s="446">
        <v>2076</v>
      </c>
      <c r="BF145" s="446">
        <v>3121</v>
      </c>
      <c r="BG145" s="446">
        <v>1533</v>
      </c>
      <c r="BH145" s="446">
        <v>0</v>
      </c>
      <c r="BI145" s="446">
        <v>0</v>
      </c>
      <c r="BJ145" s="448">
        <v>1.650013310720306</v>
      </c>
      <c r="BK145" s="448">
        <v>19.309560367936392</v>
      </c>
      <c r="BL145" s="448">
        <v>11.269625412346327</v>
      </c>
      <c r="BM145" s="448">
        <v>16.07986991118013</v>
      </c>
      <c r="BN145" s="445">
        <v>25120</v>
      </c>
      <c r="BO145" s="445">
        <v>5197</v>
      </c>
      <c r="BP145" s="443">
        <v>10503121.779083962</v>
      </c>
      <c r="BQ145" s="443">
        <v>33046554</v>
      </c>
      <c r="BR145" s="443">
        <v>43487084</v>
      </c>
      <c r="BS145" s="444">
        <v>0.0824784774219085</v>
      </c>
      <c r="BT145" s="445">
        <v>2424</v>
      </c>
      <c r="BU145" s="445">
        <v>2577</v>
      </c>
      <c r="BV145" s="443">
        <v>3586748.4758386384</v>
      </c>
      <c r="BW145" s="444">
        <v>0.01354199423478791</v>
      </c>
      <c r="BX145" s="443">
        <v>102154.26090055087</v>
      </c>
      <c r="BY145" s="443">
        <v>47238578.51582315</v>
      </c>
      <c r="BZ145" s="451">
        <v>0.9366666666666665</v>
      </c>
      <c r="CA145" s="443">
        <v>44246801.87648767</v>
      </c>
      <c r="CB145" s="443">
        <v>32377057.433883775</v>
      </c>
      <c r="CC145" s="443">
        <v>32377057.433883775</v>
      </c>
      <c r="CD145" s="443">
        <v>31767752.649600297</v>
      </c>
      <c r="CE145" s="443">
        <v>32146958.6369487</v>
      </c>
      <c r="CF145" s="450">
        <v>1060.3608086865027</v>
      </c>
      <c r="CG145" s="446">
        <v>29198</v>
      </c>
      <c r="CH145" s="446">
        <v>430</v>
      </c>
      <c r="CI145" s="446">
        <v>5046</v>
      </c>
      <c r="CJ145" s="446">
        <v>4196</v>
      </c>
      <c r="CK145" s="446">
        <v>35</v>
      </c>
      <c r="CL145" s="446">
        <v>3529</v>
      </c>
      <c r="CM145" s="446">
        <v>1508</v>
      </c>
      <c r="CN145" s="446">
        <v>959</v>
      </c>
      <c r="CO145" s="446">
        <v>460</v>
      </c>
      <c r="CP145" s="446">
        <v>274</v>
      </c>
      <c r="CQ145" s="446">
        <v>6186</v>
      </c>
      <c r="CR145" s="446">
        <v>2050</v>
      </c>
      <c r="CS145" s="446">
        <v>3086</v>
      </c>
      <c r="CT145" s="446">
        <v>1439</v>
      </c>
      <c r="CU145" s="446">
        <v>0</v>
      </c>
      <c r="CV145" s="446">
        <v>0</v>
      </c>
      <c r="CW145" s="443">
        <v>20281637.44401949</v>
      </c>
      <c r="CX145" s="448">
        <v>0.9144335626637038</v>
      </c>
      <c r="CY145" s="448">
        <v>0.9366666666666665</v>
      </c>
      <c r="CZ145" s="443">
        <v>18546209.984588318</v>
      </c>
      <c r="DA145" s="450">
        <v>635.1876835601178</v>
      </c>
      <c r="DB145" s="445">
        <v>30317</v>
      </c>
      <c r="DC145" s="448">
        <v>1.0233895174324636</v>
      </c>
      <c r="DD145" s="450">
        <v>320.6</v>
      </c>
      <c r="DE145" s="443">
        <v>32531</v>
      </c>
      <c r="DF145" s="450">
        <v>50.36230916992726</v>
      </c>
      <c r="DG145" s="450">
        <v>52.527888464234124</v>
      </c>
      <c r="DH145" s="450">
        <v>53.68350201044726</v>
      </c>
      <c r="DI145" s="450">
        <v>54.864539054677095</v>
      </c>
      <c r="DJ145" s="450">
        <v>56.675068843481434</v>
      </c>
      <c r="DK145" s="450">
        <v>58.71537132184675</v>
      </c>
      <c r="DL145" s="450">
        <v>60.59426320414584</v>
      </c>
      <c r="DM145" s="450">
        <v>63.07862799551582</v>
      </c>
      <c r="DN145" s="450">
        <v>65.8540876273185</v>
      </c>
      <c r="DO145" s="450">
        <v>69.47606244682102</v>
      </c>
      <c r="DP145" s="450">
        <v>68.85077788479963</v>
      </c>
      <c r="DQ145" s="450">
        <v>72.3621675569244</v>
      </c>
      <c r="DR145" s="450">
        <v>38.18</v>
      </c>
      <c r="DS145" s="450">
        <v>40.48631420104472</v>
      </c>
      <c r="DT145" s="450">
        <v>42.87562710693541</v>
      </c>
      <c r="DU145" s="450">
        <v>45.838591056716425</v>
      </c>
      <c r="DV145" s="450">
        <v>49.09257904719942</v>
      </c>
      <c r="DW145" s="450">
        <v>52.31866184794914</v>
      </c>
      <c r="DX145" s="450">
        <v>56.1867071860752</v>
      </c>
      <c r="DY145" s="450">
        <v>59.458385116157615</v>
      </c>
      <c r="DZ145" s="450">
        <v>61.33521743556371</v>
      </c>
      <c r="EA145" s="450">
        <v>63.41107585524168</v>
      </c>
      <c r="EB145" s="450">
        <v>67.78846609047208</v>
      </c>
      <c r="EC145" s="450">
        <v>-0.9</v>
      </c>
      <c r="ED145" s="450">
        <v>66.88846609047208</v>
      </c>
      <c r="EE145" s="450">
        <v>3478.200236704548</v>
      </c>
      <c r="EF145" s="443">
        <v>103339624.64464834</v>
      </c>
      <c r="EG145" s="450">
        <v>48.86</v>
      </c>
      <c r="EH145" s="450">
        <v>50.30977820104472</v>
      </c>
      <c r="EI145" s="450">
        <v>51.799698402935405</v>
      </c>
      <c r="EJ145" s="450">
        <v>53.90483599938842</v>
      </c>
      <c r="EK145" s="450">
        <v>56.255404556292156</v>
      </c>
      <c r="EL145" s="450">
        <v>58.47869178576888</v>
      </c>
      <c r="EM145" s="450">
        <v>61.31678011829148</v>
      </c>
      <c r="EN145" s="450">
        <v>64.21909279725432</v>
      </c>
      <c r="EO145" s="450">
        <v>65.87534566076961</v>
      </c>
      <c r="EP145" s="450">
        <v>66.44478361984774</v>
      </c>
      <c r="EQ145" s="450">
        <v>70.33920757895285</v>
      </c>
      <c r="ER145" s="443">
        <v>456787912</v>
      </c>
      <c r="ES145" s="443">
        <v>1768000</v>
      </c>
      <c r="ET145" s="443">
        <v>0</v>
      </c>
      <c r="EU145" s="443">
        <v>0</v>
      </c>
      <c r="EV145" s="443">
        <v>40700000</v>
      </c>
      <c r="EW145" s="443">
        <v>0</v>
      </c>
      <c r="EX145" s="443">
        <v>0</v>
      </c>
      <c r="EY145" s="443">
        <v>0</v>
      </c>
      <c r="EZ145" s="443">
        <v>0</v>
      </c>
      <c r="FA145" s="443">
        <v>478021912</v>
      </c>
      <c r="FB145" s="443">
        <v>265424.4888252184</v>
      </c>
      <c r="FC145" s="443">
        <v>0</v>
      </c>
      <c r="FD145" s="443">
        <v>0</v>
      </c>
      <c r="FE145" s="443">
        <v>39200</v>
      </c>
      <c r="FF145" s="452">
        <v>0.0683</v>
      </c>
      <c r="FG145" s="443">
        <v>2677.36</v>
      </c>
      <c r="FH145" s="453">
        <v>2677.36</v>
      </c>
    </row>
    <row r="146" spans="2:164" ht="12.75">
      <c r="B146" s="356" t="s">
        <v>834</v>
      </c>
      <c r="C146" s="442">
        <v>4133.2</v>
      </c>
      <c r="D146" s="443">
        <v>993835.6</v>
      </c>
      <c r="E146" s="443">
        <v>852710.9447999999</v>
      </c>
      <c r="F146" s="443">
        <v>114878.51191300758</v>
      </c>
      <c r="G146" s="443">
        <v>141124.6552</v>
      </c>
      <c r="H146" s="444">
        <v>0.3993733668828027</v>
      </c>
      <c r="I146" s="445">
        <v>1303.85</v>
      </c>
      <c r="J146" s="445">
        <v>346.84</v>
      </c>
      <c r="K146" s="443">
        <v>967589.4567130075</v>
      </c>
      <c r="L146" s="443">
        <v>774071.565370406</v>
      </c>
      <c r="M146" s="443">
        <v>242140.83002432308</v>
      </c>
      <c r="N146" s="443">
        <v>193517.89134260148</v>
      </c>
      <c r="O146" s="446">
        <v>1.2512581051001646</v>
      </c>
      <c r="P146" s="447">
        <v>0.8066389238362528</v>
      </c>
      <c r="Q146" s="448">
        <v>0.1933126875060486</v>
      </c>
      <c r="R146" s="443">
        <v>1016212.3953947291</v>
      </c>
      <c r="S146" s="443">
        <v>686959.5792868369</v>
      </c>
      <c r="T146" s="443">
        <v>102565.46214514741</v>
      </c>
      <c r="U146" s="443">
        <v>164310.68996978024</v>
      </c>
      <c r="V146" s="443">
        <v>231696.42614999824</v>
      </c>
      <c r="W146" s="446">
        <v>0.7091636789572531</v>
      </c>
      <c r="X146" s="448">
        <v>13.24113225719116</v>
      </c>
      <c r="Y146" s="443">
        <v>102565.46214514741</v>
      </c>
      <c r="Z146" s="443">
        <v>97556.38995789399</v>
      </c>
      <c r="AA146" s="444">
        <v>1.0513454033038263</v>
      </c>
      <c r="AB146" s="444">
        <v>0.08625278234781768</v>
      </c>
      <c r="AC146" s="445">
        <v>356</v>
      </c>
      <c r="AD146" s="445">
        <v>357</v>
      </c>
      <c r="AE146" s="443">
        <v>953835.7314017646</v>
      </c>
      <c r="AF146" s="443">
        <v>0</v>
      </c>
      <c r="AG146" s="447">
        <v>0</v>
      </c>
      <c r="AH146" s="446">
        <v>0.12142855878926351</v>
      </c>
      <c r="AI146" s="448">
        <v>0.10225619375705719</v>
      </c>
      <c r="AJ146" s="443">
        <v>953835.7314017646</v>
      </c>
      <c r="AK146" s="449">
        <v>1</v>
      </c>
      <c r="AL146" s="443">
        <v>953835.7314017646</v>
      </c>
      <c r="AM146" s="443">
        <v>2125876.2242751084</v>
      </c>
      <c r="AN146" s="443">
        <v>2099914.2898767963</v>
      </c>
      <c r="AO146" s="443">
        <v>2003964.8868876009</v>
      </c>
      <c r="AP146" s="443">
        <v>2099914.2898767963</v>
      </c>
      <c r="AQ146" s="443">
        <v>16532.8</v>
      </c>
      <c r="AR146" s="443">
        <v>2116447.089876796</v>
      </c>
      <c r="AS146" s="450">
        <v>512.060168846607</v>
      </c>
      <c r="AT146" s="446">
        <v>4094</v>
      </c>
      <c r="AU146" s="446">
        <v>229</v>
      </c>
      <c r="AV146" s="446">
        <v>214</v>
      </c>
      <c r="AW146" s="446">
        <v>193</v>
      </c>
      <c r="AX146" s="446">
        <v>72</v>
      </c>
      <c r="AY146" s="446">
        <v>582</v>
      </c>
      <c r="AZ146" s="446">
        <v>82</v>
      </c>
      <c r="BA146" s="446">
        <v>53</v>
      </c>
      <c r="BB146" s="446">
        <v>546</v>
      </c>
      <c r="BC146" s="446">
        <v>27</v>
      </c>
      <c r="BD146" s="446">
        <v>639</v>
      </c>
      <c r="BE146" s="446">
        <v>725</v>
      </c>
      <c r="BF146" s="446">
        <v>61</v>
      </c>
      <c r="BG146" s="446">
        <v>658</v>
      </c>
      <c r="BH146" s="446">
        <v>0</v>
      </c>
      <c r="BI146" s="446">
        <v>13</v>
      </c>
      <c r="BJ146" s="448">
        <v>1.362361034859573</v>
      </c>
      <c r="BK146" s="448">
        <v>10.399870646323409</v>
      </c>
      <c r="BL146" s="448">
        <v>7.45843852158157</v>
      </c>
      <c r="BM146" s="448">
        <v>5.882864249483678</v>
      </c>
      <c r="BN146" s="445">
        <v>3308</v>
      </c>
      <c r="BO146" s="445">
        <v>786</v>
      </c>
      <c r="BP146" s="443">
        <v>1152524.7388263622</v>
      </c>
      <c r="BQ146" s="443">
        <v>4456602</v>
      </c>
      <c r="BR146" s="443">
        <v>5593036</v>
      </c>
      <c r="BS146" s="444">
        <v>0.08707865168539326</v>
      </c>
      <c r="BT146" s="445">
        <v>356</v>
      </c>
      <c r="BU146" s="445">
        <v>357</v>
      </c>
      <c r="BV146" s="443">
        <v>487034.0337078652</v>
      </c>
      <c r="BW146" s="444">
        <v>0.01925378321720646</v>
      </c>
      <c r="BX146" s="443">
        <v>10563.482208286057</v>
      </c>
      <c r="BY146" s="443">
        <v>6106724.254742513</v>
      </c>
      <c r="BZ146" s="451">
        <v>0.9833333333333334</v>
      </c>
      <c r="CA146" s="443">
        <v>6004945.517163472</v>
      </c>
      <c r="CB146" s="443">
        <v>4394045.618014686</v>
      </c>
      <c r="CC146" s="443">
        <v>4394045.618014686</v>
      </c>
      <c r="CD146" s="443">
        <v>4183505.0300952126</v>
      </c>
      <c r="CE146" s="443">
        <v>4362817.8076292705</v>
      </c>
      <c r="CF146" s="450">
        <v>1065.6614088005058</v>
      </c>
      <c r="CG146" s="446">
        <v>4094</v>
      </c>
      <c r="CH146" s="446">
        <v>229</v>
      </c>
      <c r="CI146" s="446">
        <v>214</v>
      </c>
      <c r="CJ146" s="446">
        <v>193</v>
      </c>
      <c r="CK146" s="446">
        <v>72</v>
      </c>
      <c r="CL146" s="446">
        <v>582</v>
      </c>
      <c r="CM146" s="446">
        <v>82</v>
      </c>
      <c r="CN146" s="446">
        <v>53</v>
      </c>
      <c r="CO146" s="446">
        <v>546</v>
      </c>
      <c r="CP146" s="446">
        <v>27</v>
      </c>
      <c r="CQ146" s="446">
        <v>639</v>
      </c>
      <c r="CR146" s="446">
        <v>725</v>
      </c>
      <c r="CS146" s="446">
        <v>61</v>
      </c>
      <c r="CT146" s="446">
        <v>658</v>
      </c>
      <c r="CU146" s="446">
        <v>0</v>
      </c>
      <c r="CV146" s="446">
        <v>13</v>
      </c>
      <c r="CW146" s="443">
        <v>2847880.3511825795</v>
      </c>
      <c r="CX146" s="448">
        <v>0.9599925301985505</v>
      </c>
      <c r="CY146" s="448">
        <v>0.9833333333333334</v>
      </c>
      <c r="CZ146" s="443">
        <v>2733943.864034501</v>
      </c>
      <c r="DA146" s="450">
        <v>667.79283440022</v>
      </c>
      <c r="DB146" s="445">
        <v>4133.2</v>
      </c>
      <c r="DC146" s="448">
        <v>1.0082381689731927</v>
      </c>
      <c r="DD146" s="450">
        <v>299.7</v>
      </c>
      <c r="DE146" s="443">
        <v>34856</v>
      </c>
      <c r="DF146" s="450">
        <v>47.994723748314925</v>
      </c>
      <c r="DG146" s="450">
        <v>50.058496869492465</v>
      </c>
      <c r="DH146" s="450">
        <v>51.15978380062129</v>
      </c>
      <c r="DI146" s="450">
        <v>52.28529904423495</v>
      </c>
      <c r="DJ146" s="450">
        <v>54.0107139126947</v>
      </c>
      <c r="DK146" s="450">
        <v>55.955099613551695</v>
      </c>
      <c r="DL146" s="450">
        <v>57.74566280118534</v>
      </c>
      <c r="DM146" s="450">
        <v>60.11323497603394</v>
      </c>
      <c r="DN146" s="450">
        <v>62.75821731497942</v>
      </c>
      <c r="DO146" s="450">
        <v>66.20991926730328</v>
      </c>
      <c r="DP146" s="450">
        <v>65.61402999389755</v>
      </c>
      <c r="DQ146" s="450">
        <v>68.96034552358631</v>
      </c>
      <c r="DR146" s="450">
        <v>38.43</v>
      </c>
      <c r="DS146" s="450">
        <v>40.46389238006213</v>
      </c>
      <c r="DT146" s="450">
        <v>42.568675904846984</v>
      </c>
      <c r="DU146" s="450">
        <v>45.2281011725804</v>
      </c>
      <c r="DV146" s="450">
        <v>48.156139500330205</v>
      </c>
      <c r="DW146" s="450">
        <v>51.03855710381485</v>
      </c>
      <c r="DX146" s="450">
        <v>54.527557351263795</v>
      </c>
      <c r="DY146" s="450">
        <v>57.57470847919273</v>
      </c>
      <c r="DZ146" s="450">
        <v>59.32107493747702</v>
      </c>
      <c r="EA146" s="450">
        <v>61.010913188400586</v>
      </c>
      <c r="EB146" s="450">
        <v>65.09004491352448</v>
      </c>
      <c r="EC146" s="450">
        <v>-0.55</v>
      </c>
      <c r="ED146" s="450">
        <v>64.54004491352448</v>
      </c>
      <c r="EE146" s="450">
        <v>3356.082335503273</v>
      </c>
      <c r="EF146" s="443">
        <v>13593932.318920085</v>
      </c>
      <c r="EG146" s="450">
        <v>48.78</v>
      </c>
      <c r="EH146" s="450">
        <v>49.98382238006212</v>
      </c>
      <c r="EI146" s="450">
        <v>51.21700342484698</v>
      </c>
      <c r="EJ146" s="450">
        <v>53.0451082097204</v>
      </c>
      <c r="EK146" s="450">
        <v>55.09764174931052</v>
      </c>
      <c r="EL146" s="450">
        <v>57.00824903793792</v>
      </c>
      <c r="EM146" s="450">
        <v>59.49911679400149</v>
      </c>
      <c r="EN146" s="450">
        <v>62.188315642053304</v>
      </c>
      <c r="EO146" s="450">
        <v>63.72091830179172</v>
      </c>
      <c r="EP146" s="450">
        <v>63.950882791740725</v>
      </c>
      <c r="EQ146" s="450">
        <v>67.56197135601286</v>
      </c>
      <c r="ER146" s="443">
        <v>8188408</v>
      </c>
      <c r="ES146" s="443">
        <v>661000</v>
      </c>
      <c r="ET146" s="443">
        <v>0</v>
      </c>
      <c r="EU146" s="443">
        <v>0</v>
      </c>
      <c r="EV146" s="443">
        <v>0</v>
      </c>
      <c r="EW146" s="443">
        <v>0</v>
      </c>
      <c r="EX146" s="443">
        <v>0</v>
      </c>
      <c r="EY146" s="443">
        <v>0</v>
      </c>
      <c r="EZ146" s="443">
        <v>0</v>
      </c>
      <c r="FA146" s="443">
        <v>8518908</v>
      </c>
      <c r="FB146" s="443">
        <v>43257.27126618703</v>
      </c>
      <c r="FC146" s="443">
        <v>0</v>
      </c>
      <c r="FD146" s="443">
        <v>0</v>
      </c>
      <c r="FE146" s="443">
        <v>1500</v>
      </c>
      <c r="FF146" s="452">
        <v>0.0481</v>
      </c>
      <c r="FG146" s="443">
        <v>72.15</v>
      </c>
      <c r="FH146" s="453">
        <v>72.15</v>
      </c>
    </row>
    <row r="147" spans="2:164" ht="12.75">
      <c r="B147" s="356" t="s">
        <v>835</v>
      </c>
      <c r="C147" s="442">
        <v>3172</v>
      </c>
      <c r="D147" s="443">
        <v>769876</v>
      </c>
      <c r="E147" s="443">
        <v>660553.608</v>
      </c>
      <c r="F147" s="443">
        <v>61427.490063746685</v>
      </c>
      <c r="G147" s="443">
        <v>109322.392</v>
      </c>
      <c r="H147" s="444">
        <v>0.27567465321563683</v>
      </c>
      <c r="I147" s="445">
        <v>541.12</v>
      </c>
      <c r="J147" s="445">
        <v>333.32</v>
      </c>
      <c r="K147" s="443">
        <v>721981.0980637467</v>
      </c>
      <c r="L147" s="443">
        <v>577584.8784509974</v>
      </c>
      <c r="M147" s="443">
        <v>145816.51029746488</v>
      </c>
      <c r="N147" s="443">
        <v>144396.2196127493</v>
      </c>
      <c r="O147" s="446">
        <v>1.0098360655737706</v>
      </c>
      <c r="P147" s="447">
        <v>0.9924337957124842</v>
      </c>
      <c r="Q147" s="448">
        <v>0.007566204287515763</v>
      </c>
      <c r="R147" s="443">
        <v>723401.3887484623</v>
      </c>
      <c r="S147" s="443">
        <v>489019.3387939606</v>
      </c>
      <c r="T147" s="443">
        <v>76589.91649865173</v>
      </c>
      <c r="U147" s="443">
        <v>89571.90497679776</v>
      </c>
      <c r="V147" s="443">
        <v>164935.51663464942</v>
      </c>
      <c r="W147" s="446">
        <v>0.5430722672983135</v>
      </c>
      <c r="X147" s="448">
        <v>10.139960533628923</v>
      </c>
      <c r="Y147" s="443">
        <v>76589.91649865173</v>
      </c>
      <c r="Z147" s="443">
        <v>69446.53331985239</v>
      </c>
      <c r="AA147" s="444">
        <v>1.1028616237170372</v>
      </c>
      <c r="AB147" s="444">
        <v>0.09047919293820933</v>
      </c>
      <c r="AC147" s="445">
        <v>290</v>
      </c>
      <c r="AD147" s="445">
        <v>284</v>
      </c>
      <c r="AE147" s="443">
        <v>655181.1602694101</v>
      </c>
      <c r="AF147" s="443">
        <v>0</v>
      </c>
      <c r="AG147" s="447">
        <v>0</v>
      </c>
      <c r="AH147" s="446">
        <v>0.024836880567741533</v>
      </c>
      <c r="AI147" s="448">
        <v>0.020915383473038673</v>
      </c>
      <c r="AJ147" s="443">
        <v>655181.1602694101</v>
      </c>
      <c r="AK147" s="449">
        <v>1</v>
      </c>
      <c r="AL147" s="443">
        <v>655181.1602694101</v>
      </c>
      <c r="AM147" s="443">
        <v>1460245.2029793414</v>
      </c>
      <c r="AN147" s="443">
        <v>1442412.1844186645</v>
      </c>
      <c r="AO147" s="443">
        <v>1402231.4149978317</v>
      </c>
      <c r="AP147" s="443">
        <v>1442412.1844186645</v>
      </c>
      <c r="AQ147" s="443">
        <v>12688</v>
      </c>
      <c r="AR147" s="443">
        <v>1455100.1844186645</v>
      </c>
      <c r="AS147" s="450">
        <v>458.73271892139485</v>
      </c>
      <c r="AT147" s="446">
        <v>3172</v>
      </c>
      <c r="AU147" s="446">
        <v>32</v>
      </c>
      <c r="AV147" s="446">
        <v>372</v>
      </c>
      <c r="AW147" s="446">
        <v>114</v>
      </c>
      <c r="AX147" s="446">
        <v>83</v>
      </c>
      <c r="AY147" s="446">
        <v>372</v>
      </c>
      <c r="AZ147" s="446">
        <v>104</v>
      </c>
      <c r="BA147" s="446">
        <v>203</v>
      </c>
      <c r="BB147" s="446">
        <v>114</v>
      </c>
      <c r="BC147" s="446">
        <v>9</v>
      </c>
      <c r="BD147" s="446">
        <v>575</v>
      </c>
      <c r="BE147" s="446">
        <v>24</v>
      </c>
      <c r="BF147" s="446">
        <v>0</v>
      </c>
      <c r="BG147" s="446">
        <v>1154</v>
      </c>
      <c r="BH147" s="446">
        <v>16</v>
      </c>
      <c r="BI147" s="446">
        <v>0</v>
      </c>
      <c r="BJ147" s="448">
        <v>1.2360921605656925</v>
      </c>
      <c r="BK147" s="448">
        <v>9.731374948292705</v>
      </c>
      <c r="BL147" s="448">
        <v>6.1670851964121445</v>
      </c>
      <c r="BM147" s="448">
        <v>7.128579503761123</v>
      </c>
      <c r="BN147" s="445">
        <v>3148</v>
      </c>
      <c r="BO147" s="445">
        <v>24</v>
      </c>
      <c r="BP147" s="443">
        <v>861105.0622756812</v>
      </c>
      <c r="BQ147" s="443">
        <v>3101416</v>
      </c>
      <c r="BR147" s="443">
        <v>4199138</v>
      </c>
      <c r="BS147" s="444">
        <v>0.09047919293820933</v>
      </c>
      <c r="BT147" s="445">
        <v>290</v>
      </c>
      <c r="BU147" s="445">
        <v>284</v>
      </c>
      <c r="BV147" s="443">
        <v>379934.61727616645</v>
      </c>
      <c r="BW147" s="444">
        <v>0.008433059740669997</v>
      </c>
      <c r="BX147" s="443">
        <v>3354.3456554327217</v>
      </c>
      <c r="BY147" s="443">
        <v>4345810.02520728</v>
      </c>
      <c r="BZ147" s="451">
        <v>0.9766666666666666</v>
      </c>
      <c r="CA147" s="443">
        <v>4244407.7912857765</v>
      </c>
      <c r="CB147" s="443">
        <v>3105793.616788105</v>
      </c>
      <c r="CC147" s="443">
        <v>3105793.616788105</v>
      </c>
      <c r="CD147" s="443">
        <v>3124655.500457665</v>
      </c>
      <c r="CE147" s="443">
        <v>3124655.500457665</v>
      </c>
      <c r="CF147" s="450">
        <v>985.074243523854</v>
      </c>
      <c r="CG147" s="446">
        <v>3172</v>
      </c>
      <c r="CH147" s="446">
        <v>32</v>
      </c>
      <c r="CI147" s="446">
        <v>372</v>
      </c>
      <c r="CJ147" s="446">
        <v>114</v>
      </c>
      <c r="CK147" s="446">
        <v>83</v>
      </c>
      <c r="CL147" s="446">
        <v>372</v>
      </c>
      <c r="CM147" s="446">
        <v>104</v>
      </c>
      <c r="CN147" s="446">
        <v>203</v>
      </c>
      <c r="CO147" s="446">
        <v>114</v>
      </c>
      <c r="CP147" s="446">
        <v>9</v>
      </c>
      <c r="CQ147" s="446">
        <v>575</v>
      </c>
      <c r="CR147" s="446">
        <v>24</v>
      </c>
      <c r="CS147" s="446">
        <v>0</v>
      </c>
      <c r="CT147" s="446">
        <v>1154</v>
      </c>
      <c r="CU147" s="446">
        <v>16</v>
      </c>
      <c r="CV147" s="446">
        <v>0</v>
      </c>
      <c r="CW147" s="443">
        <v>2085787.10759993</v>
      </c>
      <c r="CX147" s="448">
        <v>0.9534841062650008</v>
      </c>
      <c r="CY147" s="448">
        <v>0.9766666666666666</v>
      </c>
      <c r="CZ147" s="443">
        <v>1988764.8561489803</v>
      </c>
      <c r="DA147" s="450">
        <v>626.9750492272951</v>
      </c>
      <c r="DB147" s="445">
        <v>3172</v>
      </c>
      <c r="DC147" s="448">
        <v>1.0116645649432534</v>
      </c>
      <c r="DD147" s="450">
        <v>299.6</v>
      </c>
      <c r="DE147" s="443">
        <v>35724</v>
      </c>
      <c r="DF147" s="450">
        <v>48.3924793541525</v>
      </c>
      <c r="DG147" s="450">
        <v>50.47335596638105</v>
      </c>
      <c r="DH147" s="450">
        <v>51.58376979764142</v>
      </c>
      <c r="DI147" s="450">
        <v>52.718612733189524</v>
      </c>
      <c r="DJ147" s="450">
        <v>54.45832695338478</v>
      </c>
      <c r="DK147" s="450">
        <v>56.418826723706616</v>
      </c>
      <c r="DL147" s="450">
        <v>58.224229178865215</v>
      </c>
      <c r="DM147" s="450">
        <v>60.61142257519869</v>
      </c>
      <c r="DN147" s="450">
        <v>63.27832516850742</v>
      </c>
      <c r="DO147" s="450">
        <v>66.75863305277532</v>
      </c>
      <c r="DP147" s="450">
        <v>66.15780535530034</v>
      </c>
      <c r="DQ147" s="450">
        <v>69.53185342842065</v>
      </c>
      <c r="DR147" s="450">
        <v>38.92</v>
      </c>
      <c r="DS147" s="450">
        <v>40.95699297976414</v>
      </c>
      <c r="DT147" s="450">
        <v>43.064776370637894</v>
      </c>
      <c r="DU147" s="450">
        <v>45.73246561118342</v>
      </c>
      <c r="DV147" s="450">
        <v>48.67026185183182</v>
      </c>
      <c r="DW147" s="450">
        <v>51.56046338905289</v>
      </c>
      <c r="DX147" s="450">
        <v>55.06183842544298</v>
      </c>
      <c r="DY147" s="450">
        <v>58.12831107753412</v>
      </c>
      <c r="DZ147" s="450">
        <v>59.88560820112673</v>
      </c>
      <c r="EA147" s="450">
        <v>61.56525910450999</v>
      </c>
      <c r="EB147" s="450">
        <v>65.67044054075613</v>
      </c>
      <c r="EC147" s="450">
        <v>-1.38</v>
      </c>
      <c r="ED147" s="450">
        <v>64.29044054075614</v>
      </c>
      <c r="EE147" s="450">
        <v>3343.102908119319</v>
      </c>
      <c r="EF147" s="443">
        <v>10392235.976063391</v>
      </c>
      <c r="EG147" s="450">
        <v>44.37</v>
      </c>
      <c r="EH147" s="450">
        <v>45.969902979764136</v>
      </c>
      <c r="EI147" s="450">
        <v>47.61872661063789</v>
      </c>
      <c r="EJ147" s="450">
        <v>49.84866738436342</v>
      </c>
      <c r="EK147" s="450">
        <v>52.32544902641565</v>
      </c>
      <c r="EL147" s="450">
        <v>54.703924359194986</v>
      </c>
      <c r="EM147" s="450">
        <v>57.679712721377314</v>
      </c>
      <c r="EN147" s="450">
        <v>60.55769842416119</v>
      </c>
      <c r="EO147" s="450">
        <v>62.20243393402674</v>
      </c>
      <c r="EP147" s="450">
        <v>63.113359040568334</v>
      </c>
      <c r="EQ147" s="450">
        <v>66.97208296699398</v>
      </c>
      <c r="ER147" s="443">
        <v>5224967</v>
      </c>
      <c r="ES147" s="443">
        <v>220000</v>
      </c>
      <c r="ET147" s="443">
        <v>0</v>
      </c>
      <c r="EU147" s="443">
        <v>0</v>
      </c>
      <c r="EV147" s="443">
        <v>0</v>
      </c>
      <c r="EW147" s="443">
        <v>0</v>
      </c>
      <c r="EX147" s="443">
        <v>0</v>
      </c>
      <c r="EY147" s="443">
        <v>0</v>
      </c>
      <c r="EZ147" s="443">
        <v>0</v>
      </c>
      <c r="FA147" s="443">
        <v>5334967</v>
      </c>
      <c r="FB147" s="443">
        <v>41750.64126208567</v>
      </c>
      <c r="FC147" s="443">
        <v>0</v>
      </c>
      <c r="FD147" s="443">
        <v>0</v>
      </c>
      <c r="FE147" s="443">
        <v>19247</v>
      </c>
      <c r="FF147" s="452">
        <v>0.0791</v>
      </c>
      <c r="FG147" s="443">
        <v>1522.4377000000002</v>
      </c>
      <c r="FH147" s="453">
        <v>1522.4377000000002</v>
      </c>
    </row>
    <row r="148" spans="2:164" ht="12.75">
      <c r="B148" s="356" t="s">
        <v>836</v>
      </c>
      <c r="C148" s="442">
        <v>41803</v>
      </c>
      <c r="D148" s="443">
        <v>9770899</v>
      </c>
      <c r="E148" s="443">
        <v>8383431.342</v>
      </c>
      <c r="F148" s="443">
        <v>1364053.7024586478</v>
      </c>
      <c r="G148" s="443">
        <v>1387467.658</v>
      </c>
      <c r="H148" s="444">
        <v>0.4823383489223262</v>
      </c>
      <c r="I148" s="445">
        <v>17248.2</v>
      </c>
      <c r="J148" s="445">
        <v>2914.99</v>
      </c>
      <c r="K148" s="443">
        <v>9747485.044458648</v>
      </c>
      <c r="L148" s="443">
        <v>7797988.035566919</v>
      </c>
      <c r="M148" s="443">
        <v>2762187.715909209</v>
      </c>
      <c r="N148" s="443">
        <v>1949497.0088917292</v>
      </c>
      <c r="O148" s="446">
        <v>1.4168719948329067</v>
      </c>
      <c r="P148" s="447">
        <v>0.6793292347439179</v>
      </c>
      <c r="Q148" s="448">
        <v>0.3206707652560821</v>
      </c>
      <c r="R148" s="443">
        <v>10560175.751476128</v>
      </c>
      <c r="S148" s="443">
        <v>7138678.807997863</v>
      </c>
      <c r="T148" s="443">
        <v>1372775.2698834338</v>
      </c>
      <c r="U148" s="443">
        <v>2041943.7979032942</v>
      </c>
      <c r="V148" s="443">
        <v>2407720.071336557</v>
      </c>
      <c r="W148" s="446">
        <v>0.8480818938265462</v>
      </c>
      <c r="X148" s="448">
        <v>15.83494030263688</v>
      </c>
      <c r="Y148" s="443">
        <v>1372775.2698834338</v>
      </c>
      <c r="Z148" s="443">
        <v>1013776.8721417083</v>
      </c>
      <c r="AA148" s="444">
        <v>1.3541197354239345</v>
      </c>
      <c r="AB148" s="444">
        <v>0.11109250532258451</v>
      </c>
      <c r="AC148" s="445">
        <v>4267</v>
      </c>
      <c r="AD148" s="445">
        <v>5021</v>
      </c>
      <c r="AE148" s="443">
        <v>10553397.87578459</v>
      </c>
      <c r="AF148" s="443">
        <v>1657375.271336757</v>
      </c>
      <c r="AG148" s="447">
        <v>1</v>
      </c>
      <c r="AH148" s="446">
        <v>0.40715399490099985</v>
      </c>
      <c r="AI148" s="448">
        <v>0.3428684175014496</v>
      </c>
      <c r="AJ148" s="443">
        <v>12210773.147121347</v>
      </c>
      <c r="AK148" s="449">
        <v>1</v>
      </c>
      <c r="AL148" s="443">
        <v>12210773.147121347</v>
      </c>
      <c r="AM148" s="443">
        <v>27214950.603007145</v>
      </c>
      <c r="AN148" s="443">
        <v>26882592.23042621</v>
      </c>
      <c r="AO148" s="443">
        <v>26362293.626194343</v>
      </c>
      <c r="AP148" s="443">
        <v>26882592.23042621</v>
      </c>
      <c r="AQ148" s="443">
        <v>167212</v>
      </c>
      <c r="AR148" s="443">
        <v>27049804.23042621</v>
      </c>
      <c r="AS148" s="450">
        <v>647.0780621110018</v>
      </c>
      <c r="AT148" s="446">
        <v>41803</v>
      </c>
      <c r="AU148" s="446">
        <v>4394</v>
      </c>
      <c r="AV148" s="446">
        <v>3111</v>
      </c>
      <c r="AW148" s="446">
        <v>1748</v>
      </c>
      <c r="AX148" s="446">
        <v>23</v>
      </c>
      <c r="AY148" s="446">
        <v>5592</v>
      </c>
      <c r="AZ148" s="446">
        <v>1479</v>
      </c>
      <c r="BA148" s="446">
        <v>2107</v>
      </c>
      <c r="BB148" s="446">
        <v>1289</v>
      </c>
      <c r="BC148" s="446">
        <v>605</v>
      </c>
      <c r="BD148" s="446">
        <v>5370</v>
      </c>
      <c r="BE148" s="446">
        <v>11474</v>
      </c>
      <c r="BF148" s="446">
        <v>1931</v>
      </c>
      <c r="BG148" s="446">
        <v>2676</v>
      </c>
      <c r="BH148" s="446">
        <v>4</v>
      </c>
      <c r="BI148" s="446">
        <v>0</v>
      </c>
      <c r="BJ148" s="448">
        <v>2.124931161290113</v>
      </c>
      <c r="BK148" s="448">
        <v>26.640416119694905</v>
      </c>
      <c r="BL148" s="448">
        <v>17.826520010352528</v>
      </c>
      <c r="BM148" s="448">
        <v>17.62779221868475</v>
      </c>
      <c r="BN148" s="445">
        <v>28398</v>
      </c>
      <c r="BO148" s="445">
        <v>13405</v>
      </c>
      <c r="BP148" s="443">
        <v>18075767.29720641</v>
      </c>
      <c r="BQ148" s="443">
        <v>47009052</v>
      </c>
      <c r="BR148" s="443">
        <v>57673574</v>
      </c>
      <c r="BS148" s="444">
        <v>0.11109250532258451</v>
      </c>
      <c r="BT148" s="445">
        <v>4267</v>
      </c>
      <c r="BU148" s="445">
        <v>5021</v>
      </c>
      <c r="BV148" s="443">
        <v>6407101.826567472</v>
      </c>
      <c r="BW148" s="444">
        <v>0.019959822758417133</v>
      </c>
      <c r="BX148" s="443">
        <v>286431.24213503255</v>
      </c>
      <c r="BY148" s="443">
        <v>71778352.36590892</v>
      </c>
      <c r="BZ148" s="451">
        <v>0.95</v>
      </c>
      <c r="CA148" s="443">
        <v>68189434.74761347</v>
      </c>
      <c r="CB148" s="443">
        <v>49896786.92192081</v>
      </c>
      <c r="CC148" s="443">
        <v>49896786.92192081</v>
      </c>
      <c r="CD148" s="443">
        <v>50293030.09029076</v>
      </c>
      <c r="CE148" s="443">
        <v>50293030.09029076</v>
      </c>
      <c r="CF148" s="450">
        <v>1203.0961914286238</v>
      </c>
      <c r="CG148" s="446">
        <v>41803</v>
      </c>
      <c r="CH148" s="446">
        <v>4394</v>
      </c>
      <c r="CI148" s="446">
        <v>3111</v>
      </c>
      <c r="CJ148" s="446">
        <v>1748</v>
      </c>
      <c r="CK148" s="446">
        <v>23</v>
      </c>
      <c r="CL148" s="446">
        <v>5592</v>
      </c>
      <c r="CM148" s="446">
        <v>1479</v>
      </c>
      <c r="CN148" s="446">
        <v>2107</v>
      </c>
      <c r="CO148" s="446">
        <v>1289</v>
      </c>
      <c r="CP148" s="446">
        <v>605</v>
      </c>
      <c r="CQ148" s="446">
        <v>5370</v>
      </c>
      <c r="CR148" s="446">
        <v>11474</v>
      </c>
      <c r="CS148" s="446">
        <v>1931</v>
      </c>
      <c r="CT148" s="446">
        <v>2676</v>
      </c>
      <c r="CU148" s="446">
        <v>4</v>
      </c>
      <c r="CV148" s="446">
        <v>0</v>
      </c>
      <c r="CW148" s="443">
        <v>29484064.132580925</v>
      </c>
      <c r="CX148" s="448">
        <v>0.927450410530803</v>
      </c>
      <c r="CY148" s="448">
        <v>0.95</v>
      </c>
      <c r="CZ148" s="443">
        <v>27345007.383878704</v>
      </c>
      <c r="DA148" s="450">
        <v>654.1398316838195</v>
      </c>
      <c r="DB148" s="445">
        <v>41803</v>
      </c>
      <c r="DC148" s="448">
        <v>0.9954716168696027</v>
      </c>
      <c r="DD148" s="450">
        <v>299.1</v>
      </c>
      <c r="DE148" s="443">
        <v>25607</v>
      </c>
      <c r="DF148" s="450">
        <v>44.41388085952288</v>
      </c>
      <c r="DG148" s="450">
        <v>46.32367773648236</v>
      </c>
      <c r="DH148" s="450">
        <v>47.34279864668496</v>
      </c>
      <c r="DI148" s="450">
        <v>48.38434021691202</v>
      </c>
      <c r="DJ148" s="450">
        <v>49.98102344407012</v>
      </c>
      <c r="DK148" s="450">
        <v>51.780340288056635</v>
      </c>
      <c r="DL148" s="450">
        <v>53.43731117727444</v>
      </c>
      <c r="DM148" s="450">
        <v>55.628240935542685</v>
      </c>
      <c r="DN148" s="450">
        <v>58.075883536706556</v>
      </c>
      <c r="DO148" s="450">
        <v>61.270057131225414</v>
      </c>
      <c r="DP148" s="450">
        <v>60.718626617044386</v>
      </c>
      <c r="DQ148" s="450">
        <v>63.815276574513646</v>
      </c>
      <c r="DR148" s="450">
        <v>35.52</v>
      </c>
      <c r="DS148" s="450">
        <v>37.40557586466849</v>
      </c>
      <c r="DT148" s="450">
        <v>39.3569253873824</v>
      </c>
      <c r="DU148" s="450">
        <v>41.82136886502903</v>
      </c>
      <c r="DV148" s="450">
        <v>44.53456702186815</v>
      </c>
      <c r="DW148" s="450">
        <v>47.20594616835234</v>
      </c>
      <c r="DX148" s="450">
        <v>50.43876015611236</v>
      </c>
      <c r="DY148" s="450">
        <v>53.260045373395215</v>
      </c>
      <c r="DZ148" s="450">
        <v>54.87700041317627</v>
      </c>
      <c r="EA148" s="450">
        <v>56.44679444775954</v>
      </c>
      <c r="EB148" s="450">
        <v>60.223520086578944</v>
      </c>
      <c r="EC148" s="450">
        <v>-0.67</v>
      </c>
      <c r="ED148" s="450">
        <v>59.55352008657894</v>
      </c>
      <c r="EE148" s="450">
        <v>3096.783044502105</v>
      </c>
      <c r="EF148" s="443">
        <v>126865725.17713507</v>
      </c>
      <c r="EG148" s="450">
        <v>36.91</v>
      </c>
      <c r="EH148" s="450">
        <v>38.68409786466849</v>
      </c>
      <c r="EI148" s="450">
        <v>40.51839159538239</v>
      </c>
      <c r="EJ148" s="450">
        <v>42.871189133785016</v>
      </c>
      <c r="EK148" s="450">
        <v>45.466807420523466</v>
      </c>
      <c r="EL148" s="450">
        <v>48.00767291119591</v>
      </c>
      <c r="EM148" s="450">
        <v>51.10643818755249</v>
      </c>
      <c r="EN148" s="450">
        <v>53.87965058657166</v>
      </c>
      <c r="EO148" s="450">
        <v>55.467897251475534</v>
      </c>
      <c r="EP148" s="450">
        <v>56.84163094521295</v>
      </c>
      <c r="EQ148" s="450">
        <v>60.55549861363777</v>
      </c>
      <c r="ER148" s="443">
        <v>879808531</v>
      </c>
      <c r="ES148" s="443">
        <v>6300000</v>
      </c>
      <c r="ET148" s="443">
        <v>0</v>
      </c>
      <c r="EU148" s="443">
        <v>0</v>
      </c>
      <c r="EV148" s="443">
        <v>45701800</v>
      </c>
      <c r="EW148" s="443">
        <v>0</v>
      </c>
      <c r="EX148" s="443">
        <v>417063</v>
      </c>
      <c r="EY148" s="443">
        <v>22000</v>
      </c>
      <c r="EZ148" s="443">
        <v>0</v>
      </c>
      <c r="FA148" s="443">
        <v>905370368</v>
      </c>
      <c r="FB148" s="443">
        <v>467644.31828059745</v>
      </c>
      <c r="FC148" s="443">
        <v>0</v>
      </c>
      <c r="FD148" s="443">
        <v>0</v>
      </c>
      <c r="FE148" s="443">
        <v>121528</v>
      </c>
      <c r="FF148" s="452">
        <v>0.0587</v>
      </c>
      <c r="FG148" s="443">
        <v>7133.6936000000005</v>
      </c>
      <c r="FH148" s="453">
        <v>7133.6936000000005</v>
      </c>
    </row>
    <row r="149" spans="2:164" ht="12.75">
      <c r="B149" s="356" t="s">
        <v>837</v>
      </c>
      <c r="C149" s="442">
        <v>3444</v>
      </c>
      <c r="D149" s="443">
        <v>833252</v>
      </c>
      <c r="E149" s="443">
        <v>714930.216</v>
      </c>
      <c r="F149" s="443">
        <v>109850.94762159263</v>
      </c>
      <c r="G149" s="443">
        <v>118321.78400000001</v>
      </c>
      <c r="H149" s="444">
        <v>0.4554936120789779</v>
      </c>
      <c r="I149" s="445">
        <v>1312.75</v>
      </c>
      <c r="J149" s="445">
        <v>255.97</v>
      </c>
      <c r="K149" s="443">
        <v>824781.1636215927</v>
      </c>
      <c r="L149" s="443">
        <v>659824.9308972742</v>
      </c>
      <c r="M149" s="443">
        <v>208915.82343116504</v>
      </c>
      <c r="N149" s="443">
        <v>164956.2327243185</v>
      </c>
      <c r="O149" s="446">
        <v>1.266492450638792</v>
      </c>
      <c r="P149" s="447">
        <v>0.7950058072009292</v>
      </c>
      <c r="Q149" s="448">
        <v>0.20499419279907086</v>
      </c>
      <c r="R149" s="443">
        <v>868740.7543284392</v>
      </c>
      <c r="S149" s="443">
        <v>587268.7499260249</v>
      </c>
      <c r="T149" s="443">
        <v>87369.99355200377</v>
      </c>
      <c r="U149" s="443">
        <v>158723.40714051988</v>
      </c>
      <c r="V149" s="443">
        <v>198072.89198688415</v>
      </c>
      <c r="W149" s="446">
        <v>0.8013383636112614</v>
      </c>
      <c r="X149" s="448">
        <v>14.962169623435324</v>
      </c>
      <c r="Y149" s="443">
        <v>87369.99355200377</v>
      </c>
      <c r="Z149" s="443">
        <v>83399.11241553017</v>
      </c>
      <c r="AA149" s="444">
        <v>1.0476129903719955</v>
      </c>
      <c r="AB149" s="444">
        <v>0.0859465737514518</v>
      </c>
      <c r="AC149" s="445">
        <v>287</v>
      </c>
      <c r="AD149" s="445">
        <v>305</v>
      </c>
      <c r="AE149" s="443">
        <v>833362.1506185485</v>
      </c>
      <c r="AF149" s="443">
        <v>0</v>
      </c>
      <c r="AG149" s="447">
        <v>0</v>
      </c>
      <c r="AH149" s="446">
        <v>0.15106207346127548</v>
      </c>
      <c r="AI149" s="448">
        <v>0.12721087038516998</v>
      </c>
      <c r="AJ149" s="443">
        <v>833362.1506185485</v>
      </c>
      <c r="AK149" s="449">
        <v>1.0108730912711368</v>
      </c>
      <c r="AL149" s="443">
        <v>842423.3733441348</v>
      </c>
      <c r="AM149" s="443">
        <v>1877564.1981182927</v>
      </c>
      <c r="AN149" s="443">
        <v>1854634.7359118145</v>
      </c>
      <c r="AO149" s="443">
        <v>1818078.864908058</v>
      </c>
      <c r="AP149" s="443">
        <v>1854634.7359118145</v>
      </c>
      <c r="AQ149" s="443">
        <v>13776</v>
      </c>
      <c r="AR149" s="443">
        <v>1868410.7359118145</v>
      </c>
      <c r="AS149" s="450">
        <v>542.5118280812469</v>
      </c>
      <c r="AT149" s="446">
        <v>3441</v>
      </c>
      <c r="AU149" s="446">
        <v>62</v>
      </c>
      <c r="AV149" s="446">
        <v>279</v>
      </c>
      <c r="AW149" s="446">
        <v>284</v>
      </c>
      <c r="AX149" s="446">
        <v>0</v>
      </c>
      <c r="AY149" s="446">
        <v>499</v>
      </c>
      <c r="AZ149" s="446">
        <v>169</v>
      </c>
      <c r="BA149" s="446">
        <v>235</v>
      </c>
      <c r="BB149" s="446">
        <v>23</v>
      </c>
      <c r="BC149" s="446">
        <v>33</v>
      </c>
      <c r="BD149" s="446">
        <v>736</v>
      </c>
      <c r="BE149" s="446">
        <v>698</v>
      </c>
      <c r="BF149" s="446">
        <v>0</v>
      </c>
      <c r="BG149" s="446">
        <v>415</v>
      </c>
      <c r="BH149" s="446">
        <v>8</v>
      </c>
      <c r="BI149" s="446">
        <v>0</v>
      </c>
      <c r="BJ149" s="448">
        <v>1.4103741744751832</v>
      </c>
      <c r="BK149" s="448">
        <v>11.570931299024618</v>
      </c>
      <c r="BL149" s="448">
        <v>7.733585033881958</v>
      </c>
      <c r="BM149" s="448">
        <v>7.67469253028532</v>
      </c>
      <c r="BN149" s="445">
        <v>2743</v>
      </c>
      <c r="BO149" s="445">
        <v>698</v>
      </c>
      <c r="BP149" s="443">
        <v>1001092.0512875319</v>
      </c>
      <c r="BQ149" s="443">
        <v>3724765</v>
      </c>
      <c r="BR149" s="443">
        <v>4669479</v>
      </c>
      <c r="BS149" s="444">
        <v>0.08602150537634409</v>
      </c>
      <c r="BT149" s="445">
        <v>287</v>
      </c>
      <c r="BU149" s="445">
        <v>305</v>
      </c>
      <c r="BV149" s="443">
        <v>401675.6129032258</v>
      </c>
      <c r="BW149" s="444">
        <v>0.005426078260346487</v>
      </c>
      <c r="BX149" s="443">
        <v>2783.904240601579</v>
      </c>
      <c r="BY149" s="443">
        <v>5130316.568431359</v>
      </c>
      <c r="BZ149" s="451">
        <v>1.0633333333333335</v>
      </c>
      <c r="CA149" s="443">
        <v>5455236.617765346</v>
      </c>
      <c r="CB149" s="443">
        <v>3991802.837679689</v>
      </c>
      <c r="CC149" s="443">
        <v>3991802.837679689</v>
      </c>
      <c r="CD149" s="443">
        <v>3934508.511874674</v>
      </c>
      <c r="CE149" s="443">
        <v>3963433.7052337346</v>
      </c>
      <c r="CF149" s="450">
        <v>1151.8261276471185</v>
      </c>
      <c r="CG149" s="446">
        <v>3441</v>
      </c>
      <c r="CH149" s="446">
        <v>62</v>
      </c>
      <c r="CI149" s="446">
        <v>279</v>
      </c>
      <c r="CJ149" s="446">
        <v>284</v>
      </c>
      <c r="CK149" s="446">
        <v>0</v>
      </c>
      <c r="CL149" s="446">
        <v>499</v>
      </c>
      <c r="CM149" s="446">
        <v>169</v>
      </c>
      <c r="CN149" s="446">
        <v>235</v>
      </c>
      <c r="CO149" s="446">
        <v>23</v>
      </c>
      <c r="CP149" s="446">
        <v>33</v>
      </c>
      <c r="CQ149" s="446">
        <v>736</v>
      </c>
      <c r="CR149" s="446">
        <v>698</v>
      </c>
      <c r="CS149" s="446">
        <v>0</v>
      </c>
      <c r="CT149" s="446">
        <v>415</v>
      </c>
      <c r="CU149" s="446">
        <v>8</v>
      </c>
      <c r="CV149" s="446">
        <v>0</v>
      </c>
      <c r="CW149" s="443">
        <v>2425354.6735511706</v>
      </c>
      <c r="CX149" s="448">
        <v>1.0380936174011444</v>
      </c>
      <c r="CY149" s="448">
        <v>1.0633333333333335</v>
      </c>
      <c r="CZ149" s="443">
        <v>2517745.206547506</v>
      </c>
      <c r="DA149" s="450">
        <v>731.6899757476042</v>
      </c>
      <c r="DB149" s="445">
        <v>3444</v>
      </c>
      <c r="DC149" s="448">
        <v>0.9960220673635308</v>
      </c>
      <c r="DD149" s="450">
        <v>316.4</v>
      </c>
      <c r="DE149" s="443">
        <v>41745</v>
      </c>
      <c r="DF149" s="450">
        <v>51.83132621603955</v>
      </c>
      <c r="DG149" s="450">
        <v>54.06007324332925</v>
      </c>
      <c r="DH149" s="450">
        <v>55.24939485468248</v>
      </c>
      <c r="DI149" s="450">
        <v>56.46488154148548</v>
      </c>
      <c r="DJ149" s="450">
        <v>58.328222632354496</v>
      </c>
      <c r="DK149" s="450">
        <v>60.428038647119244</v>
      </c>
      <c r="DL149" s="450">
        <v>62.36173588382705</v>
      </c>
      <c r="DM149" s="450">
        <v>64.91856705506396</v>
      </c>
      <c r="DN149" s="450">
        <v>67.77498400548676</v>
      </c>
      <c r="DO149" s="450">
        <v>71.50260812578853</v>
      </c>
      <c r="DP149" s="450">
        <v>70.85908465265643</v>
      </c>
      <c r="DQ149" s="450">
        <v>74.47289796994191</v>
      </c>
      <c r="DR149" s="450">
        <v>44.58</v>
      </c>
      <c r="DS149" s="450">
        <v>46.529623485468235</v>
      </c>
      <c r="DT149" s="450">
        <v>48.54345368429708</v>
      </c>
      <c r="DU149" s="450">
        <v>51.168242027938334</v>
      </c>
      <c r="DV149" s="450">
        <v>54.06997587039769</v>
      </c>
      <c r="DW149" s="450">
        <v>56.893801895846515</v>
      </c>
      <c r="DX149" s="450">
        <v>60.36487162987377</v>
      </c>
      <c r="DY149" s="450">
        <v>63.54915465091027</v>
      </c>
      <c r="DZ149" s="450">
        <v>65.37155102713733</v>
      </c>
      <c r="EA149" s="450">
        <v>66.76232028768571</v>
      </c>
      <c r="EB149" s="450">
        <v>71.02833849187452</v>
      </c>
      <c r="EC149" s="450">
        <v>-0.41</v>
      </c>
      <c r="ED149" s="450">
        <v>70.61833849187452</v>
      </c>
      <c r="EE149" s="450">
        <v>3672.1536015774755</v>
      </c>
      <c r="EF149" s="443">
        <v>12393959.06375617</v>
      </c>
      <c r="EG149" s="450">
        <v>48.16</v>
      </c>
      <c r="EH149" s="450">
        <v>49.822507485468236</v>
      </c>
      <c r="EI149" s="450">
        <v>51.53485586029708</v>
      </c>
      <c r="EJ149" s="450">
        <v>53.87209566977033</v>
      </c>
      <c r="EK149" s="450">
        <v>56.470997904344514</v>
      </c>
      <c r="EL149" s="450">
        <v>58.95868084504078</v>
      </c>
      <c r="EM149" s="450">
        <v>62.08450281876275</v>
      </c>
      <c r="EN149" s="450">
        <v>65.14497239419924</v>
      </c>
      <c r="EO149" s="450">
        <v>66.89342921498724</v>
      </c>
      <c r="EP149" s="450">
        <v>67.77923730990385</v>
      </c>
      <c r="EQ149" s="450">
        <v>71.88336232415554</v>
      </c>
      <c r="ER149" s="443">
        <v>21194415</v>
      </c>
      <c r="ES149" s="443">
        <v>260000</v>
      </c>
      <c r="ET149" s="443">
        <v>0</v>
      </c>
      <c r="EU149" s="443">
        <v>0</v>
      </c>
      <c r="EV149" s="443">
        <v>0</v>
      </c>
      <c r="EW149" s="443">
        <v>0</v>
      </c>
      <c r="EX149" s="443">
        <v>0</v>
      </c>
      <c r="EY149" s="443">
        <v>0</v>
      </c>
      <c r="EZ149" s="443">
        <v>0</v>
      </c>
      <c r="FA149" s="443">
        <v>21324415</v>
      </c>
      <c r="FB149" s="443">
        <v>49316.79343193381</v>
      </c>
      <c r="FC149" s="443">
        <v>0</v>
      </c>
      <c r="FD149" s="443">
        <v>0</v>
      </c>
      <c r="FE149" s="443">
        <v>8717</v>
      </c>
      <c r="FF149" s="452">
        <v>0.0552</v>
      </c>
      <c r="FG149" s="443">
        <v>481.1784</v>
      </c>
      <c r="FH149" s="453">
        <v>481.1784</v>
      </c>
    </row>
    <row r="150" spans="2:164" ht="12.75">
      <c r="B150" s="356" t="s">
        <v>838</v>
      </c>
      <c r="C150" s="442">
        <v>4249</v>
      </c>
      <c r="D150" s="443">
        <v>1020817</v>
      </c>
      <c r="E150" s="443">
        <v>875860.986</v>
      </c>
      <c r="F150" s="443">
        <v>89459.45185342133</v>
      </c>
      <c r="G150" s="443">
        <v>144956.01400000002</v>
      </c>
      <c r="H150" s="444">
        <v>0.3027841845140033</v>
      </c>
      <c r="I150" s="445">
        <v>859.74</v>
      </c>
      <c r="J150" s="445">
        <v>426.79</v>
      </c>
      <c r="K150" s="443">
        <v>965320.4378534213</v>
      </c>
      <c r="L150" s="443">
        <v>772256.350282737</v>
      </c>
      <c r="M150" s="443">
        <v>211670.75828383915</v>
      </c>
      <c r="N150" s="443">
        <v>193064.08757068423</v>
      </c>
      <c r="O150" s="446">
        <v>1.0963756177924218</v>
      </c>
      <c r="P150" s="447">
        <v>0.9258649093904449</v>
      </c>
      <c r="Q150" s="448">
        <v>0.07413509060955518</v>
      </c>
      <c r="R150" s="443">
        <v>983927.1085665761</v>
      </c>
      <c r="S150" s="443">
        <v>665134.7253910055</v>
      </c>
      <c r="T150" s="443">
        <v>85761.71343375296</v>
      </c>
      <c r="U150" s="443">
        <v>179959.7385620963</v>
      </c>
      <c r="V150" s="443">
        <v>224335.38075317937</v>
      </c>
      <c r="W150" s="446">
        <v>0.8021906217285159</v>
      </c>
      <c r="X150" s="448">
        <v>14.978082539991377</v>
      </c>
      <c r="Y150" s="443">
        <v>85761.71343375296</v>
      </c>
      <c r="Z150" s="443">
        <v>94457.0024223913</v>
      </c>
      <c r="AA150" s="444">
        <v>0.9079444745689166</v>
      </c>
      <c r="AB150" s="444">
        <v>0.07448811485055307</v>
      </c>
      <c r="AC150" s="445">
        <v>308</v>
      </c>
      <c r="AD150" s="445">
        <v>325</v>
      </c>
      <c r="AE150" s="443">
        <v>930856.1773868548</v>
      </c>
      <c r="AF150" s="443">
        <v>0</v>
      </c>
      <c r="AG150" s="447">
        <v>0</v>
      </c>
      <c r="AH150" s="446">
        <v>0.03096330568372784</v>
      </c>
      <c r="AI150" s="448">
        <v>0.026074506828736348</v>
      </c>
      <c r="AJ150" s="443">
        <v>930856.1773868548</v>
      </c>
      <c r="AK150" s="449">
        <v>1</v>
      </c>
      <c r="AL150" s="443">
        <v>930856.1773868548</v>
      </c>
      <c r="AM150" s="443">
        <v>2074660.185793357</v>
      </c>
      <c r="AN150" s="443">
        <v>2049323.719339049</v>
      </c>
      <c r="AO150" s="443">
        <v>1901506.408779282</v>
      </c>
      <c r="AP150" s="443">
        <v>2049323.719339049</v>
      </c>
      <c r="AQ150" s="443">
        <v>16996</v>
      </c>
      <c r="AR150" s="443">
        <v>2066319.719339049</v>
      </c>
      <c r="AS150" s="450">
        <v>486.30730038574933</v>
      </c>
      <c r="AT150" s="446">
        <v>4249</v>
      </c>
      <c r="AU150" s="446">
        <v>192</v>
      </c>
      <c r="AV150" s="446">
        <v>379</v>
      </c>
      <c r="AW150" s="446">
        <v>207</v>
      </c>
      <c r="AX150" s="446">
        <v>63</v>
      </c>
      <c r="AY150" s="446">
        <v>869</v>
      </c>
      <c r="AZ150" s="446">
        <v>191</v>
      </c>
      <c r="BA150" s="446">
        <v>55</v>
      </c>
      <c r="BB150" s="446">
        <v>248</v>
      </c>
      <c r="BC150" s="446">
        <v>25</v>
      </c>
      <c r="BD150" s="446">
        <v>626</v>
      </c>
      <c r="BE150" s="446">
        <v>315</v>
      </c>
      <c r="BF150" s="446">
        <v>0</v>
      </c>
      <c r="BG150" s="446">
        <v>1079</v>
      </c>
      <c r="BH150" s="446">
        <v>0</v>
      </c>
      <c r="BI150" s="446">
        <v>0</v>
      </c>
      <c r="BJ150" s="448">
        <v>1.3173860138035987</v>
      </c>
      <c r="BK150" s="448">
        <v>11.302692318783478</v>
      </c>
      <c r="BL150" s="448">
        <v>7.074178493069986</v>
      </c>
      <c r="BM150" s="448">
        <v>8.457027651426984</v>
      </c>
      <c r="BN150" s="445">
        <v>3934</v>
      </c>
      <c r="BO150" s="445">
        <v>315</v>
      </c>
      <c r="BP150" s="443">
        <v>1210906.971851909</v>
      </c>
      <c r="BQ150" s="443">
        <v>4334909</v>
      </c>
      <c r="BR150" s="443">
        <v>5829673</v>
      </c>
      <c r="BS150" s="444">
        <v>0.07448811485055307</v>
      </c>
      <c r="BT150" s="445">
        <v>308</v>
      </c>
      <c r="BU150" s="445">
        <v>325</v>
      </c>
      <c r="BV150" s="443">
        <v>434241.35196516826</v>
      </c>
      <c r="BW150" s="444">
        <v>0.01729682848246406</v>
      </c>
      <c r="BX150" s="443">
        <v>10704.105158967983</v>
      </c>
      <c r="BY150" s="443">
        <v>5990761.428976046</v>
      </c>
      <c r="BZ150" s="451">
        <v>0.9233333333333333</v>
      </c>
      <c r="CA150" s="443">
        <v>5531469.719421215</v>
      </c>
      <c r="CB150" s="443">
        <v>4047585.4797238535</v>
      </c>
      <c r="CC150" s="443">
        <v>4047585.4797238535</v>
      </c>
      <c r="CD150" s="443">
        <v>3991608.9022744354</v>
      </c>
      <c r="CE150" s="443">
        <v>4018819.9085697047</v>
      </c>
      <c r="CF150" s="450">
        <v>945.8272319533313</v>
      </c>
      <c r="CG150" s="446">
        <v>4249</v>
      </c>
      <c r="CH150" s="446">
        <v>192</v>
      </c>
      <c r="CI150" s="446">
        <v>379</v>
      </c>
      <c r="CJ150" s="446">
        <v>207</v>
      </c>
      <c r="CK150" s="446">
        <v>63</v>
      </c>
      <c r="CL150" s="446">
        <v>869</v>
      </c>
      <c r="CM150" s="446">
        <v>191</v>
      </c>
      <c r="CN150" s="446">
        <v>55</v>
      </c>
      <c r="CO150" s="446">
        <v>248</v>
      </c>
      <c r="CP150" s="446">
        <v>25</v>
      </c>
      <c r="CQ150" s="446">
        <v>626</v>
      </c>
      <c r="CR150" s="446">
        <v>315</v>
      </c>
      <c r="CS150" s="446">
        <v>0</v>
      </c>
      <c r="CT150" s="446">
        <v>1079</v>
      </c>
      <c r="CU150" s="446">
        <v>0</v>
      </c>
      <c r="CV150" s="446">
        <v>0</v>
      </c>
      <c r="CW150" s="443">
        <v>2877300.0048165517</v>
      </c>
      <c r="CX150" s="448">
        <v>0.9014167147966049</v>
      </c>
      <c r="CY150" s="448">
        <v>0.9233333333333333</v>
      </c>
      <c r="CZ150" s="443">
        <v>2593646.3178259917</v>
      </c>
      <c r="DA150" s="450">
        <v>610.4133485116479</v>
      </c>
      <c r="DB150" s="445">
        <v>4249</v>
      </c>
      <c r="DC150" s="448">
        <v>1.0248058366674513</v>
      </c>
      <c r="DD150" s="450">
        <v>295.4</v>
      </c>
      <c r="DE150" s="443">
        <v>42999</v>
      </c>
      <c r="DF150" s="450">
        <v>50.74426734224372</v>
      </c>
      <c r="DG150" s="450">
        <v>52.926270837960196</v>
      </c>
      <c r="DH150" s="450">
        <v>54.09064879639531</v>
      </c>
      <c r="DI150" s="450">
        <v>55.280643069915996</v>
      </c>
      <c r="DJ150" s="450">
        <v>57.10490429122322</v>
      </c>
      <c r="DK150" s="450">
        <v>59.16068084570725</v>
      </c>
      <c r="DL150" s="450">
        <v>61.053822632769865</v>
      </c>
      <c r="DM150" s="450">
        <v>63.55702936071342</v>
      </c>
      <c r="DN150" s="450">
        <v>66.3535386525848</v>
      </c>
      <c r="DO150" s="450">
        <v>70.00298327847696</v>
      </c>
      <c r="DP150" s="450">
        <v>69.37295642897067</v>
      </c>
      <c r="DQ150" s="450">
        <v>72.91097720684817</v>
      </c>
      <c r="DR150" s="450">
        <v>38.402763866136205</v>
      </c>
      <c r="DS150" s="450">
        <v>40.73192708371161</v>
      </c>
      <c r="DT150" s="450">
        <v>43.144986545149116</v>
      </c>
      <c r="DU150" s="450">
        <v>46.135787749899556</v>
      </c>
      <c r="DV150" s="450">
        <v>49.420105357011835</v>
      </c>
      <c r="DW150" s="450">
        <v>52.67692771249182</v>
      </c>
      <c r="DX150" s="450">
        <v>56.58075127110587</v>
      </c>
      <c r="DY150" s="450">
        <v>59.87955258542899</v>
      </c>
      <c r="DZ150" s="450">
        <v>61.77199886753591</v>
      </c>
      <c r="EA150" s="450">
        <v>63.87302336998951</v>
      </c>
      <c r="EB150" s="450">
        <v>68.28663349085681</v>
      </c>
      <c r="EC150" s="450">
        <v>-1.38</v>
      </c>
      <c r="ED150" s="450">
        <v>66.90663349085682</v>
      </c>
      <c r="EE150" s="450">
        <v>3479.1449415245547</v>
      </c>
      <c r="EF150" s="443">
        <v>14487229.119407076</v>
      </c>
      <c r="EG150" s="450">
        <v>43.33164053358296</v>
      </c>
      <c r="EH150" s="450">
        <v>45.26550784242913</v>
      </c>
      <c r="EI150" s="450">
        <v>47.26349279884628</v>
      </c>
      <c r="EJ150" s="450">
        <v>49.85840258996008</v>
      </c>
      <c r="EK150" s="450">
        <v>52.725787334985576</v>
      </c>
      <c r="EL150" s="450">
        <v>55.51981421354923</v>
      </c>
      <c r="EM150" s="450">
        <v>58.94830714918648</v>
      </c>
      <c r="EN150" s="450">
        <v>62.0766444402878</v>
      </c>
      <c r="EO150" s="450">
        <v>63.8672921331196</v>
      </c>
      <c r="EP150" s="450">
        <v>65.27309560002874</v>
      </c>
      <c r="EQ150" s="450">
        <v>69.4638142218738</v>
      </c>
      <c r="ER150" s="443">
        <v>5914277</v>
      </c>
      <c r="ES150" s="443">
        <v>32000</v>
      </c>
      <c r="ET150" s="443">
        <v>0</v>
      </c>
      <c r="EU150" s="443">
        <v>0</v>
      </c>
      <c r="EV150" s="443">
        <v>0</v>
      </c>
      <c r="EW150" s="443">
        <v>0</v>
      </c>
      <c r="EX150" s="443">
        <v>0</v>
      </c>
      <c r="EY150" s="443">
        <v>0</v>
      </c>
      <c r="EZ150" s="443">
        <v>0</v>
      </c>
      <c r="FA150" s="443">
        <v>5930277</v>
      </c>
      <c r="FB150" s="443">
        <v>42032.339920365324</v>
      </c>
      <c r="FC150" s="443">
        <v>0</v>
      </c>
      <c r="FD150" s="443">
        <v>0</v>
      </c>
      <c r="FE150" s="443">
        <v>0</v>
      </c>
      <c r="FF150" s="452">
        <v>0</v>
      </c>
      <c r="FG150" s="443">
        <v>0</v>
      </c>
      <c r="FH150" s="453">
        <v>0</v>
      </c>
    </row>
    <row r="151" spans="2:164" ht="12.75">
      <c r="B151" s="356" t="s">
        <v>839</v>
      </c>
      <c r="C151" s="442">
        <v>6487.57</v>
      </c>
      <c r="D151" s="443">
        <v>1542403.81</v>
      </c>
      <c r="E151" s="443">
        <v>1323382.46898</v>
      </c>
      <c r="F151" s="443">
        <v>217691.45333255068</v>
      </c>
      <c r="G151" s="443">
        <v>219021.34102</v>
      </c>
      <c r="H151" s="444">
        <v>0.48763866902399516</v>
      </c>
      <c r="I151" s="445">
        <v>2717.17</v>
      </c>
      <c r="J151" s="445">
        <v>446.42</v>
      </c>
      <c r="K151" s="443">
        <v>1541073.9223125505</v>
      </c>
      <c r="L151" s="443">
        <v>1232859.1378500403</v>
      </c>
      <c r="M151" s="443">
        <v>398482.37878862955</v>
      </c>
      <c r="N151" s="443">
        <v>308214.78446251</v>
      </c>
      <c r="O151" s="446">
        <v>1.2928723697778985</v>
      </c>
      <c r="P151" s="447">
        <v>0.7745581165212861</v>
      </c>
      <c r="Q151" s="448">
        <v>0.22535402315504882</v>
      </c>
      <c r="R151" s="443">
        <v>1631341.51663867</v>
      </c>
      <c r="S151" s="443">
        <v>1102786.8652477409</v>
      </c>
      <c r="T151" s="443">
        <v>125788.94968184507</v>
      </c>
      <c r="U151" s="443">
        <v>593816.5246440095</v>
      </c>
      <c r="V151" s="443">
        <v>371945.86579361674</v>
      </c>
      <c r="W151" s="446">
        <v>1.5965133081315201</v>
      </c>
      <c r="X151" s="448">
        <v>29.809259118316316</v>
      </c>
      <c r="Y151" s="443">
        <v>125788.94968184507</v>
      </c>
      <c r="Z151" s="443">
        <v>156608.78559731232</v>
      </c>
      <c r="AA151" s="444">
        <v>0.8032049364413425</v>
      </c>
      <c r="AB151" s="444">
        <v>0.06589524274882584</v>
      </c>
      <c r="AC151" s="445">
        <v>448</v>
      </c>
      <c r="AD151" s="445">
        <v>407</v>
      </c>
      <c r="AE151" s="443">
        <v>1822392.3395735954</v>
      </c>
      <c r="AF151" s="443">
        <v>28718.94692675143</v>
      </c>
      <c r="AG151" s="447">
        <v>0.25</v>
      </c>
      <c r="AH151" s="446">
        <v>0.1203537183630539</v>
      </c>
      <c r="AI151" s="448">
        <v>0.1013510599732399</v>
      </c>
      <c r="AJ151" s="443">
        <v>1851111.2865003468</v>
      </c>
      <c r="AK151" s="449">
        <v>1.1323222768566725</v>
      </c>
      <c r="AL151" s="443">
        <v>2096054.546645157</v>
      </c>
      <c r="AM151" s="443">
        <v>4671614.177158343</v>
      </c>
      <c r="AN151" s="443">
        <v>4614562.811976926</v>
      </c>
      <c r="AO151" s="443">
        <v>4333865.931481257</v>
      </c>
      <c r="AP151" s="443">
        <v>4614562.811976926</v>
      </c>
      <c r="AQ151" s="443">
        <v>25950.28</v>
      </c>
      <c r="AR151" s="443">
        <v>4640513.091976927</v>
      </c>
      <c r="AS151" s="450">
        <v>715.2929512863718</v>
      </c>
      <c r="AT151" s="446">
        <v>6485</v>
      </c>
      <c r="AU151" s="446">
        <v>170</v>
      </c>
      <c r="AV151" s="446">
        <v>120</v>
      </c>
      <c r="AW151" s="446">
        <v>355</v>
      </c>
      <c r="AX151" s="446">
        <v>147</v>
      </c>
      <c r="AY151" s="446">
        <v>1459</v>
      </c>
      <c r="AZ151" s="446">
        <v>111</v>
      </c>
      <c r="BA151" s="446">
        <v>220</v>
      </c>
      <c r="BB151" s="446">
        <v>252</v>
      </c>
      <c r="BC151" s="446">
        <v>38</v>
      </c>
      <c r="BD151" s="446">
        <v>1552</v>
      </c>
      <c r="BE151" s="446">
        <v>1277</v>
      </c>
      <c r="BF151" s="446">
        <v>185</v>
      </c>
      <c r="BG151" s="446">
        <v>599</v>
      </c>
      <c r="BH151" s="446">
        <v>0</v>
      </c>
      <c r="BI151" s="446">
        <v>0</v>
      </c>
      <c r="BJ151" s="448">
        <v>2.041023777390783</v>
      </c>
      <c r="BK151" s="448">
        <v>28.317583422956424</v>
      </c>
      <c r="BL151" s="448">
        <v>14.8910031136439</v>
      </c>
      <c r="BM151" s="448">
        <v>26.853160618625054</v>
      </c>
      <c r="BN151" s="445">
        <v>5023</v>
      </c>
      <c r="BO151" s="445">
        <v>1462</v>
      </c>
      <c r="BP151" s="443">
        <v>2602201.2239606013</v>
      </c>
      <c r="BQ151" s="443">
        <v>7048186</v>
      </c>
      <c r="BR151" s="443">
        <v>8803021</v>
      </c>
      <c r="BS151" s="444">
        <v>0.0659213569776407</v>
      </c>
      <c r="BT151" s="445">
        <v>448</v>
      </c>
      <c r="BU151" s="445">
        <v>407</v>
      </c>
      <c r="BV151" s="443">
        <v>580307.0898226677</v>
      </c>
      <c r="BW151" s="444">
        <v>0.020980956225955673</v>
      </c>
      <c r="BX151" s="443">
        <v>49648.56474390011</v>
      </c>
      <c r="BY151" s="443">
        <v>10280342.878527168</v>
      </c>
      <c r="BZ151" s="451">
        <v>1.0633333333333335</v>
      </c>
      <c r="CA151" s="443">
        <v>10931431.26083389</v>
      </c>
      <c r="CB151" s="443">
        <v>7998941.454673701</v>
      </c>
      <c r="CC151" s="443">
        <v>7998941.454673701</v>
      </c>
      <c r="CD151" s="443">
        <v>7707720.32182984</v>
      </c>
      <c r="CE151" s="443">
        <v>7942094.20074295</v>
      </c>
      <c r="CF151" s="450">
        <v>1224.6868466835697</v>
      </c>
      <c r="CG151" s="446">
        <v>6485</v>
      </c>
      <c r="CH151" s="446">
        <v>170</v>
      </c>
      <c r="CI151" s="446">
        <v>120</v>
      </c>
      <c r="CJ151" s="446">
        <v>355</v>
      </c>
      <c r="CK151" s="446">
        <v>147</v>
      </c>
      <c r="CL151" s="446">
        <v>1459</v>
      </c>
      <c r="CM151" s="446">
        <v>111</v>
      </c>
      <c r="CN151" s="446">
        <v>220</v>
      </c>
      <c r="CO151" s="446">
        <v>252</v>
      </c>
      <c r="CP151" s="446">
        <v>38</v>
      </c>
      <c r="CQ151" s="446">
        <v>1552</v>
      </c>
      <c r="CR151" s="446">
        <v>1277</v>
      </c>
      <c r="CS151" s="446">
        <v>185</v>
      </c>
      <c r="CT151" s="446">
        <v>599</v>
      </c>
      <c r="CU151" s="446">
        <v>0</v>
      </c>
      <c r="CV151" s="446">
        <v>0</v>
      </c>
      <c r="CW151" s="443">
        <v>4807757.105351833</v>
      </c>
      <c r="CX151" s="448">
        <v>1.0380936174011444</v>
      </c>
      <c r="CY151" s="448">
        <v>1.0633333333333335</v>
      </c>
      <c r="CZ151" s="443">
        <v>4990901.965080739</v>
      </c>
      <c r="DA151" s="450">
        <v>769.6070879075927</v>
      </c>
      <c r="DB151" s="445">
        <v>6487.57</v>
      </c>
      <c r="DC151" s="448">
        <v>0.9919445955881788</v>
      </c>
      <c r="DD151" s="450">
        <v>345.4</v>
      </c>
      <c r="DE151" s="443">
        <v>72212</v>
      </c>
      <c r="DF151" s="450">
        <v>65.18639882544771</v>
      </c>
      <c r="DG151" s="450">
        <v>67.98941397494195</v>
      </c>
      <c r="DH151" s="450">
        <v>69.48518108239067</v>
      </c>
      <c r="DI151" s="450">
        <v>71.01385506620325</v>
      </c>
      <c r="DJ151" s="450">
        <v>73.35731228338796</v>
      </c>
      <c r="DK151" s="450">
        <v>75.99817552558991</v>
      </c>
      <c r="DL151" s="450">
        <v>78.43011714240878</v>
      </c>
      <c r="DM151" s="450">
        <v>81.64575194524753</v>
      </c>
      <c r="DN151" s="450">
        <v>85.2381650308384</v>
      </c>
      <c r="DO151" s="450">
        <v>89.92626410753451</v>
      </c>
      <c r="DP151" s="450">
        <v>89.1169277305667</v>
      </c>
      <c r="DQ151" s="450">
        <v>93.6618910448256</v>
      </c>
      <c r="DR151" s="450">
        <v>47.88</v>
      </c>
      <c r="DS151" s="450">
        <v>50.98854210823906</v>
      </c>
      <c r="DT151" s="450">
        <v>54.21068614924063</v>
      </c>
      <c r="DU151" s="450">
        <v>58.16934797856836</v>
      </c>
      <c r="DV151" s="450">
        <v>62.51126322291011</v>
      </c>
      <c r="DW151" s="450">
        <v>66.83137256210415</v>
      </c>
      <c r="DX151" s="450">
        <v>71.98631745876983</v>
      </c>
      <c r="DY151" s="450">
        <v>76.2742098273871</v>
      </c>
      <c r="DZ151" s="450">
        <v>78.7352557125538</v>
      </c>
      <c r="EA151" s="450">
        <v>81.63911050215901</v>
      </c>
      <c r="EB151" s="450">
        <v>87.37454231918042</v>
      </c>
      <c r="EC151" s="450">
        <v>-2.59</v>
      </c>
      <c r="ED151" s="450">
        <v>84.78454231918042</v>
      </c>
      <c r="EE151" s="450">
        <v>4408.796200597381</v>
      </c>
      <c r="EF151" s="443">
        <v>28030326.48776736</v>
      </c>
      <c r="EG151" s="450">
        <v>57.05</v>
      </c>
      <c r="EH151" s="450">
        <v>59.423108108239056</v>
      </c>
      <c r="EI151" s="450">
        <v>61.87302077324063</v>
      </c>
      <c r="EJ151" s="450">
        <v>65.09514068683637</v>
      </c>
      <c r="EK151" s="450">
        <v>68.6613671478521</v>
      </c>
      <c r="EL151" s="450">
        <v>72.12046193755427</v>
      </c>
      <c r="EM151" s="450">
        <v>76.3910710906447</v>
      </c>
      <c r="EN151" s="450">
        <v>80.36182119776699</v>
      </c>
      <c r="EO151" s="450">
        <v>82.63347442277275</v>
      </c>
      <c r="EP151" s="450">
        <v>84.243895165215</v>
      </c>
      <c r="EQ151" s="450">
        <v>89.56464526387789</v>
      </c>
      <c r="ER151" s="443">
        <v>40785505</v>
      </c>
      <c r="ES151" s="443">
        <v>0</v>
      </c>
      <c r="ET151" s="443">
        <v>0</v>
      </c>
      <c r="EU151" s="443">
        <v>0</v>
      </c>
      <c r="EV151" s="443">
        <v>1553850</v>
      </c>
      <c r="EW151" s="443">
        <v>0</v>
      </c>
      <c r="EX151" s="443">
        <v>0</v>
      </c>
      <c r="EY151" s="443">
        <v>0</v>
      </c>
      <c r="EZ151" s="443">
        <v>0</v>
      </c>
      <c r="FA151" s="443">
        <v>41562430</v>
      </c>
      <c r="FB151" s="443">
        <v>58893.352992068045</v>
      </c>
      <c r="FC151" s="443">
        <v>0</v>
      </c>
      <c r="FD151" s="443">
        <v>0</v>
      </c>
      <c r="FE151" s="443">
        <v>107683</v>
      </c>
      <c r="FF151" s="452">
        <v>0.0521</v>
      </c>
      <c r="FG151" s="443">
        <v>5610.2843</v>
      </c>
      <c r="FH151" s="453">
        <v>5610.2843</v>
      </c>
    </row>
    <row r="152" spans="2:164" ht="12.75">
      <c r="B152" s="356" t="s">
        <v>840</v>
      </c>
      <c r="C152" s="442">
        <v>10423</v>
      </c>
      <c r="D152" s="443">
        <v>2459359</v>
      </c>
      <c r="E152" s="443">
        <v>2110130.022</v>
      </c>
      <c r="F152" s="443">
        <v>365335.2636576033</v>
      </c>
      <c r="G152" s="443">
        <v>349228.97800000006</v>
      </c>
      <c r="H152" s="444">
        <v>0.5132447471937063</v>
      </c>
      <c r="I152" s="445">
        <v>4677.84</v>
      </c>
      <c r="J152" s="445">
        <v>671.71</v>
      </c>
      <c r="K152" s="443">
        <v>2475465.2856576033</v>
      </c>
      <c r="L152" s="443">
        <v>1980372.2285260828</v>
      </c>
      <c r="M152" s="443">
        <v>670339.7543377981</v>
      </c>
      <c r="N152" s="443">
        <v>495093.05713152053</v>
      </c>
      <c r="O152" s="446">
        <v>1.3539671879497264</v>
      </c>
      <c r="P152" s="447">
        <v>0.7277175477309795</v>
      </c>
      <c r="Q152" s="448">
        <v>0.2722824522690204</v>
      </c>
      <c r="R152" s="443">
        <v>2650711.9828638807</v>
      </c>
      <c r="S152" s="443">
        <v>1791881.3004159834</v>
      </c>
      <c r="T152" s="443">
        <v>194919.2103813508</v>
      </c>
      <c r="U152" s="443">
        <v>495498.1652017298</v>
      </c>
      <c r="V152" s="443">
        <v>604362.3320929648</v>
      </c>
      <c r="W152" s="446">
        <v>0.8198693712193679</v>
      </c>
      <c r="X152" s="448">
        <v>15.308170877981729</v>
      </c>
      <c r="Y152" s="443">
        <v>194919.2103813508</v>
      </c>
      <c r="Z152" s="443">
        <v>254468.35035493254</v>
      </c>
      <c r="AA152" s="444">
        <v>0.765986065101917</v>
      </c>
      <c r="AB152" s="444">
        <v>0.06284179219034827</v>
      </c>
      <c r="AC152" s="445">
        <v>1154</v>
      </c>
      <c r="AD152" s="445">
        <v>156</v>
      </c>
      <c r="AE152" s="443">
        <v>2482298.675999064</v>
      </c>
      <c r="AF152" s="443">
        <v>58488.70637419258</v>
      </c>
      <c r="AG152" s="447">
        <v>0.25</v>
      </c>
      <c r="AH152" s="446">
        <v>0.18230086365907763</v>
      </c>
      <c r="AI152" s="448">
        <v>0.15351736545562744</v>
      </c>
      <c r="AJ152" s="443">
        <v>2540787.3823732566</v>
      </c>
      <c r="AK152" s="449">
        <v>1.011974155871452</v>
      </c>
      <c r="AL152" s="443">
        <v>2571211.166526012</v>
      </c>
      <c r="AM152" s="443">
        <v>5730626.885276489</v>
      </c>
      <c r="AN152" s="443">
        <v>5660642.491285026</v>
      </c>
      <c r="AO152" s="443">
        <v>5869733.388195926</v>
      </c>
      <c r="AP152" s="443">
        <v>5869733.388195926</v>
      </c>
      <c r="AQ152" s="443">
        <v>41692</v>
      </c>
      <c r="AR152" s="443">
        <v>5911425.388195926</v>
      </c>
      <c r="AS152" s="450">
        <v>567.1520088454309</v>
      </c>
      <c r="AT152" s="446">
        <v>10423</v>
      </c>
      <c r="AU152" s="446">
        <v>9</v>
      </c>
      <c r="AV152" s="446">
        <v>210</v>
      </c>
      <c r="AW152" s="446">
        <v>9</v>
      </c>
      <c r="AX152" s="446">
        <v>89</v>
      </c>
      <c r="AY152" s="446">
        <v>798</v>
      </c>
      <c r="AZ152" s="446">
        <v>162</v>
      </c>
      <c r="BA152" s="446">
        <v>335</v>
      </c>
      <c r="BB152" s="446">
        <v>1795</v>
      </c>
      <c r="BC152" s="446">
        <v>0</v>
      </c>
      <c r="BD152" s="446">
        <v>2418</v>
      </c>
      <c r="BE152" s="446">
        <v>757</v>
      </c>
      <c r="BF152" s="446">
        <v>2081</v>
      </c>
      <c r="BG152" s="446">
        <v>1760</v>
      </c>
      <c r="BH152" s="446">
        <v>0</v>
      </c>
      <c r="BI152" s="446">
        <v>0</v>
      </c>
      <c r="BJ152" s="448">
        <v>1.6486091717192661</v>
      </c>
      <c r="BK152" s="448">
        <v>16.44128743180472</v>
      </c>
      <c r="BL152" s="448">
        <v>9.182502419494622</v>
      </c>
      <c r="BM152" s="448">
        <v>14.5175700246202</v>
      </c>
      <c r="BN152" s="445">
        <v>7585</v>
      </c>
      <c r="BO152" s="445">
        <v>2838</v>
      </c>
      <c r="BP152" s="443">
        <v>3219277.0476271603</v>
      </c>
      <c r="BQ152" s="443">
        <v>11470599</v>
      </c>
      <c r="BR152" s="443">
        <v>13952174</v>
      </c>
      <c r="BS152" s="444">
        <v>0.06284179219034827</v>
      </c>
      <c r="BT152" s="445">
        <v>1154</v>
      </c>
      <c r="BU152" s="445">
        <v>156</v>
      </c>
      <c r="BV152" s="443">
        <v>876779.6191115802</v>
      </c>
      <c r="BW152" s="444">
        <v>0.010521457649743163</v>
      </c>
      <c r="BX152" s="443">
        <v>23233.771973053394</v>
      </c>
      <c r="BY152" s="443">
        <v>15589889.438711794</v>
      </c>
      <c r="BZ152" s="451">
        <v>0.9366666666666665</v>
      </c>
      <c r="CA152" s="443">
        <v>14602529.774260046</v>
      </c>
      <c r="CB152" s="443">
        <v>10685223.0021273</v>
      </c>
      <c r="CC152" s="443">
        <v>10685223.0021273</v>
      </c>
      <c r="CD152" s="443">
        <v>11013673.616957735</v>
      </c>
      <c r="CE152" s="443">
        <v>11013673.616957735</v>
      </c>
      <c r="CF152" s="450">
        <v>1056.6702117392051</v>
      </c>
      <c r="CG152" s="446">
        <v>10423</v>
      </c>
      <c r="CH152" s="446">
        <v>9</v>
      </c>
      <c r="CI152" s="446">
        <v>210</v>
      </c>
      <c r="CJ152" s="446">
        <v>9</v>
      </c>
      <c r="CK152" s="446">
        <v>89</v>
      </c>
      <c r="CL152" s="446">
        <v>798</v>
      </c>
      <c r="CM152" s="446">
        <v>162</v>
      </c>
      <c r="CN152" s="446">
        <v>335</v>
      </c>
      <c r="CO152" s="446">
        <v>1795</v>
      </c>
      <c r="CP152" s="446">
        <v>0</v>
      </c>
      <c r="CQ152" s="446">
        <v>2418</v>
      </c>
      <c r="CR152" s="446">
        <v>757</v>
      </c>
      <c r="CS152" s="446">
        <v>2081</v>
      </c>
      <c r="CT152" s="446">
        <v>1760</v>
      </c>
      <c r="CU152" s="446">
        <v>0</v>
      </c>
      <c r="CV152" s="446">
        <v>0</v>
      </c>
      <c r="CW152" s="443">
        <v>7990862.875493405</v>
      </c>
      <c r="CX152" s="448">
        <v>0.9144335626637038</v>
      </c>
      <c r="CY152" s="448">
        <v>0.9366666666666665</v>
      </c>
      <c r="CZ152" s="443">
        <v>7307113.2079945635</v>
      </c>
      <c r="DA152" s="450">
        <v>701.0566255391503</v>
      </c>
      <c r="DB152" s="445">
        <v>10423</v>
      </c>
      <c r="DC152" s="448">
        <v>0.9912501199270842</v>
      </c>
      <c r="DD152" s="450">
        <v>320.6</v>
      </c>
      <c r="DE152" s="443">
        <v>37308</v>
      </c>
      <c r="DF152" s="450">
        <v>50.69056507283871</v>
      </c>
      <c r="DG152" s="450">
        <v>52.87025937097077</v>
      </c>
      <c r="DH152" s="450">
        <v>54.033405077132116</v>
      </c>
      <c r="DI152" s="450">
        <v>55.222139988829014</v>
      </c>
      <c r="DJ152" s="450">
        <v>57.044470608460365</v>
      </c>
      <c r="DK152" s="450">
        <v>59.09807155036493</v>
      </c>
      <c r="DL152" s="450">
        <v>60.989209839976596</v>
      </c>
      <c r="DM152" s="450">
        <v>63.48976744341563</v>
      </c>
      <c r="DN152" s="450">
        <v>66.2833172109259</v>
      </c>
      <c r="DO152" s="450">
        <v>69.92889965752683</v>
      </c>
      <c r="DP152" s="450">
        <v>69.29953956060909</v>
      </c>
      <c r="DQ152" s="450">
        <v>72.83381607820014</v>
      </c>
      <c r="DR152" s="450">
        <v>40.38</v>
      </c>
      <c r="DS152" s="450">
        <v>42.54486450771321</v>
      </c>
      <c r="DT152" s="450">
        <v>44.78543913376579</v>
      </c>
      <c r="DU152" s="450">
        <v>47.6109976230901</v>
      </c>
      <c r="DV152" s="450">
        <v>50.72114753935614</v>
      </c>
      <c r="DW152" s="450">
        <v>53.78505519050904</v>
      </c>
      <c r="DX152" s="450">
        <v>57.490147451339055</v>
      </c>
      <c r="DY152" s="450">
        <v>60.715669858278844</v>
      </c>
      <c r="DZ152" s="450">
        <v>62.564437132013715</v>
      </c>
      <c r="EA152" s="450">
        <v>64.37861529645214</v>
      </c>
      <c r="EB152" s="450">
        <v>68.69630295689699</v>
      </c>
      <c r="EC152" s="450">
        <v>-1.05</v>
      </c>
      <c r="ED152" s="450">
        <v>67.64630295689699</v>
      </c>
      <c r="EE152" s="450">
        <v>3517.6077537586434</v>
      </c>
      <c r="EF152" s="443">
        <v>35930745.10507782</v>
      </c>
      <c r="EG152" s="450">
        <v>46.36</v>
      </c>
      <c r="EH152" s="450">
        <v>48.0452685077132</v>
      </c>
      <c r="EI152" s="450">
        <v>49.78225058976579</v>
      </c>
      <c r="EJ152" s="450">
        <v>52.12749057788209</v>
      </c>
      <c r="EK152" s="450">
        <v>54.731793283211424</v>
      </c>
      <c r="EL152" s="450">
        <v>57.23421053022458</v>
      </c>
      <c r="EM152" s="450">
        <v>60.36260401825415</v>
      </c>
      <c r="EN152" s="450">
        <v>63.38130955237605</v>
      </c>
      <c r="EO152" s="450">
        <v>65.10656885361776</v>
      </c>
      <c r="EP152" s="450">
        <v>66.07726440060422</v>
      </c>
      <c r="EQ152" s="450">
        <v>70.12452712366806</v>
      </c>
      <c r="ER152" s="443">
        <v>108244016</v>
      </c>
      <c r="ES152" s="443">
        <v>0</v>
      </c>
      <c r="ET152" s="443">
        <v>0</v>
      </c>
      <c r="EU152" s="443">
        <v>0</v>
      </c>
      <c r="EV152" s="443">
        <v>3000000</v>
      </c>
      <c r="EW152" s="443">
        <v>0</v>
      </c>
      <c r="EX152" s="443">
        <v>0</v>
      </c>
      <c r="EY152" s="443">
        <v>0</v>
      </c>
      <c r="EZ152" s="443">
        <v>0</v>
      </c>
      <c r="FA152" s="443">
        <v>109744016</v>
      </c>
      <c r="FB152" s="443">
        <v>91156.64656277714</v>
      </c>
      <c r="FC152" s="443">
        <v>0</v>
      </c>
      <c r="FD152" s="443">
        <v>0</v>
      </c>
      <c r="FE152" s="443">
        <v>0</v>
      </c>
      <c r="FF152" s="452">
        <v>0</v>
      </c>
      <c r="FG152" s="443">
        <v>0</v>
      </c>
      <c r="FH152" s="453">
        <v>0</v>
      </c>
    </row>
    <row r="153" spans="2:164" ht="12.75">
      <c r="B153" s="356" t="s">
        <v>841</v>
      </c>
      <c r="C153" s="442">
        <v>5534.32</v>
      </c>
      <c r="D153" s="443">
        <v>1320296.56</v>
      </c>
      <c r="E153" s="443">
        <v>1132814.44848</v>
      </c>
      <c r="F153" s="443">
        <v>64997.83491120893</v>
      </c>
      <c r="G153" s="443">
        <v>187482.11152000003</v>
      </c>
      <c r="H153" s="444">
        <v>0.17009135720377572</v>
      </c>
      <c r="I153" s="445">
        <v>259.88</v>
      </c>
      <c r="J153" s="445">
        <v>681.46</v>
      </c>
      <c r="K153" s="443">
        <v>1197812.2833912089</v>
      </c>
      <c r="L153" s="443">
        <v>958249.8267129671</v>
      </c>
      <c r="M153" s="443">
        <v>240955.4227257247</v>
      </c>
      <c r="N153" s="443">
        <v>239562.45667824172</v>
      </c>
      <c r="O153" s="446">
        <v>1.0058146258257565</v>
      </c>
      <c r="P153" s="447">
        <v>0.9954249121843335</v>
      </c>
      <c r="Q153" s="448">
        <v>0.004517266800618685</v>
      </c>
      <c r="R153" s="443">
        <v>1199205.249438692</v>
      </c>
      <c r="S153" s="443">
        <v>810662.7486205557</v>
      </c>
      <c r="T153" s="443">
        <v>78348.60590744534</v>
      </c>
      <c r="U153" s="443">
        <v>86237.66477566207</v>
      </c>
      <c r="V153" s="443">
        <v>273418.79687202175</v>
      </c>
      <c r="W153" s="446">
        <v>0.3154050334587166</v>
      </c>
      <c r="X153" s="448">
        <v>5.889077354823765</v>
      </c>
      <c r="Y153" s="443">
        <v>78348.60590744534</v>
      </c>
      <c r="Z153" s="443">
        <v>115123.70394611443</v>
      </c>
      <c r="AA153" s="444">
        <v>0.680560155918174</v>
      </c>
      <c r="AB153" s="444">
        <v>0.05583341765564695</v>
      </c>
      <c r="AC153" s="445">
        <v>318</v>
      </c>
      <c r="AD153" s="445">
        <v>300</v>
      </c>
      <c r="AE153" s="443">
        <v>975249.0193036632</v>
      </c>
      <c r="AF153" s="443">
        <v>0</v>
      </c>
      <c r="AG153" s="447">
        <v>0</v>
      </c>
      <c r="AH153" s="446">
        <v>0</v>
      </c>
      <c r="AI153" s="448">
        <v>0</v>
      </c>
      <c r="AJ153" s="443">
        <v>975249.0193036632</v>
      </c>
      <c r="AK153" s="449">
        <v>1.0488165680716346</v>
      </c>
      <c r="AL153" s="443">
        <v>1022857.3294412954</v>
      </c>
      <c r="AM153" s="443">
        <v>2279709.1846089326</v>
      </c>
      <c r="AN153" s="443">
        <v>2251868.588989012</v>
      </c>
      <c r="AO153" s="443">
        <v>2222875.6541505777</v>
      </c>
      <c r="AP153" s="443">
        <v>2251868.588989012</v>
      </c>
      <c r="AQ153" s="443">
        <v>22137.28</v>
      </c>
      <c r="AR153" s="443">
        <v>2274005.8689890117</v>
      </c>
      <c r="AS153" s="450">
        <v>410.8916486558442</v>
      </c>
      <c r="AT153" s="446">
        <v>5416</v>
      </c>
      <c r="AU153" s="446">
        <v>4</v>
      </c>
      <c r="AV153" s="446">
        <v>896</v>
      </c>
      <c r="AW153" s="446">
        <v>8</v>
      </c>
      <c r="AX153" s="446">
        <v>0</v>
      </c>
      <c r="AY153" s="446">
        <v>781</v>
      </c>
      <c r="AZ153" s="446">
        <v>211</v>
      </c>
      <c r="BA153" s="446">
        <v>361</v>
      </c>
      <c r="BB153" s="446">
        <v>274</v>
      </c>
      <c r="BC153" s="446">
        <v>6</v>
      </c>
      <c r="BD153" s="446">
        <v>256</v>
      </c>
      <c r="BE153" s="446">
        <v>25</v>
      </c>
      <c r="BF153" s="446">
        <v>0</v>
      </c>
      <c r="BG153" s="446">
        <v>2594</v>
      </c>
      <c r="BH153" s="446">
        <v>0</v>
      </c>
      <c r="BI153" s="446">
        <v>0</v>
      </c>
      <c r="BJ153" s="448">
        <v>1.2070480881122854</v>
      </c>
      <c r="BK153" s="448">
        <v>8.5941869748574</v>
      </c>
      <c r="BL153" s="448">
        <v>4.345313477045797</v>
      </c>
      <c r="BM153" s="448">
        <v>8.497746995623208</v>
      </c>
      <c r="BN153" s="445">
        <v>5391</v>
      </c>
      <c r="BO153" s="445">
        <v>25</v>
      </c>
      <c r="BP153" s="443">
        <v>1563630.6131581524</v>
      </c>
      <c r="BQ153" s="443">
        <v>5219527</v>
      </c>
      <c r="BR153" s="443">
        <v>7220988</v>
      </c>
      <c r="BS153" s="444">
        <v>0.05705317577548006</v>
      </c>
      <c r="BT153" s="445">
        <v>318</v>
      </c>
      <c r="BU153" s="445">
        <v>300</v>
      </c>
      <c r="BV153" s="443">
        <v>411980.2976366322</v>
      </c>
      <c r="BW153" s="444">
        <v>0.007459468358049072</v>
      </c>
      <c r="BX153" s="443">
        <v>4474.109215916812</v>
      </c>
      <c r="BY153" s="443">
        <v>7199612.020010701</v>
      </c>
      <c r="BZ153" s="451">
        <v>0.9866666666666667</v>
      </c>
      <c r="CA153" s="443">
        <v>7103617.193077225</v>
      </c>
      <c r="CB153" s="443">
        <v>5197985.212368587</v>
      </c>
      <c r="CC153" s="443">
        <v>5197985.212368587</v>
      </c>
      <c r="CD153" s="443">
        <v>5183797.059931885</v>
      </c>
      <c r="CE153" s="443">
        <v>5183797.059931885</v>
      </c>
      <c r="CF153" s="450">
        <v>957.1264881705845</v>
      </c>
      <c r="CG153" s="446">
        <v>5416</v>
      </c>
      <c r="CH153" s="446">
        <v>4</v>
      </c>
      <c r="CI153" s="446">
        <v>896</v>
      </c>
      <c r="CJ153" s="446">
        <v>8</v>
      </c>
      <c r="CK153" s="446">
        <v>0</v>
      </c>
      <c r="CL153" s="446">
        <v>781</v>
      </c>
      <c r="CM153" s="446">
        <v>211</v>
      </c>
      <c r="CN153" s="446">
        <v>361</v>
      </c>
      <c r="CO153" s="446">
        <v>274</v>
      </c>
      <c r="CP153" s="446">
        <v>6</v>
      </c>
      <c r="CQ153" s="446">
        <v>256</v>
      </c>
      <c r="CR153" s="446">
        <v>25</v>
      </c>
      <c r="CS153" s="446">
        <v>0</v>
      </c>
      <c r="CT153" s="446">
        <v>2594</v>
      </c>
      <c r="CU153" s="446">
        <v>0</v>
      </c>
      <c r="CV153" s="446">
        <v>0</v>
      </c>
      <c r="CW153" s="443">
        <v>3441083.6080917716</v>
      </c>
      <c r="CX153" s="448">
        <v>0.9632467421653251</v>
      </c>
      <c r="CY153" s="448">
        <v>0.9866666666666667</v>
      </c>
      <c r="CZ153" s="443">
        <v>3314612.5750129013</v>
      </c>
      <c r="DA153" s="450">
        <v>612.003798931481</v>
      </c>
      <c r="DB153" s="445">
        <v>5534.32</v>
      </c>
      <c r="DC153" s="448">
        <v>1.0172689689067493</v>
      </c>
      <c r="DD153" s="450">
        <v>330.1</v>
      </c>
      <c r="DE153" s="443">
        <v>76306</v>
      </c>
      <c r="DF153" s="450">
        <v>65.71103418820749</v>
      </c>
      <c r="DG153" s="450">
        <v>68.53660865830041</v>
      </c>
      <c r="DH153" s="450">
        <v>70.04441404878301</v>
      </c>
      <c r="DI153" s="450">
        <v>71.58539115785622</v>
      </c>
      <c r="DJ153" s="450">
        <v>73.94770906606547</v>
      </c>
      <c r="DK153" s="450">
        <v>76.60982659244381</v>
      </c>
      <c r="DL153" s="450">
        <v>79.061341043402</v>
      </c>
      <c r="DM153" s="450">
        <v>82.30285602618147</v>
      </c>
      <c r="DN153" s="450">
        <v>85.92418169133344</v>
      </c>
      <c r="DO153" s="450">
        <v>90.65001168435678</v>
      </c>
      <c r="DP153" s="450">
        <v>89.83416157919757</v>
      </c>
      <c r="DQ153" s="450">
        <v>94.41570381973663</v>
      </c>
      <c r="DR153" s="450">
        <v>47.85</v>
      </c>
      <c r="DS153" s="450">
        <v>51.01687140487829</v>
      </c>
      <c r="DT153" s="450">
        <v>54.29992575157122</v>
      </c>
      <c r="DU153" s="450">
        <v>58.32380902195962</v>
      </c>
      <c r="DV153" s="450">
        <v>62.73580335327782</v>
      </c>
      <c r="DW153" s="450">
        <v>67.12968105771924</v>
      </c>
      <c r="DX153" s="450">
        <v>72.36616959010487</v>
      </c>
      <c r="DY153" s="450">
        <v>76.70293667865437</v>
      </c>
      <c r="DZ153" s="450">
        <v>79.19236805816716</v>
      </c>
      <c r="EA153" s="450">
        <v>82.17817903670357</v>
      </c>
      <c r="EB153" s="450">
        <v>87.97855369800769</v>
      </c>
      <c r="EC153" s="450">
        <v>-4.47</v>
      </c>
      <c r="ED153" s="450">
        <v>83.50855369800769</v>
      </c>
      <c r="EE153" s="450">
        <v>4342.4447922964</v>
      </c>
      <c r="EF153" s="443">
        <v>23551829.481643774</v>
      </c>
      <c r="EG153" s="450">
        <v>48.07</v>
      </c>
      <c r="EH153" s="450">
        <v>51.21922740487829</v>
      </c>
      <c r="EI153" s="450">
        <v>54.48375493557123</v>
      </c>
      <c r="EJ153" s="450">
        <v>58.48996762564762</v>
      </c>
      <c r="EK153" s="450">
        <v>62.88335219335277</v>
      </c>
      <c r="EL153" s="450">
        <v>67.2565730601837</v>
      </c>
      <c r="EM153" s="450">
        <v>72.47184524975727</v>
      </c>
      <c r="EN153" s="450">
        <v>76.80100369081178</v>
      </c>
      <c r="EO153" s="450">
        <v>79.2858912987613</v>
      </c>
      <c r="EP153" s="450">
        <v>82.24067114421418</v>
      </c>
      <c r="EQ153" s="450">
        <v>88.0310970620026</v>
      </c>
      <c r="ER153" s="443">
        <v>-217490</v>
      </c>
      <c r="ES153" s="443">
        <v>0</v>
      </c>
      <c r="ET153" s="443">
        <v>0</v>
      </c>
      <c r="EU153" s="443">
        <v>0</v>
      </c>
      <c r="EV153" s="443">
        <v>0</v>
      </c>
      <c r="EW153" s="443">
        <v>0</v>
      </c>
      <c r="EX153" s="443">
        <v>0</v>
      </c>
      <c r="EY153" s="443">
        <v>0</v>
      </c>
      <c r="EZ153" s="443">
        <v>0</v>
      </c>
      <c r="FA153" s="443">
        <v>-217490</v>
      </c>
      <c r="FB153" s="443">
        <v>0</v>
      </c>
      <c r="FC153" s="443">
        <v>217490</v>
      </c>
      <c r="FD153" s="443">
        <v>1576.8025</v>
      </c>
      <c r="FE153" s="443">
        <v>43521</v>
      </c>
      <c r="FF153" s="452">
        <v>0.0507</v>
      </c>
      <c r="FG153" s="443">
        <v>2206.5147</v>
      </c>
      <c r="FH153" s="453">
        <v>3783.3172000000004</v>
      </c>
    </row>
    <row r="154" spans="2:164" ht="12.75">
      <c r="B154" s="356" t="s">
        <v>842</v>
      </c>
      <c r="C154" s="442">
        <v>3057</v>
      </c>
      <c r="D154" s="443">
        <v>743081</v>
      </c>
      <c r="E154" s="443">
        <v>637563.498</v>
      </c>
      <c r="F154" s="443">
        <v>70252.92077148713</v>
      </c>
      <c r="G154" s="443">
        <v>105517.50200000001</v>
      </c>
      <c r="H154" s="444">
        <v>0.32665031076218515</v>
      </c>
      <c r="I154" s="445">
        <v>703.99</v>
      </c>
      <c r="J154" s="445">
        <v>294.58</v>
      </c>
      <c r="K154" s="443">
        <v>707816.4187714872</v>
      </c>
      <c r="L154" s="443">
        <v>566253.1350171898</v>
      </c>
      <c r="M154" s="443">
        <v>149088.3192826171</v>
      </c>
      <c r="N154" s="443">
        <v>141563.28375429742</v>
      </c>
      <c r="O154" s="446">
        <v>1.053156689564933</v>
      </c>
      <c r="P154" s="447">
        <v>0.9591102387962054</v>
      </c>
      <c r="Q154" s="448">
        <v>0.04088976120379457</v>
      </c>
      <c r="R154" s="443">
        <v>715341.4542998069</v>
      </c>
      <c r="S154" s="443">
        <v>483570.8231066695</v>
      </c>
      <c r="T154" s="443">
        <v>67769.87703417169</v>
      </c>
      <c r="U154" s="443">
        <v>77297.5281936345</v>
      </c>
      <c r="V154" s="443">
        <v>163097.85158035596</v>
      </c>
      <c r="W154" s="446">
        <v>0.47393345433217504</v>
      </c>
      <c r="X154" s="448">
        <v>8.84903688122762</v>
      </c>
      <c r="Y154" s="443">
        <v>67769.87703417169</v>
      </c>
      <c r="Z154" s="443">
        <v>68672.77961278147</v>
      </c>
      <c r="AA154" s="444">
        <v>0.9868521037927853</v>
      </c>
      <c r="AB154" s="444">
        <v>0.08096172718351324</v>
      </c>
      <c r="AC154" s="445">
        <v>237</v>
      </c>
      <c r="AD154" s="445">
        <v>258</v>
      </c>
      <c r="AE154" s="443">
        <v>628638.2283344757</v>
      </c>
      <c r="AF154" s="443">
        <v>0</v>
      </c>
      <c r="AG154" s="447">
        <v>0</v>
      </c>
      <c r="AH154" s="446">
        <v>0.03374104233288459</v>
      </c>
      <c r="AI154" s="448">
        <v>0.028413666412234306</v>
      </c>
      <c r="AJ154" s="443">
        <v>628638.2283344757</v>
      </c>
      <c r="AK154" s="449">
        <v>1</v>
      </c>
      <c r="AL154" s="443">
        <v>628638.2283344757</v>
      </c>
      <c r="AM154" s="443">
        <v>1401087.2305262608</v>
      </c>
      <c r="AN154" s="443">
        <v>1383976.6695491564</v>
      </c>
      <c r="AO154" s="443">
        <v>1335826.6530071846</v>
      </c>
      <c r="AP154" s="443">
        <v>1383976.6695491564</v>
      </c>
      <c r="AQ154" s="443">
        <v>12228</v>
      </c>
      <c r="AR154" s="443">
        <v>1396204.6695491564</v>
      </c>
      <c r="AS154" s="450">
        <v>456.72380423590334</v>
      </c>
      <c r="AT154" s="446">
        <v>3057</v>
      </c>
      <c r="AU154" s="446">
        <v>84</v>
      </c>
      <c r="AV154" s="446">
        <v>210</v>
      </c>
      <c r="AW154" s="446">
        <v>173</v>
      </c>
      <c r="AX154" s="446">
        <v>112</v>
      </c>
      <c r="AY154" s="446">
        <v>779</v>
      </c>
      <c r="AZ154" s="446">
        <v>116</v>
      </c>
      <c r="BA154" s="446">
        <v>91</v>
      </c>
      <c r="BB154" s="446">
        <v>62</v>
      </c>
      <c r="BC154" s="446">
        <v>0</v>
      </c>
      <c r="BD154" s="446">
        <v>666</v>
      </c>
      <c r="BE154" s="446">
        <v>125</v>
      </c>
      <c r="BF154" s="446">
        <v>0</v>
      </c>
      <c r="BG154" s="446">
        <v>637</v>
      </c>
      <c r="BH154" s="446">
        <v>0</v>
      </c>
      <c r="BI154" s="446">
        <v>2</v>
      </c>
      <c r="BJ154" s="448">
        <v>1.2517303080771813</v>
      </c>
      <c r="BK154" s="448">
        <v>9.617942074608566</v>
      </c>
      <c r="BL154" s="448">
        <v>6.512447533484249</v>
      </c>
      <c r="BM154" s="448">
        <v>6.210989082248633</v>
      </c>
      <c r="BN154" s="445">
        <v>2932</v>
      </c>
      <c r="BO154" s="445">
        <v>125</v>
      </c>
      <c r="BP154" s="443">
        <v>805219.3312314296</v>
      </c>
      <c r="BQ154" s="443">
        <v>3070670</v>
      </c>
      <c r="BR154" s="443">
        <v>4219278</v>
      </c>
      <c r="BS154" s="444">
        <v>0.08096172718351324</v>
      </c>
      <c r="BT154" s="445">
        <v>237</v>
      </c>
      <c r="BU154" s="445">
        <v>258</v>
      </c>
      <c r="BV154" s="443">
        <v>341600.03434739937</v>
      </c>
      <c r="BW154" s="444">
        <v>0.003926963560212709</v>
      </c>
      <c r="BX154" s="443">
        <v>1487.8176922448802</v>
      </c>
      <c r="BY154" s="443">
        <v>4218977.183271074</v>
      </c>
      <c r="BZ154" s="451">
        <v>0.92</v>
      </c>
      <c r="CA154" s="443">
        <v>3881459.008609388</v>
      </c>
      <c r="CB154" s="443">
        <v>2840210.2732715625</v>
      </c>
      <c r="CC154" s="443">
        <v>2840210.2732715625</v>
      </c>
      <c r="CD154" s="443">
        <v>2789091.689056463</v>
      </c>
      <c r="CE154" s="443">
        <v>2820025.333109629</v>
      </c>
      <c r="CF154" s="450">
        <v>922.4812996760317</v>
      </c>
      <c r="CG154" s="446">
        <v>3057</v>
      </c>
      <c r="CH154" s="446">
        <v>84</v>
      </c>
      <c r="CI154" s="446">
        <v>210</v>
      </c>
      <c r="CJ154" s="446">
        <v>173</v>
      </c>
      <c r="CK154" s="446">
        <v>112</v>
      </c>
      <c r="CL154" s="446">
        <v>779</v>
      </c>
      <c r="CM154" s="446">
        <v>116</v>
      </c>
      <c r="CN154" s="446">
        <v>91</v>
      </c>
      <c r="CO154" s="446">
        <v>62</v>
      </c>
      <c r="CP154" s="446">
        <v>0</v>
      </c>
      <c r="CQ154" s="446">
        <v>666</v>
      </c>
      <c r="CR154" s="446">
        <v>125</v>
      </c>
      <c r="CS154" s="446">
        <v>0</v>
      </c>
      <c r="CT154" s="446">
        <v>637</v>
      </c>
      <c r="CU154" s="446">
        <v>0</v>
      </c>
      <c r="CV154" s="446">
        <v>2</v>
      </c>
      <c r="CW154" s="443">
        <v>2131072.3899312983</v>
      </c>
      <c r="CX154" s="448">
        <v>0.8981625028298302</v>
      </c>
      <c r="CY154" s="448">
        <v>0.92</v>
      </c>
      <c r="CZ154" s="443">
        <v>1914049.3114522428</v>
      </c>
      <c r="DA154" s="450">
        <v>626.120154220557</v>
      </c>
      <c r="DB154" s="445">
        <v>3057</v>
      </c>
      <c r="DC154" s="448">
        <v>1.015570821066405</v>
      </c>
      <c r="DD154" s="450">
        <v>321.1</v>
      </c>
      <c r="DE154" s="443">
        <v>30639</v>
      </c>
      <c r="DF154" s="450">
        <v>49.49760000074126</v>
      </c>
      <c r="DG154" s="450">
        <v>51.62599680077313</v>
      </c>
      <c r="DH154" s="450">
        <v>52.76176873039013</v>
      </c>
      <c r="DI154" s="450">
        <v>53.922527642458704</v>
      </c>
      <c r="DJ154" s="450">
        <v>55.701971054659836</v>
      </c>
      <c r="DK154" s="450">
        <v>57.70724201262758</v>
      </c>
      <c r="DL154" s="450">
        <v>59.55387375703165</v>
      </c>
      <c r="DM154" s="450">
        <v>61.99558258106995</v>
      </c>
      <c r="DN154" s="450">
        <v>64.72338821463701</v>
      </c>
      <c r="DO154" s="450">
        <v>68.28317456644204</v>
      </c>
      <c r="DP154" s="450">
        <v>67.66862599534406</v>
      </c>
      <c r="DQ154" s="450">
        <v>71.1197259211066</v>
      </c>
      <c r="DR154" s="450">
        <v>38.23</v>
      </c>
      <c r="DS154" s="450">
        <v>40.440130873039</v>
      </c>
      <c r="DT154" s="450">
        <v>42.72900418449173</v>
      </c>
      <c r="DU154" s="450">
        <v>45.584425039089936</v>
      </c>
      <c r="DV154" s="450">
        <v>48.722861150801506</v>
      </c>
      <c r="DW154" s="450">
        <v>51.82730621586123</v>
      </c>
      <c r="DX154" s="450">
        <v>55.56089713278322</v>
      </c>
      <c r="DY154" s="450">
        <v>58.752000118626924</v>
      </c>
      <c r="DZ154" s="450">
        <v>60.58203575089335</v>
      </c>
      <c r="EA154" s="450">
        <v>62.52273507285151</v>
      </c>
      <c r="EB154" s="450">
        <v>66.79306083347487</v>
      </c>
      <c r="EC154" s="450">
        <v>-0.38</v>
      </c>
      <c r="ED154" s="450">
        <v>66.41306083347487</v>
      </c>
      <c r="EE154" s="450">
        <v>3453.4791633406935</v>
      </c>
      <c r="EF154" s="443">
        <v>10346140.08628585</v>
      </c>
      <c r="EG154" s="450">
        <v>41.49</v>
      </c>
      <c r="EH154" s="450">
        <v>43.43867887303901</v>
      </c>
      <c r="EI154" s="450">
        <v>45.453018456491726</v>
      </c>
      <c r="EJ154" s="450">
        <v>48.046593439193934</v>
      </c>
      <c r="EK154" s="450">
        <v>50.90926669009386</v>
      </c>
      <c r="EL154" s="450">
        <v>53.707614979652654</v>
      </c>
      <c r="EM154" s="450">
        <v>57.12681827126872</v>
      </c>
      <c r="EN154" s="450">
        <v>60.20517493514147</v>
      </c>
      <c r="EO154" s="450">
        <v>61.96788013424272</v>
      </c>
      <c r="EP154" s="450">
        <v>63.44875448414513</v>
      </c>
      <c r="EQ154" s="450">
        <v>67.57165795449055</v>
      </c>
      <c r="ER154" s="443">
        <v>9429324</v>
      </c>
      <c r="ES154" s="443">
        <v>0</v>
      </c>
      <c r="ET154" s="443">
        <v>0</v>
      </c>
      <c r="EU154" s="443">
        <v>0</v>
      </c>
      <c r="EV154" s="443">
        <v>0</v>
      </c>
      <c r="EW154" s="443">
        <v>0</v>
      </c>
      <c r="EX154" s="443">
        <v>0</v>
      </c>
      <c r="EY154" s="443">
        <v>0</v>
      </c>
      <c r="EZ154" s="443">
        <v>0</v>
      </c>
      <c r="FA154" s="443">
        <v>9429324</v>
      </c>
      <c r="FB154" s="443">
        <v>43688.07700718975</v>
      </c>
      <c r="FC154" s="443">
        <v>0</v>
      </c>
      <c r="FD154" s="443">
        <v>0</v>
      </c>
      <c r="FE154" s="443">
        <v>527</v>
      </c>
      <c r="FF154" s="452">
        <v>0.0513</v>
      </c>
      <c r="FG154" s="443">
        <v>27.0351</v>
      </c>
      <c r="FH154" s="453">
        <v>27.0351</v>
      </c>
    </row>
    <row r="155" spans="2:164" ht="12.75">
      <c r="B155" s="356" t="s">
        <v>843</v>
      </c>
      <c r="C155" s="442">
        <v>3901</v>
      </c>
      <c r="D155" s="443">
        <v>939733</v>
      </c>
      <c r="E155" s="443">
        <v>806290.914</v>
      </c>
      <c r="F155" s="443">
        <v>49400.56583602577</v>
      </c>
      <c r="G155" s="443">
        <v>133442.086</v>
      </c>
      <c r="H155" s="444">
        <v>0.1816277877467316</v>
      </c>
      <c r="I155" s="445">
        <v>235.85</v>
      </c>
      <c r="J155" s="445">
        <v>472.68</v>
      </c>
      <c r="K155" s="443">
        <v>855691.4798360257</v>
      </c>
      <c r="L155" s="443">
        <v>684553.1838688207</v>
      </c>
      <c r="M155" s="443">
        <v>172507.05137201844</v>
      </c>
      <c r="N155" s="443">
        <v>171138.2959672051</v>
      </c>
      <c r="O155" s="446">
        <v>1.0079979492437836</v>
      </c>
      <c r="P155" s="447">
        <v>0.9938477313509356</v>
      </c>
      <c r="Q155" s="448">
        <v>0.006152268649064343</v>
      </c>
      <c r="R155" s="443">
        <v>857060.2352408391</v>
      </c>
      <c r="S155" s="443">
        <v>579372.7190228072</v>
      </c>
      <c r="T155" s="443">
        <v>82524.70254608331</v>
      </c>
      <c r="U155" s="443">
        <v>123089.81449664084</v>
      </c>
      <c r="V155" s="443">
        <v>195409.7336349113</v>
      </c>
      <c r="W155" s="446">
        <v>0.6299062600771592</v>
      </c>
      <c r="X155" s="448">
        <v>11.761279302372555</v>
      </c>
      <c r="Y155" s="443">
        <v>82524.70254608331</v>
      </c>
      <c r="Z155" s="443">
        <v>82277.78258312056</v>
      </c>
      <c r="AA155" s="444">
        <v>1.0030010527169142</v>
      </c>
      <c r="AB155" s="444">
        <v>0.08228659318123559</v>
      </c>
      <c r="AC155" s="445">
        <v>293</v>
      </c>
      <c r="AD155" s="445">
        <v>349</v>
      </c>
      <c r="AE155" s="443">
        <v>784987.2360655314</v>
      </c>
      <c r="AF155" s="443">
        <v>0</v>
      </c>
      <c r="AG155" s="447">
        <v>0</v>
      </c>
      <c r="AH155" s="446">
        <v>0.00838282412342355</v>
      </c>
      <c r="AI155" s="448">
        <v>0.007059259340167046</v>
      </c>
      <c r="AJ155" s="443">
        <v>784987.2360655314</v>
      </c>
      <c r="AK155" s="449">
        <v>1</v>
      </c>
      <c r="AL155" s="443">
        <v>784987.2360655314</v>
      </c>
      <c r="AM155" s="443">
        <v>1749552.513679357</v>
      </c>
      <c r="AN155" s="443">
        <v>1728186.3743586007</v>
      </c>
      <c r="AO155" s="443">
        <v>1670541.9768724607</v>
      </c>
      <c r="AP155" s="443">
        <v>1728186.3743586007</v>
      </c>
      <c r="AQ155" s="443">
        <v>15604</v>
      </c>
      <c r="AR155" s="443">
        <v>1743790.3743586007</v>
      </c>
      <c r="AS155" s="450">
        <v>447.01111877944135</v>
      </c>
      <c r="AT155" s="446">
        <v>3896</v>
      </c>
      <c r="AU155" s="446">
        <v>147</v>
      </c>
      <c r="AV155" s="446">
        <v>731</v>
      </c>
      <c r="AW155" s="446">
        <v>86</v>
      </c>
      <c r="AX155" s="446">
        <v>1</v>
      </c>
      <c r="AY155" s="446">
        <v>534</v>
      </c>
      <c r="AZ155" s="446">
        <v>15</v>
      </c>
      <c r="BA155" s="446">
        <v>17</v>
      </c>
      <c r="BB155" s="446">
        <v>421</v>
      </c>
      <c r="BC155" s="446">
        <v>39</v>
      </c>
      <c r="BD155" s="446">
        <v>202</v>
      </c>
      <c r="BE155" s="446">
        <v>24</v>
      </c>
      <c r="BF155" s="446">
        <v>0</v>
      </c>
      <c r="BG155" s="446">
        <v>1679</v>
      </c>
      <c r="BH155" s="446">
        <v>0</v>
      </c>
      <c r="BI155" s="446">
        <v>0</v>
      </c>
      <c r="BJ155" s="448">
        <v>1.2206356126240747</v>
      </c>
      <c r="BK155" s="448">
        <v>9.124621420634833</v>
      </c>
      <c r="BL155" s="448">
        <v>5.987328813707353</v>
      </c>
      <c r="BM155" s="448">
        <v>6.27458521385496</v>
      </c>
      <c r="BN155" s="445">
        <v>3872</v>
      </c>
      <c r="BO155" s="445">
        <v>24</v>
      </c>
      <c r="BP155" s="443">
        <v>1134263.436674795</v>
      </c>
      <c r="BQ155" s="443">
        <v>3840410</v>
      </c>
      <c r="BR155" s="443">
        <v>5254091</v>
      </c>
      <c r="BS155" s="444">
        <v>0.08239219712525668</v>
      </c>
      <c r="BT155" s="445">
        <v>293</v>
      </c>
      <c r="BU155" s="445">
        <v>349</v>
      </c>
      <c r="BV155" s="443">
        <v>432896.101386037</v>
      </c>
      <c r="BW155" s="444">
        <v>0.008068909115910808</v>
      </c>
      <c r="BX155" s="443">
        <v>3696.2716243907103</v>
      </c>
      <c r="BY155" s="443">
        <v>5411265.809685223</v>
      </c>
      <c r="BZ155" s="451">
        <v>0.9066666666666667</v>
      </c>
      <c r="CA155" s="443">
        <v>4906214.334114603</v>
      </c>
      <c r="CB155" s="443">
        <v>3590062.480040689</v>
      </c>
      <c r="CC155" s="443">
        <v>3590062.480040689</v>
      </c>
      <c r="CD155" s="443">
        <v>3551142.9677375364</v>
      </c>
      <c r="CE155" s="443">
        <v>3564548.4548929124</v>
      </c>
      <c r="CF155" s="450">
        <v>914.9251680936634</v>
      </c>
      <c r="CG155" s="446">
        <v>3896</v>
      </c>
      <c r="CH155" s="446">
        <v>147</v>
      </c>
      <c r="CI155" s="446">
        <v>731</v>
      </c>
      <c r="CJ155" s="446">
        <v>86</v>
      </c>
      <c r="CK155" s="446">
        <v>1</v>
      </c>
      <c r="CL155" s="446">
        <v>534</v>
      </c>
      <c r="CM155" s="446">
        <v>15</v>
      </c>
      <c r="CN155" s="446">
        <v>17</v>
      </c>
      <c r="CO155" s="446">
        <v>421</v>
      </c>
      <c r="CP155" s="446">
        <v>39</v>
      </c>
      <c r="CQ155" s="446">
        <v>202</v>
      </c>
      <c r="CR155" s="446">
        <v>24</v>
      </c>
      <c r="CS155" s="446">
        <v>0</v>
      </c>
      <c r="CT155" s="446">
        <v>1679</v>
      </c>
      <c r="CU155" s="446">
        <v>0</v>
      </c>
      <c r="CV155" s="446">
        <v>0</v>
      </c>
      <c r="CW155" s="443">
        <v>2412540.218905924</v>
      </c>
      <c r="CX155" s="448">
        <v>0.8851456549627312</v>
      </c>
      <c r="CY155" s="448">
        <v>0.9066666666666667</v>
      </c>
      <c r="CZ155" s="443">
        <v>2135449.492187415</v>
      </c>
      <c r="DA155" s="450">
        <v>548.1133193499525</v>
      </c>
      <c r="DB155" s="445">
        <v>3901</v>
      </c>
      <c r="DC155" s="448">
        <v>1.021148423481159</v>
      </c>
      <c r="DD155" s="450">
        <v>286.7</v>
      </c>
      <c r="DE155" s="443">
        <v>33209</v>
      </c>
      <c r="DF155" s="450">
        <v>46.31566195597564</v>
      </c>
      <c r="DG155" s="450">
        <v>48.30723542008259</v>
      </c>
      <c r="DH155" s="450">
        <v>49.3699945993244</v>
      </c>
      <c r="DI155" s="450">
        <v>50.456134480509526</v>
      </c>
      <c r="DJ155" s="450">
        <v>52.121186918366334</v>
      </c>
      <c r="DK155" s="450">
        <v>53.99754964742751</v>
      </c>
      <c r="DL155" s="450">
        <v>55.72547123614518</v>
      </c>
      <c r="DM155" s="450">
        <v>58.01021555682713</v>
      </c>
      <c r="DN155" s="450">
        <v>60.56266504132751</v>
      </c>
      <c r="DO155" s="450">
        <v>63.893611618600524</v>
      </c>
      <c r="DP155" s="450">
        <v>63.31856911403312</v>
      </c>
      <c r="DQ155" s="450">
        <v>66.5478161388488</v>
      </c>
      <c r="DR155" s="450">
        <v>36.06</v>
      </c>
      <c r="DS155" s="450">
        <v>38.10498745993244</v>
      </c>
      <c r="DT155" s="450">
        <v>40.22250132810189</v>
      </c>
      <c r="DU155" s="450">
        <v>42.871261752733886</v>
      </c>
      <c r="DV155" s="450">
        <v>45.7836161003459</v>
      </c>
      <c r="DW155" s="450">
        <v>48.661488385655</v>
      </c>
      <c r="DX155" s="450">
        <v>52.1273306389389</v>
      </c>
      <c r="DY155" s="450">
        <v>55.10334783752723</v>
      </c>
      <c r="DZ155" s="450">
        <v>56.809800162295176</v>
      </c>
      <c r="EA155" s="450">
        <v>58.585175528651654</v>
      </c>
      <c r="EB155" s="450">
        <v>62.567978812260066</v>
      </c>
      <c r="EC155" s="450">
        <v>-1.39</v>
      </c>
      <c r="ED155" s="450">
        <v>61.177978812260065</v>
      </c>
      <c r="EE155" s="450">
        <v>3181.2548982375233</v>
      </c>
      <c r="EF155" s="443">
        <v>12161873.850864086</v>
      </c>
      <c r="EG155" s="450">
        <v>39.58</v>
      </c>
      <c r="EH155" s="450">
        <v>41.34268345993243</v>
      </c>
      <c r="EI155" s="450">
        <v>43.16376827210189</v>
      </c>
      <c r="EJ155" s="450">
        <v>45.529799411741884</v>
      </c>
      <c r="EK155" s="450">
        <v>48.144397541545004</v>
      </c>
      <c r="EL155" s="450">
        <v>50.69176042508623</v>
      </c>
      <c r="EM155" s="450">
        <v>53.81814119337724</v>
      </c>
      <c r="EN155" s="450">
        <v>56.67242003204601</v>
      </c>
      <c r="EO155" s="450">
        <v>58.30617201180125</v>
      </c>
      <c r="EP155" s="450">
        <v>59.58504924882145</v>
      </c>
      <c r="EQ155" s="450">
        <v>63.408672636178835</v>
      </c>
      <c r="ER155" s="443">
        <v>6991785</v>
      </c>
      <c r="ES155" s="443">
        <v>506000</v>
      </c>
      <c r="ET155" s="443">
        <v>0</v>
      </c>
      <c r="EU155" s="443">
        <v>0</v>
      </c>
      <c r="EV155" s="443">
        <v>0</v>
      </c>
      <c r="EW155" s="443">
        <v>0</v>
      </c>
      <c r="EX155" s="443">
        <v>0</v>
      </c>
      <c r="EY155" s="443">
        <v>0</v>
      </c>
      <c r="EZ155" s="443">
        <v>0</v>
      </c>
      <c r="FA155" s="443">
        <v>7244785</v>
      </c>
      <c r="FB155" s="443">
        <v>42654.3606152938</v>
      </c>
      <c r="FC155" s="443">
        <v>0</v>
      </c>
      <c r="FD155" s="443">
        <v>0</v>
      </c>
      <c r="FE155" s="443">
        <v>14629</v>
      </c>
      <c r="FF155" s="452">
        <v>0.0313</v>
      </c>
      <c r="FG155" s="443">
        <v>457.8877</v>
      </c>
      <c r="FH155" s="453">
        <v>457.8877</v>
      </c>
    </row>
    <row r="156" spans="2:164" ht="12.75">
      <c r="B156" s="356" t="s">
        <v>844</v>
      </c>
      <c r="C156" s="442">
        <v>6278.95</v>
      </c>
      <c r="D156" s="443">
        <v>1493795.35</v>
      </c>
      <c r="E156" s="443">
        <v>1281676.4102999999</v>
      </c>
      <c r="F156" s="443">
        <v>124079.94926935942</v>
      </c>
      <c r="G156" s="443">
        <v>212118.93970000002</v>
      </c>
      <c r="H156" s="444">
        <v>0.28698906664330814</v>
      </c>
      <c r="I156" s="445">
        <v>1154.33</v>
      </c>
      <c r="J156" s="445">
        <v>647.66</v>
      </c>
      <c r="K156" s="443">
        <v>1405756.3595693593</v>
      </c>
      <c r="L156" s="443">
        <v>1124605.0876554875</v>
      </c>
      <c r="M156" s="443">
        <v>290350.6649357473</v>
      </c>
      <c r="N156" s="443">
        <v>281151.2719138718</v>
      </c>
      <c r="O156" s="446">
        <v>1.0327204389268907</v>
      </c>
      <c r="P156" s="447">
        <v>0.9748445201825147</v>
      </c>
      <c r="Q156" s="448">
        <v>0.025163442932337413</v>
      </c>
      <c r="R156" s="443">
        <v>1414955.7525912346</v>
      </c>
      <c r="S156" s="443">
        <v>956510.0887516746</v>
      </c>
      <c r="T156" s="443">
        <v>142921.86040148264</v>
      </c>
      <c r="U156" s="443">
        <v>230876.10364732487</v>
      </c>
      <c r="V156" s="443">
        <v>322609.9115908015</v>
      </c>
      <c r="W156" s="446">
        <v>0.7156509932037308</v>
      </c>
      <c r="X156" s="448">
        <v>13.362259986205535</v>
      </c>
      <c r="Y156" s="443">
        <v>142921.86040148264</v>
      </c>
      <c r="Z156" s="443">
        <v>135835.75224875854</v>
      </c>
      <c r="AA156" s="444">
        <v>1.0521667383984974</v>
      </c>
      <c r="AB156" s="444">
        <v>0.08632016499573973</v>
      </c>
      <c r="AC156" s="445">
        <v>432</v>
      </c>
      <c r="AD156" s="445">
        <v>652</v>
      </c>
      <c r="AE156" s="443">
        <v>1330308.0528004821</v>
      </c>
      <c r="AF156" s="443">
        <v>0</v>
      </c>
      <c r="AG156" s="447">
        <v>0</v>
      </c>
      <c r="AH156" s="446">
        <v>0.035027061895803166</v>
      </c>
      <c r="AI156" s="448">
        <v>0.029496636241674423</v>
      </c>
      <c r="AJ156" s="443">
        <v>1330308.0528004821</v>
      </c>
      <c r="AK156" s="449">
        <v>1</v>
      </c>
      <c r="AL156" s="443">
        <v>1330308.0528004821</v>
      </c>
      <c r="AM156" s="443">
        <v>2964944.7670136094</v>
      </c>
      <c r="AN156" s="443">
        <v>2928735.8378874213</v>
      </c>
      <c r="AO156" s="443">
        <v>2869154.88166623</v>
      </c>
      <c r="AP156" s="443">
        <v>2928735.8378874213</v>
      </c>
      <c r="AQ156" s="443">
        <v>25115.8</v>
      </c>
      <c r="AR156" s="443">
        <v>2953851.637887421</v>
      </c>
      <c r="AS156" s="450">
        <v>470.4371969656425</v>
      </c>
      <c r="AT156" s="446">
        <v>6252</v>
      </c>
      <c r="AU156" s="446">
        <v>574</v>
      </c>
      <c r="AV156" s="446">
        <v>303</v>
      </c>
      <c r="AW156" s="446">
        <v>411</v>
      </c>
      <c r="AX156" s="446">
        <v>107</v>
      </c>
      <c r="AY156" s="446">
        <v>902</v>
      </c>
      <c r="AZ156" s="446">
        <v>383</v>
      </c>
      <c r="BA156" s="446">
        <v>205</v>
      </c>
      <c r="BB156" s="446">
        <v>565</v>
      </c>
      <c r="BC156" s="446">
        <v>8</v>
      </c>
      <c r="BD156" s="446">
        <v>1123</v>
      </c>
      <c r="BE156" s="446">
        <v>158</v>
      </c>
      <c r="BF156" s="446">
        <v>0</v>
      </c>
      <c r="BG156" s="446">
        <v>1513</v>
      </c>
      <c r="BH156" s="446">
        <v>0</v>
      </c>
      <c r="BI156" s="446">
        <v>0</v>
      </c>
      <c r="BJ156" s="448">
        <v>1.25319000331295</v>
      </c>
      <c r="BK156" s="448">
        <v>10.016672525098905</v>
      </c>
      <c r="BL156" s="448">
        <v>6.514179969117422</v>
      </c>
      <c r="BM156" s="448">
        <v>7.0049851119629665</v>
      </c>
      <c r="BN156" s="445">
        <v>6094</v>
      </c>
      <c r="BO156" s="445">
        <v>158</v>
      </c>
      <c r="BP156" s="443">
        <v>1640485.8674568105</v>
      </c>
      <c r="BQ156" s="443">
        <v>6342139</v>
      </c>
      <c r="BR156" s="443">
        <v>8642363</v>
      </c>
      <c r="BS156" s="444">
        <v>0.08669225847728727</v>
      </c>
      <c r="BT156" s="445">
        <v>432</v>
      </c>
      <c r="BU156" s="445">
        <v>652</v>
      </c>
      <c r="BV156" s="443">
        <v>749225.9670505439</v>
      </c>
      <c r="BW156" s="444">
        <v>0.013514863047469693</v>
      </c>
      <c r="BX156" s="443">
        <v>10906.096740914669</v>
      </c>
      <c r="BY156" s="443">
        <v>8742756.93124827</v>
      </c>
      <c r="BZ156" s="451">
        <v>0.9066666666666667</v>
      </c>
      <c r="CA156" s="443">
        <v>7926766.284331765</v>
      </c>
      <c r="CB156" s="443">
        <v>5800314.516949573</v>
      </c>
      <c r="CC156" s="443">
        <v>5800314.516949573</v>
      </c>
      <c r="CD156" s="443">
        <v>6023093.21677709</v>
      </c>
      <c r="CE156" s="443">
        <v>6023093.21677709</v>
      </c>
      <c r="CF156" s="450">
        <v>963.3866309624265</v>
      </c>
      <c r="CG156" s="446">
        <v>6252</v>
      </c>
      <c r="CH156" s="446">
        <v>574</v>
      </c>
      <c r="CI156" s="446">
        <v>303</v>
      </c>
      <c r="CJ156" s="446">
        <v>411</v>
      </c>
      <c r="CK156" s="446">
        <v>107</v>
      </c>
      <c r="CL156" s="446">
        <v>902</v>
      </c>
      <c r="CM156" s="446">
        <v>383</v>
      </c>
      <c r="CN156" s="446">
        <v>205</v>
      </c>
      <c r="CO156" s="446">
        <v>565</v>
      </c>
      <c r="CP156" s="446">
        <v>8</v>
      </c>
      <c r="CQ156" s="446">
        <v>1123</v>
      </c>
      <c r="CR156" s="446">
        <v>158</v>
      </c>
      <c r="CS156" s="446">
        <v>0</v>
      </c>
      <c r="CT156" s="446">
        <v>1513</v>
      </c>
      <c r="CU156" s="446">
        <v>0</v>
      </c>
      <c r="CV156" s="446">
        <v>0</v>
      </c>
      <c r="CW156" s="443">
        <v>4125571.9903316484</v>
      </c>
      <c r="CX156" s="448">
        <v>0.8851456549627312</v>
      </c>
      <c r="CY156" s="448">
        <v>0.9066666666666667</v>
      </c>
      <c r="CZ156" s="443">
        <v>3651732.121478006</v>
      </c>
      <c r="DA156" s="450">
        <v>584.0902305627009</v>
      </c>
      <c r="DB156" s="445">
        <v>6278.95</v>
      </c>
      <c r="DC156" s="448">
        <v>1.0355951233884644</v>
      </c>
      <c r="DD156" s="450">
        <v>286.7</v>
      </c>
      <c r="DE156" s="443">
        <v>39005</v>
      </c>
      <c r="DF156" s="450">
        <v>48.725178492582664</v>
      </c>
      <c r="DG156" s="450">
        <v>50.820361167763714</v>
      </c>
      <c r="DH156" s="450">
        <v>51.938409113454505</v>
      </c>
      <c r="DI156" s="450">
        <v>53.08105411395049</v>
      </c>
      <c r="DJ156" s="450">
        <v>54.83272889971086</v>
      </c>
      <c r="DK156" s="450">
        <v>56.806707140100436</v>
      </c>
      <c r="DL156" s="450">
        <v>58.62452176858364</v>
      </c>
      <c r="DM156" s="450">
        <v>61.02812716109557</v>
      </c>
      <c r="DN156" s="450">
        <v>63.713364756183765</v>
      </c>
      <c r="DO156" s="450">
        <v>67.21759981777387</v>
      </c>
      <c r="DP156" s="450">
        <v>66.6126414194139</v>
      </c>
      <c r="DQ156" s="450">
        <v>70.00988613180401</v>
      </c>
      <c r="DR156" s="450">
        <v>38.23</v>
      </c>
      <c r="DS156" s="450">
        <v>40.35779491134544</v>
      </c>
      <c r="DT156" s="450">
        <v>42.56070947879008</v>
      </c>
      <c r="DU156" s="450">
        <v>45.32365239260524</v>
      </c>
      <c r="DV156" s="450">
        <v>48.36264720179065</v>
      </c>
      <c r="DW156" s="450">
        <v>51.362630221637225</v>
      </c>
      <c r="DX156" s="450">
        <v>54.9804238807986</v>
      </c>
      <c r="DY156" s="450">
        <v>58.10109611206818</v>
      </c>
      <c r="DZ156" s="450">
        <v>59.89025198006061</v>
      </c>
      <c r="EA156" s="450">
        <v>61.71651714128692</v>
      </c>
      <c r="EB156" s="450">
        <v>65.89322483875485</v>
      </c>
      <c r="EC156" s="450">
        <v>0</v>
      </c>
      <c r="ED156" s="450">
        <v>65.89322483875485</v>
      </c>
      <c r="EE156" s="450">
        <v>3426.447691615252</v>
      </c>
      <c r="EF156" s="443">
        <v>21084203.858602233</v>
      </c>
      <c r="EG156" s="450">
        <v>38.58</v>
      </c>
      <c r="EH156" s="450">
        <v>40.67972491134544</v>
      </c>
      <c r="EI156" s="450">
        <v>42.85316499879008</v>
      </c>
      <c r="EJ156" s="450">
        <v>45.587995625745236</v>
      </c>
      <c r="EK156" s="450">
        <v>48.59738399281897</v>
      </c>
      <c r="EL156" s="450">
        <v>51.56450386192158</v>
      </c>
      <c r="EM156" s="450">
        <v>55.1485442484274</v>
      </c>
      <c r="EN156" s="450">
        <v>58.2571118132277</v>
      </c>
      <c r="EO156" s="450">
        <v>60.039038953733076</v>
      </c>
      <c r="EP156" s="450">
        <v>61.81593640323561</v>
      </c>
      <c r="EQ156" s="450">
        <v>65.97681655420129</v>
      </c>
      <c r="ER156" s="443">
        <v>13246830</v>
      </c>
      <c r="ES156" s="443">
        <v>545000</v>
      </c>
      <c r="ET156" s="443">
        <v>0</v>
      </c>
      <c r="EU156" s="443">
        <v>0</v>
      </c>
      <c r="EV156" s="443">
        <v>0</v>
      </c>
      <c r="EW156" s="443">
        <v>0</v>
      </c>
      <c r="EX156" s="443">
        <v>0</v>
      </c>
      <c r="EY156" s="443">
        <v>0</v>
      </c>
      <c r="EZ156" s="443">
        <v>0</v>
      </c>
      <c r="FA156" s="443">
        <v>13519330</v>
      </c>
      <c r="FB156" s="443">
        <v>45623.45387395788</v>
      </c>
      <c r="FC156" s="443">
        <v>0</v>
      </c>
      <c r="FD156" s="443">
        <v>0</v>
      </c>
      <c r="FE156" s="443">
        <v>76915</v>
      </c>
      <c r="FF156" s="452">
        <v>0.0393</v>
      </c>
      <c r="FG156" s="443">
        <v>3022.7595</v>
      </c>
      <c r="FH156" s="453">
        <v>3022.7595</v>
      </c>
    </row>
    <row r="157" spans="2:164" ht="12.75">
      <c r="B157" s="356" t="s">
        <v>845</v>
      </c>
      <c r="C157" s="442">
        <v>3184.25</v>
      </c>
      <c r="D157" s="443">
        <v>772730.25</v>
      </c>
      <c r="E157" s="443">
        <v>663002.5545</v>
      </c>
      <c r="F157" s="443">
        <v>87203.4407072992</v>
      </c>
      <c r="G157" s="443">
        <v>109727.69550000002</v>
      </c>
      <c r="H157" s="444">
        <v>0.3899065714061396</v>
      </c>
      <c r="I157" s="445">
        <v>969.21</v>
      </c>
      <c r="J157" s="445">
        <v>272.35</v>
      </c>
      <c r="K157" s="443">
        <v>750205.9952072991</v>
      </c>
      <c r="L157" s="443">
        <v>600164.7961658393</v>
      </c>
      <c r="M157" s="443">
        <v>168651.16106122098</v>
      </c>
      <c r="N157" s="443">
        <v>150041.1990414598</v>
      </c>
      <c r="O157" s="446">
        <v>1.1240323467064457</v>
      </c>
      <c r="P157" s="447">
        <v>0.9044515977074664</v>
      </c>
      <c r="Q157" s="448">
        <v>0.09546989086912146</v>
      </c>
      <c r="R157" s="443">
        <v>768815.9572270603</v>
      </c>
      <c r="S157" s="443">
        <v>519719.58708549285</v>
      </c>
      <c r="T157" s="443">
        <v>74304.39793624864</v>
      </c>
      <c r="U157" s="443">
        <v>84491.5736345707</v>
      </c>
      <c r="V157" s="443">
        <v>175290.03824776976</v>
      </c>
      <c r="W157" s="446">
        <v>0.48201012721066994</v>
      </c>
      <c r="X157" s="448">
        <v>8.999840281000532</v>
      </c>
      <c r="Y157" s="443">
        <v>74304.39793624864</v>
      </c>
      <c r="Z157" s="443">
        <v>73806.33189379779</v>
      </c>
      <c r="AA157" s="444">
        <v>1.0067482833744879</v>
      </c>
      <c r="AB157" s="444">
        <v>0.082594017429536</v>
      </c>
      <c r="AC157" s="445">
        <v>254</v>
      </c>
      <c r="AD157" s="445">
        <v>272</v>
      </c>
      <c r="AE157" s="443">
        <v>678515.5586563123</v>
      </c>
      <c r="AF157" s="443">
        <v>0</v>
      </c>
      <c r="AG157" s="447">
        <v>0</v>
      </c>
      <c r="AH157" s="446">
        <v>0.0033239297514343594</v>
      </c>
      <c r="AI157" s="448">
        <v>0.0027991142123937607</v>
      </c>
      <c r="AJ157" s="443">
        <v>678515.5586563123</v>
      </c>
      <c r="AK157" s="449">
        <v>1</v>
      </c>
      <c r="AL157" s="443">
        <v>678515.5586563123</v>
      </c>
      <c r="AM157" s="443">
        <v>1512252.1063751467</v>
      </c>
      <c r="AN157" s="443">
        <v>1493783.9615550933</v>
      </c>
      <c r="AO157" s="443">
        <v>1465103.858536764</v>
      </c>
      <c r="AP157" s="443">
        <v>1493783.9615550933</v>
      </c>
      <c r="AQ157" s="443">
        <v>12737</v>
      </c>
      <c r="AR157" s="443">
        <v>1506520.9615550933</v>
      </c>
      <c r="AS157" s="450">
        <v>473.11642036746275</v>
      </c>
      <c r="AT157" s="446">
        <v>3182</v>
      </c>
      <c r="AU157" s="446">
        <v>128</v>
      </c>
      <c r="AV157" s="446">
        <v>276</v>
      </c>
      <c r="AW157" s="446">
        <v>199</v>
      </c>
      <c r="AX157" s="446">
        <v>284</v>
      </c>
      <c r="AY157" s="446">
        <v>543</v>
      </c>
      <c r="AZ157" s="446">
        <v>160</v>
      </c>
      <c r="BA157" s="446">
        <v>68</v>
      </c>
      <c r="BB157" s="446">
        <v>0</v>
      </c>
      <c r="BC157" s="446">
        <v>73</v>
      </c>
      <c r="BD157" s="446">
        <v>712</v>
      </c>
      <c r="BE157" s="446">
        <v>304</v>
      </c>
      <c r="BF157" s="446">
        <v>0</v>
      </c>
      <c r="BG157" s="446">
        <v>435</v>
      </c>
      <c r="BH157" s="446">
        <v>0</v>
      </c>
      <c r="BI157" s="446">
        <v>0</v>
      </c>
      <c r="BJ157" s="448">
        <v>1.1658713992416188</v>
      </c>
      <c r="BK157" s="448">
        <v>5.659477618384174</v>
      </c>
      <c r="BL157" s="448">
        <v>4.299301359707568</v>
      </c>
      <c r="BM157" s="448">
        <v>2.7203525173532106</v>
      </c>
      <c r="BN157" s="445">
        <v>2878</v>
      </c>
      <c r="BO157" s="445">
        <v>304</v>
      </c>
      <c r="BP157" s="443">
        <v>749649.4803553646</v>
      </c>
      <c r="BQ157" s="443">
        <v>3252721</v>
      </c>
      <c r="BR157" s="443">
        <v>4377650</v>
      </c>
      <c r="BS157" s="444">
        <v>0.08265241986172218</v>
      </c>
      <c r="BT157" s="445">
        <v>254</v>
      </c>
      <c r="BU157" s="445">
        <v>272</v>
      </c>
      <c r="BV157" s="443">
        <v>361823.36580766813</v>
      </c>
      <c r="BW157" s="444">
        <v>0.011756547721907089</v>
      </c>
      <c r="BX157" s="443">
        <v>2728.170978608624</v>
      </c>
      <c r="BY157" s="443">
        <v>4366922.017141641</v>
      </c>
      <c r="BZ157" s="451">
        <v>0.99</v>
      </c>
      <c r="CA157" s="443">
        <v>4323252.796970224</v>
      </c>
      <c r="CB157" s="443">
        <v>3163487.4877382847</v>
      </c>
      <c r="CC157" s="443">
        <v>3163487.4877382847</v>
      </c>
      <c r="CD157" s="443">
        <v>3259770.6737224907</v>
      </c>
      <c r="CE157" s="443">
        <v>3259770.6737224907</v>
      </c>
      <c r="CF157" s="450">
        <v>1024.4408151233472</v>
      </c>
      <c r="CG157" s="446">
        <v>3182</v>
      </c>
      <c r="CH157" s="446">
        <v>128</v>
      </c>
      <c r="CI157" s="446">
        <v>276</v>
      </c>
      <c r="CJ157" s="446">
        <v>199</v>
      </c>
      <c r="CK157" s="446">
        <v>284</v>
      </c>
      <c r="CL157" s="446">
        <v>543</v>
      </c>
      <c r="CM157" s="446">
        <v>160</v>
      </c>
      <c r="CN157" s="446">
        <v>68</v>
      </c>
      <c r="CO157" s="446">
        <v>0</v>
      </c>
      <c r="CP157" s="446">
        <v>73</v>
      </c>
      <c r="CQ157" s="446">
        <v>712</v>
      </c>
      <c r="CR157" s="446">
        <v>304</v>
      </c>
      <c r="CS157" s="446">
        <v>0</v>
      </c>
      <c r="CT157" s="446">
        <v>435</v>
      </c>
      <c r="CU157" s="446">
        <v>0</v>
      </c>
      <c r="CV157" s="446">
        <v>0</v>
      </c>
      <c r="CW157" s="443">
        <v>2205740.4069287935</v>
      </c>
      <c r="CX157" s="448">
        <v>0.9665009541320998</v>
      </c>
      <c r="CY157" s="448">
        <v>0.99</v>
      </c>
      <c r="CZ157" s="443">
        <v>2131850.207864405</v>
      </c>
      <c r="DA157" s="450">
        <v>669.9717812270286</v>
      </c>
      <c r="DB157" s="445">
        <v>3184.25</v>
      </c>
      <c r="DC157" s="448">
        <v>1.0152469184266313</v>
      </c>
      <c r="DD157" s="450">
        <v>323.7</v>
      </c>
      <c r="DE157" s="443">
        <v>45744</v>
      </c>
      <c r="DF157" s="450">
        <v>54.77909418302072</v>
      </c>
      <c r="DG157" s="450">
        <v>57.134595232890604</v>
      </c>
      <c r="DH157" s="450">
        <v>58.39155632801418</v>
      </c>
      <c r="DI157" s="450">
        <v>59.676170567230486</v>
      </c>
      <c r="DJ157" s="450">
        <v>61.64548419594909</v>
      </c>
      <c r="DK157" s="450">
        <v>63.86472162700324</v>
      </c>
      <c r="DL157" s="450">
        <v>65.90839271906734</v>
      </c>
      <c r="DM157" s="450">
        <v>68.61063682054909</v>
      </c>
      <c r="DN157" s="450">
        <v>71.62950484065324</v>
      </c>
      <c r="DO157" s="450">
        <v>75.56912760688917</v>
      </c>
      <c r="DP157" s="450">
        <v>74.88900545842716</v>
      </c>
      <c r="DQ157" s="450">
        <v>78.70834473680695</v>
      </c>
      <c r="DR157" s="450">
        <v>41.92</v>
      </c>
      <c r="DS157" s="450">
        <v>44.39717163280142</v>
      </c>
      <c r="DT157" s="450">
        <v>46.96304953744609</v>
      </c>
      <c r="DU157" s="450">
        <v>50.154411925152715</v>
      </c>
      <c r="DV157" s="450">
        <v>53.66064945053607</v>
      </c>
      <c r="DW157" s="450">
        <v>57.13289064730557</v>
      </c>
      <c r="DX157" s="450">
        <v>61.3023986951859</v>
      </c>
      <c r="DY157" s="450">
        <v>64.84745986031619</v>
      </c>
      <c r="DZ157" s="450">
        <v>66.88080272724748</v>
      </c>
      <c r="EA157" s="450">
        <v>69.0834780941436</v>
      </c>
      <c r="EB157" s="450">
        <v>73.82705732891732</v>
      </c>
      <c r="EC157" s="450">
        <v>-2.63</v>
      </c>
      <c r="ED157" s="450">
        <v>71.19705732891732</v>
      </c>
      <c r="EE157" s="450">
        <v>3702.246981103701</v>
      </c>
      <c r="EF157" s="443">
        <v>11553102.350587869</v>
      </c>
      <c r="EG157" s="450">
        <v>44.93</v>
      </c>
      <c r="EH157" s="450">
        <v>47.16576963280141</v>
      </c>
      <c r="EI157" s="450">
        <v>49.47816700944608</v>
      </c>
      <c r="EJ157" s="450">
        <v>52.42776373015671</v>
      </c>
      <c r="EK157" s="450">
        <v>55.679385853379614</v>
      </c>
      <c r="EL157" s="450">
        <v>58.86900395375102</v>
      </c>
      <c r="EM157" s="450">
        <v>62.74823385679366</v>
      </c>
      <c r="EN157" s="450">
        <v>66.1891948902882</v>
      </c>
      <c r="EO157" s="450">
        <v>68.1603707008308</v>
      </c>
      <c r="EP157" s="450">
        <v>69.93848374690242</v>
      </c>
      <c r="EQ157" s="450">
        <v>74.54594608175695</v>
      </c>
      <c r="ER157" s="443">
        <v>13124173</v>
      </c>
      <c r="ES157" s="443">
        <v>0</v>
      </c>
      <c r="ET157" s="443">
        <v>0</v>
      </c>
      <c r="EU157" s="443">
        <v>0</v>
      </c>
      <c r="EV157" s="443">
        <v>0</v>
      </c>
      <c r="EW157" s="443">
        <v>0</v>
      </c>
      <c r="EX157" s="443">
        <v>0</v>
      </c>
      <c r="EY157" s="443">
        <v>0</v>
      </c>
      <c r="EZ157" s="443">
        <v>0</v>
      </c>
      <c r="FA157" s="443">
        <v>13124173</v>
      </c>
      <c r="FB157" s="443">
        <v>45436.46693150804</v>
      </c>
      <c r="FC157" s="443">
        <v>0</v>
      </c>
      <c r="FD157" s="443">
        <v>0</v>
      </c>
      <c r="FE157" s="443">
        <v>0</v>
      </c>
      <c r="FF157" s="452">
        <v>0</v>
      </c>
      <c r="FG157" s="443">
        <v>0</v>
      </c>
      <c r="FH157" s="453">
        <v>0</v>
      </c>
    </row>
    <row r="158" spans="2:164" ht="12.75">
      <c r="B158" s="356" t="s">
        <v>846</v>
      </c>
      <c r="C158" s="442">
        <v>0</v>
      </c>
      <c r="D158" s="443">
        <v>0</v>
      </c>
      <c r="E158" s="443">
        <v>0</v>
      </c>
      <c r="F158" s="443">
        <v>0</v>
      </c>
      <c r="G158" s="443">
        <v>0</v>
      </c>
      <c r="H158" s="444">
        <v>0</v>
      </c>
      <c r="I158" s="445">
        <v>0</v>
      </c>
      <c r="J158" s="445">
        <v>0</v>
      </c>
      <c r="K158" s="443">
        <v>0</v>
      </c>
      <c r="L158" s="443">
        <v>0</v>
      </c>
      <c r="M158" s="443">
        <v>0</v>
      </c>
      <c r="N158" s="443">
        <v>0</v>
      </c>
      <c r="O158" s="446">
        <v>0</v>
      </c>
      <c r="P158" s="447">
        <v>0</v>
      </c>
      <c r="Q158" s="448">
        <v>0</v>
      </c>
      <c r="R158" s="443">
        <v>0</v>
      </c>
      <c r="S158" s="443">
        <v>0</v>
      </c>
      <c r="T158" s="443">
        <v>0</v>
      </c>
      <c r="U158" s="443">
        <v>0</v>
      </c>
      <c r="V158" s="443">
        <v>0</v>
      </c>
      <c r="W158" s="446">
        <v>0.28639150060024043</v>
      </c>
      <c r="X158" s="448">
        <v>5.347351886886198</v>
      </c>
      <c r="Y158" s="443">
        <v>0</v>
      </c>
      <c r="Z158" s="443">
        <v>0</v>
      </c>
      <c r="AA158" s="444">
        <v>0</v>
      </c>
      <c r="AB158" s="444">
        <v>0</v>
      </c>
      <c r="AC158" s="445">
        <v>0</v>
      </c>
      <c r="AD158" s="445">
        <v>0</v>
      </c>
      <c r="AE158" s="443">
        <v>0</v>
      </c>
      <c r="AF158" s="443">
        <v>0</v>
      </c>
      <c r="AG158" s="447">
        <v>0</v>
      </c>
      <c r="AH158" s="446">
        <v>0</v>
      </c>
      <c r="AI158" s="448">
        <v>0</v>
      </c>
      <c r="AJ158" s="443">
        <v>0</v>
      </c>
      <c r="AK158" s="449">
        <v>1</v>
      </c>
      <c r="AL158" s="443">
        <v>0</v>
      </c>
      <c r="AM158" s="443">
        <v>0</v>
      </c>
      <c r="AN158" s="443">
        <v>0</v>
      </c>
      <c r="AO158" s="443">
        <v>0</v>
      </c>
      <c r="AP158" s="443">
        <v>0</v>
      </c>
      <c r="AQ158" s="443">
        <v>0</v>
      </c>
      <c r="AR158" s="443">
        <v>0</v>
      </c>
      <c r="AS158" s="450">
        <v>0</v>
      </c>
      <c r="AT158" s="446">
        <v>0</v>
      </c>
      <c r="AU158" s="446">
        <v>0</v>
      </c>
      <c r="AV158" s="446">
        <v>0</v>
      </c>
      <c r="AW158" s="446">
        <v>0</v>
      </c>
      <c r="AX158" s="446">
        <v>0</v>
      </c>
      <c r="AY158" s="446">
        <v>0</v>
      </c>
      <c r="AZ158" s="446">
        <v>0</v>
      </c>
      <c r="BA158" s="446">
        <v>0</v>
      </c>
      <c r="BB158" s="446">
        <v>0</v>
      </c>
      <c r="BC158" s="446">
        <v>0</v>
      </c>
      <c r="BD158" s="446">
        <v>0</v>
      </c>
      <c r="BE158" s="446">
        <v>0</v>
      </c>
      <c r="BF158" s="446">
        <v>0</v>
      </c>
      <c r="BG158" s="446">
        <v>0</v>
      </c>
      <c r="BH158" s="446">
        <v>0</v>
      </c>
      <c r="BI158" s="446">
        <v>0</v>
      </c>
      <c r="BJ158" s="448">
        <v>1</v>
      </c>
      <c r="BK158" s="448">
        <v>5.4157273111553</v>
      </c>
      <c r="BL158" s="448">
        <v>3.776737038007392</v>
      </c>
      <c r="BM158" s="448">
        <v>3.2779805462958156</v>
      </c>
      <c r="BN158" s="445">
        <v>0</v>
      </c>
      <c r="BO158" s="445">
        <v>0</v>
      </c>
      <c r="BP158" s="443">
        <v>0</v>
      </c>
      <c r="BQ158" s="443">
        <v>0</v>
      </c>
      <c r="BR158" s="443">
        <v>0</v>
      </c>
      <c r="BS158" s="444">
        <v>0</v>
      </c>
      <c r="BT158" s="445">
        <v>0</v>
      </c>
      <c r="BU158" s="445">
        <v>0</v>
      </c>
      <c r="BV158" s="443">
        <v>0</v>
      </c>
      <c r="BW158" s="444">
        <v>0</v>
      </c>
      <c r="BX158" s="443">
        <v>0</v>
      </c>
      <c r="BY158" s="443">
        <v>0</v>
      </c>
      <c r="BZ158" s="451">
        <v>0.9333333333333332</v>
      </c>
      <c r="CA158" s="443">
        <v>0</v>
      </c>
      <c r="CB158" s="443">
        <v>0</v>
      </c>
      <c r="CC158" s="443">
        <v>0</v>
      </c>
      <c r="CD158" s="443">
        <v>0</v>
      </c>
      <c r="CE158" s="443">
        <v>0</v>
      </c>
      <c r="CF158" s="450">
        <v>0</v>
      </c>
      <c r="CG158" s="446">
        <v>0</v>
      </c>
      <c r="CH158" s="446">
        <v>0</v>
      </c>
      <c r="CI158" s="446">
        <v>0</v>
      </c>
      <c r="CJ158" s="446">
        <v>0</v>
      </c>
      <c r="CK158" s="446">
        <v>0</v>
      </c>
      <c r="CL158" s="446">
        <v>0</v>
      </c>
      <c r="CM158" s="446">
        <v>0</v>
      </c>
      <c r="CN158" s="446">
        <v>0</v>
      </c>
      <c r="CO158" s="446">
        <v>0</v>
      </c>
      <c r="CP158" s="446">
        <v>0</v>
      </c>
      <c r="CQ158" s="446">
        <v>0</v>
      </c>
      <c r="CR158" s="446">
        <v>0</v>
      </c>
      <c r="CS158" s="446">
        <v>0</v>
      </c>
      <c r="CT158" s="446">
        <v>0</v>
      </c>
      <c r="CU158" s="446">
        <v>0</v>
      </c>
      <c r="CV158" s="446">
        <v>0</v>
      </c>
      <c r="CW158" s="443">
        <v>0</v>
      </c>
      <c r="CX158" s="448">
        <v>0.9111793506969291</v>
      </c>
      <c r="CY158" s="448">
        <v>0.9333333333333332</v>
      </c>
      <c r="CZ158" s="443">
        <v>0</v>
      </c>
      <c r="DA158" s="450">
        <v>0</v>
      </c>
      <c r="DB158" s="445">
        <v>0</v>
      </c>
      <c r="DC158" s="448">
        <v>0</v>
      </c>
      <c r="DD158" s="450">
        <v>302.5</v>
      </c>
      <c r="DE158" s="443">
        <v>0</v>
      </c>
      <c r="DF158" s="450">
        <v>0</v>
      </c>
      <c r="DG158" s="450">
        <v>0</v>
      </c>
      <c r="DH158" s="450">
        <v>0</v>
      </c>
      <c r="DI158" s="450">
        <v>0</v>
      </c>
      <c r="DJ158" s="450">
        <v>0</v>
      </c>
      <c r="DK158" s="450">
        <v>0</v>
      </c>
      <c r="DL158" s="450">
        <v>0</v>
      </c>
      <c r="DM158" s="450">
        <v>0</v>
      </c>
      <c r="DN158" s="450">
        <v>0</v>
      </c>
      <c r="DO158" s="450">
        <v>0</v>
      </c>
      <c r="DP158" s="450">
        <v>0</v>
      </c>
      <c r="DQ158" s="450">
        <v>0</v>
      </c>
      <c r="DR158" s="450">
        <v>0</v>
      </c>
      <c r="DS158" s="450">
        <v>0</v>
      </c>
      <c r="DT158" s="450">
        <v>0</v>
      </c>
      <c r="DU158" s="450">
        <v>0</v>
      </c>
      <c r="DV158" s="450">
        <v>0</v>
      </c>
      <c r="DW158" s="450">
        <v>0</v>
      </c>
      <c r="DX158" s="450">
        <v>0</v>
      </c>
      <c r="DY158" s="450">
        <v>0</v>
      </c>
      <c r="DZ158" s="450">
        <v>0</v>
      </c>
      <c r="EA158" s="450">
        <v>0</v>
      </c>
      <c r="EB158" s="450">
        <v>0</v>
      </c>
      <c r="EC158" s="450">
        <v>0</v>
      </c>
      <c r="ED158" s="450">
        <v>0</v>
      </c>
      <c r="EE158" s="450">
        <v>0</v>
      </c>
      <c r="EF158" s="443">
        <v>0</v>
      </c>
      <c r="EG158" s="450">
        <v>0</v>
      </c>
      <c r="EH158" s="450">
        <v>0</v>
      </c>
      <c r="EI158" s="450">
        <v>0</v>
      </c>
      <c r="EJ158" s="450">
        <v>0</v>
      </c>
      <c r="EK158" s="450">
        <v>0</v>
      </c>
      <c r="EL158" s="450">
        <v>0</v>
      </c>
      <c r="EM158" s="450">
        <v>0</v>
      </c>
      <c r="EN158" s="450">
        <v>0</v>
      </c>
      <c r="EO158" s="450">
        <v>0</v>
      </c>
      <c r="EP158" s="450">
        <v>0</v>
      </c>
      <c r="EQ158" s="450">
        <v>0</v>
      </c>
      <c r="ER158" s="443">
        <v>0</v>
      </c>
      <c r="ES158" s="443">
        <v>0</v>
      </c>
      <c r="ET158" s="443">
        <v>0</v>
      </c>
      <c r="EU158" s="443">
        <v>0</v>
      </c>
      <c r="EV158" s="443">
        <v>0</v>
      </c>
      <c r="EW158" s="443">
        <v>0</v>
      </c>
      <c r="EX158" s="443">
        <v>0</v>
      </c>
      <c r="EY158" s="443">
        <v>0</v>
      </c>
      <c r="EZ158" s="443">
        <v>0</v>
      </c>
      <c r="FA158" s="443">
        <v>0</v>
      </c>
      <c r="FB158" s="443">
        <v>0</v>
      </c>
      <c r="FC158" s="443">
        <v>0</v>
      </c>
      <c r="FD158" s="443">
        <v>0</v>
      </c>
      <c r="FE158" s="443">
        <v>15759</v>
      </c>
      <c r="FF158" s="452">
        <v>0.0313</v>
      </c>
      <c r="FG158" s="443">
        <v>493.2567</v>
      </c>
      <c r="FH158" s="453">
        <v>493.2567</v>
      </c>
    </row>
    <row r="159" spans="2:164" ht="12.75">
      <c r="B159" s="356" t="s">
        <v>847</v>
      </c>
      <c r="C159" s="442">
        <v>18187</v>
      </c>
      <c r="D159" s="443">
        <v>4268371</v>
      </c>
      <c r="E159" s="443">
        <v>3662262.318</v>
      </c>
      <c r="F159" s="443">
        <v>404788.0176050226</v>
      </c>
      <c r="G159" s="443">
        <v>606108.682</v>
      </c>
      <c r="H159" s="444">
        <v>0.327657667564744</v>
      </c>
      <c r="I159" s="445">
        <v>4209.7</v>
      </c>
      <c r="J159" s="445">
        <v>1749.41</v>
      </c>
      <c r="K159" s="443">
        <v>4067050.3356050225</v>
      </c>
      <c r="L159" s="443">
        <v>3253640.2684840183</v>
      </c>
      <c r="M159" s="443">
        <v>932252.8246045879</v>
      </c>
      <c r="N159" s="443">
        <v>813410.0671210043</v>
      </c>
      <c r="O159" s="446">
        <v>1.1461043602573266</v>
      </c>
      <c r="P159" s="447">
        <v>0.8876120305712872</v>
      </c>
      <c r="Q159" s="448">
        <v>0.11238796942871282</v>
      </c>
      <c r="R159" s="443">
        <v>4185893.0930886064</v>
      </c>
      <c r="S159" s="443">
        <v>2829663.730927898</v>
      </c>
      <c r="T159" s="443">
        <v>388226.56743394176</v>
      </c>
      <c r="U159" s="443">
        <v>684823.6021205733</v>
      </c>
      <c r="V159" s="443">
        <v>954383.6252242023</v>
      </c>
      <c r="W159" s="446">
        <v>0.7175559010242821</v>
      </c>
      <c r="X159" s="448">
        <v>13.397827425906854</v>
      </c>
      <c r="Y159" s="443">
        <v>388226.56743394176</v>
      </c>
      <c r="Z159" s="443">
        <v>401845.73693650623</v>
      </c>
      <c r="AA159" s="444">
        <v>0.9661084633959515</v>
      </c>
      <c r="AB159" s="444">
        <v>0.07925991092538627</v>
      </c>
      <c r="AC159" s="445">
        <v>1376</v>
      </c>
      <c r="AD159" s="445">
        <v>1507</v>
      </c>
      <c r="AE159" s="443">
        <v>3902713.900482413</v>
      </c>
      <c r="AF159" s="443">
        <v>644459.8932534155</v>
      </c>
      <c r="AG159" s="447">
        <v>0.75</v>
      </c>
      <c r="AH159" s="446">
        <v>0.506495775134376</v>
      </c>
      <c r="AI159" s="448">
        <v>0.4265251159667969</v>
      </c>
      <c r="AJ159" s="443">
        <v>4547173.793735828</v>
      </c>
      <c r="AK159" s="449">
        <v>1</v>
      </c>
      <c r="AL159" s="443">
        <v>4547173.793735828</v>
      </c>
      <c r="AM159" s="443">
        <v>10134584.328837778</v>
      </c>
      <c r="AN159" s="443">
        <v>10010817.28610265</v>
      </c>
      <c r="AO159" s="443">
        <v>10639966.144690381</v>
      </c>
      <c r="AP159" s="443">
        <v>10639966.144690381</v>
      </c>
      <c r="AQ159" s="443">
        <v>72748</v>
      </c>
      <c r="AR159" s="443">
        <v>10712714.144690381</v>
      </c>
      <c r="AS159" s="450">
        <v>589.0314040078288</v>
      </c>
      <c r="AT159" s="446">
        <v>18185</v>
      </c>
      <c r="AU159" s="446">
        <v>147</v>
      </c>
      <c r="AV159" s="446">
        <v>1659</v>
      </c>
      <c r="AW159" s="446">
        <v>1006</v>
      </c>
      <c r="AX159" s="446">
        <v>17</v>
      </c>
      <c r="AY159" s="446">
        <v>4461</v>
      </c>
      <c r="AZ159" s="446">
        <v>1452</v>
      </c>
      <c r="BA159" s="446">
        <v>943</v>
      </c>
      <c r="BB159" s="446">
        <v>961</v>
      </c>
      <c r="BC159" s="446">
        <v>318</v>
      </c>
      <c r="BD159" s="446">
        <v>2368</v>
      </c>
      <c r="BE159" s="446">
        <v>1690</v>
      </c>
      <c r="BF159" s="446">
        <v>354</v>
      </c>
      <c r="BG159" s="446">
        <v>2804</v>
      </c>
      <c r="BH159" s="446">
        <v>0</v>
      </c>
      <c r="BI159" s="446">
        <v>5</v>
      </c>
      <c r="BJ159" s="448">
        <v>1.6189271471486433</v>
      </c>
      <c r="BK159" s="448">
        <v>20.44270894543554</v>
      </c>
      <c r="BL159" s="448">
        <v>17.435048052473437</v>
      </c>
      <c r="BM159" s="448">
        <v>6.015321785924208</v>
      </c>
      <c r="BN159" s="445">
        <v>16141</v>
      </c>
      <c r="BO159" s="445">
        <v>2044</v>
      </c>
      <c r="BP159" s="443">
        <v>6355626.286381969</v>
      </c>
      <c r="BQ159" s="443">
        <v>18887354</v>
      </c>
      <c r="BR159" s="443">
        <v>25844296</v>
      </c>
      <c r="BS159" s="444">
        <v>0.07926862799010173</v>
      </c>
      <c r="BT159" s="445">
        <v>1376</v>
      </c>
      <c r="BU159" s="445">
        <v>1507</v>
      </c>
      <c r="BV159" s="443">
        <v>2048641.8852900742</v>
      </c>
      <c r="BW159" s="444">
        <v>0.015411184114750717</v>
      </c>
      <c r="BX159" s="443">
        <v>73824.9244653643</v>
      </c>
      <c r="BY159" s="443">
        <v>27365447.096137404</v>
      </c>
      <c r="BZ159" s="451">
        <v>0.9533333333333333</v>
      </c>
      <c r="CA159" s="443">
        <v>26088392.898317657</v>
      </c>
      <c r="CB159" s="443">
        <v>19089863.2082922</v>
      </c>
      <c r="CC159" s="443">
        <v>19089863.2082922</v>
      </c>
      <c r="CD159" s="443">
        <v>19689908.50298147</v>
      </c>
      <c r="CE159" s="443">
        <v>19689908.50298147</v>
      </c>
      <c r="CF159" s="450">
        <v>1082.7554854540263</v>
      </c>
      <c r="CG159" s="446">
        <v>18185</v>
      </c>
      <c r="CH159" s="446">
        <v>147</v>
      </c>
      <c r="CI159" s="446">
        <v>1659</v>
      </c>
      <c r="CJ159" s="446">
        <v>1006</v>
      </c>
      <c r="CK159" s="446">
        <v>17</v>
      </c>
      <c r="CL159" s="446">
        <v>4461</v>
      </c>
      <c r="CM159" s="446">
        <v>1452</v>
      </c>
      <c r="CN159" s="446">
        <v>943</v>
      </c>
      <c r="CO159" s="446">
        <v>961</v>
      </c>
      <c r="CP159" s="446">
        <v>318</v>
      </c>
      <c r="CQ159" s="446">
        <v>2368</v>
      </c>
      <c r="CR159" s="446">
        <v>1690</v>
      </c>
      <c r="CS159" s="446">
        <v>354</v>
      </c>
      <c r="CT159" s="446">
        <v>2804</v>
      </c>
      <c r="CU159" s="446">
        <v>0</v>
      </c>
      <c r="CV159" s="446">
        <v>5</v>
      </c>
      <c r="CW159" s="443">
        <v>12714991.373071646</v>
      </c>
      <c r="CX159" s="448">
        <v>0.9307046224975776</v>
      </c>
      <c r="CY159" s="448">
        <v>0.9533333333333333</v>
      </c>
      <c r="CZ159" s="443">
        <v>11833901.245934602</v>
      </c>
      <c r="DA159" s="450">
        <v>650.7506871561508</v>
      </c>
      <c r="DB159" s="445">
        <v>18187</v>
      </c>
      <c r="DC159" s="448">
        <v>1.0191785341177764</v>
      </c>
      <c r="DD159" s="450">
        <v>307.9</v>
      </c>
      <c r="DE159" s="443">
        <v>25504</v>
      </c>
      <c r="DF159" s="450">
        <v>46.32059863950903</v>
      </c>
      <c r="DG159" s="450">
        <v>48.31238438100792</v>
      </c>
      <c r="DH159" s="450">
        <v>49.37525683739008</v>
      </c>
      <c r="DI159" s="450">
        <v>50.461512487812655</v>
      </c>
      <c r="DJ159" s="450">
        <v>52.12674239991047</v>
      </c>
      <c r="DK159" s="450">
        <v>54.00330512630724</v>
      </c>
      <c r="DL159" s="450">
        <v>55.73141089034906</v>
      </c>
      <c r="DM159" s="450">
        <v>58.01639873685337</v>
      </c>
      <c r="DN159" s="450">
        <v>60.569120281274905</v>
      </c>
      <c r="DO159" s="450">
        <v>63.90042189674502</v>
      </c>
      <c r="DP159" s="450">
        <v>63.32531809967432</v>
      </c>
      <c r="DQ159" s="450">
        <v>66.55490932275771</v>
      </c>
      <c r="DR159" s="450">
        <v>35.59</v>
      </c>
      <c r="DS159" s="450">
        <v>37.67320768373901</v>
      </c>
      <c r="DT159" s="450">
        <v>39.83085094556253</v>
      </c>
      <c r="DU159" s="450">
        <v>42.51795319840914</v>
      </c>
      <c r="DV159" s="450">
        <v>45.47070031537405</v>
      </c>
      <c r="DW159" s="450">
        <v>48.393370752946524</v>
      </c>
      <c r="DX159" s="450">
        <v>51.905278910424535</v>
      </c>
      <c r="DY159" s="450">
        <v>54.89800108234895</v>
      </c>
      <c r="DZ159" s="450">
        <v>56.61442182531645</v>
      </c>
      <c r="EA159" s="450">
        <v>58.456822345105444</v>
      </c>
      <c r="EB159" s="450">
        <v>62.4614780923162</v>
      </c>
      <c r="EC159" s="450">
        <v>-2.86</v>
      </c>
      <c r="ED159" s="450">
        <v>59.6014780923162</v>
      </c>
      <c r="EE159" s="450">
        <v>3099.2768608004426</v>
      </c>
      <c r="EF159" s="443">
        <v>55239217.3020301</v>
      </c>
      <c r="EG159" s="450">
        <v>35.91</v>
      </c>
      <c r="EH159" s="450">
        <v>37.967543683738995</v>
      </c>
      <c r="EI159" s="450">
        <v>40.09823884956251</v>
      </c>
      <c r="EJ159" s="450">
        <v>42.759638440137124</v>
      </c>
      <c r="EK159" s="450">
        <v>45.68531681002851</v>
      </c>
      <c r="EL159" s="450">
        <v>48.57794093834936</v>
      </c>
      <c r="EM159" s="450">
        <v>52.05898896082801</v>
      </c>
      <c r="EN159" s="450">
        <v>55.040644009123376</v>
      </c>
      <c r="EO159" s="450">
        <v>56.750455629817</v>
      </c>
      <c r="EP159" s="450">
        <v>58.54771995602997</v>
      </c>
      <c r="EQ159" s="450">
        <v>62.53790480358154</v>
      </c>
      <c r="ER159" s="443">
        <v>192164529</v>
      </c>
      <c r="ES159" s="443">
        <v>2326000</v>
      </c>
      <c r="ET159" s="443">
        <v>0</v>
      </c>
      <c r="EU159" s="443">
        <v>0</v>
      </c>
      <c r="EV159" s="443">
        <v>19617840</v>
      </c>
      <c r="EW159" s="443">
        <v>0</v>
      </c>
      <c r="EX159" s="443">
        <v>0</v>
      </c>
      <c r="EY159" s="443">
        <v>0</v>
      </c>
      <c r="EZ159" s="443">
        <v>0</v>
      </c>
      <c r="FA159" s="443">
        <v>203136449</v>
      </c>
      <c r="FB159" s="443">
        <v>135349.6268076453</v>
      </c>
      <c r="FC159" s="443">
        <v>0</v>
      </c>
      <c r="FD159" s="443">
        <v>0</v>
      </c>
      <c r="FE159" s="443">
        <v>28248</v>
      </c>
      <c r="FF159" s="452">
        <v>0.0689</v>
      </c>
      <c r="FG159" s="443">
        <v>1946.2872</v>
      </c>
      <c r="FH159" s="453">
        <v>1946.2872</v>
      </c>
    </row>
    <row r="160" spans="2:164" ht="12.75">
      <c r="B160" s="356" t="s">
        <v>848</v>
      </c>
      <c r="C160" s="442">
        <v>17049.89</v>
      </c>
      <c r="D160" s="443">
        <v>4003424.37</v>
      </c>
      <c r="E160" s="443">
        <v>3434938.1094599995</v>
      </c>
      <c r="F160" s="443">
        <v>748067.4138245945</v>
      </c>
      <c r="G160" s="443">
        <v>568486.26054</v>
      </c>
      <c r="H160" s="444">
        <v>0.6456006461038752</v>
      </c>
      <c r="I160" s="445">
        <v>10294.63</v>
      </c>
      <c r="J160" s="445">
        <v>712.79</v>
      </c>
      <c r="K160" s="443">
        <v>4183005.523284594</v>
      </c>
      <c r="L160" s="443">
        <v>3346404.4186276756</v>
      </c>
      <c r="M160" s="443">
        <v>1335493.8504458827</v>
      </c>
      <c r="N160" s="443">
        <v>836601.1046569187</v>
      </c>
      <c r="O160" s="446">
        <v>1.596332879566965</v>
      </c>
      <c r="P160" s="447">
        <v>0.5412938147988051</v>
      </c>
      <c r="Q160" s="448">
        <v>0.45871263685572167</v>
      </c>
      <c r="R160" s="443">
        <v>4681898.269073558</v>
      </c>
      <c r="S160" s="443">
        <v>3164963.2298937254</v>
      </c>
      <c r="T160" s="443">
        <v>492269.2369329035</v>
      </c>
      <c r="U160" s="443">
        <v>2019487.735613739</v>
      </c>
      <c r="V160" s="443">
        <v>1067472.8053487712</v>
      </c>
      <c r="W160" s="446">
        <v>1.8918399845829512</v>
      </c>
      <c r="X160" s="448">
        <v>35.32344392219685</v>
      </c>
      <c r="Y160" s="443">
        <v>492269.2369329035</v>
      </c>
      <c r="Z160" s="443">
        <v>449462.2338310616</v>
      </c>
      <c r="AA160" s="444">
        <v>1.0952404893665253</v>
      </c>
      <c r="AB160" s="444">
        <v>0.08985395213693462</v>
      </c>
      <c r="AC160" s="445">
        <v>1599</v>
      </c>
      <c r="AD160" s="445">
        <v>1465</v>
      </c>
      <c r="AE160" s="443">
        <v>5676720.202440368</v>
      </c>
      <c r="AF160" s="443">
        <v>244639.13159306295</v>
      </c>
      <c r="AG160" s="447">
        <v>0.5</v>
      </c>
      <c r="AH160" s="446">
        <v>0.264011208740496</v>
      </c>
      <c r="AI160" s="448">
        <v>0.22232645750045776</v>
      </c>
      <c r="AJ160" s="443">
        <v>5921359.334033431</v>
      </c>
      <c r="AK160" s="449">
        <v>1.0421109271193911</v>
      </c>
      <c r="AL160" s="443">
        <v>6170713.265396639</v>
      </c>
      <c r="AM160" s="443">
        <v>13753073.182158066</v>
      </c>
      <c r="AN160" s="443">
        <v>13585115.904282153</v>
      </c>
      <c r="AO160" s="443">
        <v>13197833.899745815</v>
      </c>
      <c r="AP160" s="443">
        <v>13585115.904282153</v>
      </c>
      <c r="AQ160" s="443">
        <v>68199.56</v>
      </c>
      <c r="AR160" s="443">
        <v>13653315.464282153</v>
      </c>
      <c r="AS160" s="450">
        <v>800.7861320091891</v>
      </c>
      <c r="AT160" s="446">
        <v>17012</v>
      </c>
      <c r="AU160" s="446">
        <v>459</v>
      </c>
      <c r="AV160" s="446">
        <v>1280</v>
      </c>
      <c r="AW160" s="446">
        <v>274</v>
      </c>
      <c r="AX160" s="446">
        <v>62</v>
      </c>
      <c r="AY160" s="446">
        <v>682</v>
      </c>
      <c r="AZ160" s="446">
        <v>518</v>
      </c>
      <c r="BA160" s="446">
        <v>435</v>
      </c>
      <c r="BB160" s="446">
        <v>1698</v>
      </c>
      <c r="BC160" s="446">
        <v>82</v>
      </c>
      <c r="BD160" s="446">
        <v>3662</v>
      </c>
      <c r="BE160" s="446">
        <v>6018</v>
      </c>
      <c r="BF160" s="446">
        <v>1803</v>
      </c>
      <c r="BG160" s="446">
        <v>37</v>
      </c>
      <c r="BH160" s="446">
        <v>2</v>
      </c>
      <c r="BI160" s="446">
        <v>0</v>
      </c>
      <c r="BJ160" s="448">
        <v>2.142404182883215</v>
      </c>
      <c r="BK160" s="448">
        <v>22.754433801333793</v>
      </c>
      <c r="BL160" s="448">
        <v>17.649279035599946</v>
      </c>
      <c r="BM160" s="448">
        <v>10.210309531467692</v>
      </c>
      <c r="BN160" s="445">
        <v>9191</v>
      </c>
      <c r="BO160" s="445">
        <v>7821</v>
      </c>
      <c r="BP160" s="443">
        <v>6868946.297501604</v>
      </c>
      <c r="BQ160" s="443">
        <v>20254633</v>
      </c>
      <c r="BR160" s="443">
        <v>22640014</v>
      </c>
      <c r="BS160" s="444">
        <v>0.09005407947331295</v>
      </c>
      <c r="BT160" s="445">
        <v>1599</v>
      </c>
      <c r="BU160" s="445">
        <v>1465</v>
      </c>
      <c r="BV160" s="443">
        <v>2038825.620032918</v>
      </c>
      <c r="BW160" s="444">
        <v>0.014943540199088865</v>
      </c>
      <c r="BX160" s="443">
        <v>74540.13161653266</v>
      </c>
      <c r="BY160" s="443">
        <v>29236945.049151056</v>
      </c>
      <c r="BZ160" s="451">
        <v>1.0233333333333334</v>
      </c>
      <c r="CA160" s="443">
        <v>29919140.43363125</v>
      </c>
      <c r="CB160" s="443">
        <v>21892965.979691923</v>
      </c>
      <c r="CC160" s="443">
        <v>21892965.979691923</v>
      </c>
      <c r="CD160" s="443">
        <v>21235158.635590266</v>
      </c>
      <c r="CE160" s="443">
        <v>21737376.01777044</v>
      </c>
      <c r="CF160" s="450">
        <v>1277.767224181192</v>
      </c>
      <c r="CG160" s="446">
        <v>17012</v>
      </c>
      <c r="CH160" s="446">
        <v>459</v>
      </c>
      <c r="CI160" s="446">
        <v>1280</v>
      </c>
      <c r="CJ160" s="446">
        <v>274</v>
      </c>
      <c r="CK160" s="446">
        <v>62</v>
      </c>
      <c r="CL160" s="446">
        <v>682</v>
      </c>
      <c r="CM160" s="446">
        <v>518</v>
      </c>
      <c r="CN160" s="446">
        <v>435</v>
      </c>
      <c r="CO160" s="446">
        <v>1698</v>
      </c>
      <c r="CP160" s="446">
        <v>82</v>
      </c>
      <c r="CQ160" s="446">
        <v>3662</v>
      </c>
      <c r="CR160" s="446">
        <v>6018</v>
      </c>
      <c r="CS160" s="446">
        <v>1803</v>
      </c>
      <c r="CT160" s="446">
        <v>37</v>
      </c>
      <c r="CU160" s="446">
        <v>2</v>
      </c>
      <c r="CV160" s="446">
        <v>0</v>
      </c>
      <c r="CW160" s="443">
        <v>13031270.215919925</v>
      </c>
      <c r="CX160" s="448">
        <v>0.9990430737998475</v>
      </c>
      <c r="CY160" s="448">
        <v>1.0233333333333334</v>
      </c>
      <c r="CZ160" s="443">
        <v>13018800.252029045</v>
      </c>
      <c r="DA160" s="450">
        <v>765.2715878220694</v>
      </c>
      <c r="DB160" s="445">
        <v>17049.89</v>
      </c>
      <c r="DC160" s="448">
        <v>0.9922887479039453</v>
      </c>
      <c r="DD160" s="450">
        <v>328.7</v>
      </c>
      <c r="DE160" s="443">
        <v>39263</v>
      </c>
      <c r="DF160" s="450">
        <v>52.34597715747455</v>
      </c>
      <c r="DG160" s="450">
        <v>54.59685417524595</v>
      </c>
      <c r="DH160" s="450">
        <v>55.79798496710135</v>
      </c>
      <c r="DI160" s="450">
        <v>57.02554063637757</v>
      </c>
      <c r="DJ160" s="450">
        <v>58.907383477378026</v>
      </c>
      <c r="DK160" s="450">
        <v>61.02804928256362</v>
      </c>
      <c r="DL160" s="450">
        <v>62.980946859605645</v>
      </c>
      <c r="DM160" s="450">
        <v>65.56316568084947</v>
      </c>
      <c r="DN160" s="450">
        <v>68.44794497080683</v>
      </c>
      <c r="DO160" s="450">
        <v>72.2125819442012</v>
      </c>
      <c r="DP160" s="450">
        <v>71.56266870670339</v>
      </c>
      <c r="DQ160" s="450">
        <v>75.21236481074526</v>
      </c>
      <c r="DR160" s="450">
        <v>40.01</v>
      </c>
      <c r="DS160" s="450">
        <v>42.380996496710125</v>
      </c>
      <c r="DT160" s="450">
        <v>44.8369519992755</v>
      </c>
      <c r="DU160" s="450">
        <v>47.89042292301739</v>
      </c>
      <c r="DV160" s="450">
        <v>51.24498831029138</v>
      </c>
      <c r="DW160" s="450">
        <v>54.56751442345152</v>
      </c>
      <c r="DX160" s="450">
        <v>58.556459148020316</v>
      </c>
      <c r="DY160" s="450">
        <v>61.945721308341376</v>
      </c>
      <c r="DZ160" s="450">
        <v>63.88974168400164</v>
      </c>
      <c r="EA160" s="450">
        <v>66.00135768892959</v>
      </c>
      <c r="EB160" s="450">
        <v>70.53641450700106</v>
      </c>
      <c r="EC160" s="450">
        <v>-1.71</v>
      </c>
      <c r="ED160" s="450">
        <v>68.82641450700106</v>
      </c>
      <c r="EE160" s="450">
        <v>3578.9735543640554</v>
      </c>
      <c r="EF160" s="443">
        <v>59800683.306519836</v>
      </c>
      <c r="EG160" s="450">
        <v>45.25</v>
      </c>
      <c r="EH160" s="450">
        <v>47.200748496710126</v>
      </c>
      <c r="EI160" s="450">
        <v>49.2154289272755</v>
      </c>
      <c r="EJ160" s="450">
        <v>51.84801875631339</v>
      </c>
      <c r="EK160" s="450">
        <v>54.75933341025822</v>
      </c>
      <c r="EL160" s="450">
        <v>57.589851209423</v>
      </c>
      <c r="EM160" s="450">
        <v>61.073461223377365</v>
      </c>
      <c r="EN160" s="450">
        <v>64.28149923427272</v>
      </c>
      <c r="EO160" s="450">
        <v>66.11729523269817</v>
      </c>
      <c r="EP160" s="450">
        <v>67.4898060678187</v>
      </c>
      <c r="EQ160" s="450">
        <v>71.78790190397102</v>
      </c>
      <c r="ER160" s="443">
        <v>121237348</v>
      </c>
      <c r="ES160" s="443">
        <v>1496000</v>
      </c>
      <c r="ET160" s="443">
        <v>0</v>
      </c>
      <c r="EU160" s="443">
        <v>25000</v>
      </c>
      <c r="EV160" s="443">
        <v>0</v>
      </c>
      <c r="EW160" s="443">
        <v>0</v>
      </c>
      <c r="EX160" s="443">
        <v>0</v>
      </c>
      <c r="EY160" s="443">
        <v>0</v>
      </c>
      <c r="EZ160" s="443">
        <v>0</v>
      </c>
      <c r="FA160" s="443">
        <v>122010348</v>
      </c>
      <c r="FB160" s="443">
        <v>96961.03296047376</v>
      </c>
      <c r="FC160" s="443">
        <v>0</v>
      </c>
      <c r="FD160" s="443">
        <v>0</v>
      </c>
      <c r="FE160" s="443">
        <v>39812</v>
      </c>
      <c r="FF160" s="452">
        <v>0.0345</v>
      </c>
      <c r="FG160" s="443">
        <v>1373.5140000000001</v>
      </c>
      <c r="FH160" s="453">
        <v>1373.5140000000001</v>
      </c>
    </row>
    <row r="161" spans="2:164" ht="12.75">
      <c r="B161" s="356" t="s">
        <v>849</v>
      </c>
      <c r="C161" s="442">
        <v>6136.5</v>
      </c>
      <c r="D161" s="443">
        <v>1460604.5</v>
      </c>
      <c r="E161" s="443">
        <v>1253198.661</v>
      </c>
      <c r="F161" s="443">
        <v>260094.02308221845</v>
      </c>
      <c r="G161" s="443">
        <v>207405.83900000004</v>
      </c>
      <c r="H161" s="444">
        <v>0.6152513647844863</v>
      </c>
      <c r="I161" s="445">
        <v>3487.02</v>
      </c>
      <c r="J161" s="445">
        <v>288.47</v>
      </c>
      <c r="K161" s="443">
        <v>1513292.6840822184</v>
      </c>
      <c r="L161" s="443">
        <v>1210634.147265775</v>
      </c>
      <c r="M161" s="443">
        <v>455859.5385371699</v>
      </c>
      <c r="N161" s="443">
        <v>302658.5368164436</v>
      </c>
      <c r="O161" s="446">
        <v>1.5061843070153995</v>
      </c>
      <c r="P161" s="447">
        <v>0.6107716124826855</v>
      </c>
      <c r="Q161" s="448">
        <v>0.38930986718813654</v>
      </c>
      <c r="R161" s="443">
        <v>1666493.685802945</v>
      </c>
      <c r="S161" s="443">
        <v>1126549.7316027908</v>
      </c>
      <c r="T161" s="443">
        <v>164927.78697116952</v>
      </c>
      <c r="U161" s="443">
        <v>351966.003718488</v>
      </c>
      <c r="V161" s="443">
        <v>379960.56036307145</v>
      </c>
      <c r="W161" s="446">
        <v>0.9263224672112461</v>
      </c>
      <c r="X161" s="448">
        <v>17.29580725170088</v>
      </c>
      <c r="Y161" s="443">
        <v>164927.78697116952</v>
      </c>
      <c r="Z161" s="443">
        <v>159983.39383708272</v>
      </c>
      <c r="AA161" s="444">
        <v>1.030905664741191</v>
      </c>
      <c r="AB161" s="444">
        <v>0.08457589831337081</v>
      </c>
      <c r="AC161" s="445">
        <v>514</v>
      </c>
      <c r="AD161" s="445">
        <v>524</v>
      </c>
      <c r="AE161" s="443">
        <v>1643443.5222924482</v>
      </c>
      <c r="AF161" s="443">
        <v>39416.3822045861</v>
      </c>
      <c r="AG161" s="447">
        <v>0.25</v>
      </c>
      <c r="AH161" s="446">
        <v>0.224746023218712</v>
      </c>
      <c r="AI161" s="448">
        <v>0.18926085531711578</v>
      </c>
      <c r="AJ161" s="443">
        <v>1682859.9044970344</v>
      </c>
      <c r="AK161" s="449">
        <v>1.015630059694977</v>
      </c>
      <c r="AL161" s="443">
        <v>1709163.1052626064</v>
      </c>
      <c r="AM161" s="443">
        <v>3809323.8586755544</v>
      </c>
      <c r="AN161" s="443">
        <v>3762803.080564598</v>
      </c>
      <c r="AO161" s="443">
        <v>3971937.1855681855</v>
      </c>
      <c r="AP161" s="443">
        <v>3971937.1855681855</v>
      </c>
      <c r="AQ161" s="443">
        <v>24546</v>
      </c>
      <c r="AR161" s="443">
        <v>3996483.1855681855</v>
      </c>
      <c r="AS161" s="450">
        <v>651.2642688125455</v>
      </c>
      <c r="AT161" s="446">
        <v>6129</v>
      </c>
      <c r="AU161" s="446">
        <v>98</v>
      </c>
      <c r="AV161" s="446">
        <v>35</v>
      </c>
      <c r="AW161" s="446">
        <v>308</v>
      </c>
      <c r="AX161" s="446">
        <v>75</v>
      </c>
      <c r="AY161" s="446">
        <v>643</v>
      </c>
      <c r="AZ161" s="446">
        <v>16</v>
      </c>
      <c r="BA161" s="446">
        <v>90</v>
      </c>
      <c r="BB161" s="446">
        <v>675</v>
      </c>
      <c r="BC161" s="446">
        <v>65</v>
      </c>
      <c r="BD161" s="446">
        <v>1464</v>
      </c>
      <c r="BE161" s="446">
        <v>1112</v>
      </c>
      <c r="BF161" s="446">
        <v>1277</v>
      </c>
      <c r="BG161" s="446">
        <v>210</v>
      </c>
      <c r="BH161" s="446">
        <v>61</v>
      </c>
      <c r="BI161" s="446">
        <v>0</v>
      </c>
      <c r="BJ161" s="448">
        <v>1.6791670444422426</v>
      </c>
      <c r="BK161" s="448">
        <v>14.703051900110093</v>
      </c>
      <c r="BL161" s="448">
        <v>9.590532022850645</v>
      </c>
      <c r="BM161" s="448">
        <v>10.225039754518894</v>
      </c>
      <c r="BN161" s="445">
        <v>3740</v>
      </c>
      <c r="BO161" s="445">
        <v>2389</v>
      </c>
      <c r="BP161" s="443">
        <v>1841456.860120541</v>
      </c>
      <c r="BQ161" s="443">
        <v>7062079</v>
      </c>
      <c r="BR161" s="443">
        <v>8278379</v>
      </c>
      <c r="BS161" s="444">
        <v>0.0846793930494371</v>
      </c>
      <c r="BT161" s="445">
        <v>514</v>
      </c>
      <c r="BU161" s="445">
        <v>524</v>
      </c>
      <c r="BV161" s="443">
        <v>701008.109153206</v>
      </c>
      <c r="BW161" s="444">
        <v>0.04939074405508324</v>
      </c>
      <c r="BX161" s="443">
        <v>57353.236672942956</v>
      </c>
      <c r="BY161" s="443">
        <v>9661897.20594669</v>
      </c>
      <c r="BZ161" s="451">
        <v>1.04</v>
      </c>
      <c r="CA161" s="443">
        <v>10048373.094184557</v>
      </c>
      <c r="CB161" s="443">
        <v>7352774.4151015505</v>
      </c>
      <c r="CC161" s="443">
        <v>7352774.4151015505</v>
      </c>
      <c r="CD161" s="443">
        <v>7147513.617810967</v>
      </c>
      <c r="CE161" s="443">
        <v>7300519.37152618</v>
      </c>
      <c r="CF161" s="450">
        <v>1191.1436403207995</v>
      </c>
      <c r="CG161" s="446">
        <v>6129</v>
      </c>
      <c r="CH161" s="446">
        <v>98</v>
      </c>
      <c r="CI161" s="446">
        <v>35</v>
      </c>
      <c r="CJ161" s="446">
        <v>308</v>
      </c>
      <c r="CK161" s="446">
        <v>75</v>
      </c>
      <c r="CL161" s="446">
        <v>643</v>
      </c>
      <c r="CM161" s="446">
        <v>16</v>
      </c>
      <c r="CN161" s="446">
        <v>90</v>
      </c>
      <c r="CO161" s="446">
        <v>675</v>
      </c>
      <c r="CP161" s="446">
        <v>65</v>
      </c>
      <c r="CQ161" s="446">
        <v>1464</v>
      </c>
      <c r="CR161" s="446">
        <v>1112</v>
      </c>
      <c r="CS161" s="446">
        <v>1277</v>
      </c>
      <c r="CT161" s="446">
        <v>210</v>
      </c>
      <c r="CU161" s="446">
        <v>61</v>
      </c>
      <c r="CV161" s="446">
        <v>0</v>
      </c>
      <c r="CW161" s="443">
        <v>4824925.616333792</v>
      </c>
      <c r="CX161" s="448">
        <v>1.015314133633721</v>
      </c>
      <c r="CY161" s="448">
        <v>1.04</v>
      </c>
      <c r="CZ161" s="443">
        <v>4898815.171995091</v>
      </c>
      <c r="DA161" s="450">
        <v>799.2845769285514</v>
      </c>
      <c r="DB161" s="445">
        <v>6136.5</v>
      </c>
      <c r="DC161" s="448">
        <v>0.9700676281267825</v>
      </c>
      <c r="DD161" s="450">
        <v>325.9</v>
      </c>
      <c r="DE161" s="443">
        <v>45303</v>
      </c>
      <c r="DF161" s="450">
        <v>53.12449614232724</v>
      </c>
      <c r="DG161" s="450">
        <v>55.40884947644731</v>
      </c>
      <c r="DH161" s="450">
        <v>56.62784416492914</v>
      </c>
      <c r="DI161" s="450">
        <v>57.873656736557564</v>
      </c>
      <c r="DJ161" s="450">
        <v>59.783487408863955</v>
      </c>
      <c r="DK161" s="450">
        <v>61.93569295558304</v>
      </c>
      <c r="DL161" s="450">
        <v>63.91763513016169</v>
      </c>
      <c r="DM161" s="450">
        <v>66.53825817049831</v>
      </c>
      <c r="DN161" s="450">
        <v>69.46594153000022</v>
      </c>
      <c r="DO161" s="450">
        <v>73.28656831415023</v>
      </c>
      <c r="DP161" s="450">
        <v>72.62698919932288</v>
      </c>
      <c r="DQ161" s="450">
        <v>76.33096564848834</v>
      </c>
      <c r="DR161" s="450">
        <v>41.6</v>
      </c>
      <c r="DS161" s="450">
        <v>43.926464416492905</v>
      </c>
      <c r="DT161" s="450">
        <v>46.3351588673115</v>
      </c>
      <c r="DU161" s="450">
        <v>49.35412764729917</v>
      </c>
      <c r="DV161" s="450">
        <v>52.67442148731352</v>
      </c>
      <c r="DW161" s="450">
        <v>55.952941667449906</v>
      </c>
      <c r="DX161" s="450">
        <v>59.905261454751944</v>
      </c>
      <c r="DY161" s="450">
        <v>63.3105205777876</v>
      </c>
      <c r="DZ161" s="450">
        <v>65.26290434529346</v>
      </c>
      <c r="EA161" s="450">
        <v>67.26558738961809</v>
      </c>
      <c r="EB161" s="450">
        <v>71.82309900688855</v>
      </c>
      <c r="EC161" s="450">
        <v>-2.36</v>
      </c>
      <c r="ED161" s="450">
        <v>69.46309900688856</v>
      </c>
      <c r="EE161" s="450">
        <v>3612.0811483582047</v>
      </c>
      <c r="EF161" s="443">
        <v>21722225.247562118</v>
      </c>
      <c r="EG161" s="450">
        <v>50.12</v>
      </c>
      <c r="EH161" s="450">
        <v>51.7631604164929</v>
      </c>
      <c r="EI161" s="450">
        <v>53.45436181131149</v>
      </c>
      <c r="EJ161" s="450">
        <v>55.788997208307165</v>
      </c>
      <c r="EK161" s="450">
        <v>58.38858565748862</v>
      </c>
      <c r="EL161" s="450">
        <v>60.86712285380048</v>
      </c>
      <c r="EM161" s="450">
        <v>63.9977915467447</v>
      </c>
      <c r="EN161" s="450">
        <v>67.10838850315687</v>
      </c>
      <c r="EO161" s="450">
        <v>68.88480439012064</v>
      </c>
      <c r="EP161" s="450">
        <v>69.6857362804836</v>
      </c>
      <c r="EQ161" s="450">
        <v>73.85796019432827</v>
      </c>
      <c r="ER161" s="443">
        <v>54846909</v>
      </c>
      <c r="ES161" s="443">
        <v>1000000</v>
      </c>
      <c r="ET161" s="443">
        <v>0</v>
      </c>
      <c r="EU161" s="443">
        <v>0</v>
      </c>
      <c r="EV161" s="443">
        <v>13908000</v>
      </c>
      <c r="EW161" s="443">
        <v>0</v>
      </c>
      <c r="EX161" s="443">
        <v>0</v>
      </c>
      <c r="EY161" s="443">
        <v>0</v>
      </c>
      <c r="EZ161" s="443">
        <v>0</v>
      </c>
      <c r="FA161" s="443">
        <v>62300909</v>
      </c>
      <c r="FB161" s="443">
        <v>68706.73040729838</v>
      </c>
      <c r="FC161" s="443">
        <v>0</v>
      </c>
      <c r="FD161" s="443">
        <v>0</v>
      </c>
      <c r="FE161" s="443">
        <v>15384</v>
      </c>
      <c r="FF161" s="452">
        <v>0.0471</v>
      </c>
      <c r="FG161" s="443">
        <v>724.5864</v>
      </c>
      <c r="FH161" s="453">
        <v>724.5864</v>
      </c>
    </row>
    <row r="162" spans="2:164" ht="12.75">
      <c r="B162" s="356" t="s">
        <v>850</v>
      </c>
      <c r="C162" s="442">
        <v>39337</v>
      </c>
      <c r="D162" s="443">
        <v>9196321</v>
      </c>
      <c r="E162" s="443">
        <v>7890443.418</v>
      </c>
      <c r="F162" s="443">
        <v>2145627.9478531866</v>
      </c>
      <c r="G162" s="443">
        <v>1305877.5820000002</v>
      </c>
      <c r="H162" s="444">
        <v>0.8061115489234054</v>
      </c>
      <c r="I162" s="445">
        <v>31145.55</v>
      </c>
      <c r="J162" s="445">
        <v>564.46</v>
      </c>
      <c r="K162" s="443">
        <v>10036071.365853187</v>
      </c>
      <c r="L162" s="443">
        <v>8028857.09268255</v>
      </c>
      <c r="M162" s="443">
        <v>4061444.0084075066</v>
      </c>
      <c r="N162" s="443">
        <v>2007214.273170637</v>
      </c>
      <c r="O162" s="446">
        <v>2.023423240206421</v>
      </c>
      <c r="P162" s="447">
        <v>0.21275135368736814</v>
      </c>
      <c r="Q162" s="448">
        <v>0.7872486463126319</v>
      </c>
      <c r="R162" s="443">
        <v>12090301.101090057</v>
      </c>
      <c r="S162" s="443">
        <v>8173043.544336879</v>
      </c>
      <c r="T162" s="443">
        <v>832768.3404812972</v>
      </c>
      <c r="U162" s="443">
        <v>4765432.133418677</v>
      </c>
      <c r="V162" s="443">
        <v>2756588.651048533</v>
      </c>
      <c r="W162" s="446">
        <v>1.7287425643307475</v>
      </c>
      <c r="X162" s="448">
        <v>32.27817443583291</v>
      </c>
      <c r="Y162" s="443">
        <v>832768.3404812972</v>
      </c>
      <c r="Z162" s="443">
        <v>1160668.9057046454</v>
      </c>
      <c r="AA162" s="444">
        <v>0.7174900063129728</v>
      </c>
      <c r="AB162" s="444">
        <v>0.058863156824363834</v>
      </c>
      <c r="AC162" s="445">
        <v>2312</v>
      </c>
      <c r="AD162" s="445">
        <v>2319</v>
      </c>
      <c r="AE162" s="443">
        <v>13771244.018236855</v>
      </c>
      <c r="AF162" s="443">
        <v>2067405.0005614813</v>
      </c>
      <c r="AG162" s="447">
        <v>1</v>
      </c>
      <c r="AH162" s="446">
        <v>0.5758986244590629</v>
      </c>
      <c r="AI162" s="448">
        <v>0.48496994376182556</v>
      </c>
      <c r="AJ162" s="443">
        <v>15838649.018798336</v>
      </c>
      <c r="AK162" s="449">
        <v>1.2520966078131373</v>
      </c>
      <c r="AL162" s="443">
        <v>19831518.70878027</v>
      </c>
      <c r="AM162" s="443">
        <v>44199805.822230265</v>
      </c>
      <c r="AN162" s="443">
        <v>43660022.53378121</v>
      </c>
      <c r="AO162" s="443">
        <v>43563940.577602476</v>
      </c>
      <c r="AP162" s="443">
        <v>43660022.53378121</v>
      </c>
      <c r="AQ162" s="443">
        <v>157348</v>
      </c>
      <c r="AR162" s="443">
        <v>43817370.53378121</v>
      </c>
      <c r="AS162" s="450">
        <v>1113.897107908107</v>
      </c>
      <c r="AT162" s="446">
        <v>39333</v>
      </c>
      <c r="AU162" s="446">
        <v>320</v>
      </c>
      <c r="AV162" s="446">
        <v>242</v>
      </c>
      <c r="AW162" s="446">
        <v>876</v>
      </c>
      <c r="AX162" s="446">
        <v>238</v>
      </c>
      <c r="AY162" s="446">
        <v>249</v>
      </c>
      <c r="AZ162" s="446">
        <v>213</v>
      </c>
      <c r="BA162" s="446">
        <v>1751</v>
      </c>
      <c r="BB162" s="446">
        <v>0</v>
      </c>
      <c r="BC162" s="446">
        <v>1662</v>
      </c>
      <c r="BD162" s="446">
        <v>2365</v>
      </c>
      <c r="BE162" s="446">
        <v>20913</v>
      </c>
      <c r="BF162" s="446">
        <v>10053</v>
      </c>
      <c r="BG162" s="446">
        <v>207</v>
      </c>
      <c r="BH162" s="446">
        <v>94</v>
      </c>
      <c r="BI162" s="446">
        <v>150</v>
      </c>
      <c r="BJ162" s="448">
        <v>2.2074431066294933</v>
      </c>
      <c r="BK162" s="448">
        <v>17.49921693050013</v>
      </c>
      <c r="BL162" s="448">
        <v>8.249794546837554</v>
      </c>
      <c r="BM162" s="448">
        <v>18.49884476732515</v>
      </c>
      <c r="BN162" s="445">
        <v>8367</v>
      </c>
      <c r="BO162" s="445">
        <v>30966</v>
      </c>
      <c r="BP162" s="443">
        <v>15355923.450250605</v>
      </c>
      <c r="BQ162" s="443">
        <v>50019403</v>
      </c>
      <c r="BR162" s="443">
        <v>50339847</v>
      </c>
      <c r="BS162" s="444">
        <v>0.05886914295883863</v>
      </c>
      <c r="BT162" s="445">
        <v>2312</v>
      </c>
      <c r="BU162" s="445">
        <v>2319</v>
      </c>
      <c r="BV162" s="443">
        <v>2963463.649569064</v>
      </c>
      <c r="BW162" s="444">
        <v>0.019229140223810524</v>
      </c>
      <c r="BX162" s="443">
        <v>170549.6392395899</v>
      </c>
      <c r="BY162" s="443">
        <v>68509339.73905925</v>
      </c>
      <c r="BZ162" s="451">
        <v>1.2133333333333332</v>
      </c>
      <c r="CA162" s="443">
        <v>83124665.55005854</v>
      </c>
      <c r="CB162" s="443">
        <v>60825459.842257515</v>
      </c>
      <c r="CC162" s="443">
        <v>60825459.842257515</v>
      </c>
      <c r="CD162" s="443">
        <v>58141185.6963874</v>
      </c>
      <c r="CE162" s="443">
        <v>60393182.59898713</v>
      </c>
      <c r="CF162" s="450">
        <v>1535.4329087277129</v>
      </c>
      <c r="CG162" s="446">
        <v>39333</v>
      </c>
      <c r="CH162" s="446">
        <v>320</v>
      </c>
      <c r="CI162" s="446">
        <v>242</v>
      </c>
      <c r="CJ162" s="446">
        <v>876</v>
      </c>
      <c r="CK162" s="446">
        <v>238</v>
      </c>
      <c r="CL162" s="446">
        <v>249</v>
      </c>
      <c r="CM162" s="446">
        <v>213</v>
      </c>
      <c r="CN162" s="446">
        <v>1751</v>
      </c>
      <c r="CO162" s="446">
        <v>0</v>
      </c>
      <c r="CP162" s="446">
        <v>1662</v>
      </c>
      <c r="CQ162" s="446">
        <v>2365</v>
      </c>
      <c r="CR162" s="446">
        <v>20913</v>
      </c>
      <c r="CS162" s="446">
        <v>10053</v>
      </c>
      <c r="CT162" s="446">
        <v>207</v>
      </c>
      <c r="CU162" s="446">
        <v>94</v>
      </c>
      <c r="CV162" s="446">
        <v>150</v>
      </c>
      <c r="CW162" s="443">
        <v>32572451.313382316</v>
      </c>
      <c r="CX162" s="448">
        <v>1.1845331559060077</v>
      </c>
      <c r="CY162" s="448">
        <v>1.2133333333333332</v>
      </c>
      <c r="CZ162" s="443">
        <v>38583148.54983554</v>
      </c>
      <c r="DA162" s="450">
        <v>980.9358185197046</v>
      </c>
      <c r="DB162" s="445">
        <v>39337</v>
      </c>
      <c r="DC162" s="448">
        <v>0.9972138190507663</v>
      </c>
      <c r="DD162" s="450">
        <v>354.1</v>
      </c>
      <c r="DE162" s="443">
        <v>72528</v>
      </c>
      <c r="DF162" s="450">
        <v>66.55879260683967</v>
      </c>
      <c r="DG162" s="450">
        <v>69.42082068893377</v>
      </c>
      <c r="DH162" s="450">
        <v>70.9480787440903</v>
      </c>
      <c r="DI162" s="450">
        <v>72.50893647646026</v>
      </c>
      <c r="DJ162" s="450">
        <v>74.90173138018345</v>
      </c>
      <c r="DK162" s="450">
        <v>77.59819370987005</v>
      </c>
      <c r="DL162" s="450">
        <v>80.08133590858587</v>
      </c>
      <c r="DM162" s="450">
        <v>83.36467068083789</v>
      </c>
      <c r="DN162" s="450">
        <v>87.03271619079474</v>
      </c>
      <c r="DO162" s="450">
        <v>91.81951558128846</v>
      </c>
      <c r="DP162" s="450">
        <v>90.99313994105685</v>
      </c>
      <c r="DQ162" s="450">
        <v>95.63379007805075</v>
      </c>
      <c r="DR162" s="450">
        <v>51.07</v>
      </c>
      <c r="DS162" s="450">
        <v>54.068993874409024</v>
      </c>
      <c r="DT162" s="450">
        <v>57.17522559929204</v>
      </c>
      <c r="DU162" s="450">
        <v>61.041973461083025</v>
      </c>
      <c r="DV162" s="450">
        <v>65.29072867770887</v>
      </c>
      <c r="DW162" s="450">
        <v>69.49691598092727</v>
      </c>
      <c r="DX162" s="450">
        <v>74.5499657650838</v>
      </c>
      <c r="DY162" s="450">
        <v>78.85267002897494</v>
      </c>
      <c r="DZ162" s="450">
        <v>81.32046402305167</v>
      </c>
      <c r="EA162" s="450">
        <v>83.97768736938903</v>
      </c>
      <c r="EB162" s="450">
        <v>89.73519755579244</v>
      </c>
      <c r="EC162" s="450">
        <v>-3.63</v>
      </c>
      <c r="ED162" s="450">
        <v>86.10519755579244</v>
      </c>
      <c r="EE162" s="450">
        <v>4477.470272901207</v>
      </c>
      <c r="EF162" s="443">
        <v>172607643.16261247</v>
      </c>
      <c r="EG162" s="450">
        <v>54.71</v>
      </c>
      <c r="EH162" s="450">
        <v>57.41706587440902</v>
      </c>
      <c r="EI162" s="450">
        <v>60.21676300729204</v>
      </c>
      <c r="EJ162" s="450">
        <v>63.79114308573902</v>
      </c>
      <c r="EK162" s="450">
        <v>67.7319913044034</v>
      </c>
      <c r="EL162" s="450">
        <v>71.59640183988455</v>
      </c>
      <c r="EM162" s="450">
        <v>76.29841758842342</v>
      </c>
      <c r="EN162" s="450">
        <v>80.47523332103411</v>
      </c>
      <c r="EO162" s="450">
        <v>82.86784854924542</v>
      </c>
      <c r="EP162" s="450">
        <v>85.01164769365552</v>
      </c>
      <c r="EQ162" s="450">
        <v>90.6045513964357</v>
      </c>
      <c r="ER162" s="443">
        <v>768824140.5</v>
      </c>
      <c r="ES162" s="443">
        <v>12526000</v>
      </c>
      <c r="ET162" s="443">
        <v>0</v>
      </c>
      <c r="EU162" s="443">
        <v>0</v>
      </c>
      <c r="EV162" s="443">
        <v>0</v>
      </c>
      <c r="EW162" s="443">
        <v>0</v>
      </c>
      <c r="EX162" s="443">
        <v>0</v>
      </c>
      <c r="EY162" s="443">
        <v>0</v>
      </c>
      <c r="EZ162" s="443">
        <v>0</v>
      </c>
      <c r="FA162" s="443">
        <v>775087140.5</v>
      </c>
      <c r="FB162" s="443">
        <v>405994.74010604486</v>
      </c>
      <c r="FC162" s="443">
        <v>0</v>
      </c>
      <c r="FD162" s="443">
        <v>0</v>
      </c>
      <c r="FE162" s="443">
        <v>230733</v>
      </c>
      <c r="FF162" s="452">
        <v>0.0717</v>
      </c>
      <c r="FG162" s="443">
        <v>16543.5561</v>
      </c>
      <c r="FH162" s="453">
        <v>16543.5561</v>
      </c>
    </row>
    <row r="163" spans="2:164" ht="12.75">
      <c r="B163" s="356" t="s">
        <v>851</v>
      </c>
      <c r="C163" s="442">
        <v>5154</v>
      </c>
      <c r="D163" s="443">
        <v>1231682</v>
      </c>
      <c r="E163" s="443">
        <v>1056783.156</v>
      </c>
      <c r="F163" s="443">
        <v>161042.36361377733</v>
      </c>
      <c r="G163" s="443">
        <v>174898.844</v>
      </c>
      <c r="H163" s="444">
        <v>0.45174815677143976</v>
      </c>
      <c r="I163" s="445">
        <v>1949.1</v>
      </c>
      <c r="J163" s="445">
        <v>379.21</v>
      </c>
      <c r="K163" s="443">
        <v>1217825.5196137773</v>
      </c>
      <c r="L163" s="443">
        <v>974260.4156910218</v>
      </c>
      <c r="M163" s="443">
        <v>281215.1462772876</v>
      </c>
      <c r="N163" s="443">
        <v>243565.1039227554</v>
      </c>
      <c r="O163" s="446">
        <v>1.1545789677920062</v>
      </c>
      <c r="P163" s="447">
        <v>0.8649592549476135</v>
      </c>
      <c r="Q163" s="448">
        <v>0.12592161428017073</v>
      </c>
      <c r="R163" s="443">
        <v>1255475.5619683093</v>
      </c>
      <c r="S163" s="443">
        <v>848701.4798905771</v>
      </c>
      <c r="T163" s="443">
        <v>85939.87260657079</v>
      </c>
      <c r="U163" s="443">
        <v>138400.26990977014</v>
      </c>
      <c r="V163" s="443">
        <v>286248.4281287745</v>
      </c>
      <c r="W163" s="446">
        <v>0.4834970477025923</v>
      </c>
      <c r="X163" s="448">
        <v>9.027603280536015</v>
      </c>
      <c r="Y163" s="443">
        <v>85939.87260657079</v>
      </c>
      <c r="Z163" s="443">
        <v>120525.6539489577</v>
      </c>
      <c r="AA163" s="444">
        <v>0.7130421598290277</v>
      </c>
      <c r="AB163" s="444">
        <v>0.05849825378346915</v>
      </c>
      <c r="AC163" s="445">
        <v>303</v>
      </c>
      <c r="AD163" s="445">
        <v>300</v>
      </c>
      <c r="AE163" s="443">
        <v>1073041.622406918</v>
      </c>
      <c r="AF163" s="443">
        <v>0</v>
      </c>
      <c r="AG163" s="447">
        <v>0</v>
      </c>
      <c r="AH163" s="446">
        <v>0.005788428431738941</v>
      </c>
      <c r="AI163" s="448">
        <v>0.00487449299544096</v>
      </c>
      <c r="AJ163" s="443">
        <v>1073041.622406918</v>
      </c>
      <c r="AK163" s="449">
        <v>1.100569719284341</v>
      </c>
      <c r="AL163" s="443">
        <v>1180957.117152796</v>
      </c>
      <c r="AM163" s="443">
        <v>2632076.545878661</v>
      </c>
      <c r="AN163" s="443">
        <v>2599932.7183899563</v>
      </c>
      <c r="AO163" s="443">
        <v>2564440.1471373313</v>
      </c>
      <c r="AP163" s="443">
        <v>2599932.7183899563</v>
      </c>
      <c r="AQ163" s="443">
        <v>20616</v>
      </c>
      <c r="AR163" s="443">
        <v>2620548.7183899563</v>
      </c>
      <c r="AS163" s="450">
        <v>508.4494991055406</v>
      </c>
      <c r="AT163" s="446">
        <v>5154</v>
      </c>
      <c r="AU163" s="446">
        <v>0</v>
      </c>
      <c r="AV163" s="446">
        <v>837</v>
      </c>
      <c r="AW163" s="446">
        <v>0</v>
      </c>
      <c r="AX163" s="446">
        <v>0</v>
      </c>
      <c r="AY163" s="446">
        <v>1059</v>
      </c>
      <c r="AZ163" s="446">
        <v>164</v>
      </c>
      <c r="BA163" s="446">
        <v>145</v>
      </c>
      <c r="BB163" s="446">
        <v>393</v>
      </c>
      <c r="BC163" s="446">
        <v>64</v>
      </c>
      <c r="BD163" s="446">
        <v>1477</v>
      </c>
      <c r="BE163" s="446">
        <v>594</v>
      </c>
      <c r="BF163" s="446">
        <v>55</v>
      </c>
      <c r="BG163" s="446">
        <v>319</v>
      </c>
      <c r="BH163" s="446">
        <v>11</v>
      </c>
      <c r="BI163" s="446">
        <v>36</v>
      </c>
      <c r="BJ163" s="448">
        <v>1.3070249260158147</v>
      </c>
      <c r="BK163" s="448">
        <v>9.88743954770302</v>
      </c>
      <c r="BL163" s="448">
        <v>4.804241201185161</v>
      </c>
      <c r="BM163" s="448">
        <v>10.166396693035717</v>
      </c>
      <c r="BN163" s="445">
        <v>4505</v>
      </c>
      <c r="BO163" s="445">
        <v>649</v>
      </c>
      <c r="BP163" s="443">
        <v>1390945.075440512</v>
      </c>
      <c r="BQ163" s="443">
        <v>5419033</v>
      </c>
      <c r="BR163" s="443">
        <v>7117343</v>
      </c>
      <c r="BS163" s="444">
        <v>0.05849825378346915</v>
      </c>
      <c r="BT163" s="445">
        <v>303</v>
      </c>
      <c r="BU163" s="445">
        <v>300</v>
      </c>
      <c r="BV163" s="443">
        <v>416352.1370779977</v>
      </c>
      <c r="BW163" s="444">
        <v>0.029871186265567215</v>
      </c>
      <c r="BX163" s="443">
        <v>19615.34617252725</v>
      </c>
      <c r="BY163" s="443">
        <v>7245945.558691037</v>
      </c>
      <c r="BZ163" s="451">
        <v>1.0833333333333333</v>
      </c>
      <c r="CA163" s="443">
        <v>7849774.355248623</v>
      </c>
      <c r="CB163" s="443">
        <v>5743976.61219368</v>
      </c>
      <c r="CC163" s="443">
        <v>5743976.61219368</v>
      </c>
      <c r="CD163" s="443">
        <v>5574798.06868434</v>
      </c>
      <c r="CE163" s="443">
        <v>5703155.048628556</v>
      </c>
      <c r="CF163" s="450">
        <v>1106.5492915460916</v>
      </c>
      <c r="CG163" s="446">
        <v>5154</v>
      </c>
      <c r="CH163" s="446">
        <v>0</v>
      </c>
      <c r="CI163" s="446">
        <v>837</v>
      </c>
      <c r="CJ163" s="446">
        <v>0</v>
      </c>
      <c r="CK163" s="446">
        <v>0</v>
      </c>
      <c r="CL163" s="446">
        <v>1059</v>
      </c>
      <c r="CM163" s="446">
        <v>164</v>
      </c>
      <c r="CN163" s="446">
        <v>145</v>
      </c>
      <c r="CO163" s="446">
        <v>393</v>
      </c>
      <c r="CP163" s="446">
        <v>64</v>
      </c>
      <c r="CQ163" s="446">
        <v>1477</v>
      </c>
      <c r="CR163" s="446">
        <v>594</v>
      </c>
      <c r="CS163" s="446">
        <v>55</v>
      </c>
      <c r="CT163" s="446">
        <v>319</v>
      </c>
      <c r="CU163" s="446">
        <v>11</v>
      </c>
      <c r="CV163" s="446">
        <v>36</v>
      </c>
      <c r="CW163" s="443">
        <v>3700812.119678447</v>
      </c>
      <c r="CX163" s="448">
        <v>1.0576188892017928</v>
      </c>
      <c r="CY163" s="448">
        <v>1.0833333333333333</v>
      </c>
      <c r="CZ163" s="443">
        <v>3914048.8031588513</v>
      </c>
      <c r="DA163" s="450">
        <v>759.4196358476622</v>
      </c>
      <c r="DB163" s="445">
        <v>5154</v>
      </c>
      <c r="DC163" s="448">
        <v>1.0075863407062478</v>
      </c>
      <c r="DD163" s="450">
        <v>343.7</v>
      </c>
      <c r="DE163" s="443">
        <v>86395</v>
      </c>
      <c r="DF163" s="450">
        <v>70.3036820849305</v>
      </c>
      <c r="DG163" s="450">
        <v>73.3267404145825</v>
      </c>
      <c r="DH163" s="450">
        <v>74.9399287037033</v>
      </c>
      <c r="DI163" s="450">
        <v>76.58860713518476</v>
      </c>
      <c r="DJ163" s="450">
        <v>79.11603117064585</v>
      </c>
      <c r="DK163" s="450">
        <v>81.9642082927891</v>
      </c>
      <c r="DL163" s="450">
        <v>84.58706295815833</v>
      </c>
      <c r="DM163" s="450">
        <v>88.05513253944281</v>
      </c>
      <c r="DN163" s="450">
        <v>91.92955837117827</v>
      </c>
      <c r="DO163" s="450">
        <v>96.98568408159308</v>
      </c>
      <c r="DP163" s="450">
        <v>96.11281292485874</v>
      </c>
      <c r="DQ163" s="450">
        <v>101.01456638402654</v>
      </c>
      <c r="DR163" s="450">
        <v>53.11</v>
      </c>
      <c r="DS163" s="450">
        <v>56.34457087037032</v>
      </c>
      <c r="DT163" s="450">
        <v>59.69575761903693</v>
      </c>
      <c r="DU163" s="450">
        <v>63.84700681423773</v>
      </c>
      <c r="DV163" s="450">
        <v>68.40531466429867</v>
      </c>
      <c r="DW163" s="450">
        <v>72.92641443765658</v>
      </c>
      <c r="DX163" s="450">
        <v>78.34414445156895</v>
      </c>
      <c r="DY163" s="450">
        <v>82.91776142563134</v>
      </c>
      <c r="DZ163" s="450">
        <v>85.54161741834996</v>
      </c>
      <c r="EA163" s="450">
        <v>88.46590249131573</v>
      </c>
      <c r="EB163" s="450">
        <v>94.58504409150356</v>
      </c>
      <c r="EC163" s="450">
        <v>-5.64</v>
      </c>
      <c r="ED163" s="450">
        <v>88.94504409150356</v>
      </c>
      <c r="EE163" s="450">
        <v>4625.142292758185</v>
      </c>
      <c r="EF163" s="443">
        <v>23361223.709338173</v>
      </c>
      <c r="EG163" s="450">
        <v>53.89</v>
      </c>
      <c r="EH163" s="450">
        <v>57.06201487037032</v>
      </c>
      <c r="EI163" s="450">
        <v>60.347515635036935</v>
      </c>
      <c r="EJ163" s="450">
        <v>64.43611459094974</v>
      </c>
      <c r="EK163" s="450">
        <v>68.92844237001894</v>
      </c>
      <c r="EL163" s="450">
        <v>73.37630426457599</v>
      </c>
      <c r="EM163" s="450">
        <v>78.71881269942745</v>
      </c>
      <c r="EN163" s="450">
        <v>83.26545355964402</v>
      </c>
      <c r="EO163" s="450">
        <v>85.87319981682005</v>
      </c>
      <c r="EP163" s="450">
        <v>88.68746541794427</v>
      </c>
      <c r="EQ163" s="450">
        <v>94.77133420021283</v>
      </c>
      <c r="ER163" s="443">
        <v>10308303</v>
      </c>
      <c r="ES163" s="443">
        <v>918000</v>
      </c>
      <c r="ET163" s="443">
        <v>0</v>
      </c>
      <c r="EU163" s="443">
        <v>0</v>
      </c>
      <c r="EV163" s="443">
        <v>0</v>
      </c>
      <c r="EW163" s="443">
        <v>0</v>
      </c>
      <c r="EX163" s="443">
        <v>0</v>
      </c>
      <c r="EY163" s="443">
        <v>0</v>
      </c>
      <c r="EZ163" s="443">
        <v>0</v>
      </c>
      <c r="FA163" s="443">
        <v>10767303</v>
      </c>
      <c r="FB163" s="443">
        <v>44321.20409913571</v>
      </c>
      <c r="FC163" s="443">
        <v>0</v>
      </c>
      <c r="FD163" s="443">
        <v>0</v>
      </c>
      <c r="FE163" s="443">
        <v>27224</v>
      </c>
      <c r="FF163" s="452">
        <v>0.0313</v>
      </c>
      <c r="FG163" s="443">
        <v>852.1112</v>
      </c>
      <c r="FH163" s="453">
        <v>852.1112</v>
      </c>
    </row>
    <row r="164" spans="2:164" ht="12.75">
      <c r="B164" s="356" t="s">
        <v>852</v>
      </c>
      <c r="C164" s="442">
        <v>8297.55</v>
      </c>
      <c r="D164" s="443">
        <v>1964129.15</v>
      </c>
      <c r="E164" s="443">
        <v>1685222.8106999998</v>
      </c>
      <c r="F164" s="443">
        <v>222823.6355090224</v>
      </c>
      <c r="G164" s="443">
        <v>278906.3393</v>
      </c>
      <c r="H164" s="444">
        <v>0.39196389295635464</v>
      </c>
      <c r="I164" s="445">
        <v>2545.4</v>
      </c>
      <c r="J164" s="445">
        <v>706.94</v>
      </c>
      <c r="K164" s="443">
        <v>1908046.4462090223</v>
      </c>
      <c r="L164" s="443">
        <v>1526437.156967218</v>
      </c>
      <c r="M164" s="443">
        <v>446619.2995228817</v>
      </c>
      <c r="N164" s="443">
        <v>381609.2892418044</v>
      </c>
      <c r="O164" s="446">
        <v>1.1703575151701406</v>
      </c>
      <c r="P164" s="447">
        <v>0.8690517080342993</v>
      </c>
      <c r="Q164" s="448">
        <v>0.13100252484167013</v>
      </c>
      <c r="R164" s="443">
        <v>1973056.4564900997</v>
      </c>
      <c r="S164" s="443">
        <v>1333786.1645873075</v>
      </c>
      <c r="T164" s="443">
        <v>132168.14161588604</v>
      </c>
      <c r="U164" s="443">
        <v>521549.16469033255</v>
      </c>
      <c r="V164" s="443">
        <v>449856.8720797427</v>
      </c>
      <c r="W164" s="446">
        <v>1.1593668943616393</v>
      </c>
      <c r="X164" s="448">
        <v>21.64709056366772</v>
      </c>
      <c r="Y164" s="443">
        <v>132168.14161588604</v>
      </c>
      <c r="Z164" s="443">
        <v>189413.41982304957</v>
      </c>
      <c r="AA164" s="444">
        <v>0.6977760168173818</v>
      </c>
      <c r="AB164" s="444">
        <v>0.05724581352326892</v>
      </c>
      <c r="AC164" s="445">
        <v>471</v>
      </c>
      <c r="AD164" s="445">
        <v>479</v>
      </c>
      <c r="AE164" s="443">
        <v>1987503.470893526</v>
      </c>
      <c r="AF164" s="443">
        <v>0</v>
      </c>
      <c r="AG164" s="447">
        <v>0</v>
      </c>
      <c r="AH164" s="446">
        <v>0.025521753474950205</v>
      </c>
      <c r="AI164" s="448">
        <v>0.02149212174117565</v>
      </c>
      <c r="AJ164" s="443">
        <v>1987503.470893526</v>
      </c>
      <c r="AK164" s="449">
        <v>1.0428149725139246</v>
      </c>
      <c r="AL164" s="443">
        <v>2072598.3773711622</v>
      </c>
      <c r="AM164" s="443">
        <v>4619335.875003656</v>
      </c>
      <c r="AN164" s="443">
        <v>4562922.950496959</v>
      </c>
      <c r="AO164" s="443">
        <v>4572646.276530354</v>
      </c>
      <c r="AP164" s="443">
        <v>4572646.276530354</v>
      </c>
      <c r="AQ164" s="443">
        <v>33190.2</v>
      </c>
      <c r="AR164" s="443">
        <v>4605836.4765303545</v>
      </c>
      <c r="AS164" s="450">
        <v>555.0839074823718</v>
      </c>
      <c r="AT164" s="446">
        <v>8198</v>
      </c>
      <c r="AU164" s="446">
        <v>6</v>
      </c>
      <c r="AV164" s="446">
        <v>89</v>
      </c>
      <c r="AW164" s="446">
        <v>59</v>
      </c>
      <c r="AX164" s="446">
        <v>68</v>
      </c>
      <c r="AY164" s="446">
        <v>2917</v>
      </c>
      <c r="AZ164" s="446">
        <v>332</v>
      </c>
      <c r="BA164" s="446">
        <v>471</v>
      </c>
      <c r="BB164" s="446">
        <v>960</v>
      </c>
      <c r="BC164" s="446">
        <v>8</v>
      </c>
      <c r="BD164" s="446">
        <v>1765</v>
      </c>
      <c r="BE164" s="446">
        <v>726</v>
      </c>
      <c r="BF164" s="446">
        <v>356</v>
      </c>
      <c r="BG164" s="446">
        <v>441</v>
      </c>
      <c r="BH164" s="446">
        <v>0</v>
      </c>
      <c r="BI164" s="446">
        <v>0</v>
      </c>
      <c r="BJ164" s="448">
        <v>1.5792285168065971</v>
      </c>
      <c r="BK164" s="448">
        <v>18.446865555616338</v>
      </c>
      <c r="BL164" s="448">
        <v>13.402111679647263</v>
      </c>
      <c r="BM164" s="448">
        <v>10.089507751938148</v>
      </c>
      <c r="BN164" s="445">
        <v>7116</v>
      </c>
      <c r="BO164" s="445">
        <v>1082</v>
      </c>
      <c r="BP164" s="443">
        <v>2623828.1699905223</v>
      </c>
      <c r="BQ164" s="443">
        <v>8634830</v>
      </c>
      <c r="BR164" s="443">
        <v>11793335</v>
      </c>
      <c r="BS164" s="444">
        <v>0.05794096121005123</v>
      </c>
      <c r="BT164" s="445">
        <v>471</v>
      </c>
      <c r="BU164" s="445">
        <v>479</v>
      </c>
      <c r="BV164" s="443">
        <v>683317.1657721396</v>
      </c>
      <c r="BW164" s="444">
        <v>0.008561280725344076</v>
      </c>
      <c r="BX164" s="443">
        <v>16683.39705906841</v>
      </c>
      <c r="BY164" s="443">
        <v>11958658.73282173</v>
      </c>
      <c r="BZ164" s="451">
        <v>1.0833333333333333</v>
      </c>
      <c r="CA164" s="443">
        <v>12955213.62722354</v>
      </c>
      <c r="CB164" s="443">
        <v>9479819.5098422</v>
      </c>
      <c r="CC164" s="443">
        <v>9479819.5098422</v>
      </c>
      <c r="CD164" s="443">
        <v>9307172.104748785</v>
      </c>
      <c r="CE164" s="443">
        <v>9412447.881990265</v>
      </c>
      <c r="CF164" s="450">
        <v>1148.139531835846</v>
      </c>
      <c r="CG164" s="446">
        <v>8198</v>
      </c>
      <c r="CH164" s="446">
        <v>6</v>
      </c>
      <c r="CI164" s="446">
        <v>89</v>
      </c>
      <c r="CJ164" s="446">
        <v>59</v>
      </c>
      <c r="CK164" s="446">
        <v>68</v>
      </c>
      <c r="CL164" s="446">
        <v>2917</v>
      </c>
      <c r="CM164" s="446">
        <v>332</v>
      </c>
      <c r="CN164" s="446">
        <v>471</v>
      </c>
      <c r="CO164" s="446">
        <v>960</v>
      </c>
      <c r="CP164" s="446">
        <v>8</v>
      </c>
      <c r="CQ164" s="446">
        <v>1765</v>
      </c>
      <c r="CR164" s="446">
        <v>726</v>
      </c>
      <c r="CS164" s="446">
        <v>356</v>
      </c>
      <c r="CT164" s="446">
        <v>441</v>
      </c>
      <c r="CU164" s="446">
        <v>0</v>
      </c>
      <c r="CV164" s="446">
        <v>0</v>
      </c>
      <c r="CW164" s="443">
        <v>6194987.322094384</v>
      </c>
      <c r="CX164" s="448">
        <v>1.0576188892017928</v>
      </c>
      <c r="CY164" s="448">
        <v>1.0833333333333333</v>
      </c>
      <c r="CZ164" s="443">
        <v>6551935.610212651</v>
      </c>
      <c r="DA164" s="450">
        <v>799.2114674570201</v>
      </c>
      <c r="DB164" s="445">
        <v>8297.55</v>
      </c>
      <c r="DC164" s="448">
        <v>1.0162620291531839</v>
      </c>
      <c r="DD164" s="450">
        <v>343.7</v>
      </c>
      <c r="DE164" s="443">
        <v>55956</v>
      </c>
      <c r="DF164" s="450">
        <v>60.63841196560244</v>
      </c>
      <c r="DG164" s="450">
        <v>63.245863680123335</v>
      </c>
      <c r="DH164" s="450">
        <v>64.63727268108603</v>
      </c>
      <c r="DI164" s="450">
        <v>66.05929268006992</v>
      </c>
      <c r="DJ164" s="450">
        <v>68.23924933851222</v>
      </c>
      <c r="DK164" s="450">
        <v>70.69586231469864</v>
      </c>
      <c r="DL164" s="450">
        <v>72.95812990876898</v>
      </c>
      <c r="DM164" s="450">
        <v>75.9494132350285</v>
      </c>
      <c r="DN164" s="450">
        <v>79.29118741736974</v>
      </c>
      <c r="DO164" s="450">
        <v>83.65220272532507</v>
      </c>
      <c r="DP164" s="450">
        <v>82.89933290079715</v>
      </c>
      <c r="DQ164" s="450">
        <v>87.1271988787378</v>
      </c>
      <c r="DR164" s="450">
        <v>46.6</v>
      </c>
      <c r="DS164" s="450">
        <v>49.326407268108596</v>
      </c>
      <c r="DT164" s="450">
        <v>52.15022205601397</v>
      </c>
      <c r="DU164" s="450">
        <v>55.66718812819366</v>
      </c>
      <c r="DV164" s="450">
        <v>59.53187195993576</v>
      </c>
      <c r="DW164" s="450">
        <v>63.35709820367291</v>
      </c>
      <c r="DX164" s="450">
        <v>67.95367403102449</v>
      </c>
      <c r="DY164" s="450">
        <v>71.87114143605403</v>
      </c>
      <c r="DZ164" s="450">
        <v>74.11792539787187</v>
      </c>
      <c r="EA164" s="450">
        <v>76.52854121310409</v>
      </c>
      <c r="EB164" s="450">
        <v>81.77063722772547</v>
      </c>
      <c r="EC164" s="450">
        <v>-1.04</v>
      </c>
      <c r="ED164" s="450">
        <v>80.73063722772547</v>
      </c>
      <c r="EE164" s="450">
        <v>4197.993135841724</v>
      </c>
      <c r="EF164" s="443">
        <v>34136396.78541743</v>
      </c>
      <c r="EG164" s="450">
        <v>54.34</v>
      </c>
      <c r="EH164" s="450">
        <v>56.4456592681086</v>
      </c>
      <c r="EI164" s="450">
        <v>58.61766698401397</v>
      </c>
      <c r="EJ164" s="450">
        <v>61.51294991248965</v>
      </c>
      <c r="EK164" s="450">
        <v>64.72290842439061</v>
      </c>
      <c r="EL164" s="450">
        <v>67.82138956310408</v>
      </c>
      <c r="EM164" s="450">
        <v>71.67153587515877</v>
      </c>
      <c r="EN164" s="450">
        <v>75.32131722741063</v>
      </c>
      <c r="EO164" s="450">
        <v>77.40824304422894</v>
      </c>
      <c r="EP164" s="450">
        <v>78.72712717734106</v>
      </c>
      <c r="EQ164" s="450">
        <v>83.61920830645592</v>
      </c>
      <c r="ER164" s="443">
        <v>-15061012</v>
      </c>
      <c r="ES164" s="443">
        <v>563000</v>
      </c>
      <c r="ET164" s="443">
        <v>0</v>
      </c>
      <c r="EU164" s="443">
        <v>0</v>
      </c>
      <c r="EV164" s="443">
        <v>11000000</v>
      </c>
      <c r="EW164" s="443">
        <v>0</v>
      </c>
      <c r="EX164" s="443">
        <v>0</v>
      </c>
      <c r="EY164" s="443">
        <v>0</v>
      </c>
      <c r="EZ164" s="443">
        <v>0</v>
      </c>
      <c r="FA164" s="443">
        <v>-9279512</v>
      </c>
      <c r="FB164" s="443">
        <v>0</v>
      </c>
      <c r="FC164" s="443">
        <v>9279512</v>
      </c>
      <c r="FD164" s="443">
        <v>67276.462</v>
      </c>
      <c r="FE164" s="443">
        <v>211456</v>
      </c>
      <c r="FF164" s="452">
        <v>0.0313</v>
      </c>
      <c r="FG164" s="443">
        <v>6618.5728</v>
      </c>
      <c r="FH164" s="453">
        <v>73895.0348</v>
      </c>
    </row>
    <row r="165" spans="2:164" ht="12.75">
      <c r="B165" s="356" t="s">
        <v>853</v>
      </c>
      <c r="C165" s="442">
        <v>11483</v>
      </c>
      <c r="D165" s="443">
        <v>2706339</v>
      </c>
      <c r="E165" s="443">
        <v>2322038.8619999997</v>
      </c>
      <c r="F165" s="443">
        <v>412365.1346402361</v>
      </c>
      <c r="G165" s="443">
        <v>384300.13800000004</v>
      </c>
      <c r="H165" s="444">
        <v>0.526446921536184</v>
      </c>
      <c r="I165" s="445">
        <v>5331.1</v>
      </c>
      <c r="J165" s="445">
        <v>714.09</v>
      </c>
      <c r="K165" s="443">
        <v>2734403.9966402357</v>
      </c>
      <c r="L165" s="443">
        <v>2187523.197312189</v>
      </c>
      <c r="M165" s="443">
        <v>729833.2151269404</v>
      </c>
      <c r="N165" s="443">
        <v>546880.799328047</v>
      </c>
      <c r="O165" s="446">
        <v>1.3345380127144475</v>
      </c>
      <c r="P165" s="447">
        <v>0.7426630671427328</v>
      </c>
      <c r="Q165" s="448">
        <v>0.2573369328572673</v>
      </c>
      <c r="R165" s="443">
        <v>2917356.4124391293</v>
      </c>
      <c r="S165" s="443">
        <v>1972132.9348088515</v>
      </c>
      <c r="T165" s="443">
        <v>415608.89734011947</v>
      </c>
      <c r="U165" s="443">
        <v>406139.61724684516</v>
      </c>
      <c r="V165" s="443">
        <v>665157.2620361215</v>
      </c>
      <c r="W165" s="446">
        <v>0.6105918711668364</v>
      </c>
      <c r="X165" s="448">
        <v>11.400651163034604</v>
      </c>
      <c r="Y165" s="443">
        <v>415608.89734011947</v>
      </c>
      <c r="Z165" s="443">
        <v>280066.2155941564</v>
      </c>
      <c r="AA165" s="444">
        <v>1.483966555760434</v>
      </c>
      <c r="AB165" s="444">
        <v>0.12174518853958025</v>
      </c>
      <c r="AC165" s="445">
        <v>1534</v>
      </c>
      <c r="AD165" s="445">
        <v>1262</v>
      </c>
      <c r="AE165" s="443">
        <v>2793881.449395816</v>
      </c>
      <c r="AF165" s="443">
        <v>114995.73750054413</v>
      </c>
      <c r="AG165" s="447">
        <v>0.5</v>
      </c>
      <c r="AH165" s="446">
        <v>0.15070413837231195</v>
      </c>
      <c r="AI165" s="448">
        <v>0.12690944969654083</v>
      </c>
      <c r="AJ165" s="443">
        <v>2908877.18689636</v>
      </c>
      <c r="AK165" s="449">
        <v>1.0220191686347762</v>
      </c>
      <c r="AL165" s="443">
        <v>2972928.2442124845</v>
      </c>
      <c r="AM165" s="443">
        <v>6625960.071299938</v>
      </c>
      <c r="AN165" s="443">
        <v>6545041.559331735</v>
      </c>
      <c r="AO165" s="443">
        <v>6465509.5107998345</v>
      </c>
      <c r="AP165" s="443">
        <v>6545041.559331735</v>
      </c>
      <c r="AQ165" s="443">
        <v>45932</v>
      </c>
      <c r="AR165" s="443">
        <v>6590973.559331735</v>
      </c>
      <c r="AS165" s="450">
        <v>573.9766227755582</v>
      </c>
      <c r="AT165" s="446">
        <v>11483</v>
      </c>
      <c r="AU165" s="446">
        <v>6</v>
      </c>
      <c r="AV165" s="446">
        <v>1134</v>
      </c>
      <c r="AW165" s="446">
        <v>341</v>
      </c>
      <c r="AX165" s="446">
        <v>0</v>
      </c>
      <c r="AY165" s="446">
        <v>2269</v>
      </c>
      <c r="AZ165" s="446">
        <v>526</v>
      </c>
      <c r="BA165" s="446">
        <v>292</v>
      </c>
      <c r="BB165" s="446">
        <v>412</v>
      </c>
      <c r="BC165" s="446">
        <v>305</v>
      </c>
      <c r="BD165" s="446">
        <v>2730</v>
      </c>
      <c r="BE165" s="446">
        <v>984</v>
      </c>
      <c r="BF165" s="446">
        <v>1971</v>
      </c>
      <c r="BG165" s="446">
        <v>513</v>
      </c>
      <c r="BH165" s="446">
        <v>0</v>
      </c>
      <c r="BI165" s="446">
        <v>0</v>
      </c>
      <c r="BJ165" s="448">
        <v>1.6618811805392335</v>
      </c>
      <c r="BK165" s="448">
        <v>17.150527662598382</v>
      </c>
      <c r="BL165" s="448">
        <v>9.862165193171363</v>
      </c>
      <c r="BM165" s="448">
        <v>14.57672493885404</v>
      </c>
      <c r="BN165" s="445">
        <v>8528</v>
      </c>
      <c r="BO165" s="445">
        <v>2955</v>
      </c>
      <c r="BP165" s="443">
        <v>3675541.0599691095</v>
      </c>
      <c r="BQ165" s="443">
        <v>12432019</v>
      </c>
      <c r="BR165" s="443">
        <v>16007504</v>
      </c>
      <c r="BS165" s="444">
        <v>0.12174518853958025</v>
      </c>
      <c r="BT165" s="445">
        <v>1534</v>
      </c>
      <c r="BU165" s="445">
        <v>1262</v>
      </c>
      <c r="BV165" s="443">
        <v>1948836.592528085</v>
      </c>
      <c r="BW165" s="444">
        <v>0.007365032938784373</v>
      </c>
      <c r="BX165" s="443">
        <v>18690.580764480525</v>
      </c>
      <c r="BY165" s="443">
        <v>18075087.233261675</v>
      </c>
      <c r="BZ165" s="451">
        <v>0.9166666666666666</v>
      </c>
      <c r="CA165" s="443">
        <v>16568829.963823201</v>
      </c>
      <c r="CB165" s="443">
        <v>12124039.175722271</v>
      </c>
      <c r="CC165" s="443">
        <v>12124039.175722271</v>
      </c>
      <c r="CD165" s="443">
        <v>12095157.020379927</v>
      </c>
      <c r="CE165" s="443">
        <v>12095157.020379927</v>
      </c>
      <c r="CF165" s="450">
        <v>1053.3098511172975</v>
      </c>
      <c r="CG165" s="446">
        <v>11483</v>
      </c>
      <c r="CH165" s="446">
        <v>6</v>
      </c>
      <c r="CI165" s="446">
        <v>1134</v>
      </c>
      <c r="CJ165" s="446">
        <v>341</v>
      </c>
      <c r="CK165" s="446">
        <v>0</v>
      </c>
      <c r="CL165" s="446">
        <v>2269</v>
      </c>
      <c r="CM165" s="446">
        <v>526</v>
      </c>
      <c r="CN165" s="446">
        <v>292</v>
      </c>
      <c r="CO165" s="446">
        <v>412</v>
      </c>
      <c r="CP165" s="446">
        <v>305</v>
      </c>
      <c r="CQ165" s="446">
        <v>2730</v>
      </c>
      <c r="CR165" s="446">
        <v>984</v>
      </c>
      <c r="CS165" s="446">
        <v>1971</v>
      </c>
      <c r="CT165" s="446">
        <v>513</v>
      </c>
      <c r="CU165" s="446">
        <v>0</v>
      </c>
      <c r="CV165" s="446">
        <v>0</v>
      </c>
      <c r="CW165" s="443">
        <v>8793950.464596381</v>
      </c>
      <c r="CX165" s="448">
        <v>0.8949082908630555</v>
      </c>
      <c r="CY165" s="448">
        <v>0.9166666666666666</v>
      </c>
      <c r="CZ165" s="443">
        <v>7869779.18020632</v>
      </c>
      <c r="DA165" s="450">
        <v>685.3417382396865</v>
      </c>
      <c r="DB165" s="445">
        <v>11483</v>
      </c>
      <c r="DC165" s="448">
        <v>0.9917181921100758</v>
      </c>
      <c r="DD165" s="450">
        <v>307.3</v>
      </c>
      <c r="DE165" s="443">
        <v>28807</v>
      </c>
      <c r="DF165" s="450">
        <v>46.31488040032923</v>
      </c>
      <c r="DG165" s="450">
        <v>48.30642025754339</v>
      </c>
      <c r="DH165" s="450">
        <v>49.369161503209334</v>
      </c>
      <c r="DI165" s="450">
        <v>50.45528305627993</v>
      </c>
      <c r="DJ165" s="450">
        <v>52.12030739713717</v>
      </c>
      <c r="DK165" s="450">
        <v>53.996638463434095</v>
      </c>
      <c r="DL165" s="450">
        <v>55.72453089426398</v>
      </c>
      <c r="DM165" s="450">
        <v>58.0092366609288</v>
      </c>
      <c r="DN165" s="450">
        <v>60.56164307400966</v>
      </c>
      <c r="DO165" s="450">
        <v>63.89253344308019</v>
      </c>
      <c r="DP165" s="450">
        <v>63.31750064209247</v>
      </c>
      <c r="DQ165" s="450">
        <v>66.54669317483918</v>
      </c>
      <c r="DR165" s="450">
        <v>36.9</v>
      </c>
      <c r="DS165" s="450">
        <v>38.87753615032092</v>
      </c>
      <c r="DT165" s="450">
        <v>40.92422429125597</v>
      </c>
      <c r="DU165" s="450">
        <v>43.50542165590113</v>
      </c>
      <c r="DV165" s="450">
        <v>46.3466199252165</v>
      </c>
      <c r="DW165" s="450">
        <v>49.14551495139685</v>
      </c>
      <c r="DX165" s="450">
        <v>52.53023218370905</v>
      </c>
      <c r="DY165" s="450">
        <v>55.47712691914973</v>
      </c>
      <c r="DZ165" s="450">
        <v>57.16618893476781</v>
      </c>
      <c r="EA165" s="450">
        <v>58.822966005604925</v>
      </c>
      <c r="EB165" s="450">
        <v>62.767688452480456</v>
      </c>
      <c r="EC165" s="450">
        <v>-1.6</v>
      </c>
      <c r="ED165" s="450">
        <v>61.167688452480455</v>
      </c>
      <c r="EE165" s="450">
        <v>3180.7197995289835</v>
      </c>
      <c r="EF165" s="443">
        <v>35793721.34883149</v>
      </c>
      <c r="EG165" s="450">
        <v>38.24</v>
      </c>
      <c r="EH165" s="450">
        <v>40.11006815032093</v>
      </c>
      <c r="EI165" s="450">
        <v>42.043911139255975</v>
      </c>
      <c r="EJ165" s="450">
        <v>44.51747860563714</v>
      </c>
      <c r="EK165" s="450">
        <v>47.245326496582074</v>
      </c>
      <c r="EL165" s="450">
        <v>49.91840260277124</v>
      </c>
      <c r="EM165" s="450">
        <v>53.173893019773644</v>
      </c>
      <c r="EN165" s="450">
        <v>56.074444175017675</v>
      </c>
      <c r="EO165" s="450">
        <v>57.735830491113866</v>
      </c>
      <c r="EP165" s="450">
        <v>59.203599751351376</v>
      </c>
      <c r="EQ165" s="450">
        <v>63.087725305904065</v>
      </c>
      <c r="ER165" s="443">
        <v>164202055</v>
      </c>
      <c r="ES165" s="443">
        <v>754000</v>
      </c>
      <c r="ET165" s="443">
        <v>0</v>
      </c>
      <c r="EU165" s="443">
        <v>0</v>
      </c>
      <c r="EV165" s="443">
        <v>16622000</v>
      </c>
      <c r="EW165" s="443">
        <v>0</v>
      </c>
      <c r="EX165" s="443">
        <v>0</v>
      </c>
      <c r="EY165" s="443">
        <v>0</v>
      </c>
      <c r="EZ165" s="443">
        <v>0</v>
      </c>
      <c r="FA165" s="443">
        <v>172890055</v>
      </c>
      <c r="FB165" s="443">
        <v>121037.13649571073</v>
      </c>
      <c r="FC165" s="443">
        <v>0</v>
      </c>
      <c r="FD165" s="443">
        <v>0</v>
      </c>
      <c r="FE165" s="443">
        <v>84608</v>
      </c>
      <c r="FF165" s="452">
        <v>0.0535</v>
      </c>
      <c r="FG165" s="443">
        <v>4526.528</v>
      </c>
      <c r="FH165" s="453">
        <v>4526.528</v>
      </c>
    </row>
    <row r="166" spans="2:164" ht="12.75">
      <c r="B166" s="356" t="s">
        <v>854</v>
      </c>
      <c r="C166" s="442">
        <v>10377</v>
      </c>
      <c r="D166" s="443">
        <v>2448641</v>
      </c>
      <c r="E166" s="443">
        <v>2100933.978</v>
      </c>
      <c r="F166" s="443">
        <v>249509.6549933655</v>
      </c>
      <c r="G166" s="443">
        <v>347707.02200000006</v>
      </c>
      <c r="H166" s="444">
        <v>0.35206032572034307</v>
      </c>
      <c r="I166" s="445">
        <v>2698.48</v>
      </c>
      <c r="J166" s="445">
        <v>954.85</v>
      </c>
      <c r="K166" s="443">
        <v>2350443.6329933656</v>
      </c>
      <c r="L166" s="443">
        <v>1880354.9063946926</v>
      </c>
      <c r="M166" s="443">
        <v>539992.7368149603</v>
      </c>
      <c r="N166" s="443">
        <v>470088.72659867303</v>
      </c>
      <c r="O166" s="446">
        <v>1.1487038643153127</v>
      </c>
      <c r="P166" s="447">
        <v>0.8856124120651441</v>
      </c>
      <c r="Q166" s="448">
        <v>0.11438758793485593</v>
      </c>
      <c r="R166" s="443">
        <v>2420347.643209653</v>
      </c>
      <c r="S166" s="443">
        <v>1636155.0068097254</v>
      </c>
      <c r="T166" s="443">
        <v>342116.33514212904</v>
      </c>
      <c r="U166" s="443">
        <v>441593.84388767136</v>
      </c>
      <c r="V166" s="443">
        <v>551839.2626518009</v>
      </c>
      <c r="W166" s="446">
        <v>0.8002218649061728</v>
      </c>
      <c r="X166" s="448">
        <v>14.941322945217399</v>
      </c>
      <c r="Y166" s="443">
        <v>342116.33514212904</v>
      </c>
      <c r="Z166" s="443">
        <v>232353.3737481267</v>
      </c>
      <c r="AA166" s="444">
        <v>1.4723966759053235</v>
      </c>
      <c r="AB166" s="444">
        <v>0.12079599113423918</v>
      </c>
      <c r="AC166" s="445">
        <v>1223</v>
      </c>
      <c r="AD166" s="445">
        <v>1284</v>
      </c>
      <c r="AE166" s="443">
        <v>2419865.185839526</v>
      </c>
      <c r="AF166" s="443">
        <v>250464.68989630096</v>
      </c>
      <c r="AG166" s="447">
        <v>0.75</v>
      </c>
      <c r="AH166" s="446">
        <v>0.3095690127446692</v>
      </c>
      <c r="AI166" s="448">
        <v>0.2606911361217499</v>
      </c>
      <c r="AJ166" s="443">
        <v>2670329.875735827</v>
      </c>
      <c r="AK166" s="449">
        <v>1</v>
      </c>
      <c r="AL166" s="443">
        <v>2670329.875735827</v>
      </c>
      <c r="AM166" s="443">
        <v>5951539.250323158</v>
      </c>
      <c r="AN166" s="443">
        <v>5878856.9982609255</v>
      </c>
      <c r="AO166" s="443">
        <v>5962508.8756929515</v>
      </c>
      <c r="AP166" s="443">
        <v>5962508.8756929515</v>
      </c>
      <c r="AQ166" s="443">
        <v>41508</v>
      </c>
      <c r="AR166" s="443">
        <v>6004016.8756929515</v>
      </c>
      <c r="AS166" s="450">
        <v>578.5888865464924</v>
      </c>
      <c r="AT166" s="446">
        <v>10375</v>
      </c>
      <c r="AU166" s="446">
        <v>578</v>
      </c>
      <c r="AV166" s="446">
        <v>786</v>
      </c>
      <c r="AW166" s="446">
        <v>214</v>
      </c>
      <c r="AX166" s="446">
        <v>251</v>
      </c>
      <c r="AY166" s="446">
        <v>2007</v>
      </c>
      <c r="AZ166" s="446">
        <v>909</v>
      </c>
      <c r="BA166" s="446">
        <v>299</v>
      </c>
      <c r="BB166" s="446">
        <v>566</v>
      </c>
      <c r="BC166" s="446">
        <v>87</v>
      </c>
      <c r="BD166" s="446">
        <v>1758</v>
      </c>
      <c r="BE166" s="446">
        <v>387</v>
      </c>
      <c r="BF166" s="446">
        <v>800</v>
      </c>
      <c r="BG166" s="446">
        <v>1733</v>
      </c>
      <c r="BH166" s="446">
        <v>0</v>
      </c>
      <c r="BI166" s="446">
        <v>0</v>
      </c>
      <c r="BJ166" s="448">
        <v>1.6840811963971904</v>
      </c>
      <c r="BK166" s="448">
        <v>22.50898510738915</v>
      </c>
      <c r="BL166" s="448">
        <v>18.125025404531844</v>
      </c>
      <c r="BM166" s="448">
        <v>8.767919405714618</v>
      </c>
      <c r="BN166" s="445">
        <v>9188</v>
      </c>
      <c r="BO166" s="445">
        <v>1187</v>
      </c>
      <c r="BP166" s="443">
        <v>3562609.775892793</v>
      </c>
      <c r="BQ166" s="443">
        <v>10652724</v>
      </c>
      <c r="BR166" s="443">
        <v>14574034</v>
      </c>
      <c r="BS166" s="444">
        <v>0.12081927710843374</v>
      </c>
      <c r="BT166" s="445">
        <v>1223</v>
      </c>
      <c r="BU166" s="445">
        <v>1284</v>
      </c>
      <c r="BV166" s="443">
        <v>1760824.252433735</v>
      </c>
      <c r="BW166" s="444">
        <v>0.017703114861559042</v>
      </c>
      <c r="BX166" s="443">
        <v>53273.22126056959</v>
      </c>
      <c r="BY166" s="443">
        <v>16029431.249587096</v>
      </c>
      <c r="BZ166" s="451">
        <v>0.9533333333333333</v>
      </c>
      <c r="CA166" s="443">
        <v>15281391.124606363</v>
      </c>
      <c r="CB166" s="443">
        <v>11181971.512701264</v>
      </c>
      <c r="CC166" s="443">
        <v>11181971.512701264</v>
      </c>
      <c r="CD166" s="443">
        <v>11349649.743737143</v>
      </c>
      <c r="CE166" s="443">
        <v>11349649.743737143</v>
      </c>
      <c r="CF166" s="450">
        <v>1093.9421439746643</v>
      </c>
      <c r="CG166" s="446">
        <v>10375</v>
      </c>
      <c r="CH166" s="446">
        <v>578</v>
      </c>
      <c r="CI166" s="446">
        <v>786</v>
      </c>
      <c r="CJ166" s="446">
        <v>214</v>
      </c>
      <c r="CK166" s="446">
        <v>251</v>
      </c>
      <c r="CL166" s="446">
        <v>2007</v>
      </c>
      <c r="CM166" s="446">
        <v>909</v>
      </c>
      <c r="CN166" s="446">
        <v>299</v>
      </c>
      <c r="CO166" s="446">
        <v>566</v>
      </c>
      <c r="CP166" s="446">
        <v>87</v>
      </c>
      <c r="CQ166" s="446">
        <v>1758</v>
      </c>
      <c r="CR166" s="446">
        <v>387</v>
      </c>
      <c r="CS166" s="446">
        <v>800</v>
      </c>
      <c r="CT166" s="446">
        <v>1733</v>
      </c>
      <c r="CU166" s="446">
        <v>0</v>
      </c>
      <c r="CV166" s="446">
        <v>0</v>
      </c>
      <c r="CW166" s="443">
        <v>7363826.361891203</v>
      </c>
      <c r="CX166" s="448">
        <v>0.9307046224975776</v>
      </c>
      <c r="CY166" s="448">
        <v>0.9533333333333333</v>
      </c>
      <c r="CZ166" s="443">
        <v>6853547.234281662</v>
      </c>
      <c r="DA166" s="450">
        <v>660.582865954859</v>
      </c>
      <c r="DB166" s="445">
        <v>10377</v>
      </c>
      <c r="DC166" s="448">
        <v>1.0145610484725835</v>
      </c>
      <c r="DD166" s="450">
        <v>338.4</v>
      </c>
      <c r="DE166" s="443">
        <v>25549</v>
      </c>
      <c r="DF166" s="450">
        <v>49.902926431688094</v>
      </c>
      <c r="DG166" s="450">
        <v>52.04875226825068</v>
      </c>
      <c r="DH166" s="450">
        <v>53.19382481815219</v>
      </c>
      <c r="DI166" s="450">
        <v>54.36408896415153</v>
      </c>
      <c r="DJ166" s="450">
        <v>56.15810389996852</v>
      </c>
      <c r="DK166" s="450">
        <v>58.17979564036738</v>
      </c>
      <c r="DL166" s="450">
        <v>60.04154910085913</v>
      </c>
      <c r="DM166" s="450">
        <v>62.50325261399435</v>
      </c>
      <c r="DN166" s="450">
        <v>65.2533957290101</v>
      </c>
      <c r="DO166" s="450">
        <v>68.84233249410565</v>
      </c>
      <c r="DP166" s="450">
        <v>68.22275150165869</v>
      </c>
      <c r="DQ166" s="450">
        <v>71.70211182824328</v>
      </c>
      <c r="DR166" s="450">
        <v>38.01</v>
      </c>
      <c r="DS166" s="450">
        <v>40.280980481815206</v>
      </c>
      <c r="DT166" s="450">
        <v>42.633487264830286</v>
      </c>
      <c r="DU166" s="450">
        <v>45.55510628899454</v>
      </c>
      <c r="DV166" s="450">
        <v>48.76433376182248</v>
      </c>
      <c r="DW166" s="450">
        <v>51.944251885310514</v>
      </c>
      <c r="DX166" s="450">
        <v>55.75982349288546</v>
      </c>
      <c r="DY166" s="450">
        <v>58.99549350462104</v>
      </c>
      <c r="DZ166" s="450">
        <v>60.85152447184731</v>
      </c>
      <c r="EA166" s="450">
        <v>62.88330399266193</v>
      </c>
      <c r="EB166" s="450">
        <v>67.21270436267879</v>
      </c>
      <c r="EC166" s="450">
        <v>-1.56</v>
      </c>
      <c r="ED166" s="450">
        <v>65.65270436267879</v>
      </c>
      <c r="EE166" s="450">
        <v>3413.940626859297</v>
      </c>
      <c r="EF166" s="443">
        <v>34717932.64722055</v>
      </c>
      <c r="EG166" s="450">
        <v>39.29</v>
      </c>
      <c r="EH166" s="450">
        <v>41.45832448181521</v>
      </c>
      <c r="EI166" s="450">
        <v>43.70303888083029</v>
      </c>
      <c r="EJ166" s="450">
        <v>46.521847255906536</v>
      </c>
      <c r="EK166" s="450">
        <v>49.62279974044034</v>
      </c>
      <c r="EL166" s="450">
        <v>52.682532626921876</v>
      </c>
      <c r="EM166" s="450">
        <v>56.374663694499404</v>
      </c>
      <c r="EN166" s="450">
        <v>59.56606521171878</v>
      </c>
      <c r="EO166" s="450">
        <v>61.39565968984952</v>
      </c>
      <c r="EP166" s="450">
        <v>63.24689443636004</v>
      </c>
      <c r="EQ166" s="450">
        <v>67.51841120774017</v>
      </c>
      <c r="ER166" s="443">
        <v>88071501</v>
      </c>
      <c r="ES166" s="443">
        <v>1210000</v>
      </c>
      <c r="ET166" s="443">
        <v>0</v>
      </c>
      <c r="EU166" s="443">
        <v>0</v>
      </c>
      <c r="EV166" s="443">
        <v>0</v>
      </c>
      <c r="EW166" s="443">
        <v>0</v>
      </c>
      <c r="EX166" s="443">
        <v>0</v>
      </c>
      <c r="EY166" s="443">
        <v>0</v>
      </c>
      <c r="EZ166" s="443">
        <v>63000000</v>
      </c>
      <c r="FA166" s="443">
        <v>151676501</v>
      </c>
      <c r="FB166" s="443">
        <v>110998.9552134494</v>
      </c>
      <c r="FC166" s="443">
        <v>0</v>
      </c>
      <c r="FD166" s="443">
        <v>0</v>
      </c>
      <c r="FE166" s="443">
        <v>42034</v>
      </c>
      <c r="FF166" s="452">
        <v>0.0587</v>
      </c>
      <c r="FG166" s="443">
        <v>2467.3958000000002</v>
      </c>
      <c r="FH166" s="453">
        <v>2467.3958000000002</v>
      </c>
    </row>
    <row r="167" spans="2:164" ht="12.75">
      <c r="B167" s="356" t="s">
        <v>855</v>
      </c>
      <c r="C167" s="442">
        <v>19297</v>
      </c>
      <c r="D167" s="443">
        <v>4527001</v>
      </c>
      <c r="E167" s="443">
        <v>3884166.858</v>
      </c>
      <c r="F167" s="443">
        <v>334174.37310085056</v>
      </c>
      <c r="G167" s="443">
        <v>642834.1420000001</v>
      </c>
      <c r="H167" s="444">
        <v>0.25504534383582944</v>
      </c>
      <c r="I167" s="445">
        <v>2825.75</v>
      </c>
      <c r="J167" s="445">
        <v>2095.86</v>
      </c>
      <c r="K167" s="443">
        <v>4218341.231100851</v>
      </c>
      <c r="L167" s="443">
        <v>3374672.9848806807</v>
      </c>
      <c r="M167" s="443">
        <v>901811.7089681725</v>
      </c>
      <c r="N167" s="443">
        <v>843668.2462201699</v>
      </c>
      <c r="O167" s="446">
        <v>1.0689174483080273</v>
      </c>
      <c r="P167" s="447">
        <v>0.9469865782245945</v>
      </c>
      <c r="Q167" s="448">
        <v>0.0530134217754055</v>
      </c>
      <c r="R167" s="443">
        <v>4276484.693848853</v>
      </c>
      <c r="S167" s="443">
        <v>2890903.6530418247</v>
      </c>
      <c r="T167" s="443">
        <v>460168.26909952314</v>
      </c>
      <c r="U167" s="443">
        <v>1434643.6855243673</v>
      </c>
      <c r="V167" s="443">
        <v>975038.5101975385</v>
      </c>
      <c r="W167" s="446">
        <v>1.4713713053587132</v>
      </c>
      <c r="X167" s="448">
        <v>27.47267327951393</v>
      </c>
      <c r="Y167" s="443">
        <v>460168.26909952314</v>
      </c>
      <c r="Z167" s="443">
        <v>410542.5306094899</v>
      </c>
      <c r="AA167" s="444">
        <v>1.1208784347296712</v>
      </c>
      <c r="AB167" s="444">
        <v>0.09195729906203037</v>
      </c>
      <c r="AC167" s="445">
        <v>1577</v>
      </c>
      <c r="AD167" s="445">
        <v>1972</v>
      </c>
      <c r="AE167" s="443">
        <v>4785715.607665715</v>
      </c>
      <c r="AF167" s="443">
        <v>1060075.83860486</v>
      </c>
      <c r="AG167" s="447">
        <v>1</v>
      </c>
      <c r="AH167" s="446">
        <v>0.6069901743031343</v>
      </c>
      <c r="AI167" s="448">
        <v>0.511152446269989</v>
      </c>
      <c r="AJ167" s="443">
        <v>5845791.446270575</v>
      </c>
      <c r="AK167" s="449">
        <v>1</v>
      </c>
      <c r="AL167" s="443">
        <v>5845791.446270575</v>
      </c>
      <c r="AM167" s="443">
        <v>13028898.623281775</v>
      </c>
      <c r="AN167" s="443">
        <v>12869785.215136275</v>
      </c>
      <c r="AO167" s="443">
        <v>12412979.106546335</v>
      </c>
      <c r="AP167" s="443">
        <v>12869785.215136275</v>
      </c>
      <c r="AQ167" s="443">
        <v>77188</v>
      </c>
      <c r="AR167" s="443">
        <v>12946973.215136275</v>
      </c>
      <c r="AS167" s="450">
        <v>670.9319176626561</v>
      </c>
      <c r="AT167" s="446">
        <v>19297</v>
      </c>
      <c r="AU167" s="446">
        <v>647</v>
      </c>
      <c r="AV167" s="446">
        <v>3613</v>
      </c>
      <c r="AW167" s="446">
        <v>486</v>
      </c>
      <c r="AX167" s="446">
        <v>0</v>
      </c>
      <c r="AY167" s="446">
        <v>5967</v>
      </c>
      <c r="AZ167" s="446">
        <v>760</v>
      </c>
      <c r="BA167" s="446">
        <v>669</v>
      </c>
      <c r="BB167" s="446">
        <v>412</v>
      </c>
      <c r="BC167" s="446">
        <v>7</v>
      </c>
      <c r="BD167" s="446">
        <v>2145</v>
      </c>
      <c r="BE167" s="446">
        <v>471</v>
      </c>
      <c r="BF167" s="446">
        <v>552</v>
      </c>
      <c r="BG167" s="446">
        <v>3568</v>
      </c>
      <c r="BH167" s="446">
        <v>0</v>
      </c>
      <c r="BI167" s="446">
        <v>0</v>
      </c>
      <c r="BJ167" s="448">
        <v>1.6911679477405148</v>
      </c>
      <c r="BK167" s="448">
        <v>25.723972743028426</v>
      </c>
      <c r="BL167" s="448">
        <v>18.545092280902537</v>
      </c>
      <c r="BM167" s="448">
        <v>14.357760924251776</v>
      </c>
      <c r="BN167" s="445">
        <v>18274</v>
      </c>
      <c r="BO167" s="445">
        <v>1023</v>
      </c>
      <c r="BP167" s="443">
        <v>7531582.631903428</v>
      </c>
      <c r="BQ167" s="443">
        <v>19436735</v>
      </c>
      <c r="BR167" s="443">
        <v>27929100</v>
      </c>
      <c r="BS167" s="444">
        <v>0.09195729906203037</v>
      </c>
      <c r="BT167" s="445">
        <v>1577</v>
      </c>
      <c r="BU167" s="445">
        <v>1972</v>
      </c>
      <c r="BV167" s="443">
        <v>2568284.6012333524</v>
      </c>
      <c r="BW167" s="444">
        <v>0.011406702628678307</v>
      </c>
      <c r="BX167" s="443">
        <v>72963.08843931016</v>
      </c>
      <c r="BY167" s="443">
        <v>29609565.321576092</v>
      </c>
      <c r="BZ167" s="451">
        <v>0.91</v>
      </c>
      <c r="CA167" s="443">
        <v>26944704.442634244</v>
      </c>
      <c r="CB167" s="443">
        <v>19716458.73329824</v>
      </c>
      <c r="CC167" s="443">
        <v>19716458.73329824</v>
      </c>
      <c r="CD167" s="443">
        <v>19343311.4116782</v>
      </c>
      <c r="CE167" s="443">
        <v>19576336.875602666</v>
      </c>
      <c r="CF167" s="450">
        <v>1014.4756633467723</v>
      </c>
      <c r="CG167" s="446">
        <v>19297</v>
      </c>
      <c r="CH167" s="446">
        <v>647</v>
      </c>
      <c r="CI167" s="446">
        <v>3613</v>
      </c>
      <c r="CJ167" s="446">
        <v>486</v>
      </c>
      <c r="CK167" s="446">
        <v>0</v>
      </c>
      <c r="CL167" s="446">
        <v>5967</v>
      </c>
      <c r="CM167" s="446">
        <v>760</v>
      </c>
      <c r="CN167" s="446">
        <v>669</v>
      </c>
      <c r="CO167" s="446">
        <v>412</v>
      </c>
      <c r="CP167" s="446">
        <v>7</v>
      </c>
      <c r="CQ167" s="446">
        <v>2145</v>
      </c>
      <c r="CR167" s="446">
        <v>471</v>
      </c>
      <c r="CS167" s="446">
        <v>552</v>
      </c>
      <c r="CT167" s="446">
        <v>3568</v>
      </c>
      <c r="CU167" s="446">
        <v>0</v>
      </c>
      <c r="CV167" s="446">
        <v>0</v>
      </c>
      <c r="CW167" s="443">
        <v>13048124.320207989</v>
      </c>
      <c r="CX167" s="448">
        <v>0.888399866929506</v>
      </c>
      <c r="CY167" s="448">
        <v>0.91</v>
      </c>
      <c r="CZ167" s="443">
        <v>11591951.909752429</v>
      </c>
      <c r="DA167" s="450">
        <v>600.7126449578913</v>
      </c>
      <c r="DB167" s="445">
        <v>19297</v>
      </c>
      <c r="DC167" s="448">
        <v>1.0159040265326216</v>
      </c>
      <c r="DD167" s="450">
        <v>296.2</v>
      </c>
      <c r="DE167" s="443">
        <v>21866</v>
      </c>
      <c r="DF167" s="450">
        <v>43.56420599826426</v>
      </c>
      <c r="DG167" s="450">
        <v>45.43746685618962</v>
      </c>
      <c r="DH167" s="450">
        <v>46.43709112702579</v>
      </c>
      <c r="DI167" s="450">
        <v>47.45870713182035</v>
      </c>
      <c r="DJ167" s="450">
        <v>49.02484446717042</v>
      </c>
      <c r="DK167" s="450">
        <v>50.78973886798855</v>
      </c>
      <c r="DL167" s="450">
        <v>52.41501051176417</v>
      </c>
      <c r="DM167" s="450">
        <v>54.5640259427465</v>
      </c>
      <c r="DN167" s="450">
        <v>56.96484308422733</v>
      </c>
      <c r="DO167" s="450">
        <v>60.097909453859835</v>
      </c>
      <c r="DP167" s="450">
        <v>59.5570282687751</v>
      </c>
      <c r="DQ167" s="450">
        <v>62.594436710482626</v>
      </c>
      <c r="DR167" s="450">
        <v>34.81</v>
      </c>
      <c r="DS167" s="450">
        <v>36.66194711270257</v>
      </c>
      <c r="DT167" s="450">
        <v>38.57853185836406</v>
      </c>
      <c r="DU167" s="450">
        <v>40.998276041875116</v>
      </c>
      <c r="DV167" s="450">
        <v>43.66214610632632</v>
      </c>
      <c r="DW167" s="450">
        <v>46.285280736734656</v>
      </c>
      <c r="DX167" s="450">
        <v>49.45918698610192</v>
      </c>
      <c r="DY167" s="450">
        <v>52.22755253246117</v>
      </c>
      <c r="DZ167" s="450">
        <v>53.814203228714454</v>
      </c>
      <c r="EA167" s="450">
        <v>55.35826395637233</v>
      </c>
      <c r="EB167" s="450">
        <v>59.06411567661438</v>
      </c>
      <c r="EC167" s="450">
        <v>0</v>
      </c>
      <c r="ED167" s="450">
        <v>59.06411567661438</v>
      </c>
      <c r="EE167" s="450">
        <v>3071.3340151839475</v>
      </c>
      <c r="EF167" s="443">
        <v>58082181.841184534</v>
      </c>
      <c r="EG167" s="450">
        <v>42.78</v>
      </c>
      <c r="EH167" s="450">
        <v>43.99275311270257</v>
      </c>
      <c r="EI167" s="450">
        <v>45.23816184236406</v>
      </c>
      <c r="EJ167" s="450">
        <v>47.01774909366311</v>
      </c>
      <c r="EK167" s="450">
        <v>49.00743817631406</v>
      </c>
      <c r="EL167" s="450">
        <v>50.88223191692411</v>
      </c>
      <c r="EM167" s="450">
        <v>53.2875279289637</v>
      </c>
      <c r="EN167" s="450">
        <v>55.78025292743689</v>
      </c>
      <c r="EO167" s="450">
        <v>57.20229517205631</v>
      </c>
      <c r="EP167" s="450">
        <v>57.62218257846132</v>
      </c>
      <c r="EQ167" s="450">
        <v>60.967618454066795</v>
      </c>
      <c r="ER167" s="443">
        <v>107956227.3</v>
      </c>
      <c r="ES167" s="443">
        <v>3196000</v>
      </c>
      <c r="ET167" s="443">
        <v>0</v>
      </c>
      <c r="EU167" s="443">
        <v>0</v>
      </c>
      <c r="EV167" s="443">
        <v>0</v>
      </c>
      <c r="EW167" s="443">
        <v>0</v>
      </c>
      <c r="EX167" s="443">
        <v>0</v>
      </c>
      <c r="EY167" s="443">
        <v>0</v>
      </c>
      <c r="EZ167" s="443">
        <v>0</v>
      </c>
      <c r="FA167" s="443">
        <v>109554227.3</v>
      </c>
      <c r="FB167" s="443">
        <v>91066.83919830041</v>
      </c>
      <c r="FC167" s="443">
        <v>0</v>
      </c>
      <c r="FD167" s="443">
        <v>0</v>
      </c>
      <c r="FE167" s="443">
        <v>106902</v>
      </c>
      <c r="FF167" s="452">
        <v>0.0313</v>
      </c>
      <c r="FG167" s="443">
        <v>3346.0326</v>
      </c>
      <c r="FH167" s="453">
        <v>3346.0326</v>
      </c>
    </row>
    <row r="168" spans="2:164" ht="12.75">
      <c r="B168" s="356" t="s">
        <v>856</v>
      </c>
      <c r="C168" s="442">
        <v>5229</v>
      </c>
      <c r="D168" s="443">
        <v>1249157</v>
      </c>
      <c r="E168" s="443">
        <v>1071776.706</v>
      </c>
      <c r="F168" s="443">
        <v>128660.59860850687</v>
      </c>
      <c r="G168" s="443">
        <v>177380.29400000002</v>
      </c>
      <c r="H168" s="444">
        <v>0.355863453815261</v>
      </c>
      <c r="I168" s="445">
        <v>1383.06</v>
      </c>
      <c r="J168" s="445">
        <v>477.75</v>
      </c>
      <c r="K168" s="443">
        <v>1200437.3046085068</v>
      </c>
      <c r="L168" s="443">
        <v>960349.8436868056</v>
      </c>
      <c r="M168" s="443">
        <v>266828.1259132482</v>
      </c>
      <c r="N168" s="443">
        <v>240087.4609217013</v>
      </c>
      <c r="O168" s="446">
        <v>1.1113788487282463</v>
      </c>
      <c r="P168" s="447">
        <v>0.9143239625167336</v>
      </c>
      <c r="Q168" s="448">
        <v>0.0856760374832664</v>
      </c>
      <c r="R168" s="443">
        <v>1227177.9696000537</v>
      </c>
      <c r="S168" s="443">
        <v>829572.3074496364</v>
      </c>
      <c r="T168" s="443">
        <v>131131.13615338967</v>
      </c>
      <c r="U168" s="443">
        <v>174830.53278227276</v>
      </c>
      <c r="V168" s="443">
        <v>279796.5770688123</v>
      </c>
      <c r="W168" s="446">
        <v>0.6248487190723405</v>
      </c>
      <c r="X168" s="448">
        <v>11.666847549410475</v>
      </c>
      <c r="Y168" s="443">
        <v>131131.13615338967</v>
      </c>
      <c r="Z168" s="443">
        <v>117809.08508160517</v>
      </c>
      <c r="AA168" s="444">
        <v>1.1130816953765192</v>
      </c>
      <c r="AB168" s="444">
        <v>0.09131765155861542</v>
      </c>
      <c r="AC168" s="445">
        <v>479</v>
      </c>
      <c r="AD168" s="445">
        <v>476</v>
      </c>
      <c r="AE168" s="443">
        <v>1135533.9763852989</v>
      </c>
      <c r="AF168" s="443">
        <v>0</v>
      </c>
      <c r="AG168" s="447">
        <v>0</v>
      </c>
      <c r="AH168" s="446">
        <v>0</v>
      </c>
      <c r="AI168" s="448">
        <v>0</v>
      </c>
      <c r="AJ168" s="443">
        <v>1135533.9763852989</v>
      </c>
      <c r="AK168" s="449">
        <v>1.0162713835684478</v>
      </c>
      <c r="AL168" s="443">
        <v>1154010.685270069</v>
      </c>
      <c r="AM168" s="443">
        <v>2572019.2666400736</v>
      </c>
      <c r="AN168" s="443">
        <v>2540608.879379887</v>
      </c>
      <c r="AO168" s="443">
        <v>2539896.5625094683</v>
      </c>
      <c r="AP168" s="443">
        <v>2540608.879379887</v>
      </c>
      <c r="AQ168" s="443">
        <v>20916</v>
      </c>
      <c r="AR168" s="443">
        <v>2561524.879379887</v>
      </c>
      <c r="AS168" s="450">
        <v>489.8689767412291</v>
      </c>
      <c r="AT168" s="446">
        <v>5228</v>
      </c>
      <c r="AU168" s="446">
        <v>237</v>
      </c>
      <c r="AV168" s="446">
        <v>509</v>
      </c>
      <c r="AW168" s="446">
        <v>25</v>
      </c>
      <c r="AX168" s="446">
        <v>95</v>
      </c>
      <c r="AY168" s="446">
        <v>792</v>
      </c>
      <c r="AZ168" s="446">
        <v>173</v>
      </c>
      <c r="BA168" s="446">
        <v>171</v>
      </c>
      <c r="BB168" s="446">
        <v>377</v>
      </c>
      <c r="BC168" s="446">
        <v>27</v>
      </c>
      <c r="BD168" s="446">
        <v>1079</v>
      </c>
      <c r="BE168" s="446">
        <v>448</v>
      </c>
      <c r="BF168" s="446">
        <v>0</v>
      </c>
      <c r="BG168" s="446">
        <v>1295</v>
      </c>
      <c r="BH168" s="446">
        <v>0</v>
      </c>
      <c r="BI168" s="446">
        <v>0</v>
      </c>
      <c r="BJ168" s="448">
        <v>1.2837673630748787</v>
      </c>
      <c r="BK168" s="448">
        <v>9.87232790560346</v>
      </c>
      <c r="BL168" s="448">
        <v>6.777853579126801</v>
      </c>
      <c r="BM168" s="448">
        <v>6.188948652953315</v>
      </c>
      <c r="BN168" s="445">
        <v>4780</v>
      </c>
      <c r="BO168" s="445">
        <v>448</v>
      </c>
      <c r="BP168" s="443">
        <v>1412249.3683061388</v>
      </c>
      <c r="BQ168" s="443">
        <v>5327345</v>
      </c>
      <c r="BR168" s="443">
        <v>6999041</v>
      </c>
      <c r="BS168" s="444">
        <v>0.09133511859219587</v>
      </c>
      <c r="BT168" s="445">
        <v>479</v>
      </c>
      <c r="BU168" s="445">
        <v>476</v>
      </c>
      <c r="BV168" s="443">
        <v>639258.2397666412</v>
      </c>
      <c r="BW168" s="444">
        <v>0.025798771850385743</v>
      </c>
      <c r="BX168" s="443">
        <v>17158.109466508256</v>
      </c>
      <c r="BY168" s="443">
        <v>7396010.717539288</v>
      </c>
      <c r="BZ168" s="451">
        <v>1.0133333333333334</v>
      </c>
      <c r="CA168" s="443">
        <v>7494624.193773146</v>
      </c>
      <c r="CB168" s="443">
        <v>5484099.814592746</v>
      </c>
      <c r="CC168" s="443">
        <v>5484099.814592746</v>
      </c>
      <c r="CD168" s="443">
        <v>5319865.629315775</v>
      </c>
      <c r="CE168" s="443">
        <v>5445125.1556946505</v>
      </c>
      <c r="CF168" s="450">
        <v>1041.5312080517695</v>
      </c>
      <c r="CG168" s="446">
        <v>5228</v>
      </c>
      <c r="CH168" s="446">
        <v>237</v>
      </c>
      <c r="CI168" s="446">
        <v>509</v>
      </c>
      <c r="CJ168" s="446">
        <v>25</v>
      </c>
      <c r="CK168" s="446">
        <v>95</v>
      </c>
      <c r="CL168" s="446">
        <v>792</v>
      </c>
      <c r="CM168" s="446">
        <v>173</v>
      </c>
      <c r="CN168" s="446">
        <v>171</v>
      </c>
      <c r="CO168" s="446">
        <v>377</v>
      </c>
      <c r="CP168" s="446">
        <v>27</v>
      </c>
      <c r="CQ168" s="446">
        <v>1079</v>
      </c>
      <c r="CR168" s="446">
        <v>448</v>
      </c>
      <c r="CS168" s="446">
        <v>0</v>
      </c>
      <c r="CT168" s="446">
        <v>1295</v>
      </c>
      <c r="CU168" s="446">
        <v>0</v>
      </c>
      <c r="CV168" s="446">
        <v>0</v>
      </c>
      <c r="CW168" s="443">
        <v>3578329.2755850386</v>
      </c>
      <c r="CX168" s="448">
        <v>0.9892804378995232</v>
      </c>
      <c r="CY168" s="448">
        <v>1.0133333333333334</v>
      </c>
      <c r="CZ168" s="443">
        <v>3539971.152699451</v>
      </c>
      <c r="DA168" s="450">
        <v>677.1176650151972</v>
      </c>
      <c r="DB168" s="445">
        <v>5229</v>
      </c>
      <c r="DC168" s="448">
        <v>1.0009370816599734</v>
      </c>
      <c r="DD168" s="450">
        <v>308</v>
      </c>
      <c r="DE168" s="443">
        <v>41716</v>
      </c>
      <c r="DF168" s="450">
        <v>50.99368209162194</v>
      </c>
      <c r="DG168" s="450">
        <v>53.18641042156168</v>
      </c>
      <c r="DH168" s="450">
        <v>54.35651145083603</v>
      </c>
      <c r="DI168" s="450">
        <v>55.552354702754414</v>
      </c>
      <c r="DJ168" s="450">
        <v>57.38558240794531</v>
      </c>
      <c r="DK168" s="450">
        <v>59.45146337463133</v>
      </c>
      <c r="DL168" s="450">
        <v>61.353910202619524</v>
      </c>
      <c r="DM168" s="450">
        <v>63.86942052092692</v>
      </c>
      <c r="DN168" s="450">
        <v>66.6796750238477</v>
      </c>
      <c r="DO168" s="450">
        <v>70.34705715015932</v>
      </c>
      <c r="DP168" s="450">
        <v>69.71393363580788</v>
      </c>
      <c r="DQ168" s="450">
        <v>73.26934425123407</v>
      </c>
      <c r="DR168" s="450">
        <v>41.3</v>
      </c>
      <c r="DS168" s="450">
        <v>43.42339114508359</v>
      </c>
      <c r="DT168" s="450">
        <v>45.620222300550864</v>
      </c>
      <c r="DU168" s="450">
        <v>48.40817623290357</v>
      </c>
      <c r="DV168" s="450">
        <v>51.479526691194266</v>
      </c>
      <c r="DW168" s="450">
        <v>54.49804465486365</v>
      </c>
      <c r="DX168" s="450">
        <v>58.159855692755826</v>
      </c>
      <c r="DY168" s="450">
        <v>61.38119886330492</v>
      </c>
      <c r="DZ168" s="450">
        <v>63.22700712598241</v>
      </c>
      <c r="EA168" s="450">
        <v>64.95632548659101</v>
      </c>
      <c r="EB168" s="450">
        <v>69.26914731937254</v>
      </c>
      <c r="EC168" s="450">
        <v>0</v>
      </c>
      <c r="ED168" s="450">
        <v>69.26914731937254</v>
      </c>
      <c r="EE168" s="450">
        <v>3601.995660607372</v>
      </c>
      <c r="EF168" s="443">
        <v>18458138.60312963</v>
      </c>
      <c r="EG168" s="450">
        <v>48.36</v>
      </c>
      <c r="EH168" s="450">
        <v>49.917179145083594</v>
      </c>
      <c r="EI168" s="450">
        <v>51.51946793255087</v>
      </c>
      <c r="EJ168" s="450">
        <v>53.74035687852758</v>
      </c>
      <c r="EK168" s="450">
        <v>56.21450310450839</v>
      </c>
      <c r="EL168" s="450">
        <v>58.57012437031379</v>
      </c>
      <c r="EM168" s="450">
        <v>61.55108367978271</v>
      </c>
      <c r="EN168" s="450">
        <v>64.52825843526585</v>
      </c>
      <c r="EO168" s="450">
        <v>66.22825293777582</v>
      </c>
      <c r="EP168" s="450">
        <v>66.96175402761337</v>
      </c>
      <c r="EQ168" s="450">
        <v>70.95531163666413</v>
      </c>
      <c r="ER168" s="443">
        <v>4025163</v>
      </c>
      <c r="ES168" s="443">
        <v>0</v>
      </c>
      <c r="ET168" s="443">
        <v>0</v>
      </c>
      <c r="EU168" s="443">
        <v>0</v>
      </c>
      <c r="EV168" s="443">
        <v>0</v>
      </c>
      <c r="EW168" s="443">
        <v>0</v>
      </c>
      <c r="EX168" s="443">
        <v>0</v>
      </c>
      <c r="EY168" s="443">
        <v>0</v>
      </c>
      <c r="EZ168" s="443">
        <v>0</v>
      </c>
      <c r="FA168" s="443">
        <v>4025163</v>
      </c>
      <c r="FB168" s="443">
        <v>41130.84648388722</v>
      </c>
      <c r="FC168" s="443">
        <v>0</v>
      </c>
      <c r="FD168" s="443">
        <v>0</v>
      </c>
      <c r="FE168" s="443">
        <v>4832</v>
      </c>
      <c r="FF168" s="452">
        <v>0.0313</v>
      </c>
      <c r="FG168" s="443">
        <v>151.2416</v>
      </c>
      <c r="FH168" s="453">
        <v>151.2416</v>
      </c>
    </row>
    <row r="169" spans="2:164" ht="12.75">
      <c r="B169" s="356" t="s">
        <v>857</v>
      </c>
      <c r="C169" s="442">
        <v>6470.5</v>
      </c>
      <c r="D169" s="443">
        <v>1538426.5</v>
      </c>
      <c r="E169" s="443">
        <v>1319969.937</v>
      </c>
      <c r="F169" s="443">
        <v>240885.36922355145</v>
      </c>
      <c r="G169" s="443">
        <v>218456.56300000002</v>
      </c>
      <c r="H169" s="444">
        <v>0.5409891043968782</v>
      </c>
      <c r="I169" s="445">
        <v>3114.11</v>
      </c>
      <c r="J169" s="445">
        <v>386.36</v>
      </c>
      <c r="K169" s="443">
        <v>1560855.3062235513</v>
      </c>
      <c r="L169" s="443">
        <v>1248684.2449788412</v>
      </c>
      <c r="M169" s="443">
        <v>448106.9521593374</v>
      </c>
      <c r="N169" s="443">
        <v>312171.0612447102</v>
      </c>
      <c r="O169" s="446">
        <v>1.4354532107256008</v>
      </c>
      <c r="P169" s="447">
        <v>0.6651727069005486</v>
      </c>
      <c r="Q169" s="448">
        <v>0.33490456688045744</v>
      </c>
      <c r="R169" s="443">
        <v>1696791.1971381786</v>
      </c>
      <c r="S169" s="443">
        <v>1147030.849265409</v>
      </c>
      <c r="T169" s="443">
        <v>148824.98219511518</v>
      </c>
      <c r="U169" s="443">
        <v>290906.7410833181</v>
      </c>
      <c r="V169" s="443">
        <v>386868.39294750476</v>
      </c>
      <c r="W169" s="446">
        <v>0.7519527218725052</v>
      </c>
      <c r="X169" s="448">
        <v>14.040066823654811</v>
      </c>
      <c r="Y169" s="443">
        <v>148824.98219511518</v>
      </c>
      <c r="Z169" s="443">
        <v>162891.95492526516</v>
      </c>
      <c r="AA169" s="444">
        <v>0.9136423113308211</v>
      </c>
      <c r="AB169" s="444">
        <v>0.07495556757592149</v>
      </c>
      <c r="AC169" s="445">
        <v>464</v>
      </c>
      <c r="AD169" s="445">
        <v>506</v>
      </c>
      <c r="AE169" s="443">
        <v>1586762.5725438423</v>
      </c>
      <c r="AF169" s="443">
        <v>0</v>
      </c>
      <c r="AG169" s="447">
        <v>0</v>
      </c>
      <c r="AH169" s="446">
        <v>0.05661103171940494</v>
      </c>
      <c r="AI169" s="448">
        <v>0.047672711312770844</v>
      </c>
      <c r="AJ169" s="443">
        <v>1586762.5725438423</v>
      </c>
      <c r="AK169" s="449">
        <v>1.141284291320443</v>
      </c>
      <c r="AL169" s="443">
        <v>1810947.1980995021</v>
      </c>
      <c r="AM169" s="443">
        <v>4036176.7389439135</v>
      </c>
      <c r="AN169" s="443">
        <v>3986885.5551393693</v>
      </c>
      <c r="AO169" s="443">
        <v>3986928.804509954</v>
      </c>
      <c r="AP169" s="443">
        <v>3986928.804509954</v>
      </c>
      <c r="AQ169" s="443">
        <v>25882</v>
      </c>
      <c r="AR169" s="443">
        <v>4012810.804509954</v>
      </c>
      <c r="AS169" s="450">
        <v>620.1701266532655</v>
      </c>
      <c r="AT169" s="446">
        <v>6463</v>
      </c>
      <c r="AU169" s="446">
        <v>643</v>
      </c>
      <c r="AV169" s="446">
        <v>233</v>
      </c>
      <c r="AW169" s="446">
        <v>1578</v>
      </c>
      <c r="AX169" s="446">
        <v>4</v>
      </c>
      <c r="AY169" s="446">
        <v>132</v>
      </c>
      <c r="AZ169" s="446">
        <v>62</v>
      </c>
      <c r="BA169" s="446">
        <v>102</v>
      </c>
      <c r="BB169" s="446">
        <v>97</v>
      </c>
      <c r="BC169" s="446">
        <v>548</v>
      </c>
      <c r="BD169" s="446">
        <v>784</v>
      </c>
      <c r="BE169" s="446">
        <v>1912</v>
      </c>
      <c r="BF169" s="446">
        <v>255</v>
      </c>
      <c r="BG169" s="446">
        <v>113</v>
      </c>
      <c r="BH169" s="446">
        <v>0</v>
      </c>
      <c r="BI169" s="446">
        <v>0</v>
      </c>
      <c r="BJ169" s="448">
        <v>1.4995028030559092</v>
      </c>
      <c r="BK169" s="448">
        <v>11.598675387277712</v>
      </c>
      <c r="BL169" s="448">
        <v>6.50815996095941</v>
      </c>
      <c r="BM169" s="448">
        <v>10.181030852636603</v>
      </c>
      <c r="BN169" s="445">
        <v>4296</v>
      </c>
      <c r="BO169" s="445">
        <v>2167</v>
      </c>
      <c r="BP169" s="443">
        <v>1901285.5821179217</v>
      </c>
      <c r="BQ169" s="443">
        <v>7530592</v>
      </c>
      <c r="BR169" s="443">
        <v>8872065</v>
      </c>
      <c r="BS169" s="444">
        <v>0.0750425498994275</v>
      </c>
      <c r="BT169" s="445">
        <v>464</v>
      </c>
      <c r="BU169" s="445">
        <v>506</v>
      </c>
      <c r="BV169" s="443">
        <v>665782.3804734643</v>
      </c>
      <c r="BW169" s="444">
        <v>0.01046543717845314</v>
      </c>
      <c r="BX169" s="443">
        <v>10109.16247435056</v>
      </c>
      <c r="BY169" s="443">
        <v>10107769.125065736</v>
      </c>
      <c r="BZ169" s="451">
        <v>1.1533333333333333</v>
      </c>
      <c r="CA169" s="443">
        <v>11657627.057575816</v>
      </c>
      <c r="CB169" s="443">
        <v>8530326.368887184</v>
      </c>
      <c r="CC169" s="443">
        <v>8530326.368887184</v>
      </c>
      <c r="CD169" s="443">
        <v>8209048.974551814</v>
      </c>
      <c r="CE169" s="443">
        <v>8469702.643616514</v>
      </c>
      <c r="CF169" s="450">
        <v>1310.4908933338256</v>
      </c>
      <c r="CG169" s="446">
        <v>6463</v>
      </c>
      <c r="CH169" s="446">
        <v>643</v>
      </c>
      <c r="CI169" s="446">
        <v>233</v>
      </c>
      <c r="CJ169" s="446">
        <v>1578</v>
      </c>
      <c r="CK169" s="446">
        <v>4</v>
      </c>
      <c r="CL169" s="446">
        <v>132</v>
      </c>
      <c r="CM169" s="446">
        <v>62</v>
      </c>
      <c r="CN169" s="446">
        <v>102</v>
      </c>
      <c r="CO169" s="446">
        <v>97</v>
      </c>
      <c r="CP169" s="446">
        <v>548</v>
      </c>
      <c r="CQ169" s="446">
        <v>784</v>
      </c>
      <c r="CR169" s="446">
        <v>1912</v>
      </c>
      <c r="CS169" s="446">
        <v>255</v>
      </c>
      <c r="CT169" s="446">
        <v>113</v>
      </c>
      <c r="CU169" s="446">
        <v>0</v>
      </c>
      <c r="CV169" s="446">
        <v>0</v>
      </c>
      <c r="CW169" s="443">
        <v>4267788.61820496</v>
      </c>
      <c r="CX169" s="448">
        <v>1.1259573405040626</v>
      </c>
      <c r="CY169" s="448">
        <v>1.1533333333333333</v>
      </c>
      <c r="CZ169" s="443">
        <v>4805347.922387565</v>
      </c>
      <c r="DA169" s="450">
        <v>743.5166211337714</v>
      </c>
      <c r="DB169" s="445">
        <v>6470.5</v>
      </c>
      <c r="DC169" s="448">
        <v>1.0010586507997836</v>
      </c>
      <c r="DD169" s="450">
        <v>354.1</v>
      </c>
      <c r="DE169" s="443">
        <v>70043</v>
      </c>
      <c r="DF169" s="450">
        <v>65.90483520060098</v>
      </c>
      <c r="DG169" s="450">
        <v>68.73874311422682</v>
      </c>
      <c r="DH169" s="450">
        <v>70.2509954627398</v>
      </c>
      <c r="DI169" s="450">
        <v>71.79651736292006</v>
      </c>
      <c r="DJ169" s="450">
        <v>74.16580243589641</v>
      </c>
      <c r="DK169" s="450">
        <v>76.83577132358867</v>
      </c>
      <c r="DL169" s="450">
        <v>79.29451600594349</v>
      </c>
      <c r="DM169" s="450">
        <v>82.54559116218716</v>
      </c>
      <c r="DN169" s="450">
        <v>86.17759717332339</v>
      </c>
      <c r="DO169" s="450">
        <v>90.91736501785617</v>
      </c>
      <c r="DP169" s="450">
        <v>90.09910873269547</v>
      </c>
      <c r="DQ169" s="450">
        <v>94.69416327806293</v>
      </c>
      <c r="DR169" s="450">
        <v>51.33</v>
      </c>
      <c r="DS169" s="450">
        <v>54.23843354627397</v>
      </c>
      <c r="DT169" s="450">
        <v>57.24999444858399</v>
      </c>
      <c r="DU169" s="450">
        <v>61.0175640367009</v>
      </c>
      <c r="DV169" s="450">
        <v>65.16013562510305</v>
      </c>
      <c r="DW169" s="450">
        <v>69.25346930524587</v>
      </c>
      <c r="DX169" s="450">
        <v>74.18340746984619</v>
      </c>
      <c r="DY169" s="450">
        <v>78.41749070683096</v>
      </c>
      <c r="DZ169" s="450">
        <v>80.84530463860487</v>
      </c>
      <c r="EA169" s="450">
        <v>83.36897111048545</v>
      </c>
      <c r="EB169" s="450">
        <v>89.03546356530875</v>
      </c>
      <c r="EC169" s="450">
        <v>-2.03</v>
      </c>
      <c r="ED169" s="450">
        <v>87.00546356530874</v>
      </c>
      <c r="EE169" s="450">
        <v>4524.284105396055</v>
      </c>
      <c r="EF169" s="443">
        <v>28688892.697885867</v>
      </c>
      <c r="EG169" s="450">
        <v>53.42</v>
      </c>
      <c r="EH169" s="450">
        <v>56.16081554627397</v>
      </c>
      <c r="EI169" s="450">
        <v>58.99637169658399</v>
      </c>
      <c r="EJ169" s="450">
        <v>62.596070771736905</v>
      </c>
      <c r="EK169" s="450">
        <v>66.56184960581503</v>
      </c>
      <c r="EL169" s="450">
        <v>70.45894332865817</v>
      </c>
      <c r="EM169" s="450">
        <v>75.18732623654394</v>
      </c>
      <c r="EN169" s="450">
        <v>79.34912732232648</v>
      </c>
      <c r="EO169" s="450">
        <v>81.73377542424909</v>
      </c>
      <c r="EP169" s="450">
        <v>83.96264613183625</v>
      </c>
      <c r="EQ169" s="450">
        <v>89.5346255232605</v>
      </c>
      <c r="ER169" s="443">
        <v>19622284</v>
      </c>
      <c r="ES169" s="443">
        <v>1244000</v>
      </c>
      <c r="ET169" s="443">
        <v>0</v>
      </c>
      <c r="EU169" s="443">
        <v>0</v>
      </c>
      <c r="EV169" s="443">
        <v>0</v>
      </c>
      <c r="EW169" s="443">
        <v>0</v>
      </c>
      <c r="EX169" s="443">
        <v>0</v>
      </c>
      <c r="EY169" s="443">
        <v>0</v>
      </c>
      <c r="EZ169" s="443">
        <v>0</v>
      </c>
      <c r="FA169" s="443">
        <v>20244284</v>
      </c>
      <c r="FB169" s="443">
        <v>48805.679132717836</v>
      </c>
      <c r="FC169" s="443">
        <v>0</v>
      </c>
      <c r="FD169" s="443">
        <v>0</v>
      </c>
      <c r="FE169" s="443">
        <v>20345</v>
      </c>
      <c r="FF169" s="452">
        <v>0.052000000000000005</v>
      </c>
      <c r="FG169" s="443">
        <v>1057.94</v>
      </c>
      <c r="FH169" s="453">
        <v>1057.94</v>
      </c>
    </row>
    <row r="170" spans="2:164" ht="12.75">
      <c r="B170" s="356" t="s">
        <v>858</v>
      </c>
      <c r="C170" s="442">
        <v>10490</v>
      </c>
      <c r="D170" s="443">
        <v>2474970</v>
      </c>
      <c r="E170" s="443">
        <v>2123524.26</v>
      </c>
      <c r="F170" s="443">
        <v>310213.938917847</v>
      </c>
      <c r="G170" s="443">
        <v>351445.74</v>
      </c>
      <c r="H170" s="444">
        <v>0.4330581506196377</v>
      </c>
      <c r="I170" s="445">
        <v>3722.87</v>
      </c>
      <c r="J170" s="445">
        <v>819.91</v>
      </c>
      <c r="K170" s="443">
        <v>2433738.1989178467</v>
      </c>
      <c r="L170" s="443">
        <v>1946990.5591342775</v>
      </c>
      <c r="M170" s="443">
        <v>566251.3009852058</v>
      </c>
      <c r="N170" s="443">
        <v>486747.6397835692</v>
      </c>
      <c r="O170" s="446">
        <v>1.1633365109628218</v>
      </c>
      <c r="P170" s="447">
        <v>0.8743565300285987</v>
      </c>
      <c r="Q170" s="448">
        <v>0.12564346997140133</v>
      </c>
      <c r="R170" s="443">
        <v>2513241.8601194834</v>
      </c>
      <c r="S170" s="443">
        <v>1698951.497440771</v>
      </c>
      <c r="T170" s="443">
        <v>233672.68046824174</v>
      </c>
      <c r="U170" s="443">
        <v>527088.9785675955</v>
      </c>
      <c r="V170" s="443">
        <v>573019.1441072422</v>
      </c>
      <c r="W170" s="446">
        <v>0.9198453210298838</v>
      </c>
      <c r="X170" s="448">
        <v>17.17486937546519</v>
      </c>
      <c r="Y170" s="443">
        <v>233672.68046824174</v>
      </c>
      <c r="Z170" s="443">
        <v>241271.2185714704</v>
      </c>
      <c r="AA170" s="444">
        <v>0.9685062389612054</v>
      </c>
      <c r="AB170" s="444">
        <v>0.07945662535748332</v>
      </c>
      <c r="AC170" s="445">
        <v>811</v>
      </c>
      <c r="AD170" s="445">
        <v>856</v>
      </c>
      <c r="AE170" s="443">
        <v>2459713.156476608</v>
      </c>
      <c r="AF170" s="443">
        <v>55059.17379004474</v>
      </c>
      <c r="AG170" s="447">
        <v>0.25</v>
      </c>
      <c r="AH170" s="446">
        <v>0.16333226809246149</v>
      </c>
      <c r="AI170" s="448">
        <v>0.137543722987175</v>
      </c>
      <c r="AJ170" s="443">
        <v>2514772.3302666526</v>
      </c>
      <c r="AK170" s="449">
        <v>1.0308987036363708</v>
      </c>
      <c r="AL170" s="443">
        <v>2592475.5352125075</v>
      </c>
      <c r="AM170" s="443">
        <v>5778020.177776033</v>
      </c>
      <c r="AN170" s="443">
        <v>5707457.000534284</v>
      </c>
      <c r="AO170" s="443">
        <v>5465197.375660931</v>
      </c>
      <c r="AP170" s="443">
        <v>5707457.000534284</v>
      </c>
      <c r="AQ170" s="443">
        <v>41960</v>
      </c>
      <c r="AR170" s="443">
        <v>5749417.000534284</v>
      </c>
      <c r="AS170" s="450">
        <v>548.0855100604656</v>
      </c>
      <c r="AT170" s="446">
        <v>10490</v>
      </c>
      <c r="AU170" s="446">
        <v>154</v>
      </c>
      <c r="AV170" s="446">
        <v>373</v>
      </c>
      <c r="AW170" s="446">
        <v>212</v>
      </c>
      <c r="AX170" s="446">
        <v>12</v>
      </c>
      <c r="AY170" s="446">
        <v>558</v>
      </c>
      <c r="AZ170" s="446">
        <v>323</v>
      </c>
      <c r="BA170" s="446">
        <v>754</v>
      </c>
      <c r="BB170" s="446">
        <v>2853</v>
      </c>
      <c r="BC170" s="446">
        <v>123</v>
      </c>
      <c r="BD170" s="446">
        <v>2742</v>
      </c>
      <c r="BE170" s="446">
        <v>1056</v>
      </c>
      <c r="BF170" s="446">
        <v>262</v>
      </c>
      <c r="BG170" s="446">
        <v>1068</v>
      </c>
      <c r="BH170" s="446">
        <v>0</v>
      </c>
      <c r="BI170" s="446">
        <v>0</v>
      </c>
      <c r="BJ170" s="448">
        <v>1.4787831520209511</v>
      </c>
      <c r="BK170" s="448">
        <v>15.426675136533577</v>
      </c>
      <c r="BL170" s="448">
        <v>11.567943475807034</v>
      </c>
      <c r="BM170" s="448">
        <v>7.717463321453084</v>
      </c>
      <c r="BN170" s="445">
        <v>9172</v>
      </c>
      <c r="BO170" s="445">
        <v>1318</v>
      </c>
      <c r="BP170" s="443">
        <v>3067158.923438175</v>
      </c>
      <c r="BQ170" s="443">
        <v>11415942</v>
      </c>
      <c r="BR170" s="443">
        <v>14442318</v>
      </c>
      <c r="BS170" s="444">
        <v>0.07945662535748332</v>
      </c>
      <c r="BT170" s="445">
        <v>811</v>
      </c>
      <c r="BU170" s="445">
        <v>856</v>
      </c>
      <c r="BV170" s="443">
        <v>1147537.8506196379</v>
      </c>
      <c r="BW170" s="444">
        <v>0.012899155920197686</v>
      </c>
      <c r="BX170" s="443">
        <v>26898.271085827895</v>
      </c>
      <c r="BY170" s="443">
        <v>15657537.04514364</v>
      </c>
      <c r="BZ170" s="451">
        <v>1.0066666666666666</v>
      </c>
      <c r="CA170" s="443">
        <v>15761920.625444597</v>
      </c>
      <c r="CB170" s="443">
        <v>11533593.112172896</v>
      </c>
      <c r="CC170" s="443">
        <v>11533593.112172896</v>
      </c>
      <c r="CD170" s="443">
        <v>11259286.317786282</v>
      </c>
      <c r="CE170" s="443">
        <v>11451625.629338205</v>
      </c>
      <c r="CF170" s="450">
        <v>1091.6706986976362</v>
      </c>
      <c r="CG170" s="446">
        <v>10490</v>
      </c>
      <c r="CH170" s="446">
        <v>154</v>
      </c>
      <c r="CI170" s="446">
        <v>373</v>
      </c>
      <c r="CJ170" s="446">
        <v>212</v>
      </c>
      <c r="CK170" s="446">
        <v>12</v>
      </c>
      <c r="CL170" s="446">
        <v>558</v>
      </c>
      <c r="CM170" s="446">
        <v>323</v>
      </c>
      <c r="CN170" s="446">
        <v>754</v>
      </c>
      <c r="CO170" s="446">
        <v>2853</v>
      </c>
      <c r="CP170" s="446">
        <v>123</v>
      </c>
      <c r="CQ170" s="446">
        <v>2742</v>
      </c>
      <c r="CR170" s="446">
        <v>1056</v>
      </c>
      <c r="CS170" s="446">
        <v>262</v>
      </c>
      <c r="CT170" s="446">
        <v>1068</v>
      </c>
      <c r="CU170" s="446">
        <v>0</v>
      </c>
      <c r="CV170" s="446">
        <v>0</v>
      </c>
      <c r="CW170" s="443">
        <v>7356806.994263032</v>
      </c>
      <c r="CX170" s="448">
        <v>0.9827720139659736</v>
      </c>
      <c r="CY170" s="448">
        <v>1.0066666666666666</v>
      </c>
      <c r="CZ170" s="443">
        <v>7230064.026110841</v>
      </c>
      <c r="DA170" s="450">
        <v>689.2339395720535</v>
      </c>
      <c r="DB170" s="445">
        <v>10490</v>
      </c>
      <c r="DC170" s="448">
        <v>1.0045281220209723</v>
      </c>
      <c r="DD170" s="450">
        <v>313.9</v>
      </c>
      <c r="DE170" s="443">
        <v>39976</v>
      </c>
      <c r="DF170" s="450">
        <v>51.27042705657551</v>
      </c>
      <c r="DG170" s="450">
        <v>53.47505542000825</v>
      </c>
      <c r="DH170" s="450">
        <v>54.651506639248424</v>
      </c>
      <c r="DI170" s="450">
        <v>55.85383978531188</v>
      </c>
      <c r="DJ170" s="450">
        <v>57.697016498227164</v>
      </c>
      <c r="DK170" s="450">
        <v>59.77410909216333</v>
      </c>
      <c r="DL170" s="450">
        <v>61.68688058311255</v>
      </c>
      <c r="DM170" s="450">
        <v>64.21604268702016</v>
      </c>
      <c r="DN170" s="450">
        <v>67.04154856524904</v>
      </c>
      <c r="DO170" s="450">
        <v>70.72883373633773</v>
      </c>
      <c r="DP170" s="450">
        <v>70.0922742327107</v>
      </c>
      <c r="DQ170" s="450">
        <v>73.66698021857893</v>
      </c>
      <c r="DR170" s="450">
        <v>39.67</v>
      </c>
      <c r="DS170" s="450">
        <v>41.95361666392484</v>
      </c>
      <c r="DT170" s="450">
        <v>44.31851218106237</v>
      </c>
      <c r="DU170" s="450">
        <v>47.270522259936136</v>
      </c>
      <c r="DV170" s="450">
        <v>50.5153822085609</v>
      </c>
      <c r="DW170" s="450">
        <v>53.72437546321446</v>
      </c>
      <c r="DX170" s="450">
        <v>57.58486842316903</v>
      </c>
      <c r="DY170" s="450">
        <v>60.887818848395185</v>
      </c>
      <c r="DZ170" s="450">
        <v>62.78193882417539</v>
      </c>
      <c r="EA170" s="450">
        <v>64.78216940666428</v>
      </c>
      <c r="EB170" s="450">
        <v>69.20224408083911</v>
      </c>
      <c r="EC170" s="450">
        <v>-2.16</v>
      </c>
      <c r="ED170" s="450">
        <v>67.04224408083911</v>
      </c>
      <c r="EE170" s="450">
        <v>3486.1966922036336</v>
      </c>
      <c r="EF170" s="443">
        <v>35838799.23519179</v>
      </c>
      <c r="EG170" s="450">
        <v>41.9</v>
      </c>
      <c r="EH170" s="450">
        <v>44.00477066392483</v>
      </c>
      <c r="EI170" s="450">
        <v>46.18187163706236</v>
      </c>
      <c r="EJ170" s="450">
        <v>48.95476628822813</v>
      </c>
      <c r="EK170" s="450">
        <v>52.01099090568419</v>
      </c>
      <c r="EL170" s="450">
        <v>55.01059894274049</v>
      </c>
      <c r="EM170" s="450">
        <v>58.65603533691831</v>
      </c>
      <c r="EN170" s="450">
        <v>61.88186174435452</v>
      </c>
      <c r="EO170" s="450">
        <v>63.729924399288606</v>
      </c>
      <c r="EP170" s="450">
        <v>65.41561213279458</v>
      </c>
      <c r="EQ170" s="450">
        <v>69.73484272496945</v>
      </c>
      <c r="ER170" s="443">
        <v>30897005</v>
      </c>
      <c r="ES170" s="443">
        <v>500000</v>
      </c>
      <c r="ET170" s="443">
        <v>0</v>
      </c>
      <c r="EU170" s="443">
        <v>0</v>
      </c>
      <c r="EV170" s="443">
        <v>0</v>
      </c>
      <c r="EW170" s="443">
        <v>0</v>
      </c>
      <c r="EX170" s="443">
        <v>0</v>
      </c>
      <c r="EY170" s="443">
        <v>0</v>
      </c>
      <c r="EZ170" s="443">
        <v>0</v>
      </c>
      <c r="FA170" s="443">
        <v>31147005</v>
      </c>
      <c r="FB170" s="443">
        <v>53964.8094636335</v>
      </c>
      <c r="FC170" s="443">
        <v>0</v>
      </c>
      <c r="FD170" s="443">
        <v>0</v>
      </c>
      <c r="FE170" s="443">
        <v>79377</v>
      </c>
      <c r="FF170" s="452">
        <v>0.0507</v>
      </c>
      <c r="FG170" s="443">
        <v>4024.4139</v>
      </c>
      <c r="FH170" s="453">
        <v>4024.4139</v>
      </c>
    </row>
    <row r="171" spans="2:164" ht="12.75">
      <c r="B171" s="356" t="s">
        <v>859</v>
      </c>
      <c r="C171" s="442">
        <v>4540</v>
      </c>
      <c r="D171" s="443">
        <v>1088620</v>
      </c>
      <c r="E171" s="443">
        <v>934035.96</v>
      </c>
      <c r="F171" s="443">
        <v>128094.77831439015</v>
      </c>
      <c r="G171" s="443">
        <v>154584.04</v>
      </c>
      <c r="H171" s="444">
        <v>0.40654625550660795</v>
      </c>
      <c r="I171" s="445">
        <v>1470.28</v>
      </c>
      <c r="J171" s="445">
        <v>375.44</v>
      </c>
      <c r="K171" s="443">
        <v>1062130.7383143902</v>
      </c>
      <c r="L171" s="443">
        <v>849704.5906515121</v>
      </c>
      <c r="M171" s="443">
        <v>259019.5304476123</v>
      </c>
      <c r="N171" s="443">
        <v>212426.14766287798</v>
      </c>
      <c r="O171" s="446">
        <v>1.219339207048458</v>
      </c>
      <c r="P171" s="447">
        <v>0.8312775330396476</v>
      </c>
      <c r="Q171" s="448">
        <v>0.16872246696035242</v>
      </c>
      <c r="R171" s="443">
        <v>1108724.1210991244</v>
      </c>
      <c r="S171" s="443">
        <v>749497.5058630082</v>
      </c>
      <c r="T171" s="443">
        <v>119307.47727869223</v>
      </c>
      <c r="U171" s="443">
        <v>307668.8333892679</v>
      </c>
      <c r="V171" s="443">
        <v>252789.0996106004</v>
      </c>
      <c r="W171" s="446">
        <v>1.2170969154255662</v>
      </c>
      <c r="X171" s="448">
        <v>22.724995237581464</v>
      </c>
      <c r="Y171" s="443">
        <v>119307.47727869223</v>
      </c>
      <c r="Z171" s="443">
        <v>106437.51562551595</v>
      </c>
      <c r="AA171" s="444">
        <v>1.1209156525078738</v>
      </c>
      <c r="AB171" s="444">
        <v>0.0919603524229075</v>
      </c>
      <c r="AC171" s="445">
        <v>428</v>
      </c>
      <c r="AD171" s="445">
        <v>407</v>
      </c>
      <c r="AE171" s="443">
        <v>1176473.8165309683</v>
      </c>
      <c r="AF171" s="443">
        <v>0</v>
      </c>
      <c r="AG171" s="447">
        <v>0</v>
      </c>
      <c r="AH171" s="446">
        <v>0.13624244953023232</v>
      </c>
      <c r="AI171" s="448">
        <v>0.11473111808300018</v>
      </c>
      <c r="AJ171" s="443">
        <v>1176473.8165309683</v>
      </c>
      <c r="AK171" s="449">
        <v>1</v>
      </c>
      <c r="AL171" s="443">
        <v>1176473.8165309683</v>
      </c>
      <c r="AM171" s="443">
        <v>2622084.319875328</v>
      </c>
      <c r="AN171" s="443">
        <v>2590062.520900339</v>
      </c>
      <c r="AO171" s="443">
        <v>2569136.5908266376</v>
      </c>
      <c r="AP171" s="443">
        <v>2590062.520900339</v>
      </c>
      <c r="AQ171" s="443">
        <v>18160</v>
      </c>
      <c r="AR171" s="443">
        <v>2608222.520900339</v>
      </c>
      <c r="AS171" s="450">
        <v>574.49835262122</v>
      </c>
      <c r="AT171" s="446">
        <v>4540</v>
      </c>
      <c r="AU171" s="446">
        <v>0</v>
      </c>
      <c r="AV171" s="446">
        <v>251</v>
      </c>
      <c r="AW171" s="446">
        <v>89</v>
      </c>
      <c r="AX171" s="446">
        <v>6</v>
      </c>
      <c r="AY171" s="446">
        <v>227</v>
      </c>
      <c r="AZ171" s="446">
        <v>175</v>
      </c>
      <c r="BA171" s="446">
        <v>812</v>
      </c>
      <c r="BB171" s="446">
        <v>975</v>
      </c>
      <c r="BC171" s="446">
        <v>45</v>
      </c>
      <c r="BD171" s="446">
        <v>841</v>
      </c>
      <c r="BE171" s="446">
        <v>453</v>
      </c>
      <c r="BF171" s="446">
        <v>313</v>
      </c>
      <c r="BG171" s="446">
        <v>353</v>
      </c>
      <c r="BH171" s="446">
        <v>0</v>
      </c>
      <c r="BI171" s="446">
        <v>0</v>
      </c>
      <c r="BJ171" s="448">
        <v>1.6343530566001525</v>
      </c>
      <c r="BK171" s="448">
        <v>18.9314609120904</v>
      </c>
      <c r="BL171" s="448">
        <v>13.165512293020887</v>
      </c>
      <c r="BM171" s="448">
        <v>11.53189723813903</v>
      </c>
      <c r="BN171" s="445">
        <v>3774</v>
      </c>
      <c r="BO171" s="445">
        <v>766</v>
      </c>
      <c r="BP171" s="443">
        <v>1532643.9971818118</v>
      </c>
      <c r="BQ171" s="443">
        <v>4960841</v>
      </c>
      <c r="BR171" s="443">
        <v>6453126</v>
      </c>
      <c r="BS171" s="444">
        <v>0.0919603524229075</v>
      </c>
      <c r="BT171" s="445">
        <v>428</v>
      </c>
      <c r="BU171" s="445">
        <v>407</v>
      </c>
      <c r="BV171" s="443">
        <v>593431.7411894273</v>
      </c>
      <c r="BW171" s="444">
        <v>0.010970785795903026</v>
      </c>
      <c r="BX171" s="443">
        <v>12150.466968320408</v>
      </c>
      <c r="BY171" s="443">
        <v>7099067.20533956</v>
      </c>
      <c r="BZ171" s="451">
        <v>0.91</v>
      </c>
      <c r="CA171" s="443">
        <v>6460151.156859</v>
      </c>
      <c r="CB171" s="443">
        <v>4727136.791062419</v>
      </c>
      <c r="CC171" s="443">
        <v>4727136.791062419</v>
      </c>
      <c r="CD171" s="443">
        <v>4654345.053375177</v>
      </c>
      <c r="CE171" s="443">
        <v>4693541.75263769</v>
      </c>
      <c r="CF171" s="450">
        <v>1033.819769303456</v>
      </c>
      <c r="CG171" s="446">
        <v>4540</v>
      </c>
      <c r="CH171" s="446">
        <v>0</v>
      </c>
      <c r="CI171" s="446">
        <v>251</v>
      </c>
      <c r="CJ171" s="446">
        <v>89</v>
      </c>
      <c r="CK171" s="446">
        <v>6</v>
      </c>
      <c r="CL171" s="446">
        <v>227</v>
      </c>
      <c r="CM171" s="446">
        <v>175</v>
      </c>
      <c r="CN171" s="446">
        <v>812</v>
      </c>
      <c r="CO171" s="446">
        <v>975</v>
      </c>
      <c r="CP171" s="446">
        <v>45</v>
      </c>
      <c r="CQ171" s="446">
        <v>841</v>
      </c>
      <c r="CR171" s="446">
        <v>453</v>
      </c>
      <c r="CS171" s="446">
        <v>313</v>
      </c>
      <c r="CT171" s="446">
        <v>353</v>
      </c>
      <c r="CU171" s="446">
        <v>0</v>
      </c>
      <c r="CV171" s="446">
        <v>0</v>
      </c>
      <c r="CW171" s="443">
        <v>3170406.836137646</v>
      </c>
      <c r="CX171" s="448">
        <v>0.888399866929506</v>
      </c>
      <c r="CY171" s="448">
        <v>0.91</v>
      </c>
      <c r="CZ171" s="443">
        <v>2816589.011337081</v>
      </c>
      <c r="DA171" s="450">
        <v>620.3940553605905</v>
      </c>
      <c r="DB171" s="445">
        <v>4540</v>
      </c>
      <c r="DC171" s="448">
        <v>1.0246035242290747</v>
      </c>
      <c r="DD171" s="450">
        <v>296.2</v>
      </c>
      <c r="DE171" s="443">
        <v>39407</v>
      </c>
      <c r="DF171" s="450">
        <v>49.65301091147777</v>
      </c>
      <c r="DG171" s="450">
        <v>51.78809038067131</v>
      </c>
      <c r="DH171" s="450">
        <v>52.92742836904607</v>
      </c>
      <c r="DI171" s="450">
        <v>54.09183179316507</v>
      </c>
      <c r="DJ171" s="450">
        <v>55.87686224233951</v>
      </c>
      <c r="DK171" s="450">
        <v>57.88842928306372</v>
      </c>
      <c r="DL171" s="450">
        <v>59.74085902012175</v>
      </c>
      <c r="DM171" s="450">
        <v>62.19023423994674</v>
      </c>
      <c r="DN171" s="450">
        <v>64.92660454650438</v>
      </c>
      <c r="DO171" s="450">
        <v>68.49756779656211</v>
      </c>
      <c r="DP171" s="450">
        <v>67.88108968639305</v>
      </c>
      <c r="DQ171" s="450">
        <v>71.34302526039909</v>
      </c>
      <c r="DR171" s="450">
        <v>39.67</v>
      </c>
      <c r="DS171" s="450">
        <v>41.781208836904604</v>
      </c>
      <c r="DT171" s="450">
        <v>43.966110582633</v>
      </c>
      <c r="DU171" s="450">
        <v>46.72447598316984</v>
      </c>
      <c r="DV171" s="450">
        <v>49.76111028492106</v>
      </c>
      <c r="DW171" s="450">
        <v>52.75136468171906</v>
      </c>
      <c r="DX171" s="450">
        <v>56.36938335492498</v>
      </c>
      <c r="DY171" s="450">
        <v>59.524854925204195</v>
      </c>
      <c r="DZ171" s="450">
        <v>61.33337450010721</v>
      </c>
      <c r="EA171" s="450">
        <v>63.093985060155696</v>
      </c>
      <c r="EB171" s="450">
        <v>67.31802769065872</v>
      </c>
      <c r="EC171" s="450">
        <v>-0.18</v>
      </c>
      <c r="ED171" s="450">
        <v>67.13802769065872</v>
      </c>
      <c r="EE171" s="450">
        <v>3491.1774399142532</v>
      </c>
      <c r="EF171" s="443">
        <v>15532946.665666495</v>
      </c>
      <c r="EG171" s="450">
        <v>45.76</v>
      </c>
      <c r="EH171" s="450">
        <v>47.38279083690459</v>
      </c>
      <c r="EI171" s="450">
        <v>49.05483663063299</v>
      </c>
      <c r="EJ171" s="450">
        <v>51.32404823980583</v>
      </c>
      <c r="EK171" s="450">
        <v>53.84553044881382</v>
      </c>
      <c r="EL171" s="450">
        <v>56.263966022666835</v>
      </c>
      <c r="EM171" s="450">
        <v>59.294677751666285</v>
      </c>
      <c r="EN171" s="450">
        <v>62.23952812538012</v>
      </c>
      <c r="EO171" s="450">
        <v>63.92226784200831</v>
      </c>
      <c r="EP171" s="450">
        <v>64.82388021806308</v>
      </c>
      <c r="EQ171" s="450">
        <v>68.77252353942725</v>
      </c>
      <c r="ER171" s="443">
        <v>34499361</v>
      </c>
      <c r="ES171" s="443">
        <v>480000</v>
      </c>
      <c r="ET171" s="443">
        <v>0</v>
      </c>
      <c r="EU171" s="443">
        <v>0</v>
      </c>
      <c r="EV171" s="443">
        <v>0</v>
      </c>
      <c r="EW171" s="443">
        <v>0</v>
      </c>
      <c r="EX171" s="443">
        <v>0</v>
      </c>
      <c r="EY171" s="443">
        <v>0</v>
      </c>
      <c r="EZ171" s="443">
        <v>0</v>
      </c>
      <c r="FA171" s="443">
        <v>34739361</v>
      </c>
      <c r="FB171" s="443">
        <v>55664.700050492225</v>
      </c>
      <c r="FC171" s="443">
        <v>0</v>
      </c>
      <c r="FD171" s="443">
        <v>0</v>
      </c>
      <c r="FE171" s="443">
        <v>39890</v>
      </c>
      <c r="FF171" s="452">
        <v>0.0716</v>
      </c>
      <c r="FG171" s="443">
        <v>2856.124</v>
      </c>
      <c r="FH171" s="453">
        <v>2856.124</v>
      </c>
    </row>
    <row r="172" spans="2:164" ht="12.75">
      <c r="B172" s="356" t="s">
        <v>860</v>
      </c>
      <c r="C172" s="442">
        <v>2675</v>
      </c>
      <c r="D172" s="443">
        <v>654075</v>
      </c>
      <c r="E172" s="443">
        <v>561196.35</v>
      </c>
      <c r="F172" s="443">
        <v>104750.14799641041</v>
      </c>
      <c r="G172" s="443">
        <v>92878.65</v>
      </c>
      <c r="H172" s="444">
        <v>0.5533271028037383</v>
      </c>
      <c r="I172" s="445">
        <v>1326.1</v>
      </c>
      <c r="J172" s="445">
        <v>154.05</v>
      </c>
      <c r="K172" s="443">
        <v>665946.4979964104</v>
      </c>
      <c r="L172" s="443">
        <v>532757.1983971283</v>
      </c>
      <c r="M172" s="443">
        <v>155131.92551831141</v>
      </c>
      <c r="N172" s="443">
        <v>133189.29959928204</v>
      </c>
      <c r="O172" s="446">
        <v>1.1647476635514018</v>
      </c>
      <c r="P172" s="447">
        <v>0.8732710280373832</v>
      </c>
      <c r="Q172" s="448">
        <v>0.12672897196261682</v>
      </c>
      <c r="R172" s="443">
        <v>687889.1239154397</v>
      </c>
      <c r="S172" s="443">
        <v>465013.0477668373</v>
      </c>
      <c r="T172" s="443">
        <v>52057.61887469932</v>
      </c>
      <c r="U172" s="443">
        <v>77614.16849461067</v>
      </c>
      <c r="V172" s="443">
        <v>156838.72025272026</v>
      </c>
      <c r="W172" s="446">
        <v>0.49486611705035577</v>
      </c>
      <c r="X172" s="448">
        <v>9.2398805803214</v>
      </c>
      <c r="Y172" s="443">
        <v>52057.61887469932</v>
      </c>
      <c r="Z172" s="443">
        <v>66037.35589588221</v>
      </c>
      <c r="AA172" s="444">
        <v>0.7883056213936845</v>
      </c>
      <c r="AB172" s="444">
        <v>0.06467289719626168</v>
      </c>
      <c r="AC172" s="445">
        <v>176</v>
      </c>
      <c r="AD172" s="445">
        <v>170</v>
      </c>
      <c r="AE172" s="443">
        <v>594684.8351361473</v>
      </c>
      <c r="AF172" s="443">
        <v>0</v>
      </c>
      <c r="AG172" s="447">
        <v>0</v>
      </c>
      <c r="AH172" s="446">
        <v>0</v>
      </c>
      <c r="AI172" s="448">
        <v>0</v>
      </c>
      <c r="AJ172" s="443">
        <v>594684.8351361473</v>
      </c>
      <c r="AK172" s="449">
        <v>1.1323222768566725</v>
      </c>
      <c r="AL172" s="443">
        <v>673374.8865334973</v>
      </c>
      <c r="AM172" s="443">
        <v>1500794.7534128856</v>
      </c>
      <c r="AN172" s="443">
        <v>1482466.5297427976</v>
      </c>
      <c r="AO172" s="443">
        <v>1496559.5414850747</v>
      </c>
      <c r="AP172" s="443">
        <v>1496559.5414850747</v>
      </c>
      <c r="AQ172" s="443">
        <v>10700</v>
      </c>
      <c r="AR172" s="443">
        <v>1507259.5414850747</v>
      </c>
      <c r="AS172" s="450">
        <v>563.461510835542</v>
      </c>
      <c r="AT172" s="446">
        <v>2675</v>
      </c>
      <c r="AU172" s="446">
        <v>43</v>
      </c>
      <c r="AV172" s="446">
        <v>192</v>
      </c>
      <c r="AW172" s="446">
        <v>110</v>
      </c>
      <c r="AX172" s="446">
        <v>28</v>
      </c>
      <c r="AY172" s="446">
        <v>523</v>
      </c>
      <c r="AZ172" s="446">
        <v>39</v>
      </c>
      <c r="BA172" s="446">
        <v>74</v>
      </c>
      <c r="BB172" s="446">
        <v>22</v>
      </c>
      <c r="BC172" s="446">
        <v>50</v>
      </c>
      <c r="BD172" s="446">
        <v>1099</v>
      </c>
      <c r="BE172" s="446">
        <v>334</v>
      </c>
      <c r="BF172" s="446">
        <v>0</v>
      </c>
      <c r="BG172" s="446">
        <v>154</v>
      </c>
      <c r="BH172" s="446">
        <v>0</v>
      </c>
      <c r="BI172" s="446">
        <v>7</v>
      </c>
      <c r="BJ172" s="448">
        <v>1.2876514343431125</v>
      </c>
      <c r="BK172" s="448">
        <v>9.281746093634727</v>
      </c>
      <c r="BL172" s="448">
        <v>5.479043349935466</v>
      </c>
      <c r="BM172" s="448">
        <v>7.605405487398521</v>
      </c>
      <c r="BN172" s="445">
        <v>2341</v>
      </c>
      <c r="BO172" s="445">
        <v>334</v>
      </c>
      <c r="BP172" s="443">
        <v>646476.9914748687</v>
      </c>
      <c r="BQ172" s="443">
        <v>2796292</v>
      </c>
      <c r="BR172" s="443">
        <v>3534874</v>
      </c>
      <c r="BS172" s="444">
        <v>0.06467289719626168</v>
      </c>
      <c r="BT172" s="445">
        <v>176</v>
      </c>
      <c r="BU172" s="445">
        <v>170</v>
      </c>
      <c r="BV172" s="443">
        <v>228610.54280373832</v>
      </c>
      <c r="BW172" s="444">
        <v>0.015741035120648936</v>
      </c>
      <c r="BX172" s="443">
        <v>5036.188880151772</v>
      </c>
      <c r="BY172" s="443">
        <v>3676415.723158759</v>
      </c>
      <c r="BZ172" s="451">
        <v>1.1133333333333335</v>
      </c>
      <c r="CA172" s="443">
        <v>4093076.171783419</v>
      </c>
      <c r="CB172" s="443">
        <v>2995058.5505596437</v>
      </c>
      <c r="CC172" s="443">
        <v>2995058.5505596437</v>
      </c>
      <c r="CD172" s="443">
        <v>2930331.4970011557</v>
      </c>
      <c r="CE172" s="443">
        <v>2973773.1273663472</v>
      </c>
      <c r="CF172" s="450">
        <v>1111.690888735083</v>
      </c>
      <c r="CG172" s="446">
        <v>2675</v>
      </c>
      <c r="CH172" s="446">
        <v>43</v>
      </c>
      <c r="CI172" s="446">
        <v>192</v>
      </c>
      <c r="CJ172" s="446">
        <v>110</v>
      </c>
      <c r="CK172" s="446">
        <v>28</v>
      </c>
      <c r="CL172" s="446">
        <v>523</v>
      </c>
      <c r="CM172" s="446">
        <v>39</v>
      </c>
      <c r="CN172" s="446">
        <v>74</v>
      </c>
      <c r="CO172" s="446">
        <v>22</v>
      </c>
      <c r="CP172" s="446">
        <v>50</v>
      </c>
      <c r="CQ172" s="446">
        <v>1099</v>
      </c>
      <c r="CR172" s="446">
        <v>334</v>
      </c>
      <c r="CS172" s="446">
        <v>0</v>
      </c>
      <c r="CT172" s="446">
        <v>154</v>
      </c>
      <c r="CU172" s="446">
        <v>0</v>
      </c>
      <c r="CV172" s="446">
        <v>7</v>
      </c>
      <c r="CW172" s="443">
        <v>1977020.255527833</v>
      </c>
      <c r="CX172" s="448">
        <v>1.0869067969027657</v>
      </c>
      <c r="CY172" s="448">
        <v>1.1133333333333335</v>
      </c>
      <c r="CZ172" s="443">
        <v>2148836.753347644</v>
      </c>
      <c r="DA172" s="450">
        <v>803.3034591953809</v>
      </c>
      <c r="DB172" s="445">
        <v>2675</v>
      </c>
      <c r="DC172" s="448">
        <v>0.9875887850467291</v>
      </c>
      <c r="DD172" s="450">
        <v>333.2</v>
      </c>
      <c r="DE172" s="443">
        <v>63556</v>
      </c>
      <c r="DF172" s="450">
        <v>60.69763570981697</v>
      </c>
      <c r="DG172" s="450">
        <v>63.3076340453391</v>
      </c>
      <c r="DH172" s="450">
        <v>64.70040199433654</v>
      </c>
      <c r="DI172" s="450">
        <v>66.12381083821194</v>
      </c>
      <c r="DJ172" s="450">
        <v>68.30589659587292</v>
      </c>
      <c r="DK172" s="450">
        <v>70.76490887332433</v>
      </c>
      <c r="DL172" s="450">
        <v>73.02938595727069</v>
      </c>
      <c r="DM172" s="450">
        <v>76.02359078151878</v>
      </c>
      <c r="DN172" s="450">
        <v>79.36862877590559</v>
      </c>
      <c r="DO172" s="450">
        <v>83.73390335858039</v>
      </c>
      <c r="DP172" s="450">
        <v>82.98029822835316</v>
      </c>
      <c r="DQ172" s="450">
        <v>87.21229343799916</v>
      </c>
      <c r="DR172" s="450">
        <v>50.03</v>
      </c>
      <c r="DS172" s="450">
        <v>52.48763419943365</v>
      </c>
      <c r="DT172" s="450">
        <v>55.02918978364238</v>
      </c>
      <c r="DU172" s="450">
        <v>58.27774599017387</v>
      </c>
      <c r="DV172" s="450">
        <v>61.85991113546358</v>
      </c>
      <c r="DW172" s="450">
        <v>65.37108790271044</v>
      </c>
      <c r="DX172" s="450">
        <v>69.64576016168101</v>
      </c>
      <c r="DY172" s="450">
        <v>73.45000196069614</v>
      </c>
      <c r="DZ172" s="450">
        <v>75.62907876042259</v>
      </c>
      <c r="EA172" s="450">
        <v>77.56466499189618</v>
      </c>
      <c r="EB172" s="450">
        <v>82.65882901278613</v>
      </c>
      <c r="EC172" s="450">
        <v>-1.71</v>
      </c>
      <c r="ED172" s="450">
        <v>80.94882901278613</v>
      </c>
      <c r="EE172" s="450">
        <v>4209.339108664879</v>
      </c>
      <c r="EF172" s="443">
        <v>11034782.473364979</v>
      </c>
      <c r="EG172" s="450">
        <v>50.03</v>
      </c>
      <c r="EH172" s="450">
        <v>52.48763419943365</v>
      </c>
      <c r="EI172" s="450">
        <v>55.02918978364238</v>
      </c>
      <c r="EJ172" s="450">
        <v>58.27774599017387</v>
      </c>
      <c r="EK172" s="450">
        <v>61.85991113546358</v>
      </c>
      <c r="EL172" s="450">
        <v>65.37108790271044</v>
      </c>
      <c r="EM172" s="450">
        <v>69.64576016168101</v>
      </c>
      <c r="EN172" s="450">
        <v>73.45000196069614</v>
      </c>
      <c r="EO172" s="450">
        <v>75.62907876042259</v>
      </c>
      <c r="EP172" s="450">
        <v>77.56466499189618</v>
      </c>
      <c r="EQ172" s="450">
        <v>82.65882901278613</v>
      </c>
      <c r="ER172" s="443">
        <v>1975022</v>
      </c>
      <c r="ES172" s="443">
        <v>0</v>
      </c>
      <c r="ET172" s="443">
        <v>0</v>
      </c>
      <c r="EU172" s="443">
        <v>446650</v>
      </c>
      <c r="EV172" s="443">
        <v>0</v>
      </c>
      <c r="EW172" s="443">
        <v>0</v>
      </c>
      <c r="EX172" s="443">
        <v>0</v>
      </c>
      <c r="EY172" s="443">
        <v>0</v>
      </c>
      <c r="EZ172" s="443">
        <v>0</v>
      </c>
      <c r="FA172" s="443">
        <v>2421672</v>
      </c>
      <c r="FB172" s="443">
        <v>40372.0800205933</v>
      </c>
      <c r="FC172" s="443">
        <v>0</v>
      </c>
      <c r="FD172" s="443">
        <v>0</v>
      </c>
      <c r="FE172" s="443">
        <v>0</v>
      </c>
      <c r="FF172" s="452">
        <v>0</v>
      </c>
      <c r="FG172" s="443">
        <v>0</v>
      </c>
      <c r="FH172" s="453">
        <v>0</v>
      </c>
    </row>
    <row r="173" spans="2:164" ht="12.75">
      <c r="B173" s="356" t="s">
        <v>861</v>
      </c>
      <c r="C173" s="442">
        <v>6085</v>
      </c>
      <c r="D173" s="443">
        <v>1448605</v>
      </c>
      <c r="E173" s="443">
        <v>1242903.09</v>
      </c>
      <c r="F173" s="443">
        <v>167877.32981263765</v>
      </c>
      <c r="G173" s="443">
        <v>205701.91</v>
      </c>
      <c r="H173" s="444">
        <v>0.4004026294165982</v>
      </c>
      <c r="I173" s="445">
        <v>1926.85</v>
      </c>
      <c r="J173" s="445">
        <v>509.6</v>
      </c>
      <c r="K173" s="443">
        <v>1410780.4198126378</v>
      </c>
      <c r="L173" s="443">
        <v>1128624.3358501103</v>
      </c>
      <c r="M173" s="443">
        <v>301023.678139085</v>
      </c>
      <c r="N173" s="443">
        <v>282156.0839625275</v>
      </c>
      <c r="O173" s="446">
        <v>1.0668693508627773</v>
      </c>
      <c r="P173" s="447">
        <v>0.9485620377978636</v>
      </c>
      <c r="Q173" s="448">
        <v>0.0514379622021364</v>
      </c>
      <c r="R173" s="443">
        <v>1429648.0139891952</v>
      </c>
      <c r="S173" s="443">
        <v>966442.057456696</v>
      </c>
      <c r="T173" s="443">
        <v>136774.510008401</v>
      </c>
      <c r="U173" s="443">
        <v>242866.07064828597</v>
      </c>
      <c r="V173" s="443">
        <v>325959.7471895365</v>
      </c>
      <c r="W173" s="446">
        <v>0.7450799454297837</v>
      </c>
      <c r="X173" s="448">
        <v>13.911741946687068</v>
      </c>
      <c r="Y173" s="443">
        <v>136774.510008401</v>
      </c>
      <c r="Z173" s="443">
        <v>137246.20934296274</v>
      </c>
      <c r="AA173" s="444">
        <v>0.9965631157551098</v>
      </c>
      <c r="AB173" s="444">
        <v>0.08175842235004109</v>
      </c>
      <c r="AC173" s="445">
        <v>484</v>
      </c>
      <c r="AD173" s="445">
        <v>511</v>
      </c>
      <c r="AE173" s="443">
        <v>1346082.638113383</v>
      </c>
      <c r="AF173" s="443">
        <v>0</v>
      </c>
      <c r="AG173" s="447">
        <v>0</v>
      </c>
      <c r="AH173" s="446">
        <v>0.06637834825378355</v>
      </c>
      <c r="AI173" s="448">
        <v>0.05589786544442177</v>
      </c>
      <c r="AJ173" s="443">
        <v>1346082.638113383</v>
      </c>
      <c r="AK173" s="449">
        <v>1</v>
      </c>
      <c r="AL173" s="443">
        <v>1346082.638113383</v>
      </c>
      <c r="AM173" s="443">
        <v>3000102.6194199272</v>
      </c>
      <c r="AN173" s="443">
        <v>2963464.3304620916</v>
      </c>
      <c r="AO173" s="443">
        <v>2878324.4924589847</v>
      </c>
      <c r="AP173" s="443">
        <v>2963464.3304620916</v>
      </c>
      <c r="AQ173" s="443">
        <v>24340</v>
      </c>
      <c r="AR173" s="443">
        <v>2987804.3304620916</v>
      </c>
      <c r="AS173" s="450">
        <v>491.0113936667365</v>
      </c>
      <c r="AT173" s="446">
        <v>6084</v>
      </c>
      <c r="AU173" s="446">
        <v>62</v>
      </c>
      <c r="AV173" s="446">
        <v>951</v>
      </c>
      <c r="AW173" s="446">
        <v>134</v>
      </c>
      <c r="AX173" s="446">
        <v>6</v>
      </c>
      <c r="AY173" s="446">
        <v>470</v>
      </c>
      <c r="AZ173" s="446">
        <v>92</v>
      </c>
      <c r="BA173" s="446">
        <v>428</v>
      </c>
      <c r="BB173" s="446">
        <v>902</v>
      </c>
      <c r="BC173" s="446">
        <v>125</v>
      </c>
      <c r="BD173" s="446">
        <v>1727</v>
      </c>
      <c r="BE173" s="446">
        <v>313</v>
      </c>
      <c r="BF173" s="446">
        <v>0</v>
      </c>
      <c r="BG173" s="446">
        <v>864</v>
      </c>
      <c r="BH173" s="446">
        <v>8</v>
      </c>
      <c r="BI173" s="446">
        <v>2</v>
      </c>
      <c r="BJ173" s="448">
        <v>1.2802199854642213</v>
      </c>
      <c r="BK173" s="448">
        <v>10.464279031444434</v>
      </c>
      <c r="BL173" s="448">
        <v>7.507505443126784</v>
      </c>
      <c r="BM173" s="448">
        <v>5.913547176635301</v>
      </c>
      <c r="BN173" s="445">
        <v>5771</v>
      </c>
      <c r="BO173" s="445">
        <v>313</v>
      </c>
      <c r="BP173" s="443">
        <v>1637036.4987128817</v>
      </c>
      <c r="BQ173" s="443">
        <v>6305862</v>
      </c>
      <c r="BR173" s="443">
        <v>8310334</v>
      </c>
      <c r="BS173" s="444">
        <v>0.08177186061801446</v>
      </c>
      <c r="BT173" s="445">
        <v>484</v>
      </c>
      <c r="BU173" s="445">
        <v>511</v>
      </c>
      <c r="BV173" s="443">
        <v>679551.4735371466</v>
      </c>
      <c r="BW173" s="444">
        <v>0.01154094962014798</v>
      </c>
      <c r="BX173" s="443">
        <v>9467.936005425054</v>
      </c>
      <c r="BY173" s="443">
        <v>8631917.908255454</v>
      </c>
      <c r="BZ173" s="451">
        <v>0.9833333333333334</v>
      </c>
      <c r="CA173" s="443">
        <v>8488052.60978453</v>
      </c>
      <c r="CB173" s="443">
        <v>6211028.937548062</v>
      </c>
      <c r="CC173" s="443">
        <v>6211028.937548062</v>
      </c>
      <c r="CD173" s="443">
        <v>5965552.440091542</v>
      </c>
      <c r="CE173" s="443">
        <v>6166888.104515994</v>
      </c>
      <c r="CF173" s="450">
        <v>1013.6239488027603</v>
      </c>
      <c r="CG173" s="446">
        <v>6084</v>
      </c>
      <c r="CH173" s="446">
        <v>62</v>
      </c>
      <c r="CI173" s="446">
        <v>951</v>
      </c>
      <c r="CJ173" s="446">
        <v>134</v>
      </c>
      <c r="CK173" s="446">
        <v>6</v>
      </c>
      <c r="CL173" s="446">
        <v>470</v>
      </c>
      <c r="CM173" s="446">
        <v>92</v>
      </c>
      <c r="CN173" s="446">
        <v>428</v>
      </c>
      <c r="CO173" s="446">
        <v>902</v>
      </c>
      <c r="CP173" s="446">
        <v>125</v>
      </c>
      <c r="CQ173" s="446">
        <v>1727</v>
      </c>
      <c r="CR173" s="446">
        <v>313</v>
      </c>
      <c r="CS173" s="446">
        <v>0</v>
      </c>
      <c r="CT173" s="446">
        <v>864</v>
      </c>
      <c r="CU173" s="446">
        <v>8</v>
      </c>
      <c r="CV173" s="446">
        <v>2</v>
      </c>
      <c r="CW173" s="443">
        <v>4078290.7018678053</v>
      </c>
      <c r="CX173" s="448">
        <v>0.9599925301985505</v>
      </c>
      <c r="CY173" s="448">
        <v>0.9833333333333334</v>
      </c>
      <c r="CZ173" s="443">
        <v>3915128.609771297</v>
      </c>
      <c r="DA173" s="450">
        <v>643.5122632760185</v>
      </c>
      <c r="DB173" s="445">
        <v>6085</v>
      </c>
      <c r="DC173" s="448">
        <v>1.0065078060805261</v>
      </c>
      <c r="DD173" s="450">
        <v>299.7</v>
      </c>
      <c r="DE173" s="443">
        <v>43346</v>
      </c>
      <c r="DF173" s="450">
        <v>50.728381416812915</v>
      </c>
      <c r="DG173" s="450">
        <v>52.909701817735865</v>
      </c>
      <c r="DH173" s="450">
        <v>54.07371525772604</v>
      </c>
      <c r="DI173" s="450">
        <v>55.263336993396</v>
      </c>
      <c r="DJ173" s="450">
        <v>57.08702711417806</v>
      </c>
      <c r="DK173" s="450">
        <v>59.14216009028846</v>
      </c>
      <c r="DL173" s="450">
        <v>61.034709213177685</v>
      </c>
      <c r="DM173" s="450">
        <v>63.53713229091797</v>
      </c>
      <c r="DN173" s="450">
        <v>66.33276611171834</v>
      </c>
      <c r="DO173" s="450">
        <v>69.98106824786285</v>
      </c>
      <c r="DP173" s="450">
        <v>69.35123863363208</v>
      </c>
      <c r="DQ173" s="450">
        <v>72.88815180394731</v>
      </c>
      <c r="DR173" s="450">
        <v>41.42</v>
      </c>
      <c r="DS173" s="450">
        <v>43.5054875257726</v>
      </c>
      <c r="DT173" s="450">
        <v>45.66268922267919</v>
      </c>
      <c r="DU173" s="450">
        <v>48.40924161042141</v>
      </c>
      <c r="DV173" s="450">
        <v>51.43628656295256</v>
      </c>
      <c r="DW173" s="450">
        <v>54.40765797966881</v>
      </c>
      <c r="DX173" s="450">
        <v>58.01812402365178</v>
      </c>
      <c r="DY173" s="450">
        <v>61.21112643969533</v>
      </c>
      <c r="DZ173" s="450">
        <v>63.040415464513636</v>
      </c>
      <c r="EA173" s="450">
        <v>64.71350348699394</v>
      </c>
      <c r="EB173" s="450">
        <v>68.98874409265397</v>
      </c>
      <c r="EC173" s="450">
        <v>-0.79</v>
      </c>
      <c r="ED173" s="450">
        <v>68.19874409265397</v>
      </c>
      <c r="EE173" s="450">
        <v>3546.3346928180063</v>
      </c>
      <c r="EF173" s="443">
        <v>21147857.673681613</v>
      </c>
      <c r="EG173" s="450">
        <v>43.94</v>
      </c>
      <c r="EH173" s="450">
        <v>45.82338352577259</v>
      </c>
      <c r="EI173" s="450">
        <v>47.76836896667918</v>
      </c>
      <c r="EJ173" s="450">
        <v>50.3125128890294</v>
      </c>
      <c r="EK173" s="450">
        <v>53.12639145835645</v>
      </c>
      <c r="EL173" s="450">
        <v>55.861148189716154</v>
      </c>
      <c r="EM173" s="450">
        <v>59.2285906705792</v>
      </c>
      <c r="EN173" s="450">
        <v>62.33443948804397</v>
      </c>
      <c r="EO173" s="450">
        <v>64.11168167495546</v>
      </c>
      <c r="EP173" s="450">
        <v>65.42932217302459</v>
      </c>
      <c r="EQ173" s="450">
        <v>69.59060444386854</v>
      </c>
      <c r="ER173" s="443">
        <v>30275299</v>
      </c>
      <c r="ES173" s="443">
        <v>620000</v>
      </c>
      <c r="ET173" s="443">
        <v>0</v>
      </c>
      <c r="EU173" s="443">
        <v>0</v>
      </c>
      <c r="EV173" s="443">
        <v>0</v>
      </c>
      <c r="EW173" s="443">
        <v>0</v>
      </c>
      <c r="EX173" s="443">
        <v>0</v>
      </c>
      <c r="EY173" s="443">
        <v>0</v>
      </c>
      <c r="EZ173" s="443">
        <v>0</v>
      </c>
      <c r="FA173" s="443">
        <v>30585299</v>
      </c>
      <c r="FB173" s="443">
        <v>53699.0121033546</v>
      </c>
      <c r="FC173" s="443">
        <v>0</v>
      </c>
      <c r="FD173" s="443">
        <v>0</v>
      </c>
      <c r="FE173" s="443">
        <v>0</v>
      </c>
      <c r="FF173" s="452">
        <v>0</v>
      </c>
      <c r="FG173" s="443">
        <v>0</v>
      </c>
      <c r="FH173" s="453">
        <v>0</v>
      </c>
    </row>
    <row r="174" spans="2:164" ht="12.75">
      <c r="B174" s="356" t="s">
        <v>862</v>
      </c>
      <c r="C174" s="442">
        <v>3246.48</v>
      </c>
      <c r="D174" s="443">
        <v>787229.84</v>
      </c>
      <c r="E174" s="443">
        <v>675443.2027200001</v>
      </c>
      <c r="F174" s="443">
        <v>126160.14969060807</v>
      </c>
      <c r="G174" s="443">
        <v>111786.63728000002</v>
      </c>
      <c r="H174" s="444">
        <v>0.553701239496316</v>
      </c>
      <c r="I174" s="445">
        <v>1610.9</v>
      </c>
      <c r="J174" s="445">
        <v>186.68</v>
      </c>
      <c r="K174" s="443">
        <v>801603.3524106081</v>
      </c>
      <c r="L174" s="443">
        <v>641282.6819284866</v>
      </c>
      <c r="M174" s="443">
        <v>188672.39399102834</v>
      </c>
      <c r="N174" s="443">
        <v>160320.67048212158</v>
      </c>
      <c r="O174" s="446">
        <v>1.1768438431778419</v>
      </c>
      <c r="P174" s="447">
        <v>0.8637046893866588</v>
      </c>
      <c r="Q174" s="448">
        <v>0.1361474581700796</v>
      </c>
      <c r="R174" s="443">
        <v>829955.0759195149</v>
      </c>
      <c r="S174" s="443">
        <v>561049.6313215921</v>
      </c>
      <c r="T174" s="443">
        <v>129082.15090740455</v>
      </c>
      <c r="U174" s="443">
        <v>134331.4067564613</v>
      </c>
      <c r="V174" s="443">
        <v>189229.7573096494</v>
      </c>
      <c r="W174" s="446">
        <v>0.7098852139658234</v>
      </c>
      <c r="X174" s="448">
        <v>13.254604380426125</v>
      </c>
      <c r="Y174" s="443">
        <v>129082.15090740455</v>
      </c>
      <c r="Z174" s="443">
        <v>79675.68728827343</v>
      </c>
      <c r="AA174" s="444">
        <v>1.6200946022639795</v>
      </c>
      <c r="AB174" s="444">
        <v>0.13291318597373156</v>
      </c>
      <c r="AC174" s="445">
        <v>424</v>
      </c>
      <c r="AD174" s="445">
        <v>439</v>
      </c>
      <c r="AE174" s="443">
        <v>824463.1889854579</v>
      </c>
      <c r="AF174" s="443">
        <v>18065.200112694343</v>
      </c>
      <c r="AG174" s="447">
        <v>0.25</v>
      </c>
      <c r="AH174" s="446">
        <v>0.17984574887494992</v>
      </c>
      <c r="AI174" s="448">
        <v>0.15144988894462585</v>
      </c>
      <c r="AJ174" s="443">
        <v>842528.3890981522</v>
      </c>
      <c r="AK174" s="449">
        <v>1.015630059694977</v>
      </c>
      <c r="AL174" s="443">
        <v>855697.1581144691</v>
      </c>
      <c r="AM174" s="443">
        <v>1907148.3524127945</v>
      </c>
      <c r="AN174" s="443">
        <v>1883857.5983002998</v>
      </c>
      <c r="AO174" s="443">
        <v>1786755.7123077915</v>
      </c>
      <c r="AP174" s="443">
        <v>1883857.5983002998</v>
      </c>
      <c r="AQ174" s="443">
        <v>12985.92</v>
      </c>
      <c r="AR174" s="443">
        <v>1896843.5183002998</v>
      </c>
      <c r="AS174" s="450">
        <v>584.276976386825</v>
      </c>
      <c r="AT174" s="446">
        <v>3221</v>
      </c>
      <c r="AU174" s="446">
        <v>23</v>
      </c>
      <c r="AV174" s="446">
        <v>221</v>
      </c>
      <c r="AW174" s="446">
        <v>135</v>
      </c>
      <c r="AX174" s="446">
        <v>8</v>
      </c>
      <c r="AY174" s="446">
        <v>362</v>
      </c>
      <c r="AZ174" s="446">
        <v>46</v>
      </c>
      <c r="BA174" s="446">
        <v>136</v>
      </c>
      <c r="BB174" s="446">
        <v>125</v>
      </c>
      <c r="BC174" s="446">
        <v>22</v>
      </c>
      <c r="BD174" s="446">
        <v>1346</v>
      </c>
      <c r="BE174" s="446">
        <v>442</v>
      </c>
      <c r="BF174" s="446">
        <v>0</v>
      </c>
      <c r="BG174" s="446">
        <v>355</v>
      </c>
      <c r="BH174" s="446">
        <v>0</v>
      </c>
      <c r="BI174" s="446">
        <v>0</v>
      </c>
      <c r="BJ174" s="448">
        <v>1.3246467422408885</v>
      </c>
      <c r="BK174" s="448">
        <v>10.241041445865495</v>
      </c>
      <c r="BL174" s="448">
        <v>6.937663807335373</v>
      </c>
      <c r="BM174" s="448">
        <v>6.606755277060245</v>
      </c>
      <c r="BN174" s="445">
        <v>2779</v>
      </c>
      <c r="BO174" s="445">
        <v>442</v>
      </c>
      <c r="BP174" s="443">
        <v>802942.5706897681</v>
      </c>
      <c r="BQ174" s="443">
        <v>3405421</v>
      </c>
      <c r="BR174" s="443">
        <v>4158748</v>
      </c>
      <c r="BS174" s="444">
        <v>0.1339646072648246</v>
      </c>
      <c r="BT174" s="445">
        <v>424</v>
      </c>
      <c r="BU174" s="445">
        <v>439</v>
      </c>
      <c r="BV174" s="443">
        <v>557125.0425333747</v>
      </c>
      <c r="BW174" s="444">
        <v>0.017347849132203403</v>
      </c>
      <c r="BX174" s="443">
        <v>7373.874413791687</v>
      </c>
      <c r="BY174" s="443">
        <v>4772862.487636935</v>
      </c>
      <c r="BZ174" s="451">
        <v>1.04</v>
      </c>
      <c r="CA174" s="443">
        <v>4963776.987142413</v>
      </c>
      <c r="CB174" s="443">
        <v>3632183.249092666</v>
      </c>
      <c r="CC174" s="443">
        <v>3632183.249092666</v>
      </c>
      <c r="CD174" s="443">
        <v>3520490.4058557176</v>
      </c>
      <c r="CE174" s="443">
        <v>3606369.8780792365</v>
      </c>
      <c r="CF174" s="450">
        <v>1119.6429301705173</v>
      </c>
      <c r="CG174" s="446">
        <v>3221</v>
      </c>
      <c r="CH174" s="446">
        <v>23</v>
      </c>
      <c r="CI174" s="446">
        <v>221</v>
      </c>
      <c r="CJ174" s="446">
        <v>135</v>
      </c>
      <c r="CK174" s="446">
        <v>8</v>
      </c>
      <c r="CL174" s="446">
        <v>362</v>
      </c>
      <c r="CM174" s="446">
        <v>46</v>
      </c>
      <c r="CN174" s="446">
        <v>136</v>
      </c>
      <c r="CO174" s="446">
        <v>125</v>
      </c>
      <c r="CP174" s="446">
        <v>22</v>
      </c>
      <c r="CQ174" s="446">
        <v>1346</v>
      </c>
      <c r="CR174" s="446">
        <v>442</v>
      </c>
      <c r="CS174" s="446">
        <v>0</v>
      </c>
      <c r="CT174" s="446">
        <v>355</v>
      </c>
      <c r="CU174" s="446">
        <v>0</v>
      </c>
      <c r="CV174" s="446">
        <v>0</v>
      </c>
      <c r="CW174" s="443">
        <v>2355652.8531959313</v>
      </c>
      <c r="CX174" s="448">
        <v>1.015314133633721</v>
      </c>
      <c r="CY174" s="448">
        <v>1.04</v>
      </c>
      <c r="CZ174" s="443">
        <v>2391727.63578443</v>
      </c>
      <c r="DA174" s="450">
        <v>742.5419546055356</v>
      </c>
      <c r="DB174" s="445">
        <v>3246.48</v>
      </c>
      <c r="DC174" s="448">
        <v>0.9853010029324069</v>
      </c>
      <c r="DD174" s="450">
        <v>325.9</v>
      </c>
      <c r="DE174" s="443">
        <v>39400</v>
      </c>
      <c r="DF174" s="450">
        <v>51.78016428459885</v>
      </c>
      <c r="DG174" s="450">
        <v>54.006711348836596</v>
      </c>
      <c r="DH174" s="450">
        <v>55.19485899851099</v>
      </c>
      <c r="DI174" s="450">
        <v>56.409145896478215</v>
      </c>
      <c r="DJ174" s="450">
        <v>58.27064771106199</v>
      </c>
      <c r="DK174" s="450">
        <v>60.36839102866021</v>
      </c>
      <c r="DL174" s="450">
        <v>62.30017954157733</v>
      </c>
      <c r="DM174" s="450">
        <v>64.854486902782</v>
      </c>
      <c r="DN174" s="450">
        <v>67.70808432650439</v>
      </c>
      <c r="DO174" s="450">
        <v>71.43202896446213</v>
      </c>
      <c r="DP174" s="450">
        <v>70.78914070378197</v>
      </c>
      <c r="DQ174" s="450">
        <v>74.39938687967485</v>
      </c>
      <c r="DR174" s="450">
        <v>40.94</v>
      </c>
      <c r="DS174" s="450">
        <v>43.176097899851094</v>
      </c>
      <c r="DT174" s="450">
        <v>45.49076914729563</v>
      </c>
      <c r="DU174" s="450">
        <v>48.40179992689458</v>
      </c>
      <c r="DV174" s="450">
        <v>51.60485419631955</v>
      </c>
      <c r="DW174" s="450">
        <v>54.76353786576436</v>
      </c>
      <c r="DX174" s="450">
        <v>58.577971715164956</v>
      </c>
      <c r="DY174" s="450">
        <v>61.88347823239578</v>
      </c>
      <c r="DZ174" s="450">
        <v>63.778345671925585</v>
      </c>
      <c r="EA174" s="450">
        <v>65.67495949993484</v>
      </c>
      <c r="EB174" s="450">
        <v>70.09938332348018</v>
      </c>
      <c r="EC174" s="450">
        <v>-1.95</v>
      </c>
      <c r="ED174" s="450">
        <v>68.14938332348018</v>
      </c>
      <c r="EE174" s="450">
        <v>3543.7679328209692</v>
      </c>
      <c r="EF174" s="443">
        <v>11274676.284173729</v>
      </c>
      <c r="EG174" s="450">
        <v>45.3</v>
      </c>
      <c r="EH174" s="450">
        <v>47.18642589985109</v>
      </c>
      <c r="EI174" s="450">
        <v>49.13392933929563</v>
      </c>
      <c r="EJ174" s="450">
        <v>51.69476134543858</v>
      </c>
      <c r="EK174" s="450">
        <v>54.52900393598662</v>
      </c>
      <c r="EL174" s="450">
        <v>57.27830664187804</v>
      </c>
      <c r="EM174" s="450">
        <v>60.672271151912426</v>
      </c>
      <c r="EN174" s="450">
        <v>63.82698810969743</v>
      </c>
      <c r="EO174" s="450">
        <v>65.63180625824559</v>
      </c>
      <c r="EP174" s="450">
        <v>66.9134394487815</v>
      </c>
      <c r="EQ174" s="450">
        <v>71.14069726447045</v>
      </c>
      <c r="ER174" s="443">
        <v>23952819</v>
      </c>
      <c r="ES174" s="443">
        <v>705000</v>
      </c>
      <c r="ET174" s="443">
        <v>0</v>
      </c>
      <c r="EU174" s="443">
        <v>0</v>
      </c>
      <c r="EV174" s="443">
        <v>0</v>
      </c>
      <c r="EW174" s="443">
        <v>0</v>
      </c>
      <c r="EX174" s="443">
        <v>0</v>
      </c>
      <c r="EY174" s="443">
        <v>0</v>
      </c>
      <c r="EZ174" s="443">
        <v>0</v>
      </c>
      <c r="FA174" s="443">
        <v>24305319</v>
      </c>
      <c r="FB174" s="443">
        <v>50727.34702125778</v>
      </c>
      <c r="FC174" s="443">
        <v>0</v>
      </c>
      <c r="FD174" s="443">
        <v>0</v>
      </c>
      <c r="FE174" s="443">
        <v>20896</v>
      </c>
      <c r="FF174" s="452">
        <v>0.0521</v>
      </c>
      <c r="FG174" s="443">
        <v>1088.6816000000001</v>
      </c>
      <c r="FH174" s="453">
        <v>1088.6816000000001</v>
      </c>
    </row>
    <row r="175" spans="2:164" ht="12.75">
      <c r="B175" s="356" t="s">
        <v>863</v>
      </c>
      <c r="C175" s="442">
        <v>3120</v>
      </c>
      <c r="D175" s="443">
        <v>757760</v>
      </c>
      <c r="E175" s="443">
        <v>650158.08</v>
      </c>
      <c r="F175" s="443">
        <v>108540.55359021436</v>
      </c>
      <c r="G175" s="443">
        <v>107601.92</v>
      </c>
      <c r="H175" s="444">
        <v>0.4948974358974359</v>
      </c>
      <c r="I175" s="445">
        <v>1333.22</v>
      </c>
      <c r="J175" s="445">
        <v>210.86</v>
      </c>
      <c r="K175" s="443">
        <v>758698.6335902143</v>
      </c>
      <c r="L175" s="443">
        <v>606958.9068721714</v>
      </c>
      <c r="M175" s="443">
        <v>234248.2031209786</v>
      </c>
      <c r="N175" s="443">
        <v>151739.72671804283</v>
      </c>
      <c r="O175" s="446">
        <v>1.54375</v>
      </c>
      <c r="P175" s="447">
        <v>0.5817307692307693</v>
      </c>
      <c r="Q175" s="448">
        <v>0.4182692307692308</v>
      </c>
      <c r="R175" s="443">
        <v>841207.10999315</v>
      </c>
      <c r="S175" s="443">
        <v>568656.0063553695</v>
      </c>
      <c r="T175" s="443">
        <v>86918.75234248322</v>
      </c>
      <c r="U175" s="443">
        <v>214703.8171886987</v>
      </c>
      <c r="V175" s="443">
        <v>191795.22107843822</v>
      </c>
      <c r="W175" s="446">
        <v>1.1194429974920574</v>
      </c>
      <c r="X175" s="448">
        <v>20.901652501399926</v>
      </c>
      <c r="Y175" s="443">
        <v>86918.75234248322</v>
      </c>
      <c r="Z175" s="443">
        <v>80755.8825593424</v>
      </c>
      <c r="AA175" s="444">
        <v>1.0763148093714674</v>
      </c>
      <c r="AB175" s="444">
        <v>0.08830128205128206</v>
      </c>
      <c r="AC175" s="445">
        <v>262</v>
      </c>
      <c r="AD175" s="445">
        <v>289</v>
      </c>
      <c r="AE175" s="443">
        <v>870278.5758865514</v>
      </c>
      <c r="AF175" s="443">
        <v>78422.93110935105</v>
      </c>
      <c r="AG175" s="447">
        <v>0.75</v>
      </c>
      <c r="AH175" s="446">
        <v>0.32698134802162476</v>
      </c>
      <c r="AI175" s="448">
        <v>0.2753542363643646</v>
      </c>
      <c r="AJ175" s="443">
        <v>948701.5069959024</v>
      </c>
      <c r="AK175" s="449">
        <v>1.0108730912711368</v>
      </c>
      <c r="AL175" s="443">
        <v>959016.8250705339</v>
      </c>
      <c r="AM175" s="443">
        <v>2137423.6673867144</v>
      </c>
      <c r="AN175" s="443">
        <v>2111320.71162643</v>
      </c>
      <c r="AO175" s="443">
        <v>1966734.8383438915</v>
      </c>
      <c r="AP175" s="443">
        <v>2111320.71162643</v>
      </c>
      <c r="AQ175" s="443">
        <v>12480</v>
      </c>
      <c r="AR175" s="443">
        <v>2123800.71162643</v>
      </c>
      <c r="AS175" s="450">
        <v>680.7053562905224</v>
      </c>
      <c r="AT175" s="446">
        <v>3110</v>
      </c>
      <c r="AU175" s="446">
        <v>19</v>
      </c>
      <c r="AV175" s="446">
        <v>430</v>
      </c>
      <c r="AW175" s="446">
        <v>138</v>
      </c>
      <c r="AX175" s="446">
        <v>17</v>
      </c>
      <c r="AY175" s="446">
        <v>505</v>
      </c>
      <c r="AZ175" s="446">
        <v>31</v>
      </c>
      <c r="BA175" s="446">
        <v>376</v>
      </c>
      <c r="BB175" s="446">
        <v>96</v>
      </c>
      <c r="BC175" s="446">
        <v>4</v>
      </c>
      <c r="BD175" s="446">
        <v>189</v>
      </c>
      <c r="BE175" s="446">
        <v>900</v>
      </c>
      <c r="BF175" s="446">
        <v>405</v>
      </c>
      <c r="BG175" s="446">
        <v>0</v>
      </c>
      <c r="BH175" s="446">
        <v>0</v>
      </c>
      <c r="BI175" s="446">
        <v>0</v>
      </c>
      <c r="BJ175" s="448">
        <v>1.9486032615454842</v>
      </c>
      <c r="BK175" s="448">
        <v>19.80228073052198</v>
      </c>
      <c r="BL175" s="448">
        <v>13.071292425512482</v>
      </c>
      <c r="BM175" s="448">
        <v>13.461976610018993</v>
      </c>
      <c r="BN175" s="445">
        <v>1805</v>
      </c>
      <c r="BO175" s="445">
        <v>1305</v>
      </c>
      <c r="BP175" s="443">
        <v>1310768.9045470625</v>
      </c>
      <c r="BQ175" s="443">
        <v>3628749</v>
      </c>
      <c r="BR175" s="443">
        <v>4469876</v>
      </c>
      <c r="BS175" s="444">
        <v>0.08858520900321544</v>
      </c>
      <c r="BT175" s="445">
        <v>262</v>
      </c>
      <c r="BU175" s="445">
        <v>289</v>
      </c>
      <c r="BV175" s="443">
        <v>395964.8996784566</v>
      </c>
      <c r="BW175" s="444">
        <v>0.014801120316686855</v>
      </c>
      <c r="BX175" s="443">
        <v>11745.876836745198</v>
      </c>
      <c r="BY175" s="443">
        <v>5347228.681062264</v>
      </c>
      <c r="BZ175" s="451">
        <v>1.0633333333333335</v>
      </c>
      <c r="CA175" s="443">
        <v>5685886.497529542</v>
      </c>
      <c r="CB175" s="443">
        <v>4160578.073121328</v>
      </c>
      <c r="CC175" s="443">
        <v>4160578.073121328</v>
      </c>
      <c r="CD175" s="443">
        <v>4033802.5493234056</v>
      </c>
      <c r="CE175" s="443">
        <v>4131009.480881757</v>
      </c>
      <c r="CF175" s="450">
        <v>1328.2988684507256</v>
      </c>
      <c r="CG175" s="446">
        <v>3110</v>
      </c>
      <c r="CH175" s="446">
        <v>19</v>
      </c>
      <c r="CI175" s="446">
        <v>430</v>
      </c>
      <c r="CJ175" s="446">
        <v>138</v>
      </c>
      <c r="CK175" s="446">
        <v>17</v>
      </c>
      <c r="CL175" s="446">
        <v>505</v>
      </c>
      <c r="CM175" s="446">
        <v>31</v>
      </c>
      <c r="CN175" s="446">
        <v>376</v>
      </c>
      <c r="CO175" s="446">
        <v>96</v>
      </c>
      <c r="CP175" s="446">
        <v>4</v>
      </c>
      <c r="CQ175" s="446">
        <v>189</v>
      </c>
      <c r="CR175" s="446">
        <v>900</v>
      </c>
      <c r="CS175" s="446">
        <v>405</v>
      </c>
      <c r="CT175" s="446">
        <v>0</v>
      </c>
      <c r="CU175" s="446">
        <v>0</v>
      </c>
      <c r="CV175" s="446">
        <v>0</v>
      </c>
      <c r="CW175" s="443">
        <v>2288220.9538958822</v>
      </c>
      <c r="CX175" s="448">
        <v>1.0380936174011444</v>
      </c>
      <c r="CY175" s="448">
        <v>1.0633333333333335</v>
      </c>
      <c r="CZ175" s="443">
        <v>2375387.5674428735</v>
      </c>
      <c r="DA175" s="450">
        <v>763.7902146118564</v>
      </c>
      <c r="DB175" s="445">
        <v>3120</v>
      </c>
      <c r="DC175" s="448">
        <v>1.0146794871794873</v>
      </c>
      <c r="DD175" s="450">
        <v>316.4</v>
      </c>
      <c r="DE175" s="443">
        <v>34464</v>
      </c>
      <c r="DF175" s="450">
        <v>50.146554085684826</v>
      </c>
      <c r="DG175" s="450">
        <v>52.30285591136927</v>
      </c>
      <c r="DH175" s="450">
        <v>53.45351874141939</v>
      </c>
      <c r="DI175" s="450">
        <v>54.6294961537306</v>
      </c>
      <c r="DJ175" s="450">
        <v>56.43226952680371</v>
      </c>
      <c r="DK175" s="450">
        <v>58.46383122976863</v>
      </c>
      <c r="DL175" s="450">
        <v>60.334673829121215</v>
      </c>
      <c r="DM175" s="450">
        <v>62.80839545611518</v>
      </c>
      <c r="DN175" s="450">
        <v>65.57196485618424</v>
      </c>
      <c r="DO175" s="450">
        <v>69.17842292327437</v>
      </c>
      <c r="DP175" s="450">
        <v>68.5558171169649</v>
      </c>
      <c r="DQ175" s="450">
        <v>72.0521637899301</v>
      </c>
      <c r="DR175" s="450">
        <v>41.37</v>
      </c>
      <c r="DS175" s="450">
        <v>43.39747787414193</v>
      </c>
      <c r="DT175" s="450">
        <v>45.494141694746105</v>
      </c>
      <c r="DU175" s="450">
        <v>48.1750510151891</v>
      </c>
      <c r="DV175" s="450">
        <v>51.131421191454855</v>
      </c>
      <c r="DW175" s="450">
        <v>54.02880119617137</v>
      </c>
      <c r="DX175" s="450">
        <v>57.556864727394554</v>
      </c>
      <c r="DY175" s="450">
        <v>60.698544339931495</v>
      </c>
      <c r="DZ175" s="450">
        <v>62.49807331373296</v>
      </c>
      <c r="EA175" s="450">
        <v>64.09201621190792</v>
      </c>
      <c r="EB175" s="450">
        <v>68.29899998895819</v>
      </c>
      <c r="EC175" s="450">
        <v>-0.36</v>
      </c>
      <c r="ED175" s="450">
        <v>67.93899998895819</v>
      </c>
      <c r="EE175" s="450">
        <v>3532.8279994258255</v>
      </c>
      <c r="EF175" s="443">
        <v>10801974.891044404</v>
      </c>
      <c r="EG175" s="450">
        <v>50.25</v>
      </c>
      <c r="EH175" s="450">
        <v>51.56530187414193</v>
      </c>
      <c r="EI175" s="450">
        <v>52.914156030746106</v>
      </c>
      <c r="EJ175" s="450">
        <v>54.8818164731411</v>
      </c>
      <c r="EK175" s="450">
        <v>57.08702891811624</v>
      </c>
      <c r="EL175" s="450">
        <v>59.150623841100156</v>
      </c>
      <c r="EM175" s="450">
        <v>61.82231862609124</v>
      </c>
      <c r="EN175" s="450">
        <v>64.65688555792201</v>
      </c>
      <c r="EO175" s="450">
        <v>66.27301138862325</v>
      </c>
      <c r="EP175" s="450">
        <v>66.61442491506351</v>
      </c>
      <c r="EQ175" s="450">
        <v>70.41984122657142</v>
      </c>
      <c r="ER175" s="443">
        <v>27497206</v>
      </c>
      <c r="ES175" s="443">
        <v>1703000</v>
      </c>
      <c r="ET175" s="443">
        <v>0</v>
      </c>
      <c r="EU175" s="443">
        <v>0</v>
      </c>
      <c r="EV175" s="443">
        <v>0</v>
      </c>
      <c r="EW175" s="443">
        <v>0</v>
      </c>
      <c r="EX175" s="443">
        <v>0</v>
      </c>
      <c r="EY175" s="443">
        <v>0</v>
      </c>
      <c r="EZ175" s="443">
        <v>0</v>
      </c>
      <c r="FA175" s="443">
        <v>28348706</v>
      </c>
      <c r="FB175" s="443">
        <v>52640.663936487486</v>
      </c>
      <c r="FC175" s="443">
        <v>0</v>
      </c>
      <c r="FD175" s="443">
        <v>0</v>
      </c>
      <c r="FE175" s="443">
        <v>38242</v>
      </c>
      <c r="FF175" s="452">
        <v>0.0758</v>
      </c>
      <c r="FG175" s="443">
        <v>2898.7436000000002</v>
      </c>
      <c r="FH175" s="453">
        <v>2898.7436000000002</v>
      </c>
    </row>
    <row r="176" spans="2:164" ht="12.75">
      <c r="B176" s="356" t="s">
        <v>864</v>
      </c>
      <c r="C176" s="442">
        <v>10322</v>
      </c>
      <c r="D176" s="443">
        <v>2435826</v>
      </c>
      <c r="E176" s="443">
        <v>2089938.7079999999</v>
      </c>
      <c r="F176" s="443">
        <v>334324.21547800954</v>
      </c>
      <c r="G176" s="443">
        <v>345887.292</v>
      </c>
      <c r="H176" s="444">
        <v>0.4742162371633404</v>
      </c>
      <c r="I176" s="445">
        <v>4160.75</v>
      </c>
      <c r="J176" s="445">
        <v>734.11</v>
      </c>
      <c r="K176" s="443">
        <v>2424262.923478009</v>
      </c>
      <c r="L176" s="443">
        <v>1939410.3387824073</v>
      </c>
      <c r="M176" s="443">
        <v>656871.4425151874</v>
      </c>
      <c r="N176" s="443">
        <v>484852.5846956017</v>
      </c>
      <c r="O176" s="446">
        <v>1.3547858942065492</v>
      </c>
      <c r="P176" s="447">
        <v>0.72708777368727</v>
      </c>
      <c r="Q176" s="448">
        <v>0.2729122263127301</v>
      </c>
      <c r="R176" s="443">
        <v>2596281.781297595</v>
      </c>
      <c r="S176" s="443">
        <v>1755086.4841571741</v>
      </c>
      <c r="T176" s="443">
        <v>234432.21503095125</v>
      </c>
      <c r="U176" s="443">
        <v>458206.96860540885</v>
      </c>
      <c r="V176" s="443">
        <v>591952.2461358516</v>
      </c>
      <c r="W176" s="446">
        <v>0.7740606976263613</v>
      </c>
      <c r="X176" s="448">
        <v>14.45285535129912</v>
      </c>
      <c r="Y176" s="443">
        <v>234432.21503095125</v>
      </c>
      <c r="Z176" s="443">
        <v>249243.0510045691</v>
      </c>
      <c r="AA176" s="444">
        <v>0.9405767345812729</v>
      </c>
      <c r="AB176" s="444">
        <v>0.07716527804689013</v>
      </c>
      <c r="AC176" s="445">
        <v>804</v>
      </c>
      <c r="AD176" s="445">
        <v>789</v>
      </c>
      <c r="AE176" s="443">
        <v>2447725.667793534</v>
      </c>
      <c r="AF176" s="443">
        <v>0</v>
      </c>
      <c r="AG176" s="447">
        <v>0</v>
      </c>
      <c r="AH176" s="446">
        <v>0.18252026434960852</v>
      </c>
      <c r="AI176" s="448">
        <v>0.15370212495326996</v>
      </c>
      <c r="AJ176" s="443">
        <v>2447725.667793534</v>
      </c>
      <c r="AK176" s="449">
        <v>1.0752460753535806</v>
      </c>
      <c r="AL176" s="443">
        <v>2631907.41783722</v>
      </c>
      <c r="AM176" s="443">
        <v>5865904.599580078</v>
      </c>
      <c r="AN176" s="443">
        <v>5794268.147437629</v>
      </c>
      <c r="AO176" s="443">
        <v>5745222.543843202</v>
      </c>
      <c r="AP176" s="443">
        <v>5794268.147437629</v>
      </c>
      <c r="AQ176" s="443">
        <v>41288</v>
      </c>
      <c r="AR176" s="443">
        <v>5835556.147437629</v>
      </c>
      <c r="AS176" s="450">
        <v>565.3513027938025</v>
      </c>
      <c r="AT176" s="446">
        <v>10322</v>
      </c>
      <c r="AU176" s="446">
        <v>468</v>
      </c>
      <c r="AV176" s="446">
        <v>1135</v>
      </c>
      <c r="AW176" s="446">
        <v>367</v>
      </c>
      <c r="AX176" s="446">
        <v>183</v>
      </c>
      <c r="AY176" s="446">
        <v>1368</v>
      </c>
      <c r="AZ176" s="446">
        <v>649</v>
      </c>
      <c r="BA176" s="446">
        <v>265</v>
      </c>
      <c r="BB176" s="446">
        <v>681</v>
      </c>
      <c r="BC176" s="446">
        <v>24</v>
      </c>
      <c r="BD176" s="446">
        <v>1834</v>
      </c>
      <c r="BE176" s="446">
        <v>1842</v>
      </c>
      <c r="BF176" s="446">
        <v>975</v>
      </c>
      <c r="BG176" s="446">
        <v>531</v>
      </c>
      <c r="BH176" s="446">
        <v>0</v>
      </c>
      <c r="BI176" s="446">
        <v>0</v>
      </c>
      <c r="BJ176" s="448">
        <v>1.6256857715213022</v>
      </c>
      <c r="BK176" s="448">
        <v>15.84569855183759</v>
      </c>
      <c r="BL176" s="448">
        <v>9.44273351530153</v>
      </c>
      <c r="BM176" s="448">
        <v>12.805930073072119</v>
      </c>
      <c r="BN176" s="445">
        <v>7505</v>
      </c>
      <c r="BO176" s="445">
        <v>2817</v>
      </c>
      <c r="BP176" s="443">
        <v>3376594.8666513474</v>
      </c>
      <c r="BQ176" s="443">
        <v>11462601</v>
      </c>
      <c r="BR176" s="443">
        <v>14469824</v>
      </c>
      <c r="BS176" s="444">
        <v>0.07716527804689013</v>
      </c>
      <c r="BT176" s="445">
        <v>804</v>
      </c>
      <c r="BU176" s="445">
        <v>789</v>
      </c>
      <c r="BV176" s="443">
        <v>1116567.992249564</v>
      </c>
      <c r="BW176" s="444">
        <v>0.008457616073921372</v>
      </c>
      <c r="BX176" s="443">
        <v>17825.366289361045</v>
      </c>
      <c r="BY176" s="443">
        <v>15973589.225190273</v>
      </c>
      <c r="BZ176" s="451">
        <v>1.04</v>
      </c>
      <c r="CA176" s="443">
        <v>16612532.794197883</v>
      </c>
      <c r="CB176" s="443">
        <v>12156018.188646508</v>
      </c>
      <c r="CC176" s="443">
        <v>12156018.188646508</v>
      </c>
      <c r="CD176" s="443">
        <v>11919475.548944734</v>
      </c>
      <c r="CE176" s="443">
        <v>12069627.225958182</v>
      </c>
      <c r="CF176" s="450">
        <v>1169.3109112534569</v>
      </c>
      <c r="CG176" s="446">
        <v>10322</v>
      </c>
      <c r="CH176" s="446">
        <v>468</v>
      </c>
      <c r="CI176" s="446">
        <v>1135</v>
      </c>
      <c r="CJ176" s="446">
        <v>367</v>
      </c>
      <c r="CK176" s="446">
        <v>183</v>
      </c>
      <c r="CL176" s="446">
        <v>1368</v>
      </c>
      <c r="CM176" s="446">
        <v>649</v>
      </c>
      <c r="CN176" s="446">
        <v>265</v>
      </c>
      <c r="CO176" s="446">
        <v>681</v>
      </c>
      <c r="CP176" s="446">
        <v>24</v>
      </c>
      <c r="CQ176" s="446">
        <v>1834</v>
      </c>
      <c r="CR176" s="446">
        <v>1842</v>
      </c>
      <c r="CS176" s="446">
        <v>975</v>
      </c>
      <c r="CT176" s="446">
        <v>531</v>
      </c>
      <c r="CU176" s="446">
        <v>0</v>
      </c>
      <c r="CV176" s="446">
        <v>0</v>
      </c>
      <c r="CW176" s="443">
        <v>7517389.022237119</v>
      </c>
      <c r="CX176" s="448">
        <v>1.015314133633721</v>
      </c>
      <c r="CY176" s="448">
        <v>1.04</v>
      </c>
      <c r="CZ176" s="443">
        <v>7632511.322300326</v>
      </c>
      <c r="DA176" s="450">
        <v>739.4411279112891</v>
      </c>
      <c r="DB176" s="445">
        <v>10322</v>
      </c>
      <c r="DC176" s="448">
        <v>1.016421236194536</v>
      </c>
      <c r="DD176" s="450">
        <v>325.9</v>
      </c>
      <c r="DE176" s="443">
        <v>39846</v>
      </c>
      <c r="DF176" s="450">
        <v>53.15263850586777</v>
      </c>
      <c r="DG176" s="450">
        <v>55.43820196162008</v>
      </c>
      <c r="DH176" s="450">
        <v>56.657842404775714</v>
      </c>
      <c r="DI176" s="450">
        <v>57.904314937680766</v>
      </c>
      <c r="DJ176" s="450">
        <v>59.815157330624224</v>
      </c>
      <c r="DK176" s="450">
        <v>61.96850299452669</v>
      </c>
      <c r="DL176" s="450">
        <v>63.95149509035153</v>
      </c>
      <c r="DM176" s="450">
        <v>66.57350638905594</v>
      </c>
      <c r="DN176" s="450">
        <v>69.50274067017439</v>
      </c>
      <c r="DO176" s="450">
        <v>73.32539140703398</v>
      </c>
      <c r="DP176" s="450">
        <v>72.66546288437067</v>
      </c>
      <c r="DQ176" s="450">
        <v>76.37140149147356</v>
      </c>
      <c r="DR176" s="450">
        <v>44.99</v>
      </c>
      <c r="DS176" s="450">
        <v>47.047586240477564</v>
      </c>
      <c r="DT176" s="450">
        <v>49.17393111553614</v>
      </c>
      <c r="DU176" s="450">
        <v>51.92398165338326</v>
      </c>
      <c r="DV176" s="450">
        <v>54.96113899313671</v>
      </c>
      <c r="DW176" s="450">
        <v>57.92516204915615</v>
      </c>
      <c r="DX176" s="450">
        <v>61.55477623234842</v>
      </c>
      <c r="DY176" s="450">
        <v>64.84535908474982</v>
      </c>
      <c r="DZ176" s="450">
        <v>66.72921687429202</v>
      </c>
      <c r="EA176" s="450">
        <v>68.25790765595671</v>
      </c>
      <c r="EB176" s="450">
        <v>72.66552905542312</v>
      </c>
      <c r="EC176" s="450">
        <v>-0.25</v>
      </c>
      <c r="ED176" s="450">
        <v>72.41552905542312</v>
      </c>
      <c r="EE176" s="450">
        <v>3765.6075108820023</v>
      </c>
      <c r="EF176" s="443">
        <v>38091228.71277755</v>
      </c>
      <c r="EG176" s="450">
        <v>46.27</v>
      </c>
      <c r="EH176" s="450">
        <v>48.22493024047756</v>
      </c>
      <c r="EI176" s="450">
        <v>50.24348273153613</v>
      </c>
      <c r="EJ176" s="450">
        <v>52.89072262029524</v>
      </c>
      <c r="EK176" s="450">
        <v>55.81960497175455</v>
      </c>
      <c r="EL176" s="450">
        <v>58.6634427907675</v>
      </c>
      <c r="EM176" s="450">
        <v>62.169616433962354</v>
      </c>
      <c r="EN176" s="450">
        <v>65.41593079184754</v>
      </c>
      <c r="EO176" s="450">
        <v>67.2733520922942</v>
      </c>
      <c r="EP176" s="450">
        <v>68.6214980996548</v>
      </c>
      <c r="EQ176" s="450">
        <v>72.97123590048447</v>
      </c>
      <c r="ER176" s="443">
        <v>23327323</v>
      </c>
      <c r="ES176" s="443">
        <v>1354000</v>
      </c>
      <c r="ET176" s="443">
        <v>0</v>
      </c>
      <c r="EU176" s="443">
        <v>170594</v>
      </c>
      <c r="EV176" s="443">
        <v>0</v>
      </c>
      <c r="EW176" s="443">
        <v>0</v>
      </c>
      <c r="EX176" s="443">
        <v>0</v>
      </c>
      <c r="EY176" s="443">
        <v>0</v>
      </c>
      <c r="EZ176" s="443">
        <v>0</v>
      </c>
      <c r="FA176" s="443">
        <v>24174917</v>
      </c>
      <c r="FB176" s="443">
        <v>50665.64124034198</v>
      </c>
      <c r="FC176" s="443">
        <v>0</v>
      </c>
      <c r="FD176" s="443">
        <v>0</v>
      </c>
      <c r="FE176" s="443">
        <v>52296</v>
      </c>
      <c r="FF176" s="452">
        <v>0.0481</v>
      </c>
      <c r="FG176" s="443">
        <v>2515.4375999999997</v>
      </c>
      <c r="FH176" s="453">
        <v>2515.4375999999997</v>
      </c>
    </row>
    <row r="177" spans="2:164" ht="12.75">
      <c r="B177" s="356" t="s">
        <v>865</v>
      </c>
      <c r="C177" s="442">
        <v>12642.66</v>
      </c>
      <c r="D177" s="443">
        <v>2976539.78</v>
      </c>
      <c r="E177" s="443">
        <v>2553871.1312399996</v>
      </c>
      <c r="F177" s="443">
        <v>725422.4241446566</v>
      </c>
      <c r="G177" s="443">
        <v>422668.64876</v>
      </c>
      <c r="H177" s="444">
        <v>0.8420427346776707</v>
      </c>
      <c r="I177" s="445">
        <v>10542.05</v>
      </c>
      <c r="J177" s="445">
        <v>103.61</v>
      </c>
      <c r="K177" s="443">
        <v>3279293.5553846564</v>
      </c>
      <c r="L177" s="443">
        <v>2623434.8443077253</v>
      </c>
      <c r="M177" s="443">
        <v>1436438.200534119</v>
      </c>
      <c r="N177" s="443">
        <v>655858.7110769311</v>
      </c>
      <c r="O177" s="446">
        <v>2.1901640952141403</v>
      </c>
      <c r="P177" s="447">
        <v>0.08439679624382844</v>
      </c>
      <c r="Q177" s="448">
        <v>0.9155509995523095</v>
      </c>
      <c r="R177" s="443">
        <v>4059873.0448418446</v>
      </c>
      <c r="S177" s="443">
        <v>2744474.178313087</v>
      </c>
      <c r="T177" s="443">
        <v>299297.6551929996</v>
      </c>
      <c r="U177" s="443">
        <v>1437782.9307902632</v>
      </c>
      <c r="V177" s="443">
        <v>925651.0542239406</v>
      </c>
      <c r="W177" s="446">
        <v>1.5532666702310305</v>
      </c>
      <c r="X177" s="448">
        <v>29.001780578296845</v>
      </c>
      <c r="Y177" s="443">
        <v>299297.6551929996</v>
      </c>
      <c r="Z177" s="443">
        <v>389747.8123048171</v>
      </c>
      <c r="AA177" s="444">
        <v>0.7679264533213659</v>
      </c>
      <c r="AB177" s="444">
        <v>0.06300098238819996</v>
      </c>
      <c r="AC177" s="445">
        <v>763</v>
      </c>
      <c r="AD177" s="445">
        <v>830</v>
      </c>
      <c r="AE177" s="443">
        <v>4481554.76429635</v>
      </c>
      <c r="AF177" s="443">
        <v>972882.3458768213</v>
      </c>
      <c r="AG177" s="447">
        <v>1</v>
      </c>
      <c r="AH177" s="446">
        <v>0.8948019076659122</v>
      </c>
      <c r="AI177" s="448">
        <v>0.7535215616226196</v>
      </c>
      <c r="AJ177" s="443">
        <v>5454437.110173171</v>
      </c>
      <c r="AK177" s="449">
        <v>1.2520966078131373</v>
      </c>
      <c r="AL177" s="443">
        <v>6829482.203177919</v>
      </c>
      <c r="AM177" s="443">
        <v>15221314.700078622</v>
      </c>
      <c r="AN177" s="443">
        <v>15035426.749883283</v>
      </c>
      <c r="AO177" s="443">
        <v>15443099.667756056</v>
      </c>
      <c r="AP177" s="443">
        <v>15443099.667756056</v>
      </c>
      <c r="AQ177" s="443">
        <v>50570.64</v>
      </c>
      <c r="AR177" s="443">
        <v>15493670.307756057</v>
      </c>
      <c r="AS177" s="450">
        <v>1225.507156544276</v>
      </c>
      <c r="AT177" s="446">
        <v>12642</v>
      </c>
      <c r="AU177" s="446">
        <v>0</v>
      </c>
      <c r="AV177" s="446">
        <v>0</v>
      </c>
      <c r="AW177" s="446">
        <v>220</v>
      </c>
      <c r="AX177" s="446">
        <v>0</v>
      </c>
      <c r="AY177" s="446">
        <v>141</v>
      </c>
      <c r="AZ177" s="446">
        <v>18</v>
      </c>
      <c r="BA177" s="446">
        <v>361</v>
      </c>
      <c r="BB177" s="446">
        <v>0</v>
      </c>
      <c r="BC177" s="446">
        <v>41</v>
      </c>
      <c r="BD177" s="446">
        <v>229</v>
      </c>
      <c r="BE177" s="446">
        <v>7471</v>
      </c>
      <c r="BF177" s="446">
        <v>4104</v>
      </c>
      <c r="BG177" s="446">
        <v>57</v>
      </c>
      <c r="BH177" s="446">
        <v>0</v>
      </c>
      <c r="BI177" s="446">
        <v>0</v>
      </c>
      <c r="BJ177" s="448">
        <v>2.209589456559193</v>
      </c>
      <c r="BK177" s="448">
        <v>15.840048548561356</v>
      </c>
      <c r="BL177" s="448">
        <v>8.787045277430032</v>
      </c>
      <c r="BM177" s="448">
        <v>14.106006542262648</v>
      </c>
      <c r="BN177" s="445">
        <v>1067</v>
      </c>
      <c r="BO177" s="445">
        <v>11575</v>
      </c>
      <c r="BP177" s="443">
        <v>4967300.721659742</v>
      </c>
      <c r="BQ177" s="443">
        <v>16772095</v>
      </c>
      <c r="BR177" s="443">
        <v>16237511</v>
      </c>
      <c r="BS177" s="444">
        <v>0.06300427147603227</v>
      </c>
      <c r="BT177" s="445">
        <v>763</v>
      </c>
      <c r="BU177" s="445">
        <v>830</v>
      </c>
      <c r="BV177" s="443">
        <v>1023032.5511390602</v>
      </c>
      <c r="BW177" s="444">
        <v>0.03649801181801732</v>
      </c>
      <c r="BX177" s="443">
        <v>94179.58087791417</v>
      </c>
      <c r="BY177" s="443">
        <v>22856607.853676718</v>
      </c>
      <c r="BZ177" s="451">
        <v>1.2133333333333332</v>
      </c>
      <c r="CA177" s="443">
        <v>27732684.195794415</v>
      </c>
      <c r="CB177" s="443">
        <v>20293053.303817052</v>
      </c>
      <c r="CC177" s="443">
        <v>20293053.303817052</v>
      </c>
      <c r="CD177" s="443">
        <v>19562619.912336763</v>
      </c>
      <c r="CE177" s="443">
        <v>20148833.676666472</v>
      </c>
      <c r="CF177" s="450">
        <v>1593.8011134841379</v>
      </c>
      <c r="CG177" s="446">
        <v>12642</v>
      </c>
      <c r="CH177" s="446">
        <v>0</v>
      </c>
      <c r="CI177" s="446">
        <v>0</v>
      </c>
      <c r="CJ177" s="446">
        <v>220</v>
      </c>
      <c r="CK177" s="446">
        <v>0</v>
      </c>
      <c r="CL177" s="446">
        <v>141</v>
      </c>
      <c r="CM177" s="446">
        <v>18</v>
      </c>
      <c r="CN177" s="446">
        <v>361</v>
      </c>
      <c r="CO177" s="446">
        <v>0</v>
      </c>
      <c r="CP177" s="446">
        <v>41</v>
      </c>
      <c r="CQ177" s="446">
        <v>229</v>
      </c>
      <c r="CR177" s="446">
        <v>7471</v>
      </c>
      <c r="CS177" s="446">
        <v>4104</v>
      </c>
      <c r="CT177" s="446">
        <v>57</v>
      </c>
      <c r="CU177" s="446">
        <v>0</v>
      </c>
      <c r="CV177" s="446">
        <v>0</v>
      </c>
      <c r="CW177" s="443">
        <v>10920686.662207665</v>
      </c>
      <c r="CX177" s="448">
        <v>1.1845331559060077</v>
      </c>
      <c r="CY177" s="448">
        <v>1.2133333333333332</v>
      </c>
      <c r="CZ177" s="443">
        <v>12935915.436645491</v>
      </c>
      <c r="DA177" s="450">
        <v>1023.2491248730811</v>
      </c>
      <c r="DB177" s="445">
        <v>12642.66</v>
      </c>
      <c r="DC177" s="448">
        <v>0.9914864435174243</v>
      </c>
      <c r="DD177" s="450">
        <v>354.1</v>
      </c>
      <c r="DE177" s="443">
        <v>79006</v>
      </c>
      <c r="DF177" s="450">
        <v>68.44735830815026</v>
      </c>
      <c r="DG177" s="450">
        <v>71.39059471540071</v>
      </c>
      <c r="DH177" s="450">
        <v>72.96118779913951</v>
      </c>
      <c r="DI177" s="450">
        <v>74.56633393072056</v>
      </c>
      <c r="DJ177" s="450">
        <v>77.02702295043433</v>
      </c>
      <c r="DK177" s="450">
        <v>79.79999577664995</v>
      </c>
      <c r="DL177" s="450">
        <v>82.35359564150274</v>
      </c>
      <c r="DM177" s="450">
        <v>85.73009306280434</v>
      </c>
      <c r="DN177" s="450">
        <v>89.50221715756771</v>
      </c>
      <c r="DO177" s="450">
        <v>94.42483910123393</v>
      </c>
      <c r="DP177" s="450">
        <v>93.57501554932283</v>
      </c>
      <c r="DQ177" s="450">
        <v>98.34734134233828</v>
      </c>
      <c r="DR177" s="450">
        <v>49</v>
      </c>
      <c r="DS177" s="450">
        <v>52.36631877991394</v>
      </c>
      <c r="DT177" s="450">
        <v>55.85703958614409</v>
      </c>
      <c r="DU177" s="450">
        <v>60.11615952473028</v>
      </c>
      <c r="DV177" s="450">
        <v>64.78314905462476</v>
      </c>
      <c r="DW177" s="450">
        <v>69.43910746056108</v>
      </c>
      <c r="DX177" s="450">
        <v>74.97490730571613</v>
      </c>
      <c r="DY177" s="450">
        <v>79.52140477498985</v>
      </c>
      <c r="DZ177" s="450">
        <v>82.13190229383092</v>
      </c>
      <c r="EA177" s="450">
        <v>85.36089119147191</v>
      </c>
      <c r="EB177" s="450">
        <v>91.44090558225723</v>
      </c>
      <c r="EC177" s="450">
        <v>-1.77</v>
      </c>
      <c r="ED177" s="450">
        <v>89.67090558225723</v>
      </c>
      <c r="EE177" s="450">
        <v>4662.887090277376</v>
      </c>
      <c r="EF177" s="443">
        <v>57772270.17875084</v>
      </c>
      <c r="EG177" s="450">
        <v>52.11</v>
      </c>
      <c r="EH177" s="450">
        <v>55.22689677991394</v>
      </c>
      <c r="EI177" s="450">
        <v>58.455715778144096</v>
      </c>
      <c r="EJ177" s="450">
        <v>62.465037967774286</v>
      </c>
      <c r="EK177" s="450">
        <v>66.86895311204783</v>
      </c>
      <c r="EL177" s="450">
        <v>71.23289894994491</v>
      </c>
      <c r="EM177" s="450">
        <v>76.46877685807499</v>
      </c>
      <c r="EN177" s="450">
        <v>80.90771571957887</v>
      </c>
      <c r="EO177" s="450">
        <v>83.45398083132065</v>
      </c>
      <c r="EP177" s="450">
        <v>86.24430234764465</v>
      </c>
      <c r="EQ177" s="450">
        <v>92.18367768236727</v>
      </c>
      <c r="ER177" s="443">
        <v>402805259</v>
      </c>
      <c r="ES177" s="443">
        <v>15500000</v>
      </c>
      <c r="ET177" s="443">
        <v>0</v>
      </c>
      <c r="EU177" s="443">
        <v>0</v>
      </c>
      <c r="EV177" s="443">
        <v>0</v>
      </c>
      <c r="EW177" s="443">
        <v>0</v>
      </c>
      <c r="EX177" s="443">
        <v>0</v>
      </c>
      <c r="EY177" s="443">
        <v>0</v>
      </c>
      <c r="EZ177" s="443">
        <v>0</v>
      </c>
      <c r="FA177" s="443">
        <v>410555259</v>
      </c>
      <c r="FB177" s="443">
        <v>233499.49910772836</v>
      </c>
      <c r="FC177" s="443">
        <v>0</v>
      </c>
      <c r="FD177" s="443">
        <v>0</v>
      </c>
      <c r="FE177" s="443">
        <v>254400</v>
      </c>
      <c r="FF177" s="452">
        <v>0.0542</v>
      </c>
      <c r="FG177" s="443">
        <v>13788.48</v>
      </c>
      <c r="FH177" s="453">
        <v>13788.48</v>
      </c>
    </row>
    <row r="178" spans="2:164" ht="12.75">
      <c r="B178" s="356" t="s">
        <v>866</v>
      </c>
      <c r="C178" s="442">
        <v>2872</v>
      </c>
      <c r="D178" s="443">
        <v>699976</v>
      </c>
      <c r="E178" s="443">
        <v>600579.4079999999</v>
      </c>
      <c r="F178" s="443">
        <v>66385.0688656795</v>
      </c>
      <c r="G178" s="443">
        <v>99396.592</v>
      </c>
      <c r="H178" s="444">
        <v>0.3276740947075209</v>
      </c>
      <c r="I178" s="445">
        <v>664.83</v>
      </c>
      <c r="J178" s="445">
        <v>276.25</v>
      </c>
      <c r="K178" s="443">
        <v>666964.4768656795</v>
      </c>
      <c r="L178" s="443">
        <v>533571.5814925436</v>
      </c>
      <c r="M178" s="443">
        <v>136291.12541188367</v>
      </c>
      <c r="N178" s="443">
        <v>133392.89537313586</v>
      </c>
      <c r="O178" s="446">
        <v>1.0217270194986072</v>
      </c>
      <c r="P178" s="447">
        <v>0.9832869080779945</v>
      </c>
      <c r="Q178" s="448">
        <v>0.016713091922005572</v>
      </c>
      <c r="R178" s="443">
        <v>669862.7069044273</v>
      </c>
      <c r="S178" s="443">
        <v>452827.1898673929</v>
      </c>
      <c r="T178" s="443">
        <v>73280.63000140272</v>
      </c>
      <c r="U178" s="443">
        <v>79891.30597700586</v>
      </c>
      <c r="V178" s="443">
        <v>152728.69717420943</v>
      </c>
      <c r="W178" s="446">
        <v>0.5230929580043372</v>
      </c>
      <c r="X178" s="448">
        <v>9.766917349638087</v>
      </c>
      <c r="Y178" s="443">
        <v>73280.63000140272</v>
      </c>
      <c r="Z178" s="443">
        <v>64306.81986282502</v>
      </c>
      <c r="AA178" s="444">
        <v>1.1395467876925034</v>
      </c>
      <c r="AB178" s="444">
        <v>0.09348885793871867</v>
      </c>
      <c r="AC178" s="445">
        <v>265</v>
      </c>
      <c r="AD178" s="445">
        <v>272</v>
      </c>
      <c r="AE178" s="443">
        <v>605999.1258458014</v>
      </c>
      <c r="AF178" s="443">
        <v>0</v>
      </c>
      <c r="AG178" s="447">
        <v>0</v>
      </c>
      <c r="AH178" s="446">
        <v>0</v>
      </c>
      <c r="AI178" s="448">
        <v>0</v>
      </c>
      <c r="AJ178" s="443">
        <v>605999.1258458014</v>
      </c>
      <c r="AK178" s="449">
        <v>1.015630059694977</v>
      </c>
      <c r="AL178" s="443">
        <v>615470.9283578752</v>
      </c>
      <c r="AM178" s="443">
        <v>1371740.4058722758</v>
      </c>
      <c r="AN178" s="443">
        <v>1354988.238449681</v>
      </c>
      <c r="AO178" s="443">
        <v>1261629.7458110102</v>
      </c>
      <c r="AP178" s="443">
        <v>1354988.238449681</v>
      </c>
      <c r="AQ178" s="443">
        <v>11488</v>
      </c>
      <c r="AR178" s="443">
        <v>1366476.238449681</v>
      </c>
      <c r="AS178" s="450">
        <v>475.79256213429005</v>
      </c>
      <c r="AT178" s="446">
        <v>2872</v>
      </c>
      <c r="AU178" s="446">
        <v>13</v>
      </c>
      <c r="AV178" s="446">
        <v>415</v>
      </c>
      <c r="AW178" s="446">
        <v>17</v>
      </c>
      <c r="AX178" s="446">
        <v>41</v>
      </c>
      <c r="AY178" s="446">
        <v>651</v>
      </c>
      <c r="AZ178" s="446">
        <v>62</v>
      </c>
      <c r="BA178" s="446">
        <v>180</v>
      </c>
      <c r="BB178" s="446">
        <v>0</v>
      </c>
      <c r="BC178" s="446">
        <v>24</v>
      </c>
      <c r="BD178" s="446">
        <v>675</v>
      </c>
      <c r="BE178" s="446">
        <v>48</v>
      </c>
      <c r="BF178" s="446">
        <v>0</v>
      </c>
      <c r="BG178" s="446">
        <v>746</v>
      </c>
      <c r="BH178" s="446">
        <v>0</v>
      </c>
      <c r="BI178" s="446">
        <v>0</v>
      </c>
      <c r="BJ178" s="448">
        <v>1.1333770958733829</v>
      </c>
      <c r="BK178" s="448">
        <v>5.381197982748027</v>
      </c>
      <c r="BL178" s="448">
        <v>2.751279800615496</v>
      </c>
      <c r="BM178" s="448">
        <v>5.259836364265062</v>
      </c>
      <c r="BN178" s="445">
        <v>2824</v>
      </c>
      <c r="BO178" s="445">
        <v>48</v>
      </c>
      <c r="BP178" s="443">
        <v>709158.5823963592</v>
      </c>
      <c r="BQ178" s="443">
        <v>2804524</v>
      </c>
      <c r="BR178" s="443">
        <v>3880308</v>
      </c>
      <c r="BS178" s="444">
        <v>0.09348885793871867</v>
      </c>
      <c r="BT178" s="445">
        <v>265</v>
      </c>
      <c r="BU178" s="445">
        <v>272</v>
      </c>
      <c r="BV178" s="443">
        <v>362765.56337047357</v>
      </c>
      <c r="BW178" s="444">
        <v>0.025262873911108538</v>
      </c>
      <c r="BX178" s="443">
        <v>5031.08219181288</v>
      </c>
      <c r="BY178" s="443">
        <v>3881479.2279586457</v>
      </c>
      <c r="BZ178" s="451">
        <v>1.04</v>
      </c>
      <c r="CA178" s="443">
        <v>4036738.397076992</v>
      </c>
      <c r="CB178" s="443">
        <v>2953834.0712750405</v>
      </c>
      <c r="CC178" s="443">
        <v>2953834.0712750405</v>
      </c>
      <c r="CD178" s="443">
        <v>2843039.908314955</v>
      </c>
      <c r="CE178" s="443">
        <v>2932841.624153057</v>
      </c>
      <c r="CF178" s="450">
        <v>1021.184409524045</v>
      </c>
      <c r="CG178" s="446">
        <v>2872</v>
      </c>
      <c r="CH178" s="446">
        <v>13</v>
      </c>
      <c r="CI178" s="446">
        <v>415</v>
      </c>
      <c r="CJ178" s="446">
        <v>17</v>
      </c>
      <c r="CK178" s="446">
        <v>41</v>
      </c>
      <c r="CL178" s="446">
        <v>651</v>
      </c>
      <c r="CM178" s="446">
        <v>62</v>
      </c>
      <c r="CN178" s="446">
        <v>180</v>
      </c>
      <c r="CO178" s="446">
        <v>0</v>
      </c>
      <c r="CP178" s="446">
        <v>24</v>
      </c>
      <c r="CQ178" s="446">
        <v>675</v>
      </c>
      <c r="CR178" s="446">
        <v>48</v>
      </c>
      <c r="CS178" s="446">
        <v>0</v>
      </c>
      <c r="CT178" s="446">
        <v>746</v>
      </c>
      <c r="CU178" s="446">
        <v>0</v>
      </c>
      <c r="CV178" s="446">
        <v>0</v>
      </c>
      <c r="CW178" s="443">
        <v>1968656.3229094716</v>
      </c>
      <c r="CX178" s="448">
        <v>1.015314133633721</v>
      </c>
      <c r="CY178" s="448">
        <v>1.04</v>
      </c>
      <c r="CZ178" s="443">
        <v>1998804.5889173772</v>
      </c>
      <c r="DA178" s="450">
        <v>695.9626005979726</v>
      </c>
      <c r="DB178" s="445">
        <v>2872</v>
      </c>
      <c r="DC178" s="448">
        <v>1.0198119777158774</v>
      </c>
      <c r="DD178" s="450">
        <v>325.9</v>
      </c>
      <c r="DE178" s="443">
        <v>64461</v>
      </c>
      <c r="DF178" s="450">
        <v>61.39353726656698</v>
      </c>
      <c r="DG178" s="450">
        <v>64.03345936902936</v>
      </c>
      <c r="DH178" s="450">
        <v>65.442195475148</v>
      </c>
      <c r="DI178" s="450">
        <v>66.88192377560124</v>
      </c>
      <c r="DJ178" s="450">
        <v>69.08902726019608</v>
      </c>
      <c r="DK178" s="450">
        <v>71.57623224156312</v>
      </c>
      <c r="DL178" s="450">
        <v>73.86667167329313</v>
      </c>
      <c r="DM178" s="450">
        <v>76.89520521189814</v>
      </c>
      <c r="DN178" s="450">
        <v>80.27859424122165</v>
      </c>
      <c r="DO178" s="450">
        <v>84.69391692448885</v>
      </c>
      <c r="DP178" s="450">
        <v>83.93167167216845</v>
      </c>
      <c r="DQ178" s="450">
        <v>88.21218692744904</v>
      </c>
      <c r="DR178" s="450">
        <v>50.32</v>
      </c>
      <c r="DS178" s="450">
        <v>52.82855554751479</v>
      </c>
      <c r="DT178" s="450">
        <v>55.42313265912023</v>
      </c>
      <c r="DU178" s="450">
        <v>58.731712439786804</v>
      </c>
      <c r="DV178" s="450">
        <v>62.37893668103969</v>
      </c>
      <c r="DW178" s="450">
        <v>65.95699749124297</v>
      </c>
      <c r="DX178" s="450">
        <v>70.30802855308677</v>
      </c>
      <c r="DY178" s="450">
        <v>74.1656943018447</v>
      </c>
      <c r="DZ178" s="450">
        <v>76.37561159415849</v>
      </c>
      <c r="EA178" s="450">
        <v>78.37339088862454</v>
      </c>
      <c r="EB178" s="450">
        <v>83.53878444464532</v>
      </c>
      <c r="EC178" s="450">
        <v>-4.4</v>
      </c>
      <c r="ED178" s="450">
        <v>79.13878444464531</v>
      </c>
      <c r="EE178" s="450">
        <v>4115.2167911215565</v>
      </c>
      <c r="EF178" s="443">
        <v>11582524.571619088</v>
      </c>
      <c r="EG178" s="450">
        <v>54.37</v>
      </c>
      <c r="EH178" s="450">
        <v>56.55374554751479</v>
      </c>
      <c r="EI178" s="450">
        <v>58.80726081912022</v>
      </c>
      <c r="EJ178" s="450">
        <v>61.79054128040679</v>
      </c>
      <c r="EK178" s="450">
        <v>65.09517669151025</v>
      </c>
      <c r="EL178" s="450">
        <v>68.29296390024766</v>
      </c>
      <c r="EM178" s="450">
        <v>72.25342137850586</v>
      </c>
      <c r="EN178" s="450">
        <v>75.97101884383362</v>
      </c>
      <c r="EO178" s="450">
        <v>78.09728943236858</v>
      </c>
      <c r="EP178" s="450">
        <v>79.52381377688808</v>
      </c>
      <c r="EQ178" s="450">
        <v>84.5060600090973</v>
      </c>
      <c r="ER178" s="443">
        <v>475894</v>
      </c>
      <c r="ES178" s="443">
        <v>0</v>
      </c>
      <c r="ET178" s="443">
        <v>0</v>
      </c>
      <c r="EU178" s="443">
        <v>0</v>
      </c>
      <c r="EV178" s="443">
        <v>0</v>
      </c>
      <c r="EW178" s="443">
        <v>0</v>
      </c>
      <c r="EX178" s="443">
        <v>0</v>
      </c>
      <c r="EY178" s="443">
        <v>0</v>
      </c>
      <c r="EZ178" s="443">
        <v>0</v>
      </c>
      <c r="FA178" s="443">
        <v>475894</v>
      </c>
      <c r="FB178" s="443">
        <v>39451.34451823307</v>
      </c>
      <c r="FC178" s="443">
        <v>0</v>
      </c>
      <c r="FD178" s="443">
        <v>0</v>
      </c>
      <c r="FE178" s="443">
        <v>1335</v>
      </c>
      <c r="FF178" s="452">
        <v>0.0313</v>
      </c>
      <c r="FG178" s="443">
        <v>41.7855</v>
      </c>
      <c r="FH178" s="453">
        <v>41.7855</v>
      </c>
    </row>
    <row r="179" spans="2:164" ht="12.75">
      <c r="B179" s="356" t="s">
        <v>867</v>
      </c>
      <c r="C179" s="442">
        <v>10489</v>
      </c>
      <c r="D179" s="443">
        <v>2474737</v>
      </c>
      <c r="E179" s="443">
        <v>2123324.346</v>
      </c>
      <c r="F179" s="443">
        <v>432945.0725982391</v>
      </c>
      <c r="G179" s="443">
        <v>351412.65400000004</v>
      </c>
      <c r="H179" s="444">
        <v>0.6044475164458004</v>
      </c>
      <c r="I179" s="445">
        <v>5827.72</v>
      </c>
      <c r="J179" s="445">
        <v>512.33</v>
      </c>
      <c r="K179" s="443">
        <v>2556269.418598239</v>
      </c>
      <c r="L179" s="443">
        <v>2045015.534878591</v>
      </c>
      <c r="M179" s="443">
        <v>815276.6670462689</v>
      </c>
      <c r="N179" s="443">
        <v>511253.88371964765</v>
      </c>
      <c r="O179" s="446">
        <v>1.5946610735055773</v>
      </c>
      <c r="P179" s="447">
        <v>0.5425684049957098</v>
      </c>
      <c r="Q179" s="448">
        <v>0.4574315950042902</v>
      </c>
      <c r="R179" s="443">
        <v>2860292.20192486</v>
      </c>
      <c r="S179" s="443">
        <v>1933557.5285012056</v>
      </c>
      <c r="T179" s="443">
        <v>245703.06927139283</v>
      </c>
      <c r="U179" s="443">
        <v>886570.7844557335</v>
      </c>
      <c r="V179" s="443">
        <v>652146.6220388681</v>
      </c>
      <c r="W179" s="446">
        <v>1.3594654246371203</v>
      </c>
      <c r="X179" s="448">
        <v>25.383225369306746</v>
      </c>
      <c r="Y179" s="443">
        <v>245703.06927139283</v>
      </c>
      <c r="Z179" s="443">
        <v>274588.05138478655</v>
      </c>
      <c r="AA179" s="444">
        <v>0.8948061215055694</v>
      </c>
      <c r="AB179" s="444">
        <v>0.07341023929831252</v>
      </c>
      <c r="AC179" s="445">
        <v>788</v>
      </c>
      <c r="AD179" s="445">
        <v>752</v>
      </c>
      <c r="AE179" s="443">
        <v>3065831.3822283316</v>
      </c>
      <c r="AF179" s="443">
        <v>493497.54268779384</v>
      </c>
      <c r="AG179" s="447">
        <v>1</v>
      </c>
      <c r="AH179" s="446">
        <v>0.5039092216592843</v>
      </c>
      <c r="AI179" s="448">
        <v>0.4243469536304474</v>
      </c>
      <c r="AJ179" s="443">
        <v>3559328.9249161254</v>
      </c>
      <c r="AK179" s="449">
        <v>1.0879518101672272</v>
      </c>
      <c r="AL179" s="443">
        <v>3872378.3468430694</v>
      </c>
      <c r="AM179" s="443">
        <v>8630623.479425885</v>
      </c>
      <c r="AN179" s="443">
        <v>8525223.325818263</v>
      </c>
      <c r="AO179" s="443">
        <v>8056269.809368932</v>
      </c>
      <c r="AP179" s="443">
        <v>8525223.325818263</v>
      </c>
      <c r="AQ179" s="443">
        <v>41956</v>
      </c>
      <c r="AR179" s="443">
        <v>8567179.325818263</v>
      </c>
      <c r="AS179" s="450">
        <v>816.7775122336031</v>
      </c>
      <c r="AT179" s="446">
        <v>10488</v>
      </c>
      <c r="AU179" s="446">
        <v>643</v>
      </c>
      <c r="AV179" s="446">
        <v>238</v>
      </c>
      <c r="AW179" s="446">
        <v>1136</v>
      </c>
      <c r="AX179" s="446">
        <v>64</v>
      </c>
      <c r="AY179" s="446">
        <v>546</v>
      </c>
      <c r="AZ179" s="446">
        <v>307</v>
      </c>
      <c r="BA179" s="446">
        <v>646</v>
      </c>
      <c r="BB179" s="446">
        <v>193</v>
      </c>
      <c r="BC179" s="446">
        <v>601</v>
      </c>
      <c r="BD179" s="446">
        <v>1149</v>
      </c>
      <c r="BE179" s="446">
        <v>3791</v>
      </c>
      <c r="BF179" s="446">
        <v>1007</v>
      </c>
      <c r="BG179" s="446">
        <v>152</v>
      </c>
      <c r="BH179" s="446">
        <v>14</v>
      </c>
      <c r="BI179" s="446">
        <v>1</v>
      </c>
      <c r="BJ179" s="448">
        <v>1.9677151038940648</v>
      </c>
      <c r="BK179" s="448">
        <v>19.324866598708972</v>
      </c>
      <c r="BL179" s="448">
        <v>7.97382537885417</v>
      </c>
      <c r="BM179" s="448">
        <v>22.702082439709603</v>
      </c>
      <c r="BN179" s="445">
        <v>5690</v>
      </c>
      <c r="BO179" s="445">
        <v>4798</v>
      </c>
      <c r="BP179" s="443">
        <v>3941842.99131172</v>
      </c>
      <c r="BQ179" s="443">
        <v>12357376</v>
      </c>
      <c r="BR179" s="443">
        <v>14171201</v>
      </c>
      <c r="BS179" s="444">
        <v>0.07341723874904653</v>
      </c>
      <c r="BT179" s="445">
        <v>788</v>
      </c>
      <c r="BU179" s="445">
        <v>752</v>
      </c>
      <c r="BV179" s="443">
        <v>1040410.4471777269</v>
      </c>
      <c r="BW179" s="444">
        <v>0.017793609947467336</v>
      </c>
      <c r="BX179" s="443">
        <v>46471.69371141196</v>
      </c>
      <c r="BY179" s="443">
        <v>17386101.13220086</v>
      </c>
      <c r="BZ179" s="451">
        <v>1.1533333333333333</v>
      </c>
      <c r="CA179" s="443">
        <v>20051969.97247166</v>
      </c>
      <c r="CB179" s="443">
        <v>14672784.380518563</v>
      </c>
      <c r="CC179" s="443">
        <v>14672784.380518563</v>
      </c>
      <c r="CD179" s="443">
        <v>13817329.332920088</v>
      </c>
      <c r="CE179" s="443">
        <v>14568507.145302253</v>
      </c>
      <c r="CF179" s="450">
        <v>1389.0643731218777</v>
      </c>
      <c r="CG179" s="446">
        <v>10488</v>
      </c>
      <c r="CH179" s="446">
        <v>643</v>
      </c>
      <c r="CI179" s="446">
        <v>238</v>
      </c>
      <c r="CJ179" s="446">
        <v>1136</v>
      </c>
      <c r="CK179" s="446">
        <v>64</v>
      </c>
      <c r="CL179" s="446">
        <v>546</v>
      </c>
      <c r="CM179" s="446">
        <v>307</v>
      </c>
      <c r="CN179" s="446">
        <v>646</v>
      </c>
      <c r="CO179" s="446">
        <v>193</v>
      </c>
      <c r="CP179" s="446">
        <v>601</v>
      </c>
      <c r="CQ179" s="446">
        <v>1149</v>
      </c>
      <c r="CR179" s="446">
        <v>3791</v>
      </c>
      <c r="CS179" s="446">
        <v>1007</v>
      </c>
      <c r="CT179" s="446">
        <v>152</v>
      </c>
      <c r="CU179" s="446">
        <v>14</v>
      </c>
      <c r="CV179" s="446">
        <v>1</v>
      </c>
      <c r="CW179" s="443">
        <v>7633443.202187866</v>
      </c>
      <c r="CX179" s="448">
        <v>1.1259573405040626</v>
      </c>
      <c r="CY179" s="448">
        <v>1.1533333333333333</v>
      </c>
      <c r="CZ179" s="443">
        <v>8594931.406824265</v>
      </c>
      <c r="DA179" s="450">
        <v>819.5014689954486</v>
      </c>
      <c r="DB179" s="445">
        <v>10489</v>
      </c>
      <c r="DC179" s="448">
        <v>0.9930212603680045</v>
      </c>
      <c r="DD179" s="450">
        <v>354.1</v>
      </c>
      <c r="DE179" s="443">
        <v>62510</v>
      </c>
      <c r="DF179" s="450">
        <v>63.07979735610965</v>
      </c>
      <c r="DG179" s="450">
        <v>65.79222864242236</v>
      </c>
      <c r="DH179" s="450">
        <v>67.23965767255564</v>
      </c>
      <c r="DI179" s="450">
        <v>68.71893014135185</v>
      </c>
      <c r="DJ179" s="450">
        <v>70.98665483601646</v>
      </c>
      <c r="DK179" s="450">
        <v>73.54217441011303</v>
      </c>
      <c r="DL179" s="450">
        <v>75.89552399123664</v>
      </c>
      <c r="DM179" s="450">
        <v>79.00724047487734</v>
      </c>
      <c r="DN179" s="450">
        <v>82.48355905577192</v>
      </c>
      <c r="DO179" s="450">
        <v>87.02015480383938</v>
      </c>
      <c r="DP179" s="450">
        <v>86.23697341060482</v>
      </c>
      <c r="DQ179" s="450">
        <v>90.63505905454566</v>
      </c>
      <c r="DR179" s="450">
        <v>48.72</v>
      </c>
      <c r="DS179" s="450">
        <v>51.53662176725555</v>
      </c>
      <c r="DT179" s="450">
        <v>54.45359441227035</v>
      </c>
      <c r="DU179" s="450">
        <v>58.09257450389291</v>
      </c>
      <c r="DV179" s="450">
        <v>62.09223107518733</v>
      </c>
      <c r="DW179" s="450">
        <v>66.04857272320052</v>
      </c>
      <c r="DX179" s="450">
        <v>70.80669945885685</v>
      </c>
      <c r="DY179" s="450">
        <v>74.87345699290492</v>
      </c>
      <c r="DZ179" s="450">
        <v>77.20566380582295</v>
      </c>
      <c r="EA179" s="450">
        <v>79.67894331334067</v>
      </c>
      <c r="EB179" s="450">
        <v>85.12106734876596</v>
      </c>
      <c r="EC179" s="450">
        <v>0</v>
      </c>
      <c r="ED179" s="450">
        <v>85.12106734876596</v>
      </c>
      <c r="EE179" s="450">
        <v>4426.29550213583</v>
      </c>
      <c r="EF179" s="443">
        <v>45498865.25146467</v>
      </c>
      <c r="EG179" s="450">
        <v>49.96</v>
      </c>
      <c r="EH179" s="450">
        <v>52.67717376725556</v>
      </c>
      <c r="EI179" s="450">
        <v>55.48972254027036</v>
      </c>
      <c r="EJ179" s="450">
        <v>59.02910481558892</v>
      </c>
      <c r="EK179" s="450">
        <v>62.92386999197338</v>
      </c>
      <c r="EL179" s="450">
        <v>66.76378219163654</v>
      </c>
      <c r="EM179" s="450">
        <v>71.40232590417037</v>
      </c>
      <c r="EN179" s="450">
        <v>75.42619833415586</v>
      </c>
      <c r="EO179" s="450">
        <v>77.73279479826259</v>
      </c>
      <c r="EP179" s="450">
        <v>80.03117155567321</v>
      </c>
      <c r="EQ179" s="450">
        <v>85.41722085491917</v>
      </c>
      <c r="ER179" s="443">
        <v>301515217</v>
      </c>
      <c r="ES179" s="443">
        <v>6680000</v>
      </c>
      <c r="ET179" s="443">
        <v>0</v>
      </c>
      <c r="EU179" s="443">
        <v>0</v>
      </c>
      <c r="EV179" s="443">
        <v>14349750</v>
      </c>
      <c r="EW179" s="443">
        <v>0</v>
      </c>
      <c r="EX179" s="443">
        <v>0</v>
      </c>
      <c r="EY179" s="443">
        <v>0</v>
      </c>
      <c r="EZ179" s="443">
        <v>0</v>
      </c>
      <c r="FA179" s="443">
        <v>312030092</v>
      </c>
      <c r="FB179" s="443">
        <v>186877.72666869857</v>
      </c>
      <c r="FC179" s="443">
        <v>0</v>
      </c>
      <c r="FD179" s="443">
        <v>0</v>
      </c>
      <c r="FE179" s="443">
        <v>30000</v>
      </c>
      <c r="FF179" s="452">
        <v>0.049800000000000004</v>
      </c>
      <c r="FG179" s="443">
        <v>1494</v>
      </c>
      <c r="FH179" s="453">
        <v>1494</v>
      </c>
    </row>
    <row r="180" spans="2:164" ht="12.75">
      <c r="B180" s="356" t="s">
        <v>868</v>
      </c>
      <c r="C180" s="442">
        <v>17201.8</v>
      </c>
      <c r="D180" s="443">
        <v>4038819.4</v>
      </c>
      <c r="E180" s="443">
        <v>3465307.0452</v>
      </c>
      <c r="F180" s="443">
        <v>900269.9065707127</v>
      </c>
      <c r="G180" s="443">
        <v>573512.3548000001</v>
      </c>
      <c r="H180" s="444">
        <v>0.7701461474961924</v>
      </c>
      <c r="I180" s="445">
        <v>12895.21</v>
      </c>
      <c r="J180" s="445">
        <v>352.69</v>
      </c>
      <c r="K180" s="443">
        <v>4365576.951770713</v>
      </c>
      <c r="L180" s="443">
        <v>3492461.56141657</v>
      </c>
      <c r="M180" s="443">
        <v>1773944.2178563366</v>
      </c>
      <c r="N180" s="443">
        <v>873115.3903541423</v>
      </c>
      <c r="O180" s="446">
        <v>2.031740864328152</v>
      </c>
      <c r="P180" s="447">
        <v>0.20637375158413654</v>
      </c>
      <c r="Q180" s="448">
        <v>0.7936378751060936</v>
      </c>
      <c r="R180" s="443">
        <v>5266405.7792729065</v>
      </c>
      <c r="S180" s="443">
        <v>3560090.306788485</v>
      </c>
      <c r="T180" s="443">
        <v>440107.8605220736</v>
      </c>
      <c r="U180" s="443">
        <v>1186276.5240449952</v>
      </c>
      <c r="V180" s="443">
        <v>1200740.5176742228</v>
      </c>
      <c r="W180" s="446">
        <v>0.987954105473809</v>
      </c>
      <c r="X180" s="448">
        <v>18.44656087554961</v>
      </c>
      <c r="Y180" s="443">
        <v>440107.8605220736</v>
      </c>
      <c r="Z180" s="443">
        <v>505574.95481019904</v>
      </c>
      <c r="AA180" s="444">
        <v>0.8705096174854966</v>
      </c>
      <c r="AB180" s="444">
        <v>0.07141694473834134</v>
      </c>
      <c r="AC180" s="445">
        <v>1232</v>
      </c>
      <c r="AD180" s="445">
        <v>1225</v>
      </c>
      <c r="AE180" s="443">
        <v>5186474.691355553</v>
      </c>
      <c r="AF180" s="443">
        <v>229838.9439934078</v>
      </c>
      <c r="AG180" s="447">
        <v>0.75</v>
      </c>
      <c r="AH180" s="446">
        <v>0.12176611804992264</v>
      </c>
      <c r="AI180" s="448">
        <v>0.10254045575857162</v>
      </c>
      <c r="AJ180" s="443">
        <v>5416313.635348962</v>
      </c>
      <c r="AK180" s="449">
        <v>1.2520966078131373</v>
      </c>
      <c r="AL180" s="443">
        <v>6781747.929672477</v>
      </c>
      <c r="AM180" s="443">
        <v>15114926.195446769</v>
      </c>
      <c r="AN180" s="443">
        <v>14930337.49840006</v>
      </c>
      <c r="AO180" s="443">
        <v>17717716.182579037</v>
      </c>
      <c r="AP180" s="443">
        <v>17717716.182579037</v>
      </c>
      <c r="AQ180" s="443">
        <v>68807.2</v>
      </c>
      <c r="AR180" s="443">
        <v>17786523.382579036</v>
      </c>
      <c r="AS180" s="450">
        <v>1033.9919881976907</v>
      </c>
      <c r="AT180" s="446">
        <v>17138</v>
      </c>
      <c r="AU180" s="446">
        <v>414</v>
      </c>
      <c r="AV180" s="446">
        <v>321</v>
      </c>
      <c r="AW180" s="446">
        <v>708</v>
      </c>
      <c r="AX180" s="446">
        <v>2</v>
      </c>
      <c r="AY180" s="446">
        <v>361</v>
      </c>
      <c r="AZ180" s="446">
        <v>366</v>
      </c>
      <c r="BA180" s="446">
        <v>291</v>
      </c>
      <c r="BB180" s="446">
        <v>34</v>
      </c>
      <c r="BC180" s="446">
        <v>460</v>
      </c>
      <c r="BD180" s="446">
        <v>377</v>
      </c>
      <c r="BE180" s="446">
        <v>7461</v>
      </c>
      <c r="BF180" s="446">
        <v>6166</v>
      </c>
      <c r="BG180" s="446">
        <v>126</v>
      </c>
      <c r="BH180" s="446">
        <v>27</v>
      </c>
      <c r="BI180" s="446">
        <v>24</v>
      </c>
      <c r="BJ180" s="448">
        <v>1.9922075329894398</v>
      </c>
      <c r="BK180" s="448">
        <v>14.286524042436774</v>
      </c>
      <c r="BL180" s="448">
        <v>6.220761936229102</v>
      </c>
      <c r="BM180" s="448">
        <v>16.131524212415343</v>
      </c>
      <c r="BN180" s="445">
        <v>3511</v>
      </c>
      <c r="BO180" s="445">
        <v>13627</v>
      </c>
      <c r="BP180" s="443">
        <v>6047110.885900551</v>
      </c>
      <c r="BQ180" s="443">
        <v>21863151</v>
      </c>
      <c r="BR180" s="443">
        <v>22742011</v>
      </c>
      <c r="BS180" s="444">
        <v>0.0716828101295367</v>
      </c>
      <c r="BT180" s="445">
        <v>1232</v>
      </c>
      <c r="BU180" s="445">
        <v>1225</v>
      </c>
      <c r="BV180" s="443">
        <v>1630211.256476835</v>
      </c>
      <c r="BW180" s="444">
        <v>0.013497342132223459</v>
      </c>
      <c r="BX180" s="443">
        <v>42584.36965158565</v>
      </c>
      <c r="BY180" s="443">
        <v>29583057.51202897</v>
      </c>
      <c r="BZ180" s="451">
        <v>1.2133333333333332</v>
      </c>
      <c r="CA180" s="443">
        <v>35894109.78126181</v>
      </c>
      <c r="CB180" s="443">
        <v>26265076.90137931</v>
      </c>
      <c r="CC180" s="443">
        <v>26265076.90137931</v>
      </c>
      <c r="CD180" s="443">
        <v>25012148.95839099</v>
      </c>
      <c r="CE180" s="443">
        <v>26078415.01560553</v>
      </c>
      <c r="CF180" s="450">
        <v>1521.6720163149453</v>
      </c>
      <c r="CG180" s="446">
        <v>17138</v>
      </c>
      <c r="CH180" s="446">
        <v>414</v>
      </c>
      <c r="CI180" s="446">
        <v>321</v>
      </c>
      <c r="CJ180" s="446">
        <v>708</v>
      </c>
      <c r="CK180" s="446">
        <v>2</v>
      </c>
      <c r="CL180" s="446">
        <v>361</v>
      </c>
      <c r="CM180" s="446">
        <v>366</v>
      </c>
      <c r="CN180" s="446">
        <v>291</v>
      </c>
      <c r="CO180" s="446">
        <v>34</v>
      </c>
      <c r="CP180" s="446">
        <v>460</v>
      </c>
      <c r="CQ180" s="446">
        <v>377</v>
      </c>
      <c r="CR180" s="446">
        <v>7461</v>
      </c>
      <c r="CS180" s="446">
        <v>6166</v>
      </c>
      <c r="CT180" s="446">
        <v>126</v>
      </c>
      <c r="CU180" s="446">
        <v>27</v>
      </c>
      <c r="CV180" s="446">
        <v>24</v>
      </c>
      <c r="CW180" s="443">
        <v>14374539.469435716</v>
      </c>
      <c r="CX180" s="448">
        <v>1.1845331559060077</v>
      </c>
      <c r="CY180" s="448">
        <v>1.2133333333333332</v>
      </c>
      <c r="CZ180" s="443">
        <v>17027118.60242616</v>
      </c>
      <c r="DA180" s="450">
        <v>993.5300853323702</v>
      </c>
      <c r="DB180" s="445">
        <v>17201.8</v>
      </c>
      <c r="DC180" s="448">
        <v>1.0015925658942666</v>
      </c>
      <c r="DD180" s="450">
        <v>354.1</v>
      </c>
      <c r="DE180" s="443">
        <v>103093</v>
      </c>
      <c r="DF180" s="450">
        <v>76.81325513383116</v>
      </c>
      <c r="DG180" s="450">
        <v>80.1162251045859</v>
      </c>
      <c r="DH180" s="450">
        <v>81.87878205688676</v>
      </c>
      <c r="DI180" s="450">
        <v>83.68011526213826</v>
      </c>
      <c r="DJ180" s="450">
        <v>86.44155906578881</v>
      </c>
      <c r="DK180" s="450">
        <v>89.55345519215719</v>
      </c>
      <c r="DL180" s="450">
        <v>92.4191657583062</v>
      </c>
      <c r="DM180" s="450">
        <v>96.20835155439676</v>
      </c>
      <c r="DN180" s="450">
        <v>100.4415190227902</v>
      </c>
      <c r="DO180" s="450">
        <v>105.96580256904366</v>
      </c>
      <c r="DP180" s="450">
        <v>105.01211034592227</v>
      </c>
      <c r="DQ180" s="450">
        <v>110.3677279735643</v>
      </c>
      <c r="DR180" s="450">
        <v>55.19</v>
      </c>
      <c r="DS180" s="450">
        <v>58.95164020568867</v>
      </c>
      <c r="DT180" s="450">
        <v>62.852080620427635</v>
      </c>
      <c r="DU180" s="450">
        <v>67.61561925401263</v>
      </c>
      <c r="DV180" s="450">
        <v>72.83602063929995</v>
      </c>
      <c r="DW180" s="450">
        <v>78.04217204284899</v>
      </c>
      <c r="DX180" s="450">
        <v>84.23519118816398</v>
      </c>
      <c r="DY180" s="450">
        <v>89.33042620292618</v>
      </c>
      <c r="DZ180" s="450">
        <v>92.25583662679351</v>
      </c>
      <c r="EA180" s="450">
        <v>95.85112896645852</v>
      </c>
      <c r="EB180" s="450">
        <v>102.66517482971118</v>
      </c>
      <c r="EC180" s="450">
        <v>0</v>
      </c>
      <c r="ED180" s="450">
        <v>102.66517482971118</v>
      </c>
      <c r="EE180" s="450">
        <v>5338.5890911449815</v>
      </c>
      <c r="EF180" s="443">
        <v>89996674.99149658</v>
      </c>
      <c r="EG180" s="450">
        <v>65.63</v>
      </c>
      <c r="EH180" s="450">
        <v>68.55435220568866</v>
      </c>
      <c r="EI180" s="450">
        <v>71.57561098842763</v>
      </c>
      <c r="EJ180" s="450">
        <v>75.50060026538861</v>
      </c>
      <c r="EK180" s="450">
        <v>79.83788377740181</v>
      </c>
      <c r="EL180" s="450">
        <v>84.06377434161658</v>
      </c>
      <c r="EM180" s="450">
        <v>89.24998158257763</v>
      </c>
      <c r="EN180" s="450">
        <v>93.98415168894206</v>
      </c>
      <c r="EO180" s="450">
        <v>96.693939498624</v>
      </c>
      <c r="EP180" s="450">
        <v>98.8166635228712</v>
      </c>
      <c r="EQ180" s="450">
        <v>105.15859628474296</v>
      </c>
      <c r="ER180" s="443">
        <v>106401545</v>
      </c>
      <c r="ES180" s="443">
        <v>0</v>
      </c>
      <c r="ET180" s="443">
        <v>0</v>
      </c>
      <c r="EU180" s="443">
        <v>0</v>
      </c>
      <c r="EV180" s="443">
        <v>0</v>
      </c>
      <c r="EW180" s="443">
        <v>0</v>
      </c>
      <c r="EX180" s="443">
        <v>0</v>
      </c>
      <c r="EY180" s="443">
        <v>0</v>
      </c>
      <c r="EZ180" s="443">
        <v>0</v>
      </c>
      <c r="FA180" s="443">
        <v>106401545</v>
      </c>
      <c r="FB180" s="443">
        <v>89575.0007042519</v>
      </c>
      <c r="FC180" s="443">
        <v>0</v>
      </c>
      <c r="FD180" s="443">
        <v>0</v>
      </c>
      <c r="FE180" s="443">
        <v>299245</v>
      </c>
      <c r="FF180" s="452">
        <v>0.0575</v>
      </c>
      <c r="FG180" s="443">
        <v>17206.5875</v>
      </c>
      <c r="FH180" s="453">
        <v>17206.5875</v>
      </c>
    </row>
    <row r="181" spans="2:164" ht="12.75">
      <c r="B181" s="356" t="s">
        <v>869</v>
      </c>
      <c r="C181" s="442">
        <v>8715.5</v>
      </c>
      <c r="D181" s="443">
        <v>2061511.5</v>
      </c>
      <c r="E181" s="443">
        <v>1768776.8669999999</v>
      </c>
      <c r="F181" s="443">
        <v>224858.44100120122</v>
      </c>
      <c r="G181" s="443">
        <v>292734.63300000003</v>
      </c>
      <c r="H181" s="444">
        <v>0.3768584705409902</v>
      </c>
      <c r="I181" s="445">
        <v>2519.59</v>
      </c>
      <c r="J181" s="445">
        <v>764.92</v>
      </c>
      <c r="K181" s="443">
        <v>1993635.3080012011</v>
      </c>
      <c r="L181" s="443">
        <v>1594908.246400961</v>
      </c>
      <c r="M181" s="443">
        <v>429511.6912543967</v>
      </c>
      <c r="N181" s="443">
        <v>398727.0616002401</v>
      </c>
      <c r="O181" s="446">
        <v>1.0772072743961907</v>
      </c>
      <c r="P181" s="447">
        <v>0.9405082898284666</v>
      </c>
      <c r="Q181" s="448">
        <v>0.05943434111640181</v>
      </c>
      <c r="R181" s="443">
        <v>2024419.9376553576</v>
      </c>
      <c r="S181" s="443">
        <v>1368507.877855022</v>
      </c>
      <c r="T181" s="443">
        <v>366660.2144202775</v>
      </c>
      <c r="U181" s="443">
        <v>387083.58639311726</v>
      </c>
      <c r="V181" s="443">
        <v>461567.7457854216</v>
      </c>
      <c r="W181" s="446">
        <v>0.8386278935813438</v>
      </c>
      <c r="X181" s="448">
        <v>15.658420168680912</v>
      </c>
      <c r="Y181" s="443">
        <v>366660.2144202775</v>
      </c>
      <c r="Z181" s="443">
        <v>194344.31401491433</v>
      </c>
      <c r="AA181" s="444">
        <v>1.8866526467666007</v>
      </c>
      <c r="AB181" s="444">
        <v>0.15478171074522404</v>
      </c>
      <c r="AC181" s="445">
        <v>1275</v>
      </c>
      <c r="AD181" s="445">
        <v>1423</v>
      </c>
      <c r="AE181" s="443">
        <v>2122251.6786684166</v>
      </c>
      <c r="AF181" s="443">
        <v>49106.0645083617</v>
      </c>
      <c r="AG181" s="447">
        <v>0.25</v>
      </c>
      <c r="AH181" s="446">
        <v>0.18349474740697014</v>
      </c>
      <c r="AI181" s="448">
        <v>0.15452274680137634</v>
      </c>
      <c r="AJ181" s="443">
        <v>2171357.7431767783</v>
      </c>
      <c r="AK181" s="449">
        <v>1.0079622379959163</v>
      </c>
      <c r="AL181" s="443">
        <v>2188646.6103022275</v>
      </c>
      <c r="AM181" s="443">
        <v>4877980.179400529</v>
      </c>
      <c r="AN181" s="443">
        <v>4818408.601352965</v>
      </c>
      <c r="AO181" s="443">
        <v>4864602.668248166</v>
      </c>
      <c r="AP181" s="443">
        <v>4864602.668248166</v>
      </c>
      <c r="AQ181" s="443">
        <v>34862</v>
      </c>
      <c r="AR181" s="443">
        <v>4899464.668248166</v>
      </c>
      <c r="AS181" s="450">
        <v>562.1553173367181</v>
      </c>
      <c r="AT181" s="446">
        <v>8685</v>
      </c>
      <c r="AU181" s="446">
        <v>272</v>
      </c>
      <c r="AV181" s="446">
        <v>1047</v>
      </c>
      <c r="AW181" s="446">
        <v>480</v>
      </c>
      <c r="AX181" s="446">
        <v>387</v>
      </c>
      <c r="AY181" s="446">
        <v>1274</v>
      </c>
      <c r="AZ181" s="446">
        <v>255</v>
      </c>
      <c r="BA181" s="446">
        <v>404</v>
      </c>
      <c r="BB181" s="446">
        <v>411</v>
      </c>
      <c r="BC181" s="446">
        <v>611</v>
      </c>
      <c r="BD181" s="446">
        <v>1702</v>
      </c>
      <c r="BE181" s="446">
        <v>391</v>
      </c>
      <c r="BF181" s="446">
        <v>127</v>
      </c>
      <c r="BG181" s="446">
        <v>1324</v>
      </c>
      <c r="BH181" s="446">
        <v>0</v>
      </c>
      <c r="BI181" s="446">
        <v>0</v>
      </c>
      <c r="BJ181" s="448">
        <v>1.4431069300639556</v>
      </c>
      <c r="BK181" s="448">
        <v>16.261382181167964</v>
      </c>
      <c r="BL181" s="448">
        <v>11.05131359723758</v>
      </c>
      <c r="BM181" s="448">
        <v>10.420137167860764</v>
      </c>
      <c r="BN181" s="445">
        <v>8167</v>
      </c>
      <c r="BO181" s="445">
        <v>518</v>
      </c>
      <c r="BP181" s="443">
        <v>2594283.4299244834</v>
      </c>
      <c r="BQ181" s="443">
        <v>8721437</v>
      </c>
      <c r="BR181" s="443">
        <v>11975433</v>
      </c>
      <c r="BS181" s="444">
        <v>0.15532527345998848</v>
      </c>
      <c r="BT181" s="445">
        <v>1275</v>
      </c>
      <c r="BU181" s="445">
        <v>1423</v>
      </c>
      <c r="BV181" s="443">
        <v>1860087.4055267703</v>
      </c>
      <c r="BW181" s="444">
        <v>0.012651222772873625</v>
      </c>
      <c r="BX181" s="443">
        <v>23023.69558527122</v>
      </c>
      <c r="BY181" s="443">
        <v>13198831.531036526</v>
      </c>
      <c r="BZ181" s="451">
        <v>0.91</v>
      </c>
      <c r="CA181" s="443">
        <v>12010936.69324324</v>
      </c>
      <c r="CB181" s="443">
        <v>8788856.384183664</v>
      </c>
      <c r="CC181" s="443">
        <v>8788856.384183664</v>
      </c>
      <c r="CD181" s="443">
        <v>8649847.595290147</v>
      </c>
      <c r="CE181" s="443">
        <v>8726395.325621888</v>
      </c>
      <c r="CF181" s="450">
        <v>1004.7663011654448</v>
      </c>
      <c r="CG181" s="446">
        <v>8685</v>
      </c>
      <c r="CH181" s="446">
        <v>272</v>
      </c>
      <c r="CI181" s="446">
        <v>1047</v>
      </c>
      <c r="CJ181" s="446">
        <v>480</v>
      </c>
      <c r="CK181" s="446">
        <v>387</v>
      </c>
      <c r="CL181" s="446">
        <v>1274</v>
      </c>
      <c r="CM181" s="446">
        <v>255</v>
      </c>
      <c r="CN181" s="446">
        <v>404</v>
      </c>
      <c r="CO181" s="446">
        <v>411</v>
      </c>
      <c r="CP181" s="446">
        <v>611</v>
      </c>
      <c r="CQ181" s="446">
        <v>1702</v>
      </c>
      <c r="CR181" s="446">
        <v>391</v>
      </c>
      <c r="CS181" s="446">
        <v>127</v>
      </c>
      <c r="CT181" s="446">
        <v>1324</v>
      </c>
      <c r="CU181" s="446">
        <v>0</v>
      </c>
      <c r="CV181" s="446">
        <v>0</v>
      </c>
      <c r="CW181" s="443">
        <v>5791523.741215004</v>
      </c>
      <c r="CX181" s="448">
        <v>0.888399866929506</v>
      </c>
      <c r="CY181" s="448">
        <v>0.91</v>
      </c>
      <c r="CZ181" s="443">
        <v>5145188.921014484</v>
      </c>
      <c r="DA181" s="450">
        <v>592.4224434098427</v>
      </c>
      <c r="DB181" s="445">
        <v>8715.5</v>
      </c>
      <c r="DC181" s="448">
        <v>1.002812231082554</v>
      </c>
      <c r="DD181" s="450">
        <v>322</v>
      </c>
      <c r="DE181" s="443">
        <v>31450</v>
      </c>
      <c r="DF181" s="450">
        <v>49.37872080165737</v>
      </c>
      <c r="DG181" s="450">
        <v>51.502005796128635</v>
      </c>
      <c r="DH181" s="450">
        <v>52.63504992364346</v>
      </c>
      <c r="DI181" s="450">
        <v>53.793021021963604</v>
      </c>
      <c r="DJ181" s="450">
        <v>55.568190715688395</v>
      </c>
      <c r="DK181" s="450">
        <v>57.56864558145317</v>
      </c>
      <c r="DL181" s="450">
        <v>59.41084224005966</v>
      </c>
      <c r="DM181" s="450">
        <v>61.8466867719021</v>
      </c>
      <c r="DN181" s="450">
        <v>64.56794098986578</v>
      </c>
      <c r="DO181" s="450">
        <v>68.11917774430839</v>
      </c>
      <c r="DP181" s="450">
        <v>67.5061051446096</v>
      </c>
      <c r="DQ181" s="450">
        <v>70.94891650698469</v>
      </c>
      <c r="DR181" s="450">
        <v>35.83</v>
      </c>
      <c r="DS181" s="450">
        <v>38.21993899236434</v>
      </c>
      <c r="DT181" s="450">
        <v>40.69769358039271</v>
      </c>
      <c r="DU181" s="450">
        <v>43.731651624438506</v>
      </c>
      <c r="DV181" s="450">
        <v>47.05779886842327</v>
      </c>
      <c r="DW181" s="450">
        <v>50.37151406685395</v>
      </c>
      <c r="DX181" s="450">
        <v>54.31873426925638</v>
      </c>
      <c r="DY181" s="450">
        <v>57.58200106741055</v>
      </c>
      <c r="DZ181" s="450">
        <v>59.455313534241085</v>
      </c>
      <c r="EA181" s="450">
        <v>61.71692236786506</v>
      </c>
      <c r="EB181" s="450">
        <v>66.08137162829789</v>
      </c>
      <c r="EC181" s="450">
        <v>0</v>
      </c>
      <c r="ED181" s="450">
        <v>66.08137162829789</v>
      </c>
      <c r="EE181" s="450">
        <v>3436.2313246714903</v>
      </c>
      <c r="EF181" s="443">
        <v>29349504.627970885</v>
      </c>
      <c r="EG181" s="450">
        <v>38.43</v>
      </c>
      <c r="EH181" s="450">
        <v>40.61141899236434</v>
      </c>
      <c r="EI181" s="450">
        <v>42.87022030039271</v>
      </c>
      <c r="EJ181" s="450">
        <v>45.695344213478506</v>
      </c>
      <c r="EK181" s="450">
        <v>48.80155788749079</v>
      </c>
      <c r="EL181" s="450">
        <v>51.87114682325201</v>
      </c>
      <c r="EM181" s="450">
        <v>55.567628428784694</v>
      </c>
      <c r="EN181" s="450">
        <v>58.74097484745283</v>
      </c>
      <c r="EO181" s="450">
        <v>60.56058819580807</v>
      </c>
      <c r="EP181" s="450">
        <v>62.45546545662685</v>
      </c>
      <c r="EQ181" s="450">
        <v>66.7023386573288</v>
      </c>
      <c r="ER181" s="443">
        <v>60633863</v>
      </c>
      <c r="ES181" s="443">
        <v>283000</v>
      </c>
      <c r="ET181" s="443">
        <v>0</v>
      </c>
      <c r="EU181" s="443">
        <v>0</v>
      </c>
      <c r="EV181" s="443">
        <v>0</v>
      </c>
      <c r="EW181" s="443">
        <v>0</v>
      </c>
      <c r="EX181" s="443">
        <v>0</v>
      </c>
      <c r="EY181" s="443">
        <v>0</v>
      </c>
      <c r="EZ181" s="443">
        <v>0</v>
      </c>
      <c r="FA181" s="443">
        <v>60775363</v>
      </c>
      <c r="FB181" s="443">
        <v>67984.84725172585</v>
      </c>
      <c r="FC181" s="443">
        <v>0</v>
      </c>
      <c r="FD181" s="443">
        <v>0</v>
      </c>
      <c r="FE181" s="443">
        <v>6355</v>
      </c>
      <c r="FF181" s="452">
        <v>0.0313</v>
      </c>
      <c r="FG181" s="443">
        <v>198.91150000000002</v>
      </c>
      <c r="FH181" s="453">
        <v>198.91150000000002</v>
      </c>
    </row>
    <row r="182" spans="2:164" ht="12.75">
      <c r="B182" s="356" t="s">
        <v>870</v>
      </c>
      <c r="C182" s="442">
        <v>5621</v>
      </c>
      <c r="D182" s="443">
        <v>1340493</v>
      </c>
      <c r="E182" s="443">
        <v>1150142.994</v>
      </c>
      <c r="F182" s="443">
        <v>178329.451674031</v>
      </c>
      <c r="G182" s="443">
        <v>190350.00600000002</v>
      </c>
      <c r="H182" s="444">
        <v>0.4596352962106387</v>
      </c>
      <c r="I182" s="445">
        <v>2169.82</v>
      </c>
      <c r="J182" s="445">
        <v>413.79</v>
      </c>
      <c r="K182" s="443">
        <v>1328472.445674031</v>
      </c>
      <c r="L182" s="443">
        <v>1062777.9565392248</v>
      </c>
      <c r="M182" s="443">
        <v>359157.8788103536</v>
      </c>
      <c r="N182" s="443">
        <v>265694.48913480615</v>
      </c>
      <c r="O182" s="446">
        <v>1.3517701476605586</v>
      </c>
      <c r="P182" s="447">
        <v>0.7294075787226472</v>
      </c>
      <c r="Q182" s="448">
        <v>0.2705924212773528</v>
      </c>
      <c r="R182" s="443">
        <v>1421935.8353495784</v>
      </c>
      <c r="S182" s="443">
        <v>961228.624696315</v>
      </c>
      <c r="T182" s="443">
        <v>129801.45227215638</v>
      </c>
      <c r="U182" s="443">
        <v>200283.17413059258</v>
      </c>
      <c r="V182" s="443">
        <v>324201.3704597039</v>
      </c>
      <c r="W182" s="446">
        <v>0.6177739898094801</v>
      </c>
      <c r="X182" s="448">
        <v>11.534751915309334</v>
      </c>
      <c r="Y182" s="443">
        <v>129801.45227215638</v>
      </c>
      <c r="Z182" s="443">
        <v>136505.84019355953</v>
      </c>
      <c r="AA182" s="444">
        <v>0.9508857063412334</v>
      </c>
      <c r="AB182" s="444">
        <v>0.07801103006582459</v>
      </c>
      <c r="AC182" s="445">
        <v>417</v>
      </c>
      <c r="AD182" s="445">
        <v>460</v>
      </c>
      <c r="AE182" s="443">
        <v>1291313.251099064</v>
      </c>
      <c r="AF182" s="443">
        <v>0</v>
      </c>
      <c r="AG182" s="447">
        <v>0</v>
      </c>
      <c r="AH182" s="446">
        <v>0.014845979573917808</v>
      </c>
      <c r="AI182" s="448">
        <v>0.012501946650445461</v>
      </c>
      <c r="AJ182" s="443">
        <v>1291313.251099064</v>
      </c>
      <c r="AK182" s="449">
        <v>1.0205159980087553</v>
      </c>
      <c r="AL182" s="443">
        <v>1317805.8311872918</v>
      </c>
      <c r="AM182" s="443">
        <v>2937080.246108065</v>
      </c>
      <c r="AN182" s="443">
        <v>2901211.6081312527</v>
      </c>
      <c r="AO182" s="443">
        <v>2911207.8637982598</v>
      </c>
      <c r="AP182" s="443">
        <v>2911207.8637982598</v>
      </c>
      <c r="AQ182" s="443">
        <v>22484</v>
      </c>
      <c r="AR182" s="443">
        <v>2933691.8637982598</v>
      </c>
      <c r="AS182" s="450">
        <v>521.9163607540046</v>
      </c>
      <c r="AT182" s="446">
        <v>5621</v>
      </c>
      <c r="AU182" s="446">
        <v>208</v>
      </c>
      <c r="AV182" s="446">
        <v>369</v>
      </c>
      <c r="AW182" s="446">
        <v>263</v>
      </c>
      <c r="AX182" s="446">
        <v>112</v>
      </c>
      <c r="AY182" s="446">
        <v>698</v>
      </c>
      <c r="AZ182" s="446">
        <v>123</v>
      </c>
      <c r="BA182" s="446">
        <v>328</v>
      </c>
      <c r="BB182" s="446">
        <v>412</v>
      </c>
      <c r="BC182" s="446">
        <v>29</v>
      </c>
      <c r="BD182" s="446">
        <v>888</v>
      </c>
      <c r="BE182" s="446">
        <v>1162</v>
      </c>
      <c r="BF182" s="446">
        <v>359</v>
      </c>
      <c r="BG182" s="446">
        <v>670</v>
      </c>
      <c r="BH182" s="446">
        <v>0</v>
      </c>
      <c r="BI182" s="446">
        <v>0</v>
      </c>
      <c r="BJ182" s="448">
        <v>1.4346767506672746</v>
      </c>
      <c r="BK182" s="448">
        <v>11.045566631763842</v>
      </c>
      <c r="BL182" s="448">
        <v>6.35262891815334</v>
      </c>
      <c r="BM182" s="448">
        <v>9.385875427221004</v>
      </c>
      <c r="BN182" s="445">
        <v>4100</v>
      </c>
      <c r="BO182" s="445">
        <v>1521</v>
      </c>
      <c r="BP182" s="443">
        <v>1648318.7696393905</v>
      </c>
      <c r="BQ182" s="443">
        <v>6228243</v>
      </c>
      <c r="BR182" s="443">
        <v>7693859</v>
      </c>
      <c r="BS182" s="444">
        <v>0.07801103006582459</v>
      </c>
      <c r="BT182" s="445">
        <v>417</v>
      </c>
      <c r="BU182" s="445">
        <v>460</v>
      </c>
      <c r="BV182" s="443">
        <v>600205.8657712152</v>
      </c>
      <c r="BW182" s="444">
        <v>0.010828011697113497</v>
      </c>
      <c r="BX182" s="443">
        <v>8662.944917712157</v>
      </c>
      <c r="BY182" s="443">
        <v>8485430.58032832</v>
      </c>
      <c r="BZ182" s="451">
        <v>0.9533333333333333</v>
      </c>
      <c r="CA182" s="443">
        <v>8089443.819912997</v>
      </c>
      <c r="CB182" s="443">
        <v>5919351.81884133</v>
      </c>
      <c r="CC182" s="443">
        <v>5919351.81884133</v>
      </c>
      <c r="CD182" s="443">
        <v>5911493.277406687</v>
      </c>
      <c r="CE182" s="443">
        <v>5911493.277406687</v>
      </c>
      <c r="CF182" s="450">
        <v>1051.6799995386384</v>
      </c>
      <c r="CG182" s="446">
        <v>5621</v>
      </c>
      <c r="CH182" s="446">
        <v>208</v>
      </c>
      <c r="CI182" s="446">
        <v>369</v>
      </c>
      <c r="CJ182" s="446">
        <v>263</v>
      </c>
      <c r="CK182" s="446">
        <v>112</v>
      </c>
      <c r="CL182" s="446">
        <v>698</v>
      </c>
      <c r="CM182" s="446">
        <v>123</v>
      </c>
      <c r="CN182" s="446">
        <v>328</v>
      </c>
      <c r="CO182" s="446">
        <v>412</v>
      </c>
      <c r="CP182" s="446">
        <v>29</v>
      </c>
      <c r="CQ182" s="446">
        <v>888</v>
      </c>
      <c r="CR182" s="446">
        <v>1162</v>
      </c>
      <c r="CS182" s="446">
        <v>359</v>
      </c>
      <c r="CT182" s="446">
        <v>670</v>
      </c>
      <c r="CU182" s="446">
        <v>0</v>
      </c>
      <c r="CV182" s="446">
        <v>0</v>
      </c>
      <c r="CW182" s="443">
        <v>4027907.02917061</v>
      </c>
      <c r="CX182" s="448">
        <v>0.9307046224975776</v>
      </c>
      <c r="CY182" s="448">
        <v>0.9533333333333333</v>
      </c>
      <c r="CZ182" s="443">
        <v>3748791.6910395715</v>
      </c>
      <c r="DA182" s="450">
        <v>666.9261147553054</v>
      </c>
      <c r="DB182" s="445">
        <v>5621</v>
      </c>
      <c r="DC182" s="448">
        <v>1.008824052659669</v>
      </c>
      <c r="DD182" s="450">
        <v>326.1</v>
      </c>
      <c r="DE182" s="443">
        <v>55741</v>
      </c>
      <c r="DF182" s="450">
        <v>58.113113556437966</v>
      </c>
      <c r="DG182" s="450">
        <v>60.61197743936479</v>
      </c>
      <c r="DH182" s="450">
        <v>61.9454409430308</v>
      </c>
      <c r="DI182" s="450">
        <v>63.30824064377747</v>
      </c>
      <c r="DJ182" s="450">
        <v>65.39741258502212</v>
      </c>
      <c r="DK182" s="450">
        <v>67.75171943808292</v>
      </c>
      <c r="DL182" s="450">
        <v>69.91977446010155</v>
      </c>
      <c r="DM182" s="450">
        <v>72.78648521296572</v>
      </c>
      <c r="DN182" s="450">
        <v>75.98909056233619</v>
      </c>
      <c r="DO182" s="450">
        <v>80.16849054326467</v>
      </c>
      <c r="DP182" s="450">
        <v>79.44697412837529</v>
      </c>
      <c r="DQ182" s="450">
        <v>83.49876980892242</v>
      </c>
      <c r="DR182" s="450">
        <v>44.96</v>
      </c>
      <c r="DS182" s="450">
        <v>47.548752094303076</v>
      </c>
      <c r="DT182" s="450">
        <v>50.22964864075548</v>
      </c>
      <c r="DU182" s="450">
        <v>53.57600023829062</v>
      </c>
      <c r="DV182" s="450">
        <v>57.254305274185334</v>
      </c>
      <c r="DW182" s="450">
        <v>60.89199827914963</v>
      </c>
      <c r="DX182" s="450">
        <v>65.26815320946895</v>
      </c>
      <c r="DY182" s="450">
        <v>69.0120784630912</v>
      </c>
      <c r="DZ182" s="450">
        <v>71.15908486385229</v>
      </c>
      <c r="EA182" s="450">
        <v>73.42690099203125</v>
      </c>
      <c r="EB182" s="450">
        <v>78.43709231588436</v>
      </c>
      <c r="EC182" s="450">
        <v>-2.64</v>
      </c>
      <c r="ED182" s="450">
        <v>75.79709231588436</v>
      </c>
      <c r="EE182" s="450">
        <v>3941.4488004259865</v>
      </c>
      <c r="EF182" s="443">
        <v>21711786.03305058</v>
      </c>
      <c r="EG182" s="450">
        <v>46.56</v>
      </c>
      <c r="EH182" s="450">
        <v>49.020432094303075</v>
      </c>
      <c r="EI182" s="450">
        <v>51.56658816075548</v>
      </c>
      <c r="EJ182" s="450">
        <v>54.784426446930624</v>
      </c>
      <c r="EK182" s="450">
        <v>58.327387747457664</v>
      </c>
      <c r="EL182" s="450">
        <v>61.81484920616384</v>
      </c>
      <c r="EM182" s="450">
        <v>66.03670346148638</v>
      </c>
      <c r="EN182" s="450">
        <v>69.72529309696337</v>
      </c>
      <c r="EO182" s="450">
        <v>71.83925388635505</v>
      </c>
      <c r="EP182" s="450">
        <v>73.8813890466539</v>
      </c>
      <c r="EQ182" s="450">
        <v>78.81922587221108</v>
      </c>
      <c r="ER182" s="443">
        <v>13840498</v>
      </c>
      <c r="ES182" s="443">
        <v>0</v>
      </c>
      <c r="ET182" s="443">
        <v>0</v>
      </c>
      <c r="EU182" s="443">
        <v>0</v>
      </c>
      <c r="EV182" s="443">
        <v>0</v>
      </c>
      <c r="EW182" s="443">
        <v>0</v>
      </c>
      <c r="EX182" s="443">
        <v>0</v>
      </c>
      <c r="EY182" s="443">
        <v>0</v>
      </c>
      <c r="EZ182" s="443">
        <v>0</v>
      </c>
      <c r="FA182" s="443">
        <v>13840498</v>
      </c>
      <c r="FB182" s="443">
        <v>45775.42947437171</v>
      </c>
      <c r="FC182" s="443">
        <v>0</v>
      </c>
      <c r="FD182" s="443">
        <v>0</v>
      </c>
      <c r="FE182" s="443">
        <v>26542</v>
      </c>
      <c r="FF182" s="452">
        <v>0.0313</v>
      </c>
      <c r="FG182" s="443">
        <v>830.7646000000001</v>
      </c>
      <c r="FH182" s="453">
        <v>830.7646000000001</v>
      </c>
    </row>
    <row r="183" spans="2:164" ht="12.75">
      <c r="B183" s="356" t="s">
        <v>871</v>
      </c>
      <c r="C183" s="442">
        <v>4596</v>
      </c>
      <c r="D183" s="443">
        <v>1101668</v>
      </c>
      <c r="E183" s="443">
        <v>945231.144</v>
      </c>
      <c r="F183" s="443">
        <v>110523.20042600959</v>
      </c>
      <c r="G183" s="443">
        <v>156436.85600000003</v>
      </c>
      <c r="H183" s="444">
        <v>0.34662315056570936</v>
      </c>
      <c r="I183" s="445">
        <v>1165.9</v>
      </c>
      <c r="J183" s="445">
        <v>427.18</v>
      </c>
      <c r="K183" s="443">
        <v>1055754.3444260096</v>
      </c>
      <c r="L183" s="443">
        <v>844603.4755408077</v>
      </c>
      <c r="M183" s="443">
        <v>238385.47181713127</v>
      </c>
      <c r="N183" s="443">
        <v>211150.86888520187</v>
      </c>
      <c r="O183" s="446">
        <v>1.1289817232375978</v>
      </c>
      <c r="P183" s="447">
        <v>0.9007832898172323</v>
      </c>
      <c r="Q183" s="448">
        <v>0.09921671018276762</v>
      </c>
      <c r="R183" s="443">
        <v>1082988.947357939</v>
      </c>
      <c r="S183" s="443">
        <v>732100.5284139669</v>
      </c>
      <c r="T183" s="443">
        <v>56111.510217092444</v>
      </c>
      <c r="U183" s="443">
        <v>201481.72936217327</v>
      </c>
      <c r="V183" s="443">
        <v>246921.47999761012</v>
      </c>
      <c r="W183" s="446">
        <v>0.815974897623825</v>
      </c>
      <c r="X183" s="448">
        <v>15.235455309656873</v>
      </c>
      <c r="Y183" s="443">
        <v>56111.510217092444</v>
      </c>
      <c r="Z183" s="443">
        <v>103966.93894636215</v>
      </c>
      <c r="AA183" s="444">
        <v>0.5397053215738233</v>
      </c>
      <c r="AB183" s="444">
        <v>0.04427763272410792</v>
      </c>
      <c r="AC183" s="445">
        <v>203</v>
      </c>
      <c r="AD183" s="445">
        <v>204</v>
      </c>
      <c r="AE183" s="443">
        <v>989693.7679932326</v>
      </c>
      <c r="AF183" s="443">
        <v>26894.411082017534</v>
      </c>
      <c r="AG183" s="447">
        <v>0.25</v>
      </c>
      <c r="AH183" s="446">
        <v>0.19486010662317935</v>
      </c>
      <c r="AI183" s="448">
        <v>0.16409362852573395</v>
      </c>
      <c r="AJ183" s="443">
        <v>1016588.1790752502</v>
      </c>
      <c r="AK183" s="449">
        <v>1</v>
      </c>
      <c r="AL183" s="443">
        <v>1016588.1790752502</v>
      </c>
      <c r="AM183" s="443">
        <v>2265736.718207412</v>
      </c>
      <c r="AN183" s="443">
        <v>2238066.7591711064</v>
      </c>
      <c r="AO183" s="443">
        <v>2226740.8550033765</v>
      </c>
      <c r="AP183" s="443">
        <v>2238066.7591711064</v>
      </c>
      <c r="AQ183" s="443">
        <v>18384</v>
      </c>
      <c r="AR183" s="443">
        <v>2256450.7591711064</v>
      </c>
      <c r="AS183" s="450">
        <v>490.95969520694223</v>
      </c>
      <c r="AT183" s="446">
        <v>4595</v>
      </c>
      <c r="AU183" s="446">
        <v>93</v>
      </c>
      <c r="AV183" s="446">
        <v>264</v>
      </c>
      <c r="AW183" s="446">
        <v>217</v>
      </c>
      <c r="AX183" s="446">
        <v>90</v>
      </c>
      <c r="AY183" s="446">
        <v>1003</v>
      </c>
      <c r="AZ183" s="446">
        <v>161</v>
      </c>
      <c r="BA183" s="446">
        <v>271</v>
      </c>
      <c r="BB183" s="446">
        <v>46</v>
      </c>
      <c r="BC183" s="446">
        <v>7</v>
      </c>
      <c r="BD183" s="446">
        <v>847</v>
      </c>
      <c r="BE183" s="446">
        <v>372</v>
      </c>
      <c r="BF183" s="446">
        <v>84</v>
      </c>
      <c r="BG183" s="446">
        <v>1140</v>
      </c>
      <c r="BH183" s="446">
        <v>0</v>
      </c>
      <c r="BI183" s="446">
        <v>0</v>
      </c>
      <c r="BJ183" s="448">
        <v>1.3742507686193413</v>
      </c>
      <c r="BK183" s="448">
        <v>12.677459568955115</v>
      </c>
      <c r="BL183" s="448">
        <v>8.926981677739674</v>
      </c>
      <c r="BM183" s="448">
        <v>7.500955782430881</v>
      </c>
      <c r="BN183" s="445">
        <v>4139</v>
      </c>
      <c r="BO183" s="445">
        <v>456</v>
      </c>
      <c r="BP183" s="443">
        <v>1334721.8195107745</v>
      </c>
      <c r="BQ183" s="443">
        <v>4679112</v>
      </c>
      <c r="BR183" s="443">
        <v>6226550</v>
      </c>
      <c r="BS183" s="444">
        <v>0.044287268770402614</v>
      </c>
      <c r="BT183" s="445">
        <v>203</v>
      </c>
      <c r="BU183" s="445">
        <v>204</v>
      </c>
      <c r="BV183" s="443">
        <v>275756.8933623504</v>
      </c>
      <c r="BW183" s="444">
        <v>0.01935194744316034</v>
      </c>
      <c r="BX183" s="443">
        <v>14526.389250121403</v>
      </c>
      <c r="BY183" s="443">
        <v>6304117.1021232465</v>
      </c>
      <c r="BZ183" s="451">
        <v>0.95</v>
      </c>
      <c r="CA183" s="443">
        <v>5988911.247017083</v>
      </c>
      <c r="CB183" s="443">
        <v>4382312.7364634</v>
      </c>
      <c r="CC183" s="443">
        <v>4382312.7364634</v>
      </c>
      <c r="CD183" s="443">
        <v>4376189.932802074</v>
      </c>
      <c r="CE183" s="443">
        <v>4376189.932802074</v>
      </c>
      <c r="CF183" s="450">
        <v>952.3808341244992</v>
      </c>
      <c r="CG183" s="446">
        <v>4595</v>
      </c>
      <c r="CH183" s="446">
        <v>93</v>
      </c>
      <c r="CI183" s="446">
        <v>264</v>
      </c>
      <c r="CJ183" s="446">
        <v>217</v>
      </c>
      <c r="CK183" s="446">
        <v>90</v>
      </c>
      <c r="CL183" s="446">
        <v>1003</v>
      </c>
      <c r="CM183" s="446">
        <v>161</v>
      </c>
      <c r="CN183" s="446">
        <v>271</v>
      </c>
      <c r="CO183" s="446">
        <v>46</v>
      </c>
      <c r="CP183" s="446">
        <v>7</v>
      </c>
      <c r="CQ183" s="446">
        <v>847</v>
      </c>
      <c r="CR183" s="446">
        <v>372</v>
      </c>
      <c r="CS183" s="446">
        <v>84</v>
      </c>
      <c r="CT183" s="446">
        <v>1140</v>
      </c>
      <c r="CU183" s="446">
        <v>0</v>
      </c>
      <c r="CV183" s="446">
        <v>0</v>
      </c>
      <c r="CW183" s="443">
        <v>3221320.4746635715</v>
      </c>
      <c r="CX183" s="448">
        <v>0.9274504105308028</v>
      </c>
      <c r="CY183" s="448">
        <v>0.95</v>
      </c>
      <c r="CZ183" s="443">
        <v>2987614.99667801</v>
      </c>
      <c r="DA183" s="450">
        <v>650.1882473727987</v>
      </c>
      <c r="DB183" s="445">
        <v>4596</v>
      </c>
      <c r="DC183" s="448">
        <v>1.0071475195822455</v>
      </c>
      <c r="DD183" s="450">
        <v>304.3</v>
      </c>
      <c r="DE183" s="443">
        <v>35683</v>
      </c>
      <c r="DF183" s="450">
        <v>48.787451534003715</v>
      </c>
      <c r="DG183" s="450">
        <v>50.885311949965875</v>
      </c>
      <c r="DH183" s="450">
        <v>52.004788812865115</v>
      </c>
      <c r="DI183" s="450">
        <v>53.148894166748136</v>
      </c>
      <c r="DJ183" s="450">
        <v>54.902807674250816</v>
      </c>
      <c r="DK183" s="450">
        <v>56.87930875052383</v>
      </c>
      <c r="DL183" s="450">
        <v>58.699446630540585</v>
      </c>
      <c r="DM183" s="450">
        <v>61.10612394239274</v>
      </c>
      <c r="DN183" s="450">
        <v>63.79479339585801</v>
      </c>
      <c r="DO183" s="450">
        <v>67.3035070326302</v>
      </c>
      <c r="DP183" s="450">
        <v>66.69777546933652</v>
      </c>
      <c r="DQ183" s="450">
        <v>70.09936201827267</v>
      </c>
      <c r="DR183" s="450">
        <v>37.9</v>
      </c>
      <c r="DS183" s="450">
        <v>40.0608988812865</v>
      </c>
      <c r="DT183" s="450">
        <v>42.29853371334961</v>
      </c>
      <c r="DU183" s="450">
        <v>45.09543811943523</v>
      </c>
      <c r="DV183" s="450">
        <v>48.170364585847594</v>
      </c>
      <c r="DW183" s="450">
        <v>51.209754648919024</v>
      </c>
      <c r="DX183" s="450">
        <v>54.86870846009831</v>
      </c>
      <c r="DY183" s="450">
        <v>58.00647182828878</v>
      </c>
      <c r="DZ183" s="450">
        <v>59.805739102420084</v>
      </c>
      <c r="EA183" s="450">
        <v>61.68777670744886</v>
      </c>
      <c r="EB183" s="450">
        <v>65.88695505927753</v>
      </c>
      <c r="EC183" s="450">
        <v>-0.42</v>
      </c>
      <c r="ED183" s="450">
        <v>65.46695505927752</v>
      </c>
      <c r="EE183" s="450">
        <v>3404.2816630824314</v>
      </c>
      <c r="EF183" s="443">
        <v>15333156.953056317</v>
      </c>
      <c r="EG183" s="450">
        <v>42.99</v>
      </c>
      <c r="EH183" s="450">
        <v>44.7426808812865</v>
      </c>
      <c r="EI183" s="450">
        <v>46.55167256134961</v>
      </c>
      <c r="EJ183" s="450">
        <v>48.93974399567123</v>
      </c>
      <c r="EK183" s="450">
        <v>51.58410820394516</v>
      </c>
      <c r="EL183" s="450">
        <v>54.14557416048293</v>
      </c>
      <c r="EM183" s="450">
        <v>57.31365894932873</v>
      </c>
      <c r="EN183" s="450">
        <v>60.275385882294614</v>
      </c>
      <c r="EO183" s="450">
        <v>61.969526805256976</v>
      </c>
      <c r="EP183" s="450">
        <v>63.13361683121711</v>
      </c>
      <c r="EQ183" s="450">
        <v>67.10261743534187</v>
      </c>
      <c r="ER183" s="443">
        <v>18973516</v>
      </c>
      <c r="ES183" s="443">
        <v>0</v>
      </c>
      <c r="ET183" s="443">
        <v>0</v>
      </c>
      <c r="EU183" s="443">
        <v>0</v>
      </c>
      <c r="EV183" s="443">
        <v>0</v>
      </c>
      <c r="EW183" s="443">
        <v>0</v>
      </c>
      <c r="EX183" s="443">
        <v>0</v>
      </c>
      <c r="EY183" s="443">
        <v>0</v>
      </c>
      <c r="EZ183" s="443">
        <v>0</v>
      </c>
      <c r="FA183" s="443">
        <v>18973516</v>
      </c>
      <c r="FB183" s="443">
        <v>48204.35605636313</v>
      </c>
      <c r="FC183" s="443">
        <v>0</v>
      </c>
      <c r="FD183" s="443">
        <v>0</v>
      </c>
      <c r="FE183" s="443">
        <v>3960</v>
      </c>
      <c r="FF183" s="452">
        <v>0.09</v>
      </c>
      <c r="FG183" s="443">
        <v>356.4</v>
      </c>
      <c r="FH183" s="453">
        <v>356.4</v>
      </c>
    </row>
    <row r="184" spans="2:164" ht="12.75">
      <c r="B184" s="356" t="s">
        <v>872</v>
      </c>
      <c r="C184" s="442">
        <v>4940.42</v>
      </c>
      <c r="D184" s="443">
        <v>1181917.86</v>
      </c>
      <c r="E184" s="443">
        <v>1014085.5238799999</v>
      </c>
      <c r="F184" s="443">
        <v>136883.49360065357</v>
      </c>
      <c r="G184" s="443">
        <v>167832.33612</v>
      </c>
      <c r="H184" s="444">
        <v>0.40014614142117466</v>
      </c>
      <c r="I184" s="445">
        <v>1562.84</v>
      </c>
      <c r="J184" s="445">
        <v>414.05</v>
      </c>
      <c r="K184" s="443">
        <v>1150969.0174806535</v>
      </c>
      <c r="L184" s="443">
        <v>920775.2139845229</v>
      </c>
      <c r="M184" s="443">
        <v>247362.75121965498</v>
      </c>
      <c r="N184" s="443">
        <v>230193.80349613065</v>
      </c>
      <c r="O184" s="446">
        <v>1.0745847519036842</v>
      </c>
      <c r="P184" s="447">
        <v>0.9428348197116844</v>
      </c>
      <c r="Q184" s="448">
        <v>0.057282579213912985</v>
      </c>
      <c r="R184" s="443">
        <v>1168137.965204178</v>
      </c>
      <c r="S184" s="443">
        <v>789661.2644780243</v>
      </c>
      <c r="T184" s="443">
        <v>77608.03245638136</v>
      </c>
      <c r="U184" s="443">
        <v>109080.9611049434</v>
      </c>
      <c r="V184" s="443">
        <v>266335.45606655255</v>
      </c>
      <c r="W184" s="446">
        <v>0.4095622967964355</v>
      </c>
      <c r="X184" s="448">
        <v>7.647132390387795</v>
      </c>
      <c r="Y184" s="443">
        <v>77608.03245638136</v>
      </c>
      <c r="Z184" s="443">
        <v>112141.24465960109</v>
      </c>
      <c r="AA184" s="444">
        <v>0.692056100250684</v>
      </c>
      <c r="AB184" s="444">
        <v>0.056776549362199974</v>
      </c>
      <c r="AC184" s="445">
        <v>260</v>
      </c>
      <c r="AD184" s="445">
        <v>301</v>
      </c>
      <c r="AE184" s="443">
        <v>976350.2580393491</v>
      </c>
      <c r="AF184" s="443">
        <v>0</v>
      </c>
      <c r="AG184" s="447">
        <v>0</v>
      </c>
      <c r="AH184" s="446">
        <v>0</v>
      </c>
      <c r="AI184" s="448">
        <v>0</v>
      </c>
      <c r="AJ184" s="443">
        <v>976350.2580393491</v>
      </c>
      <c r="AK184" s="449">
        <v>1.1323222768566725</v>
      </c>
      <c r="AL184" s="443">
        <v>1105543.1471927154</v>
      </c>
      <c r="AM184" s="443">
        <v>2463996.487186874</v>
      </c>
      <c r="AN184" s="443">
        <v>2433905.31140366</v>
      </c>
      <c r="AO184" s="443">
        <v>2384663.554741309</v>
      </c>
      <c r="AP184" s="443">
        <v>2433905.31140366</v>
      </c>
      <c r="AQ184" s="443">
        <v>19761.68</v>
      </c>
      <c r="AR184" s="443">
        <v>2453666.9914036603</v>
      </c>
      <c r="AS184" s="450">
        <v>496.65149752524286</v>
      </c>
      <c r="AT184" s="446">
        <v>4893</v>
      </c>
      <c r="AU184" s="446">
        <v>100</v>
      </c>
      <c r="AV184" s="446">
        <v>647</v>
      </c>
      <c r="AW184" s="446">
        <v>64</v>
      </c>
      <c r="AX184" s="446">
        <v>203</v>
      </c>
      <c r="AY184" s="446">
        <v>714</v>
      </c>
      <c r="AZ184" s="446">
        <v>262</v>
      </c>
      <c r="BA184" s="446">
        <v>224</v>
      </c>
      <c r="BB184" s="446">
        <v>0</v>
      </c>
      <c r="BC184" s="446">
        <v>24</v>
      </c>
      <c r="BD184" s="446">
        <v>1444</v>
      </c>
      <c r="BE184" s="446">
        <v>271</v>
      </c>
      <c r="BF184" s="446">
        <v>0</v>
      </c>
      <c r="BG184" s="446">
        <v>938</v>
      </c>
      <c r="BH184" s="446">
        <v>2</v>
      </c>
      <c r="BI184" s="446">
        <v>0</v>
      </c>
      <c r="BJ184" s="448">
        <v>1.1479780600110654</v>
      </c>
      <c r="BK184" s="448">
        <v>5.479710156370629</v>
      </c>
      <c r="BL184" s="448">
        <v>3.11519057378008</v>
      </c>
      <c r="BM184" s="448">
        <v>4.729039165181099</v>
      </c>
      <c r="BN184" s="445">
        <v>4622</v>
      </c>
      <c r="BO184" s="445">
        <v>271</v>
      </c>
      <c r="BP184" s="443">
        <v>1149747.0942015424</v>
      </c>
      <c r="BQ184" s="443">
        <v>4893931</v>
      </c>
      <c r="BR184" s="443">
        <v>6552563</v>
      </c>
      <c r="BS184" s="444">
        <v>0.05732679337829552</v>
      </c>
      <c r="BT184" s="445">
        <v>260</v>
      </c>
      <c r="BU184" s="445">
        <v>301</v>
      </c>
      <c r="BV184" s="443">
        <v>375637.42519926425</v>
      </c>
      <c r="BW184" s="444">
        <v>0.01285923249195749</v>
      </c>
      <c r="BX184" s="443">
        <v>4442.864858489449</v>
      </c>
      <c r="BY184" s="443">
        <v>6423758.384259297</v>
      </c>
      <c r="BZ184" s="451">
        <v>1.1133333333333335</v>
      </c>
      <c r="CA184" s="443">
        <v>7151784.3344753515</v>
      </c>
      <c r="CB184" s="443">
        <v>5233230.930416784</v>
      </c>
      <c r="CC184" s="443">
        <v>5233230.930416784</v>
      </c>
      <c r="CD184" s="443">
        <v>5151223.381282772</v>
      </c>
      <c r="CE184" s="443">
        <v>5196039.15832226</v>
      </c>
      <c r="CF184" s="450">
        <v>1061.9332021913467</v>
      </c>
      <c r="CG184" s="446">
        <v>4893</v>
      </c>
      <c r="CH184" s="446">
        <v>100</v>
      </c>
      <c r="CI184" s="446">
        <v>647</v>
      </c>
      <c r="CJ184" s="446">
        <v>64</v>
      </c>
      <c r="CK184" s="446">
        <v>203</v>
      </c>
      <c r="CL184" s="446">
        <v>714</v>
      </c>
      <c r="CM184" s="446">
        <v>262</v>
      </c>
      <c r="CN184" s="446">
        <v>224</v>
      </c>
      <c r="CO184" s="446">
        <v>0</v>
      </c>
      <c r="CP184" s="446">
        <v>24</v>
      </c>
      <c r="CQ184" s="446">
        <v>1444</v>
      </c>
      <c r="CR184" s="446">
        <v>271</v>
      </c>
      <c r="CS184" s="446">
        <v>0</v>
      </c>
      <c r="CT184" s="446">
        <v>938</v>
      </c>
      <c r="CU184" s="446">
        <v>2</v>
      </c>
      <c r="CV184" s="446">
        <v>0</v>
      </c>
      <c r="CW184" s="443">
        <v>3409207.056694497</v>
      </c>
      <c r="CX184" s="448">
        <v>1.0869067969027657</v>
      </c>
      <c r="CY184" s="448">
        <v>1.1133333333333335</v>
      </c>
      <c r="CZ184" s="443">
        <v>3705490.321970121</v>
      </c>
      <c r="DA184" s="450">
        <v>757.3043780850442</v>
      </c>
      <c r="DB184" s="445">
        <v>4940.42</v>
      </c>
      <c r="DC184" s="448">
        <v>0.9925465851081489</v>
      </c>
      <c r="DD184" s="450">
        <v>333.2</v>
      </c>
      <c r="DE184" s="443">
        <v>90466</v>
      </c>
      <c r="DF184" s="450">
        <v>69.76051869326838</v>
      </c>
      <c r="DG184" s="450">
        <v>72.76022099707892</v>
      </c>
      <c r="DH184" s="450">
        <v>74.36094585901463</v>
      </c>
      <c r="DI184" s="450">
        <v>75.99688666791295</v>
      </c>
      <c r="DJ184" s="450">
        <v>78.50478392795407</v>
      </c>
      <c r="DK184" s="450">
        <v>81.3309561493604</v>
      </c>
      <c r="DL184" s="450">
        <v>83.93354674613992</v>
      </c>
      <c r="DM184" s="450">
        <v>87.37482216273166</v>
      </c>
      <c r="DN184" s="450">
        <v>91.21931433789184</v>
      </c>
      <c r="DO184" s="450">
        <v>96.23637662647589</v>
      </c>
      <c r="DP184" s="450">
        <v>95.37024923683761</v>
      </c>
      <c r="DQ184" s="450">
        <v>100.23413194791632</v>
      </c>
      <c r="DR184" s="450">
        <v>51.89</v>
      </c>
      <c r="DS184" s="450">
        <v>55.16451658590145</v>
      </c>
      <c r="DT184" s="450">
        <v>58.557997141582575</v>
      </c>
      <c r="DU184" s="450">
        <v>62.742207657342206</v>
      </c>
      <c r="DV184" s="450">
        <v>67.33378842105706</v>
      </c>
      <c r="DW184" s="450">
        <v>71.89598249979905</v>
      </c>
      <c r="DX184" s="450">
        <v>77.34993865837897</v>
      </c>
      <c r="DY184" s="450">
        <v>81.91622244585255</v>
      </c>
      <c r="DZ184" s="450">
        <v>84.53652924762645</v>
      </c>
      <c r="EA184" s="450">
        <v>87.55242646239122</v>
      </c>
      <c r="EB184" s="450">
        <v>93.6609065591618</v>
      </c>
      <c r="EC184" s="450">
        <v>0</v>
      </c>
      <c r="ED184" s="450">
        <v>93.6609065591618</v>
      </c>
      <c r="EE184" s="450">
        <v>4870.367141076414</v>
      </c>
      <c r="EF184" s="443">
        <v>23580426.0464944</v>
      </c>
      <c r="EG184" s="450">
        <v>52.98</v>
      </c>
      <c r="EH184" s="450">
        <v>56.167098585901456</v>
      </c>
      <c r="EI184" s="450">
        <v>59.46878718958257</v>
      </c>
      <c r="EJ184" s="450">
        <v>63.5654480119782</v>
      </c>
      <c r="EK184" s="450">
        <v>68.06482585597382</v>
      </c>
      <c r="EL184" s="450">
        <v>72.52467469382746</v>
      </c>
      <c r="EM184" s="450">
        <v>77.87351351756584</v>
      </c>
      <c r="EN184" s="450">
        <v>82.40209991517796</v>
      </c>
      <c r="EO184" s="450">
        <v>84.99989439420644</v>
      </c>
      <c r="EP184" s="450">
        <v>87.86204644960289</v>
      </c>
      <c r="EQ184" s="450">
        <v>93.92123504440937</v>
      </c>
      <c r="ER184" s="443">
        <v>3237952</v>
      </c>
      <c r="ES184" s="443">
        <v>0</v>
      </c>
      <c r="ET184" s="443">
        <v>0</v>
      </c>
      <c r="EU184" s="443">
        <v>0</v>
      </c>
      <c r="EV184" s="443">
        <v>0</v>
      </c>
      <c r="EW184" s="443">
        <v>0</v>
      </c>
      <c r="EX184" s="443">
        <v>0</v>
      </c>
      <c r="EY184" s="443">
        <v>0</v>
      </c>
      <c r="EZ184" s="443">
        <v>0</v>
      </c>
      <c r="FA184" s="443">
        <v>3237952</v>
      </c>
      <c r="FB184" s="443">
        <v>40758.34092798695</v>
      </c>
      <c r="FC184" s="443">
        <v>0</v>
      </c>
      <c r="FD184" s="443">
        <v>0</v>
      </c>
      <c r="FE184" s="443">
        <v>20961</v>
      </c>
      <c r="FF184" s="452">
        <v>0.0313</v>
      </c>
      <c r="FG184" s="443">
        <v>656.0793</v>
      </c>
      <c r="FH184" s="453">
        <v>656.0793</v>
      </c>
    </row>
    <row r="185" spans="2:164" ht="12.75">
      <c r="B185" s="356" t="s">
        <v>873</v>
      </c>
      <c r="C185" s="442">
        <v>3106</v>
      </c>
      <c r="D185" s="443">
        <v>754498</v>
      </c>
      <c r="E185" s="443">
        <v>647359.284</v>
      </c>
      <c r="F185" s="443">
        <v>108646.2143197677</v>
      </c>
      <c r="G185" s="443">
        <v>107138.71600000001</v>
      </c>
      <c r="H185" s="444">
        <v>0.4975209272376046</v>
      </c>
      <c r="I185" s="445">
        <v>1336.78</v>
      </c>
      <c r="J185" s="445">
        <v>208.52</v>
      </c>
      <c r="K185" s="443">
        <v>756005.4983197676</v>
      </c>
      <c r="L185" s="443">
        <v>604804.3986558141</v>
      </c>
      <c r="M185" s="443">
        <v>164174.40715282783</v>
      </c>
      <c r="N185" s="443">
        <v>151201.0996639535</v>
      </c>
      <c r="O185" s="446">
        <v>1.0858016741790084</v>
      </c>
      <c r="P185" s="447">
        <v>0.9339987121699935</v>
      </c>
      <c r="Q185" s="448">
        <v>0.06600128783000644</v>
      </c>
      <c r="R185" s="443">
        <v>768978.805808642</v>
      </c>
      <c r="S185" s="443">
        <v>519829.672726642</v>
      </c>
      <c r="T185" s="443">
        <v>83290.27722291238</v>
      </c>
      <c r="U185" s="443">
        <v>60387.585814843165</v>
      </c>
      <c r="V185" s="443">
        <v>175327.16772437037</v>
      </c>
      <c r="W185" s="446">
        <v>0.3444280005126058</v>
      </c>
      <c r="X185" s="448">
        <v>6.430978973109849</v>
      </c>
      <c r="Y185" s="443">
        <v>83290.27722291238</v>
      </c>
      <c r="Z185" s="443">
        <v>73821.96535762963</v>
      </c>
      <c r="AA185" s="444">
        <v>1.1282587346383104</v>
      </c>
      <c r="AB185" s="444">
        <v>0.0925627817128139</v>
      </c>
      <c r="AC185" s="445">
        <v>281</v>
      </c>
      <c r="AD185" s="445">
        <v>294</v>
      </c>
      <c r="AE185" s="443">
        <v>663507.5357643976</v>
      </c>
      <c r="AF185" s="443">
        <v>0</v>
      </c>
      <c r="AG185" s="447">
        <v>0</v>
      </c>
      <c r="AH185" s="446">
        <v>0.014706042844270985</v>
      </c>
      <c r="AI185" s="448">
        <v>0.012384104542434216</v>
      </c>
      <c r="AJ185" s="443">
        <v>663507.5357643976</v>
      </c>
      <c r="AK185" s="449">
        <v>1.0101799959369813</v>
      </c>
      <c r="AL185" s="443">
        <v>670262.0397826356</v>
      </c>
      <c r="AM185" s="443">
        <v>1493856.9477933126</v>
      </c>
      <c r="AN185" s="443">
        <v>1475613.4510006914</v>
      </c>
      <c r="AO185" s="443">
        <v>1760469.616597432</v>
      </c>
      <c r="AP185" s="443">
        <v>1760469.616597432</v>
      </c>
      <c r="AQ185" s="443">
        <v>12424</v>
      </c>
      <c r="AR185" s="443">
        <v>1772893.616597432</v>
      </c>
      <c r="AS185" s="450">
        <v>570.7963994196497</v>
      </c>
      <c r="AT185" s="446">
        <v>3051</v>
      </c>
      <c r="AU185" s="446">
        <v>4</v>
      </c>
      <c r="AV185" s="446">
        <v>142</v>
      </c>
      <c r="AW185" s="446">
        <v>24</v>
      </c>
      <c r="AX185" s="446">
        <v>0</v>
      </c>
      <c r="AY185" s="446">
        <v>566</v>
      </c>
      <c r="AZ185" s="446">
        <v>240</v>
      </c>
      <c r="BA185" s="446">
        <v>352</v>
      </c>
      <c r="BB185" s="446">
        <v>0</v>
      </c>
      <c r="BC185" s="446">
        <v>6</v>
      </c>
      <c r="BD185" s="446">
        <v>1276</v>
      </c>
      <c r="BE185" s="446">
        <v>187</v>
      </c>
      <c r="BF185" s="446">
        <v>0</v>
      </c>
      <c r="BG185" s="446">
        <v>251</v>
      </c>
      <c r="BH185" s="446">
        <v>0</v>
      </c>
      <c r="BI185" s="446">
        <v>3</v>
      </c>
      <c r="BJ185" s="448">
        <v>1.1406910898103293</v>
      </c>
      <c r="BK185" s="448">
        <v>5.14530032551742</v>
      </c>
      <c r="BL185" s="448">
        <v>3.5030788207930303</v>
      </c>
      <c r="BM185" s="448">
        <v>3.2844430094487786</v>
      </c>
      <c r="BN185" s="445">
        <v>2864</v>
      </c>
      <c r="BO185" s="445">
        <v>187</v>
      </c>
      <c r="BP185" s="443">
        <v>655443.3815871949</v>
      </c>
      <c r="BQ185" s="443">
        <v>3084010</v>
      </c>
      <c r="BR185" s="443">
        <v>4095293</v>
      </c>
      <c r="BS185" s="444">
        <v>0.09423139954113405</v>
      </c>
      <c r="BT185" s="445">
        <v>281</v>
      </c>
      <c r="BU185" s="445">
        <v>294</v>
      </c>
      <c r="BV185" s="443">
        <v>385905.19092100946</v>
      </c>
      <c r="BW185" s="444">
        <v>0.017398387185986273</v>
      </c>
      <c r="BX185" s="443">
        <v>3519.4692885239638</v>
      </c>
      <c r="BY185" s="443">
        <v>4128878.041796728</v>
      </c>
      <c r="BZ185" s="451">
        <v>1.0733333333333335</v>
      </c>
      <c r="CA185" s="443">
        <v>4431662.431528489</v>
      </c>
      <c r="CB185" s="443">
        <v>3242814.91515953</v>
      </c>
      <c r="CC185" s="443">
        <v>3242814.91515953</v>
      </c>
      <c r="CD185" s="443">
        <v>3170998.045732543</v>
      </c>
      <c r="CE185" s="443">
        <v>3219768.725363405</v>
      </c>
      <c r="CF185" s="450">
        <v>1055.3158719644068</v>
      </c>
      <c r="CG185" s="446">
        <v>3051</v>
      </c>
      <c r="CH185" s="446">
        <v>4</v>
      </c>
      <c r="CI185" s="446">
        <v>142</v>
      </c>
      <c r="CJ185" s="446">
        <v>24</v>
      </c>
      <c r="CK185" s="446">
        <v>0</v>
      </c>
      <c r="CL185" s="446">
        <v>566</v>
      </c>
      <c r="CM185" s="446">
        <v>240</v>
      </c>
      <c r="CN185" s="446">
        <v>352</v>
      </c>
      <c r="CO185" s="446">
        <v>0</v>
      </c>
      <c r="CP185" s="446">
        <v>6</v>
      </c>
      <c r="CQ185" s="446">
        <v>1276</v>
      </c>
      <c r="CR185" s="446">
        <v>187</v>
      </c>
      <c r="CS185" s="446">
        <v>0</v>
      </c>
      <c r="CT185" s="446">
        <v>251</v>
      </c>
      <c r="CU185" s="446">
        <v>0</v>
      </c>
      <c r="CV185" s="446">
        <v>3</v>
      </c>
      <c r="CW185" s="443">
        <v>2265565.807918509</v>
      </c>
      <c r="CX185" s="448">
        <v>1.0478562533014688</v>
      </c>
      <c r="CY185" s="448">
        <v>1.0733333333333335</v>
      </c>
      <c r="CZ185" s="443">
        <v>2373987.299093404</v>
      </c>
      <c r="DA185" s="450">
        <v>778.1013763006896</v>
      </c>
      <c r="DB185" s="445">
        <v>3106</v>
      </c>
      <c r="DC185" s="448">
        <v>0.9837411461687059</v>
      </c>
      <c r="DD185" s="450">
        <v>281.5</v>
      </c>
      <c r="DE185" s="443">
        <v>57511</v>
      </c>
      <c r="DF185" s="450">
        <v>52.40580340077726</v>
      </c>
      <c r="DG185" s="450">
        <v>54.65925294701068</v>
      </c>
      <c r="DH185" s="450">
        <v>55.8617565118449</v>
      </c>
      <c r="DI185" s="450">
        <v>57.09071515510548</v>
      </c>
      <c r="DJ185" s="450">
        <v>58.97470875522396</v>
      </c>
      <c r="DK185" s="450">
        <v>61.09779827041201</v>
      </c>
      <c r="DL185" s="450">
        <v>63.05292781506518</v>
      </c>
      <c r="DM185" s="450">
        <v>65.63809785548285</v>
      </c>
      <c r="DN185" s="450">
        <v>68.52617416112409</v>
      </c>
      <c r="DO185" s="450">
        <v>72.29511373998591</v>
      </c>
      <c r="DP185" s="450">
        <v>71.64445771632603</v>
      </c>
      <c r="DQ185" s="450">
        <v>75.29832505985866</v>
      </c>
      <c r="DR185" s="450">
        <v>46.64</v>
      </c>
      <c r="DS185" s="450">
        <v>48.485647651184486</v>
      </c>
      <c r="DT185" s="450">
        <v>50.38993003902108</v>
      </c>
      <c r="DU185" s="450">
        <v>52.91803660842317</v>
      </c>
      <c r="DV185" s="450">
        <v>55.71947340405291</v>
      </c>
      <c r="DW185" s="450">
        <v>58.427568429996356</v>
      </c>
      <c r="DX185" s="450">
        <v>61.786098559597534</v>
      </c>
      <c r="DY185" s="450">
        <v>64.95151881454251</v>
      </c>
      <c r="DZ185" s="450">
        <v>66.76177269213444</v>
      </c>
      <c r="EA185" s="450">
        <v>67.94708643771656</v>
      </c>
      <c r="EB185" s="450">
        <v>72.18957528880381</v>
      </c>
      <c r="EC185" s="450">
        <v>-1.37</v>
      </c>
      <c r="ED185" s="450">
        <v>70.8195752888038</v>
      </c>
      <c r="EE185" s="450">
        <v>3682.6179150177977</v>
      </c>
      <c r="EF185" s="443">
        <v>11209447.019164374</v>
      </c>
      <c r="EG185" s="450">
        <v>46.64</v>
      </c>
      <c r="EH185" s="450">
        <v>48.485647651184486</v>
      </c>
      <c r="EI185" s="450">
        <v>50.38993003902108</v>
      </c>
      <c r="EJ185" s="450">
        <v>52.91803660842317</v>
      </c>
      <c r="EK185" s="450">
        <v>55.71947340405291</v>
      </c>
      <c r="EL185" s="450">
        <v>58.427568429996356</v>
      </c>
      <c r="EM185" s="450">
        <v>61.786098559597534</v>
      </c>
      <c r="EN185" s="450">
        <v>64.95151881454251</v>
      </c>
      <c r="EO185" s="450">
        <v>66.76177269213444</v>
      </c>
      <c r="EP185" s="450">
        <v>67.94708643771656</v>
      </c>
      <c r="EQ185" s="450">
        <v>72.18957528880381</v>
      </c>
      <c r="ER185" s="443">
        <v>16333234</v>
      </c>
      <c r="ES185" s="443">
        <v>334000</v>
      </c>
      <c r="ET185" s="443">
        <v>0</v>
      </c>
      <c r="EU185" s="443">
        <v>0</v>
      </c>
      <c r="EV185" s="443">
        <v>0</v>
      </c>
      <c r="EW185" s="443">
        <v>0</v>
      </c>
      <c r="EX185" s="443">
        <v>52145</v>
      </c>
      <c r="EY185" s="443">
        <v>0</v>
      </c>
      <c r="EZ185" s="443">
        <v>0</v>
      </c>
      <c r="FA185" s="443">
        <v>16448089</v>
      </c>
      <c r="FB185" s="443">
        <v>47009.33262742155</v>
      </c>
      <c r="FC185" s="443">
        <v>0</v>
      </c>
      <c r="FD185" s="443">
        <v>0</v>
      </c>
      <c r="FE185" s="443">
        <v>0</v>
      </c>
      <c r="FF185" s="452">
        <v>0</v>
      </c>
      <c r="FG185" s="443">
        <v>0</v>
      </c>
      <c r="FH185" s="453">
        <v>0</v>
      </c>
    </row>
    <row r="186" spans="2:164" ht="12.75">
      <c r="B186" s="356" t="s">
        <v>874</v>
      </c>
      <c r="C186" s="442">
        <v>9335.42</v>
      </c>
      <c r="D186" s="443">
        <v>2205952.86</v>
      </c>
      <c r="E186" s="443">
        <v>1892707.5538800003</v>
      </c>
      <c r="F186" s="443">
        <v>227808.75812030284</v>
      </c>
      <c r="G186" s="443">
        <v>313245.3061200001</v>
      </c>
      <c r="H186" s="444">
        <v>0.3568034432301921</v>
      </c>
      <c r="I186" s="445">
        <v>2479.54</v>
      </c>
      <c r="J186" s="445">
        <v>851.37</v>
      </c>
      <c r="K186" s="443">
        <v>2120516.312000303</v>
      </c>
      <c r="L186" s="443">
        <v>1696413.0496002426</v>
      </c>
      <c r="M186" s="443">
        <v>510309.3322571325</v>
      </c>
      <c r="N186" s="443">
        <v>424103.26240006054</v>
      </c>
      <c r="O186" s="446">
        <v>1.2032666982310383</v>
      </c>
      <c r="P186" s="447">
        <v>0.8435614037718709</v>
      </c>
      <c r="Q186" s="448">
        <v>0.1563936062865945</v>
      </c>
      <c r="R186" s="443">
        <v>2206722.381857375</v>
      </c>
      <c r="S186" s="443">
        <v>1491744.3301355857</v>
      </c>
      <c r="T186" s="443">
        <v>132216.3837777719</v>
      </c>
      <c r="U186" s="443">
        <v>323426.80302519706</v>
      </c>
      <c r="V186" s="443">
        <v>503132.70306348155</v>
      </c>
      <c r="W186" s="446">
        <v>0.6428260398417979</v>
      </c>
      <c r="X186" s="448">
        <v>12.002510653714332</v>
      </c>
      <c r="Y186" s="443">
        <v>132216.3837777719</v>
      </c>
      <c r="Z186" s="443">
        <v>211845.348658308</v>
      </c>
      <c r="AA186" s="444">
        <v>0.6241174735019924</v>
      </c>
      <c r="AB186" s="444">
        <v>0.05120283822259738</v>
      </c>
      <c r="AC186" s="445">
        <v>485</v>
      </c>
      <c r="AD186" s="445">
        <v>471</v>
      </c>
      <c r="AE186" s="443">
        <v>1947387.5169385546</v>
      </c>
      <c r="AF186" s="443">
        <v>0</v>
      </c>
      <c r="AG186" s="447">
        <v>0</v>
      </c>
      <c r="AH186" s="446">
        <v>0.024826409533091832</v>
      </c>
      <c r="AI186" s="448">
        <v>0.020906565710902214</v>
      </c>
      <c r="AJ186" s="443">
        <v>1947387.5169385546</v>
      </c>
      <c r="AK186" s="449">
        <v>1.100569719284341</v>
      </c>
      <c r="AL186" s="443">
        <v>2143235.7328548953</v>
      </c>
      <c r="AM186" s="443">
        <v>4776769.979876045</v>
      </c>
      <c r="AN186" s="443">
        <v>4718434.415727358</v>
      </c>
      <c r="AO186" s="443">
        <v>4801891.802309637</v>
      </c>
      <c r="AP186" s="443">
        <v>4801891.802309637</v>
      </c>
      <c r="AQ186" s="443">
        <v>37341.68</v>
      </c>
      <c r="AR186" s="443">
        <v>4839233.482309637</v>
      </c>
      <c r="AS186" s="450">
        <v>518.3734081926294</v>
      </c>
      <c r="AT186" s="446">
        <v>9327</v>
      </c>
      <c r="AU186" s="446">
        <v>643</v>
      </c>
      <c r="AV186" s="446">
        <v>387</v>
      </c>
      <c r="AW186" s="446">
        <v>462</v>
      </c>
      <c r="AX186" s="446">
        <v>832</v>
      </c>
      <c r="AY186" s="446">
        <v>1976</v>
      </c>
      <c r="AZ186" s="446">
        <v>276</v>
      </c>
      <c r="BA186" s="446">
        <v>657</v>
      </c>
      <c r="BB186" s="446">
        <v>134</v>
      </c>
      <c r="BC186" s="446">
        <v>124</v>
      </c>
      <c r="BD186" s="446">
        <v>1202</v>
      </c>
      <c r="BE186" s="446">
        <v>1399</v>
      </c>
      <c r="BF186" s="446">
        <v>61</v>
      </c>
      <c r="BG186" s="446">
        <v>1155</v>
      </c>
      <c r="BH186" s="446">
        <v>0</v>
      </c>
      <c r="BI186" s="446">
        <v>19</v>
      </c>
      <c r="BJ186" s="448">
        <v>1.4876947819560926</v>
      </c>
      <c r="BK186" s="448">
        <v>14.864862827900147</v>
      </c>
      <c r="BL186" s="448">
        <v>7.734374128259733</v>
      </c>
      <c r="BM186" s="448">
        <v>14.260977399280828</v>
      </c>
      <c r="BN186" s="445">
        <v>7867</v>
      </c>
      <c r="BO186" s="445">
        <v>1460</v>
      </c>
      <c r="BP186" s="443">
        <v>2880919.457563191</v>
      </c>
      <c r="BQ186" s="443">
        <v>9759583</v>
      </c>
      <c r="BR186" s="443">
        <v>13121367</v>
      </c>
      <c r="BS186" s="444">
        <v>0.05124906186340731</v>
      </c>
      <c r="BT186" s="445">
        <v>485</v>
      </c>
      <c r="BU186" s="445">
        <v>471</v>
      </c>
      <c r="BV186" s="443">
        <v>672457.7491154711</v>
      </c>
      <c r="BW186" s="444">
        <v>0.00934969274026219</v>
      </c>
      <c r="BX186" s="443">
        <v>16703.807373941545</v>
      </c>
      <c r="BY186" s="443">
        <v>13329664.014052603</v>
      </c>
      <c r="BZ186" s="451">
        <v>1.0833333333333333</v>
      </c>
      <c r="CA186" s="443">
        <v>14440469.348556986</v>
      </c>
      <c r="CB186" s="443">
        <v>10566637.26285976</v>
      </c>
      <c r="CC186" s="443">
        <v>10566637.26285976</v>
      </c>
      <c r="CD186" s="443">
        <v>10578419.5420265</v>
      </c>
      <c r="CE186" s="443">
        <v>10578419.5420265</v>
      </c>
      <c r="CF186" s="450">
        <v>1134.1717103062613</v>
      </c>
      <c r="CG186" s="446">
        <v>9327</v>
      </c>
      <c r="CH186" s="446">
        <v>643</v>
      </c>
      <c r="CI186" s="446">
        <v>387</v>
      </c>
      <c r="CJ186" s="446">
        <v>462</v>
      </c>
      <c r="CK186" s="446">
        <v>832</v>
      </c>
      <c r="CL186" s="446">
        <v>1976</v>
      </c>
      <c r="CM186" s="446">
        <v>276</v>
      </c>
      <c r="CN186" s="446">
        <v>657</v>
      </c>
      <c r="CO186" s="446">
        <v>134</v>
      </c>
      <c r="CP186" s="446">
        <v>124</v>
      </c>
      <c r="CQ186" s="446">
        <v>1202</v>
      </c>
      <c r="CR186" s="446">
        <v>1399</v>
      </c>
      <c r="CS186" s="446">
        <v>61</v>
      </c>
      <c r="CT186" s="446">
        <v>1155</v>
      </c>
      <c r="CU186" s="446">
        <v>0</v>
      </c>
      <c r="CV186" s="446">
        <v>19</v>
      </c>
      <c r="CW186" s="443">
        <v>6463058.329479383</v>
      </c>
      <c r="CX186" s="448">
        <v>1.0576188892017928</v>
      </c>
      <c r="CY186" s="448">
        <v>1.0833333333333333</v>
      </c>
      <c r="CZ186" s="443">
        <v>6835452.57127038</v>
      </c>
      <c r="DA186" s="450">
        <v>732.867221107578</v>
      </c>
      <c r="DB186" s="445">
        <v>9335.42</v>
      </c>
      <c r="DC186" s="448">
        <v>1.024504949964758</v>
      </c>
      <c r="DD186" s="450">
        <v>343.7</v>
      </c>
      <c r="DE186" s="443">
        <v>73575</v>
      </c>
      <c r="DF186" s="450">
        <v>66.78387904572172</v>
      </c>
      <c r="DG186" s="450">
        <v>69.65558584468775</v>
      </c>
      <c r="DH186" s="450">
        <v>71.18800873327086</v>
      </c>
      <c r="DI186" s="450">
        <v>72.75414492540281</v>
      </c>
      <c r="DJ186" s="450">
        <v>75.1550317079411</v>
      </c>
      <c r="DK186" s="450">
        <v>77.86061284942697</v>
      </c>
      <c r="DL186" s="450">
        <v>80.35215246060862</v>
      </c>
      <c r="DM186" s="450">
        <v>83.64659071149357</v>
      </c>
      <c r="DN186" s="450">
        <v>87.32704070279928</v>
      </c>
      <c r="DO186" s="450">
        <v>92.13002794145324</v>
      </c>
      <c r="DP186" s="450">
        <v>91.30085768998016</v>
      </c>
      <c r="DQ186" s="450">
        <v>95.95720143216914</v>
      </c>
      <c r="DR186" s="450">
        <v>48.34</v>
      </c>
      <c r="DS186" s="450">
        <v>51.581932873327084</v>
      </c>
      <c r="DT186" s="450">
        <v>54.94311423308056</v>
      </c>
      <c r="DU186" s="450">
        <v>59.05608634091832</v>
      </c>
      <c r="DV186" s="450">
        <v>63.56474936351074</v>
      </c>
      <c r="DW186" s="450">
        <v>68.05770986272066</v>
      </c>
      <c r="DX186" s="450">
        <v>73.40777891597247</v>
      </c>
      <c r="DY186" s="450">
        <v>77.8254233565557</v>
      </c>
      <c r="DZ186" s="450">
        <v>80.36151393713217</v>
      </c>
      <c r="EA186" s="450">
        <v>83.43715196586156</v>
      </c>
      <c r="EB186" s="450">
        <v>89.34539765933023</v>
      </c>
      <c r="EC186" s="450">
        <v>-6.13</v>
      </c>
      <c r="ED186" s="450">
        <v>83.21539765933024</v>
      </c>
      <c r="EE186" s="450">
        <v>4327.200678285172</v>
      </c>
      <c r="EF186" s="443">
        <v>39588311.040955424</v>
      </c>
      <c r="EG186" s="450">
        <v>48.34</v>
      </c>
      <c r="EH186" s="450">
        <v>51.581932873327084</v>
      </c>
      <c r="EI186" s="450">
        <v>54.94311423308056</v>
      </c>
      <c r="EJ186" s="450">
        <v>59.05608634091832</v>
      </c>
      <c r="EK186" s="450">
        <v>63.56474936351074</v>
      </c>
      <c r="EL186" s="450">
        <v>68.05770986272066</v>
      </c>
      <c r="EM186" s="450">
        <v>73.40777891597247</v>
      </c>
      <c r="EN186" s="450">
        <v>77.8254233565557</v>
      </c>
      <c r="EO186" s="450">
        <v>80.36151393713217</v>
      </c>
      <c r="EP186" s="450">
        <v>83.43715196586156</v>
      </c>
      <c r="EQ186" s="450">
        <v>89.34539765933023</v>
      </c>
      <c r="ER186" s="443">
        <v>-859768</v>
      </c>
      <c r="ES186" s="443">
        <v>0</v>
      </c>
      <c r="ET186" s="443">
        <v>0</v>
      </c>
      <c r="EU186" s="443">
        <v>0</v>
      </c>
      <c r="EV186" s="443">
        <v>0</v>
      </c>
      <c r="EW186" s="443">
        <v>0</v>
      </c>
      <c r="EX186" s="443">
        <v>0</v>
      </c>
      <c r="EY186" s="443">
        <v>0</v>
      </c>
      <c r="EZ186" s="443">
        <v>0</v>
      </c>
      <c r="FA186" s="443">
        <v>-859768</v>
      </c>
      <c r="FB186" s="443">
        <v>0</v>
      </c>
      <c r="FC186" s="443">
        <v>859768</v>
      </c>
      <c r="FD186" s="443">
        <v>6233.318</v>
      </c>
      <c r="FE186" s="443">
        <v>3740</v>
      </c>
      <c r="FF186" s="452">
        <v>0.0313</v>
      </c>
      <c r="FG186" s="443">
        <v>117.06200000000001</v>
      </c>
      <c r="FH186" s="453">
        <v>6350.38</v>
      </c>
    </row>
    <row r="187" spans="2:164" ht="12.75">
      <c r="B187" s="356" t="s">
        <v>875</v>
      </c>
      <c r="C187" s="442">
        <v>6318</v>
      </c>
      <c r="D187" s="443">
        <v>1502894</v>
      </c>
      <c r="E187" s="443">
        <v>1289483.052</v>
      </c>
      <c r="F187" s="443">
        <v>180191.4216147239</v>
      </c>
      <c r="G187" s="443">
        <v>213410.94800000003</v>
      </c>
      <c r="H187" s="444">
        <v>0.4142481798037354</v>
      </c>
      <c r="I187" s="445">
        <v>2103.07</v>
      </c>
      <c r="J187" s="445">
        <v>514.15</v>
      </c>
      <c r="K187" s="443">
        <v>1469674.473614724</v>
      </c>
      <c r="L187" s="443">
        <v>1175739.578891779</v>
      </c>
      <c r="M187" s="443">
        <v>359132.7993549065</v>
      </c>
      <c r="N187" s="443">
        <v>293934.8947229447</v>
      </c>
      <c r="O187" s="446">
        <v>1.2218106995884772</v>
      </c>
      <c r="P187" s="447">
        <v>0.8293763849319404</v>
      </c>
      <c r="Q187" s="448">
        <v>0.1706236150680595</v>
      </c>
      <c r="R187" s="443">
        <v>1534872.3782466855</v>
      </c>
      <c r="S187" s="443">
        <v>1037573.7276947595</v>
      </c>
      <c r="T187" s="443">
        <v>185772.6518979825</v>
      </c>
      <c r="U187" s="443">
        <v>207760.56311931598</v>
      </c>
      <c r="V187" s="443">
        <v>349950.9022402443</v>
      </c>
      <c r="W187" s="446">
        <v>0.593684890621275</v>
      </c>
      <c r="X187" s="448">
        <v>11.084972889997964</v>
      </c>
      <c r="Y187" s="443">
        <v>185772.6518979825</v>
      </c>
      <c r="Z187" s="443">
        <v>147347.74831168182</v>
      </c>
      <c r="AA187" s="444">
        <v>1.2607769988111472</v>
      </c>
      <c r="AB187" s="444">
        <v>0.10343463121240899</v>
      </c>
      <c r="AC187" s="445">
        <v>641</v>
      </c>
      <c r="AD187" s="445">
        <v>666</v>
      </c>
      <c r="AE187" s="443">
        <v>1431106.9427120578</v>
      </c>
      <c r="AF187" s="443">
        <v>37097.52468450202</v>
      </c>
      <c r="AG187" s="447">
        <v>0.25</v>
      </c>
      <c r="AH187" s="446">
        <v>0.19590690927262097</v>
      </c>
      <c r="AI187" s="448">
        <v>0.1649751514196396</v>
      </c>
      <c r="AJ187" s="443">
        <v>1468204.46739656</v>
      </c>
      <c r="AK187" s="449">
        <v>1</v>
      </c>
      <c r="AL187" s="443">
        <v>1468204.46739656</v>
      </c>
      <c r="AM187" s="443">
        <v>3272283.5461677182</v>
      </c>
      <c r="AN187" s="443">
        <v>3232321.2897634204</v>
      </c>
      <c r="AO187" s="443">
        <v>3222161.164997072</v>
      </c>
      <c r="AP187" s="443">
        <v>3232321.2897634204</v>
      </c>
      <c r="AQ187" s="443">
        <v>25272</v>
      </c>
      <c r="AR187" s="443">
        <v>3257593.2897634204</v>
      </c>
      <c r="AS187" s="450">
        <v>515.6051424126971</v>
      </c>
      <c r="AT187" s="446">
        <v>6318</v>
      </c>
      <c r="AU187" s="446">
        <v>27</v>
      </c>
      <c r="AV187" s="446">
        <v>173</v>
      </c>
      <c r="AW187" s="446">
        <v>14</v>
      </c>
      <c r="AX187" s="446">
        <v>154</v>
      </c>
      <c r="AY187" s="446">
        <v>571</v>
      </c>
      <c r="AZ187" s="446">
        <v>767</v>
      </c>
      <c r="BA187" s="446">
        <v>287</v>
      </c>
      <c r="BB187" s="446">
        <v>1279</v>
      </c>
      <c r="BC187" s="446">
        <v>0</v>
      </c>
      <c r="BD187" s="446">
        <v>1285</v>
      </c>
      <c r="BE187" s="446">
        <v>1078</v>
      </c>
      <c r="BF187" s="446">
        <v>0</v>
      </c>
      <c r="BG187" s="446">
        <v>683</v>
      </c>
      <c r="BH187" s="446">
        <v>0</v>
      </c>
      <c r="BI187" s="446">
        <v>0</v>
      </c>
      <c r="BJ187" s="448">
        <v>1.622155644290805</v>
      </c>
      <c r="BK187" s="448">
        <v>18.507194091784978</v>
      </c>
      <c r="BL187" s="448">
        <v>14.616481501050863</v>
      </c>
      <c r="BM187" s="448">
        <v>7.781425181468229</v>
      </c>
      <c r="BN187" s="445">
        <v>5240</v>
      </c>
      <c r="BO187" s="445">
        <v>1078</v>
      </c>
      <c r="BP187" s="443">
        <v>2022000.7890520454</v>
      </c>
      <c r="BQ187" s="443">
        <v>6865345</v>
      </c>
      <c r="BR187" s="443">
        <v>8735540</v>
      </c>
      <c r="BS187" s="444">
        <v>0.10343463121240899</v>
      </c>
      <c r="BT187" s="445">
        <v>641</v>
      </c>
      <c r="BU187" s="445">
        <v>666</v>
      </c>
      <c r="BV187" s="443">
        <v>903557.3583412472</v>
      </c>
      <c r="BW187" s="444">
        <v>0.013560896763148826</v>
      </c>
      <c r="BX187" s="443">
        <v>20432.610794366818</v>
      </c>
      <c r="BY187" s="443">
        <v>9811335.75818766</v>
      </c>
      <c r="BZ187" s="451">
        <v>0.91</v>
      </c>
      <c r="CA187" s="443">
        <v>8928315.53995077</v>
      </c>
      <c r="CB187" s="443">
        <v>6533185.965208335</v>
      </c>
      <c r="CC187" s="443">
        <v>6533185.965208335</v>
      </c>
      <c r="CD187" s="443">
        <v>6490594.519042301</v>
      </c>
      <c r="CE187" s="443">
        <v>6490594.519042301</v>
      </c>
      <c r="CF187" s="450">
        <v>1027.317904248544</v>
      </c>
      <c r="CG187" s="446">
        <v>6318</v>
      </c>
      <c r="CH187" s="446">
        <v>27</v>
      </c>
      <c r="CI187" s="446">
        <v>173</v>
      </c>
      <c r="CJ187" s="446">
        <v>14</v>
      </c>
      <c r="CK187" s="446">
        <v>154</v>
      </c>
      <c r="CL187" s="446">
        <v>571</v>
      </c>
      <c r="CM187" s="446">
        <v>767</v>
      </c>
      <c r="CN187" s="446">
        <v>287</v>
      </c>
      <c r="CO187" s="446">
        <v>1279</v>
      </c>
      <c r="CP187" s="446">
        <v>0</v>
      </c>
      <c r="CQ187" s="446">
        <v>1285</v>
      </c>
      <c r="CR187" s="446">
        <v>1078</v>
      </c>
      <c r="CS187" s="446">
        <v>0</v>
      </c>
      <c r="CT187" s="446">
        <v>683</v>
      </c>
      <c r="CU187" s="446">
        <v>0</v>
      </c>
      <c r="CV187" s="446">
        <v>0</v>
      </c>
      <c r="CW187" s="443">
        <v>4571659.115054281</v>
      </c>
      <c r="CX187" s="448">
        <v>0.888399866929506</v>
      </c>
      <c r="CY187" s="448">
        <v>0.91</v>
      </c>
      <c r="CZ187" s="443">
        <v>4061461.349461287</v>
      </c>
      <c r="DA187" s="450">
        <v>642.8397197627868</v>
      </c>
      <c r="DB187" s="445">
        <v>6318</v>
      </c>
      <c r="DC187" s="448">
        <v>1.0224754669199114</v>
      </c>
      <c r="DD187" s="450">
        <v>302.7</v>
      </c>
      <c r="DE187" s="443">
        <v>29166</v>
      </c>
      <c r="DF187" s="450">
        <v>47.0069138552462</v>
      </c>
      <c r="DG187" s="450">
        <v>49.02821115102178</v>
      </c>
      <c r="DH187" s="450">
        <v>50.106831796344245</v>
      </c>
      <c r="DI187" s="450">
        <v>51.20918209586381</v>
      </c>
      <c r="DJ187" s="450">
        <v>52.89908510502731</v>
      </c>
      <c r="DK187" s="450">
        <v>54.803452168808285</v>
      </c>
      <c r="DL187" s="450">
        <v>56.55716263821014</v>
      </c>
      <c r="DM187" s="450">
        <v>58.87600630637675</v>
      </c>
      <c r="DN187" s="450">
        <v>61.46655058385732</v>
      </c>
      <c r="DO187" s="450">
        <v>64.84721086596947</v>
      </c>
      <c r="DP187" s="450">
        <v>64.26358596817575</v>
      </c>
      <c r="DQ187" s="450">
        <v>67.5410288525527</v>
      </c>
      <c r="DR187" s="450">
        <v>36.85</v>
      </c>
      <c r="DS187" s="450">
        <v>38.90531317963442</v>
      </c>
      <c r="DT187" s="450">
        <v>41.03322473917275</v>
      </c>
      <c r="DU187" s="450">
        <v>43.70129164924818</v>
      </c>
      <c r="DV187" s="450">
        <v>46.63581158007642</v>
      </c>
      <c r="DW187" s="450">
        <v>49.53299173190074</v>
      </c>
      <c r="DX187" s="450">
        <v>53.026276775602284</v>
      </c>
      <c r="DY187" s="450">
        <v>56.038001579298616</v>
      </c>
      <c r="DZ187" s="450">
        <v>57.76472156385575</v>
      </c>
      <c r="EA187" s="450">
        <v>59.53107584450245</v>
      </c>
      <c r="EB187" s="450">
        <v>63.5619343405682</v>
      </c>
      <c r="EC187" s="450">
        <v>-0.75</v>
      </c>
      <c r="ED187" s="450">
        <v>62.8119343405682</v>
      </c>
      <c r="EE187" s="450">
        <v>3266.2205857095464</v>
      </c>
      <c r="EF187" s="443">
        <v>20223262.027302653</v>
      </c>
      <c r="EG187" s="450">
        <v>42</v>
      </c>
      <c r="EH187" s="450">
        <v>43.64228317963442</v>
      </c>
      <c r="EI187" s="450">
        <v>45.33649881917275</v>
      </c>
      <c r="EJ187" s="450">
        <v>47.59091350830818</v>
      </c>
      <c r="EK187" s="450">
        <v>50.0897957909217</v>
      </c>
      <c r="EL187" s="450">
        <v>52.50341815322768</v>
      </c>
      <c r="EM187" s="450">
        <v>55.50004789928336</v>
      </c>
      <c r="EN187" s="450">
        <v>58.33366118207465</v>
      </c>
      <c r="EO187" s="450">
        <v>59.95401560503649</v>
      </c>
      <c r="EP187" s="450">
        <v>60.99395927031904</v>
      </c>
      <c r="EQ187" s="450">
        <v>64.7919267249948</v>
      </c>
      <c r="ER187" s="443">
        <v>3432621</v>
      </c>
      <c r="ES187" s="443">
        <v>0</v>
      </c>
      <c r="ET187" s="443">
        <v>0</v>
      </c>
      <c r="EU187" s="443">
        <v>170044</v>
      </c>
      <c r="EV187" s="443">
        <v>0</v>
      </c>
      <c r="EW187" s="443">
        <v>0</v>
      </c>
      <c r="EX187" s="443">
        <v>0</v>
      </c>
      <c r="EY187" s="443">
        <v>0</v>
      </c>
      <c r="EZ187" s="443">
        <v>0</v>
      </c>
      <c r="FA187" s="443">
        <v>3602665</v>
      </c>
      <c r="FB187" s="443">
        <v>40930.92187364073</v>
      </c>
      <c r="FC187" s="443">
        <v>0</v>
      </c>
      <c r="FD187" s="443">
        <v>0</v>
      </c>
      <c r="FE187" s="443">
        <v>36645</v>
      </c>
      <c r="FF187" s="452">
        <v>0.0313</v>
      </c>
      <c r="FG187" s="443">
        <v>1146.9885000000002</v>
      </c>
      <c r="FH187" s="453">
        <v>1146.9885000000002</v>
      </c>
    </row>
    <row r="188" spans="2:164" ht="12.75">
      <c r="B188" s="356" t="s">
        <v>876</v>
      </c>
      <c r="C188" s="442">
        <v>12306.8</v>
      </c>
      <c r="D188" s="443">
        <v>2898284.4</v>
      </c>
      <c r="E188" s="443">
        <v>2486728.0152</v>
      </c>
      <c r="F188" s="443">
        <v>707894.9869756011</v>
      </c>
      <c r="G188" s="443">
        <v>411556.38480000006</v>
      </c>
      <c r="H188" s="444">
        <v>0.8438838690805084</v>
      </c>
      <c r="I188" s="445">
        <v>10288.4</v>
      </c>
      <c r="J188" s="445">
        <v>97.11</v>
      </c>
      <c r="K188" s="443">
        <v>3194623.0021756007</v>
      </c>
      <c r="L188" s="443">
        <v>2555698.4017404807</v>
      </c>
      <c r="M188" s="443">
        <v>1390113.1976834575</v>
      </c>
      <c r="N188" s="443">
        <v>638924.60043512</v>
      </c>
      <c r="O188" s="446">
        <v>2.175707738811064</v>
      </c>
      <c r="P188" s="447">
        <v>0.09563818376832321</v>
      </c>
      <c r="Q188" s="448">
        <v>0.9043780674098872</v>
      </c>
      <c r="R188" s="443">
        <v>3945811.5994239384</v>
      </c>
      <c r="S188" s="443">
        <v>2667368.6412105826</v>
      </c>
      <c r="T188" s="443">
        <v>239362.1189647507</v>
      </c>
      <c r="U188" s="443">
        <v>1748421.1876415089</v>
      </c>
      <c r="V188" s="443">
        <v>899645.0446686579</v>
      </c>
      <c r="W188" s="446">
        <v>1.9434566977306675</v>
      </c>
      <c r="X188" s="448">
        <v>36.287204117128674</v>
      </c>
      <c r="Y188" s="443">
        <v>239362.1189647507</v>
      </c>
      <c r="Z188" s="443">
        <v>378797.9135446981</v>
      </c>
      <c r="AA188" s="444">
        <v>0.631899253944824</v>
      </c>
      <c r="AB188" s="444">
        <v>0.05184125849124062</v>
      </c>
      <c r="AC188" s="445">
        <v>659</v>
      </c>
      <c r="AD188" s="445">
        <v>617</v>
      </c>
      <c r="AE188" s="443">
        <v>4655151.947816841</v>
      </c>
      <c r="AF188" s="443">
        <v>196621.93523465734</v>
      </c>
      <c r="AG188" s="447">
        <v>0.5</v>
      </c>
      <c r="AH188" s="446">
        <v>0.30658014504263087</v>
      </c>
      <c r="AI188" s="448">
        <v>0.25817418098449707</v>
      </c>
      <c r="AJ188" s="443">
        <v>4851773.883051499</v>
      </c>
      <c r="AK188" s="449">
        <v>1.2520966078131373</v>
      </c>
      <c r="AL188" s="443">
        <v>6074889.620845155</v>
      </c>
      <c r="AM188" s="443">
        <v>13539504.74372683</v>
      </c>
      <c r="AN188" s="443">
        <v>13374155.637354407</v>
      </c>
      <c r="AO188" s="443">
        <v>14769993.869568702</v>
      </c>
      <c r="AP188" s="443">
        <v>14769993.869568702</v>
      </c>
      <c r="AQ188" s="443">
        <v>49227.2</v>
      </c>
      <c r="AR188" s="443">
        <v>14819221.069568701</v>
      </c>
      <c r="AS188" s="450">
        <v>1204.1490127058782</v>
      </c>
      <c r="AT188" s="446">
        <v>12273</v>
      </c>
      <c r="AU188" s="446">
        <v>0</v>
      </c>
      <c r="AV188" s="446">
        <v>3</v>
      </c>
      <c r="AW188" s="446">
        <v>627</v>
      </c>
      <c r="AX188" s="446">
        <v>0</v>
      </c>
      <c r="AY188" s="446">
        <v>5</v>
      </c>
      <c r="AZ188" s="446">
        <v>31</v>
      </c>
      <c r="BA188" s="446">
        <v>73</v>
      </c>
      <c r="BB188" s="446">
        <v>0</v>
      </c>
      <c r="BC188" s="446">
        <v>255</v>
      </c>
      <c r="BD188" s="446">
        <v>175</v>
      </c>
      <c r="BE188" s="446">
        <v>4800</v>
      </c>
      <c r="BF188" s="446">
        <v>6300</v>
      </c>
      <c r="BG188" s="446">
        <v>4</v>
      </c>
      <c r="BH188" s="446">
        <v>0</v>
      </c>
      <c r="BI188" s="446">
        <v>0</v>
      </c>
      <c r="BJ188" s="448">
        <v>1.8224447295814614</v>
      </c>
      <c r="BK188" s="448">
        <v>10.86143401604329</v>
      </c>
      <c r="BL188" s="448">
        <v>4.671438299337126</v>
      </c>
      <c r="BM188" s="448">
        <v>12.379991433412327</v>
      </c>
      <c r="BN188" s="445">
        <v>1173</v>
      </c>
      <c r="BO188" s="445">
        <v>11100</v>
      </c>
      <c r="BP188" s="443">
        <v>3750040.875170314</v>
      </c>
      <c r="BQ188" s="443">
        <v>16070506</v>
      </c>
      <c r="BR188" s="443">
        <v>16308819</v>
      </c>
      <c r="BS188" s="444">
        <v>0.05198402998451886</v>
      </c>
      <c r="BT188" s="445">
        <v>659</v>
      </c>
      <c r="BU188" s="445">
        <v>617</v>
      </c>
      <c r="BV188" s="443">
        <v>847798.135908091</v>
      </c>
      <c r="BW188" s="444">
        <v>0.019154850696967318</v>
      </c>
      <c r="BX188" s="443">
        <v>32902.72935945328</v>
      </c>
      <c r="BY188" s="443">
        <v>20701247.740437858</v>
      </c>
      <c r="BZ188" s="451">
        <v>1.2133333333333332</v>
      </c>
      <c r="CA188" s="443">
        <v>25117513.925064597</v>
      </c>
      <c r="CB188" s="443">
        <v>18379434.36495769</v>
      </c>
      <c r="CC188" s="443">
        <v>18379434.36495769</v>
      </c>
      <c r="CD188" s="443">
        <v>20057150.25</v>
      </c>
      <c r="CE188" s="443">
        <v>20057150.25</v>
      </c>
      <c r="CF188" s="450">
        <v>1634.25</v>
      </c>
      <c r="CG188" s="446">
        <v>12273</v>
      </c>
      <c r="CH188" s="446">
        <v>0</v>
      </c>
      <c r="CI188" s="446">
        <v>3</v>
      </c>
      <c r="CJ188" s="446">
        <v>627</v>
      </c>
      <c r="CK188" s="446">
        <v>0</v>
      </c>
      <c r="CL188" s="446">
        <v>5</v>
      </c>
      <c r="CM188" s="446">
        <v>31</v>
      </c>
      <c r="CN188" s="446">
        <v>73</v>
      </c>
      <c r="CO188" s="446">
        <v>0</v>
      </c>
      <c r="CP188" s="446">
        <v>255</v>
      </c>
      <c r="CQ188" s="446">
        <v>175</v>
      </c>
      <c r="CR188" s="446">
        <v>4800</v>
      </c>
      <c r="CS188" s="446">
        <v>6300</v>
      </c>
      <c r="CT188" s="446">
        <v>4</v>
      </c>
      <c r="CU188" s="446">
        <v>0</v>
      </c>
      <c r="CV188" s="446">
        <v>0</v>
      </c>
      <c r="CW188" s="443">
        <v>10875150.092708068</v>
      </c>
      <c r="CX188" s="448">
        <v>1.1845331559060077</v>
      </c>
      <c r="CY188" s="448">
        <v>1.2133333333333332</v>
      </c>
      <c r="CZ188" s="443">
        <v>12881975.860267</v>
      </c>
      <c r="DA188" s="450">
        <v>1049.6191526331786</v>
      </c>
      <c r="DB188" s="445">
        <v>12306.8</v>
      </c>
      <c r="DC188" s="448">
        <v>0.9610325186075992</v>
      </c>
      <c r="DD188" s="450">
        <v>354.1</v>
      </c>
      <c r="DE188" s="443">
        <v>109332</v>
      </c>
      <c r="DF188" s="450">
        <v>77.13262277220389</v>
      </c>
      <c r="DG188" s="450">
        <v>80.44932555140865</v>
      </c>
      <c r="DH188" s="450">
        <v>82.21921071353962</v>
      </c>
      <c r="DI188" s="450">
        <v>84.02803334923748</v>
      </c>
      <c r="DJ188" s="450">
        <v>86.8009584497623</v>
      </c>
      <c r="DK188" s="450">
        <v>89.92579295395373</v>
      </c>
      <c r="DL188" s="450">
        <v>92.80341832848023</v>
      </c>
      <c r="DM188" s="450">
        <v>96.60835847994791</v>
      </c>
      <c r="DN188" s="450">
        <v>100.8591262530656</v>
      </c>
      <c r="DO188" s="450">
        <v>106.40637819698419</v>
      </c>
      <c r="DP188" s="450">
        <v>105.44872079321134</v>
      </c>
      <c r="DQ188" s="450">
        <v>110.8266055536651</v>
      </c>
      <c r="DR188" s="450">
        <v>57.14</v>
      </c>
      <c r="DS188" s="450">
        <v>60.779293071353955</v>
      </c>
      <c r="DT188" s="450">
        <v>64.55105927784749</v>
      </c>
      <c r="DU188" s="450">
        <v>69.19620851098468</v>
      </c>
      <c r="DV188" s="450">
        <v>74.2927750083192</v>
      </c>
      <c r="DW188" s="450">
        <v>79.35902289523453</v>
      </c>
      <c r="DX188" s="450">
        <v>85.4118659631409</v>
      </c>
      <c r="DY188" s="450">
        <v>90.46878119746869</v>
      </c>
      <c r="DZ188" s="450">
        <v>93.37081954845159</v>
      </c>
      <c r="EA188" s="450">
        <v>96.7383774887031</v>
      </c>
      <c r="EB188" s="450">
        <v>103.50294890323457</v>
      </c>
      <c r="EC188" s="450">
        <v>-1.72</v>
      </c>
      <c r="ED188" s="450">
        <v>101.78294890323457</v>
      </c>
      <c r="EE188" s="450">
        <v>5292.713342968198</v>
      </c>
      <c r="EF188" s="443">
        <v>63833637.27785619</v>
      </c>
      <c r="EG188" s="450">
        <v>70.01</v>
      </c>
      <c r="EH188" s="450">
        <v>72.61711907135395</v>
      </c>
      <c r="EI188" s="450">
        <v>75.30506654184748</v>
      </c>
      <c r="EJ188" s="450">
        <v>78.91648682673267</v>
      </c>
      <c r="EK188" s="450">
        <v>82.92438215270342</v>
      </c>
      <c r="EL188" s="450">
        <v>86.78220503940497</v>
      </c>
      <c r="EM188" s="450">
        <v>91.59389205280604</v>
      </c>
      <c r="EN188" s="450">
        <v>96.20570140867795</v>
      </c>
      <c r="EO188" s="450">
        <v>98.84192912320816</v>
      </c>
      <c r="EP188" s="450">
        <v>100.3941657780739</v>
      </c>
      <c r="EQ188" s="450">
        <v>106.57673569693755</v>
      </c>
      <c r="ER188" s="443">
        <v>183093347.4</v>
      </c>
      <c r="ES188" s="443">
        <v>0</v>
      </c>
      <c r="ET188" s="443">
        <v>0</v>
      </c>
      <c r="EU188" s="443">
        <v>0</v>
      </c>
      <c r="EV188" s="443">
        <v>0</v>
      </c>
      <c r="EW188" s="443">
        <v>0</v>
      </c>
      <c r="EX188" s="443">
        <v>0</v>
      </c>
      <c r="EY188" s="443">
        <v>0</v>
      </c>
      <c r="EZ188" s="443">
        <v>74000000</v>
      </c>
      <c r="FA188" s="443">
        <v>257093347.4</v>
      </c>
      <c r="FB188" s="443">
        <v>160881.8468009456</v>
      </c>
      <c r="FC188" s="443">
        <v>0</v>
      </c>
      <c r="FD188" s="443">
        <v>0</v>
      </c>
      <c r="FE188" s="443">
        <v>149094</v>
      </c>
      <c r="FF188" s="452">
        <v>0.0646</v>
      </c>
      <c r="FG188" s="443">
        <v>9631.4724</v>
      </c>
      <c r="FH188" s="453">
        <v>9631.4724</v>
      </c>
    </row>
    <row r="189" spans="2:164" ht="12.75">
      <c r="B189" s="356" t="s">
        <v>877</v>
      </c>
      <c r="C189" s="442">
        <v>22794</v>
      </c>
      <c r="D189" s="443">
        <v>5341802</v>
      </c>
      <c r="E189" s="443">
        <v>4583266.115999999</v>
      </c>
      <c r="F189" s="443">
        <v>479874.6291518915</v>
      </c>
      <c r="G189" s="443">
        <v>758535.8840000001</v>
      </c>
      <c r="H189" s="444">
        <v>0.3103808019654295</v>
      </c>
      <c r="I189" s="445">
        <v>4814.9</v>
      </c>
      <c r="J189" s="445">
        <v>2259.92</v>
      </c>
      <c r="K189" s="443">
        <v>5063140.745151891</v>
      </c>
      <c r="L189" s="443">
        <v>4050512.5961215133</v>
      </c>
      <c r="M189" s="443">
        <v>1105841.11657866</v>
      </c>
      <c r="N189" s="443">
        <v>1012628.1490303781</v>
      </c>
      <c r="O189" s="446">
        <v>1.0920505396156883</v>
      </c>
      <c r="P189" s="447">
        <v>0.9291918926033167</v>
      </c>
      <c r="Q189" s="448">
        <v>0.07080810739668333</v>
      </c>
      <c r="R189" s="443">
        <v>5156353.712700173</v>
      </c>
      <c r="S189" s="443">
        <v>3485695.1097853174</v>
      </c>
      <c r="T189" s="443">
        <v>572429.2446497558</v>
      </c>
      <c r="U189" s="443">
        <v>954806.437290164</v>
      </c>
      <c r="V189" s="443">
        <v>1175648.6464956396</v>
      </c>
      <c r="W189" s="446">
        <v>0.8121528826969183</v>
      </c>
      <c r="X189" s="448">
        <v>15.164092651588225</v>
      </c>
      <c r="Y189" s="443">
        <v>572429.2446497558</v>
      </c>
      <c r="Z189" s="443">
        <v>495009.95641921664</v>
      </c>
      <c r="AA189" s="444">
        <v>1.1563994566706732</v>
      </c>
      <c r="AB189" s="444">
        <v>0.09487145740107046</v>
      </c>
      <c r="AC189" s="445">
        <v>2176</v>
      </c>
      <c r="AD189" s="445">
        <v>2149</v>
      </c>
      <c r="AE189" s="443">
        <v>5012930.791725237</v>
      </c>
      <c r="AF189" s="443">
        <v>812802.8749252562</v>
      </c>
      <c r="AG189" s="447">
        <v>1</v>
      </c>
      <c r="AH189" s="446">
        <v>0.3550148072020192</v>
      </c>
      <c r="AI189" s="448">
        <v>0.29896149039268494</v>
      </c>
      <c r="AJ189" s="443">
        <v>5825733.666650493</v>
      </c>
      <c r="AK189" s="449">
        <v>1.0220191686347762</v>
      </c>
      <c r="AL189" s="443">
        <v>5954011.478677763</v>
      </c>
      <c r="AM189" s="443">
        <v>13270095.703985201</v>
      </c>
      <c r="AN189" s="443">
        <v>13108036.71381814</v>
      </c>
      <c r="AO189" s="443">
        <v>13093629.715794796</v>
      </c>
      <c r="AP189" s="443">
        <v>13108036.71381814</v>
      </c>
      <c r="AQ189" s="443">
        <v>91176</v>
      </c>
      <c r="AR189" s="443">
        <v>13199212.71381814</v>
      </c>
      <c r="AS189" s="450">
        <v>579.0652239105966</v>
      </c>
      <c r="AT189" s="446">
        <v>22794</v>
      </c>
      <c r="AU189" s="446">
        <v>11</v>
      </c>
      <c r="AV189" s="446">
        <v>3981</v>
      </c>
      <c r="AW189" s="446">
        <v>2293</v>
      </c>
      <c r="AX189" s="446">
        <v>0</v>
      </c>
      <c r="AY189" s="446">
        <v>5748</v>
      </c>
      <c r="AZ189" s="446">
        <v>1170</v>
      </c>
      <c r="BA189" s="446">
        <v>985</v>
      </c>
      <c r="BB189" s="446">
        <v>380</v>
      </c>
      <c r="BC189" s="446">
        <v>18</v>
      </c>
      <c r="BD189" s="446">
        <v>3778</v>
      </c>
      <c r="BE189" s="446">
        <v>926</v>
      </c>
      <c r="BF189" s="446">
        <v>688</v>
      </c>
      <c r="BG189" s="446">
        <v>2816</v>
      </c>
      <c r="BH189" s="446">
        <v>0</v>
      </c>
      <c r="BI189" s="446">
        <v>0</v>
      </c>
      <c r="BJ189" s="448">
        <v>1.5892740004356145</v>
      </c>
      <c r="BK189" s="448">
        <v>21.128755492291944</v>
      </c>
      <c r="BL189" s="448">
        <v>15.166314434233653</v>
      </c>
      <c r="BM189" s="448">
        <v>11.924882116116585</v>
      </c>
      <c r="BN189" s="445">
        <v>21180</v>
      </c>
      <c r="BO189" s="445">
        <v>1614</v>
      </c>
      <c r="BP189" s="443">
        <v>8145304.1966346</v>
      </c>
      <c r="BQ189" s="443">
        <v>23679330</v>
      </c>
      <c r="BR189" s="443">
        <v>33066919</v>
      </c>
      <c r="BS189" s="444">
        <v>0.09487145740107046</v>
      </c>
      <c r="BT189" s="445">
        <v>2176</v>
      </c>
      <c r="BU189" s="445">
        <v>2149</v>
      </c>
      <c r="BV189" s="443">
        <v>3137106.7972931475</v>
      </c>
      <c r="BW189" s="444">
        <v>0.01019048598639501</v>
      </c>
      <c r="BX189" s="443">
        <v>63241.85629503369</v>
      </c>
      <c r="BY189" s="443">
        <v>35024982.85022278</v>
      </c>
      <c r="BZ189" s="451">
        <v>0.9166666666666666</v>
      </c>
      <c r="CA189" s="443">
        <v>32106234.27937088</v>
      </c>
      <c r="CB189" s="443">
        <v>23493345.21737044</v>
      </c>
      <c r="CC189" s="443">
        <v>23493345.21737044</v>
      </c>
      <c r="CD189" s="443">
        <v>23463081.104484137</v>
      </c>
      <c r="CE189" s="443">
        <v>23463081.104484137</v>
      </c>
      <c r="CF189" s="450">
        <v>1029.3533870529147</v>
      </c>
      <c r="CG189" s="446">
        <v>22794</v>
      </c>
      <c r="CH189" s="446">
        <v>11</v>
      </c>
      <c r="CI189" s="446">
        <v>3981</v>
      </c>
      <c r="CJ189" s="446">
        <v>2293</v>
      </c>
      <c r="CK189" s="446">
        <v>0</v>
      </c>
      <c r="CL189" s="446">
        <v>5748</v>
      </c>
      <c r="CM189" s="446">
        <v>1170</v>
      </c>
      <c r="CN189" s="446">
        <v>985</v>
      </c>
      <c r="CO189" s="446">
        <v>380</v>
      </c>
      <c r="CP189" s="446">
        <v>18</v>
      </c>
      <c r="CQ189" s="446">
        <v>3778</v>
      </c>
      <c r="CR189" s="446">
        <v>926</v>
      </c>
      <c r="CS189" s="446">
        <v>688</v>
      </c>
      <c r="CT189" s="446">
        <v>2816</v>
      </c>
      <c r="CU189" s="446">
        <v>0</v>
      </c>
      <c r="CV189" s="446">
        <v>0</v>
      </c>
      <c r="CW189" s="443">
        <v>15529276.654450528</v>
      </c>
      <c r="CX189" s="448">
        <v>0.8949082908630555</v>
      </c>
      <c r="CY189" s="448">
        <v>0.9166666666666666</v>
      </c>
      <c r="CZ189" s="443">
        <v>13897278.42917387</v>
      </c>
      <c r="DA189" s="450">
        <v>609.6902004551141</v>
      </c>
      <c r="DB189" s="445">
        <v>22794</v>
      </c>
      <c r="DC189" s="448">
        <v>1.0211897867859963</v>
      </c>
      <c r="DD189" s="450">
        <v>307.3</v>
      </c>
      <c r="DE189" s="443">
        <v>31126</v>
      </c>
      <c r="DF189" s="450">
        <v>48.17309058748468</v>
      </c>
      <c r="DG189" s="450">
        <v>50.24453348274652</v>
      </c>
      <c r="DH189" s="450">
        <v>51.34991321936693</v>
      </c>
      <c r="DI189" s="450">
        <v>52.47961131019299</v>
      </c>
      <c r="DJ189" s="450">
        <v>54.211438483429355</v>
      </c>
      <c r="DK189" s="450">
        <v>56.1630502688328</v>
      </c>
      <c r="DL189" s="450">
        <v>57.960267877435435</v>
      </c>
      <c r="DM189" s="450">
        <v>60.33663886041028</v>
      </c>
      <c r="DN189" s="450">
        <v>62.991450970268325</v>
      </c>
      <c r="DO189" s="450">
        <v>66.45598077363307</v>
      </c>
      <c r="DP189" s="450">
        <v>65.85787694667037</v>
      </c>
      <c r="DQ189" s="450">
        <v>69.21662867095056</v>
      </c>
      <c r="DR189" s="450">
        <v>35.68</v>
      </c>
      <c r="DS189" s="450">
        <v>37.95345532193669</v>
      </c>
      <c r="DT189" s="450">
        <v>40.30967355803858</v>
      </c>
      <c r="DU189" s="450">
        <v>43.21133599770079</v>
      </c>
      <c r="DV189" s="450">
        <v>46.39495926150584</v>
      </c>
      <c r="DW189" s="450">
        <v>49.55970961113425</v>
      </c>
      <c r="DX189" s="450">
        <v>53.34065393623466</v>
      </c>
      <c r="DY189" s="450">
        <v>56.49917696063334</v>
      </c>
      <c r="DZ189" s="450">
        <v>58.311780479699536</v>
      </c>
      <c r="EA189" s="450">
        <v>60.415932921599875</v>
      </c>
      <c r="EB189" s="450">
        <v>64.64104213467128</v>
      </c>
      <c r="EC189" s="450">
        <v>-1.4</v>
      </c>
      <c r="ED189" s="450">
        <v>63.24104213467128</v>
      </c>
      <c r="EE189" s="450">
        <v>3288.5341910029065</v>
      </c>
      <c r="EF189" s="443">
        <v>73459671.38272585</v>
      </c>
      <c r="EG189" s="450">
        <v>38.39</v>
      </c>
      <c r="EH189" s="450">
        <v>40.446113321936686</v>
      </c>
      <c r="EI189" s="450">
        <v>42.574114870038585</v>
      </c>
      <c r="EJ189" s="450">
        <v>45.25810788858479</v>
      </c>
      <c r="EK189" s="450">
        <v>48.212492700610824</v>
      </c>
      <c r="EL189" s="450">
        <v>51.12278836876454</v>
      </c>
      <c r="EM189" s="450">
        <v>54.64238592558916</v>
      </c>
      <c r="EN189" s="450">
        <v>57.70718424675432</v>
      </c>
      <c r="EO189" s="450">
        <v>59.463816761563585</v>
      </c>
      <c r="EP189" s="450">
        <v>61.18572206411696</v>
      </c>
      <c r="EQ189" s="450">
        <v>65.28828084569965</v>
      </c>
      <c r="ER189" s="443">
        <v>116422575</v>
      </c>
      <c r="ES189" s="443">
        <v>0</v>
      </c>
      <c r="ET189" s="443">
        <v>0</v>
      </c>
      <c r="EU189" s="443">
        <v>820000</v>
      </c>
      <c r="EV189" s="443">
        <v>0</v>
      </c>
      <c r="EW189" s="443">
        <v>0</v>
      </c>
      <c r="EX189" s="443">
        <v>0</v>
      </c>
      <c r="EY189" s="443">
        <v>0</v>
      </c>
      <c r="EZ189" s="443">
        <v>137300000</v>
      </c>
      <c r="FA189" s="443">
        <v>254542575</v>
      </c>
      <c r="FB189" s="443">
        <v>159674.83001530994</v>
      </c>
      <c r="FC189" s="443">
        <v>0</v>
      </c>
      <c r="FD189" s="443">
        <v>0</v>
      </c>
      <c r="FE189" s="443">
        <v>27990</v>
      </c>
      <c r="FF189" s="452">
        <v>0.0742</v>
      </c>
      <c r="FG189" s="443">
        <v>2076.858</v>
      </c>
      <c r="FH189" s="453">
        <v>2076.858</v>
      </c>
    </row>
    <row r="190" spans="2:164" ht="12.75">
      <c r="B190" s="356" t="s">
        <v>878</v>
      </c>
      <c r="C190" s="442">
        <v>5381.75</v>
      </c>
      <c r="D190" s="443">
        <v>1284747.75</v>
      </c>
      <c r="E190" s="443">
        <v>1102313.5695</v>
      </c>
      <c r="F190" s="443">
        <v>136351.21864523776</v>
      </c>
      <c r="G190" s="443">
        <v>182434.18050000002</v>
      </c>
      <c r="H190" s="444">
        <v>0.3666874158034097</v>
      </c>
      <c r="I190" s="445">
        <v>1491.64</v>
      </c>
      <c r="J190" s="445">
        <v>481.78</v>
      </c>
      <c r="K190" s="443">
        <v>1238664.7881452378</v>
      </c>
      <c r="L190" s="443">
        <v>990931.8305161903</v>
      </c>
      <c r="M190" s="443">
        <v>284487.24387774226</v>
      </c>
      <c r="N190" s="443">
        <v>247732.9576290475</v>
      </c>
      <c r="O190" s="446">
        <v>1.1483625214846471</v>
      </c>
      <c r="P190" s="447">
        <v>0.8859571700654991</v>
      </c>
      <c r="Q190" s="448">
        <v>0.11408928322571654</v>
      </c>
      <c r="R190" s="443">
        <v>1275419.0743939325</v>
      </c>
      <c r="S190" s="443">
        <v>862183.2942902984</v>
      </c>
      <c r="T190" s="443">
        <v>93593.71914068077</v>
      </c>
      <c r="U190" s="443">
        <v>174169.8260093312</v>
      </c>
      <c r="V190" s="443">
        <v>290795.5489618166</v>
      </c>
      <c r="W190" s="446">
        <v>0.5989425444479581</v>
      </c>
      <c r="X190" s="448">
        <v>11.183141044610737</v>
      </c>
      <c r="Y190" s="443">
        <v>93593.71914068077</v>
      </c>
      <c r="Z190" s="443">
        <v>122440.23114181752</v>
      </c>
      <c r="AA190" s="444">
        <v>0.7644033196268225</v>
      </c>
      <c r="AB190" s="444">
        <v>0.06271194314117155</v>
      </c>
      <c r="AC190" s="445">
        <v>311</v>
      </c>
      <c r="AD190" s="445">
        <v>364</v>
      </c>
      <c r="AE190" s="443">
        <v>1129946.8394403104</v>
      </c>
      <c r="AF190" s="443">
        <v>0</v>
      </c>
      <c r="AG190" s="447">
        <v>0</v>
      </c>
      <c r="AH190" s="446">
        <v>0.012350068964724778</v>
      </c>
      <c r="AI190" s="448">
        <v>0.01040011557051912</v>
      </c>
      <c r="AJ190" s="443">
        <v>1129946.8394403104</v>
      </c>
      <c r="AK190" s="449">
        <v>1.0308987036363708</v>
      </c>
      <c r="AL190" s="443">
        <v>1164860.7319570305</v>
      </c>
      <c r="AM190" s="443">
        <v>2596201.476977475</v>
      </c>
      <c r="AN190" s="443">
        <v>2564495.7682158686</v>
      </c>
      <c r="AO190" s="443">
        <v>2570962.2992817084</v>
      </c>
      <c r="AP190" s="443">
        <v>2570962.2992817084</v>
      </c>
      <c r="AQ190" s="443">
        <v>21527</v>
      </c>
      <c r="AR190" s="443">
        <v>2592489.2992817084</v>
      </c>
      <c r="AS190" s="450">
        <v>481.7186415722968</v>
      </c>
      <c r="AT190" s="446">
        <v>5372</v>
      </c>
      <c r="AU190" s="446">
        <v>122</v>
      </c>
      <c r="AV190" s="446">
        <v>500</v>
      </c>
      <c r="AW190" s="446">
        <v>61</v>
      </c>
      <c r="AX190" s="446">
        <v>45</v>
      </c>
      <c r="AY190" s="446">
        <v>686</v>
      </c>
      <c r="AZ190" s="446">
        <v>229</v>
      </c>
      <c r="BA190" s="446">
        <v>164</v>
      </c>
      <c r="BB190" s="446">
        <v>671</v>
      </c>
      <c r="BC190" s="446">
        <v>3</v>
      </c>
      <c r="BD190" s="446">
        <v>1059</v>
      </c>
      <c r="BE190" s="446">
        <v>614</v>
      </c>
      <c r="BF190" s="446">
        <v>0</v>
      </c>
      <c r="BG190" s="446">
        <v>1218</v>
      </c>
      <c r="BH190" s="446">
        <v>0</v>
      </c>
      <c r="BI190" s="446">
        <v>0</v>
      </c>
      <c r="BJ190" s="448">
        <v>1.248237408397114</v>
      </c>
      <c r="BK190" s="448">
        <v>8.169742877139662</v>
      </c>
      <c r="BL190" s="448">
        <v>5.340406717713228</v>
      </c>
      <c r="BM190" s="448">
        <v>5.658672318852866</v>
      </c>
      <c r="BN190" s="445">
        <v>4758</v>
      </c>
      <c r="BO190" s="445">
        <v>614</v>
      </c>
      <c r="BP190" s="443">
        <v>1413366.7351539682</v>
      </c>
      <c r="BQ190" s="443">
        <v>5619252</v>
      </c>
      <c r="BR190" s="443">
        <v>7232165</v>
      </c>
      <c r="BS190" s="444">
        <v>0.06282576321667907</v>
      </c>
      <c r="BT190" s="445">
        <v>311</v>
      </c>
      <c r="BU190" s="445">
        <v>364</v>
      </c>
      <c r="BV190" s="443">
        <v>454366.28583395376</v>
      </c>
      <c r="BW190" s="444">
        <v>0.02093018230708532</v>
      </c>
      <c r="BX190" s="443">
        <v>11836.754906486969</v>
      </c>
      <c r="BY190" s="443">
        <v>7498821.775894409</v>
      </c>
      <c r="BZ190" s="451">
        <v>1.0066666666666666</v>
      </c>
      <c r="CA190" s="443">
        <v>7548813.921067038</v>
      </c>
      <c r="CB190" s="443">
        <v>5523752.486390777</v>
      </c>
      <c r="CC190" s="443">
        <v>5523752.486390777</v>
      </c>
      <c r="CD190" s="443">
        <v>5420794.325523895</v>
      </c>
      <c r="CE190" s="443">
        <v>5484496.022016856</v>
      </c>
      <c r="CF190" s="450">
        <v>1020.9411805690349</v>
      </c>
      <c r="CG190" s="446">
        <v>5372</v>
      </c>
      <c r="CH190" s="446">
        <v>122</v>
      </c>
      <c r="CI190" s="446">
        <v>500</v>
      </c>
      <c r="CJ190" s="446">
        <v>61</v>
      </c>
      <c r="CK190" s="446">
        <v>45</v>
      </c>
      <c r="CL190" s="446">
        <v>686</v>
      </c>
      <c r="CM190" s="446">
        <v>229</v>
      </c>
      <c r="CN190" s="446">
        <v>164</v>
      </c>
      <c r="CO190" s="446">
        <v>671</v>
      </c>
      <c r="CP190" s="446">
        <v>3</v>
      </c>
      <c r="CQ190" s="446">
        <v>1059</v>
      </c>
      <c r="CR190" s="446">
        <v>614</v>
      </c>
      <c r="CS190" s="446">
        <v>0</v>
      </c>
      <c r="CT190" s="446">
        <v>1218</v>
      </c>
      <c r="CU190" s="446">
        <v>0</v>
      </c>
      <c r="CV190" s="446">
        <v>0</v>
      </c>
      <c r="CW190" s="443">
        <v>3709757.2283067415</v>
      </c>
      <c r="CX190" s="448">
        <v>0.9827720139659736</v>
      </c>
      <c r="CY190" s="448">
        <v>1.0066666666666666</v>
      </c>
      <c r="CZ190" s="443">
        <v>3645845.582587844</v>
      </c>
      <c r="DA190" s="450">
        <v>678.6756482851534</v>
      </c>
      <c r="DB190" s="445">
        <v>5381.75</v>
      </c>
      <c r="DC190" s="448">
        <v>1.0172852696613555</v>
      </c>
      <c r="DD190" s="450">
        <v>313.9</v>
      </c>
      <c r="DE190" s="443">
        <v>48196</v>
      </c>
      <c r="DF190" s="450">
        <v>54.461725259461154</v>
      </c>
      <c r="DG190" s="450">
        <v>56.80357944561798</v>
      </c>
      <c r="DH190" s="450">
        <v>58.05325819342156</v>
      </c>
      <c r="DI190" s="450">
        <v>59.33042987367683</v>
      </c>
      <c r="DJ190" s="450">
        <v>61.28833405950816</v>
      </c>
      <c r="DK190" s="450">
        <v>63.49471408565044</v>
      </c>
      <c r="DL190" s="450">
        <v>65.52654493639125</v>
      </c>
      <c r="DM190" s="450">
        <v>68.21313327878329</v>
      </c>
      <c r="DN190" s="450">
        <v>71.21451114304975</v>
      </c>
      <c r="DO190" s="450">
        <v>75.13130925591749</v>
      </c>
      <c r="DP190" s="450">
        <v>74.45512747261422</v>
      </c>
      <c r="DQ190" s="450">
        <v>78.25233897371754</v>
      </c>
      <c r="DR190" s="450">
        <v>44.43</v>
      </c>
      <c r="DS190" s="450">
        <v>46.67203981934215</v>
      </c>
      <c r="DT190" s="450">
        <v>48.991225270735356</v>
      </c>
      <c r="DU190" s="450">
        <v>51.94298549902444</v>
      </c>
      <c r="DV190" s="450">
        <v>55.1960445639409</v>
      </c>
      <c r="DW190" s="450">
        <v>58.38968914772104</v>
      </c>
      <c r="DX190" s="450">
        <v>62.269559777978735</v>
      </c>
      <c r="DY190" s="450">
        <v>65.69887493430312</v>
      </c>
      <c r="DZ190" s="450">
        <v>67.66358101274157</v>
      </c>
      <c r="EA190" s="450">
        <v>69.46520119046316</v>
      </c>
      <c r="EB190" s="450">
        <v>74.05680895568493</v>
      </c>
      <c r="EC190" s="450">
        <v>0</v>
      </c>
      <c r="ED190" s="450">
        <v>74.05680895568493</v>
      </c>
      <c r="EE190" s="450">
        <v>3850.9540656956165</v>
      </c>
      <c r="EF190" s="443">
        <v>20310374.602196235</v>
      </c>
      <c r="EG190" s="450">
        <v>56.88</v>
      </c>
      <c r="EH190" s="450">
        <v>58.12354981934215</v>
      </c>
      <c r="EI190" s="450">
        <v>59.39428591073535</v>
      </c>
      <c r="EJ190" s="450">
        <v>61.34605193500443</v>
      </c>
      <c r="EK190" s="450">
        <v>63.54596755909113</v>
      </c>
      <c r="EL190" s="450">
        <v>65.57062292355025</v>
      </c>
      <c r="EM190" s="450">
        <v>68.2498414264893</v>
      </c>
      <c r="EN190" s="450">
        <v>71.24857630412092</v>
      </c>
      <c r="EO190" s="450">
        <v>72.95614621909115</v>
      </c>
      <c r="EP190" s="450">
        <v>73.00168636549552</v>
      </c>
      <c r="EQ190" s="450">
        <v>77.03028569085214</v>
      </c>
      <c r="ER190" s="443">
        <v>3812804</v>
      </c>
      <c r="ES190" s="443">
        <v>0</v>
      </c>
      <c r="ET190" s="443">
        <v>0</v>
      </c>
      <c r="EU190" s="443">
        <v>0</v>
      </c>
      <c r="EV190" s="443">
        <v>0</v>
      </c>
      <c r="EW190" s="443">
        <v>0</v>
      </c>
      <c r="EX190" s="443">
        <v>0</v>
      </c>
      <c r="EY190" s="443">
        <v>0</v>
      </c>
      <c r="EZ190" s="443">
        <v>0</v>
      </c>
      <c r="FA190" s="443">
        <v>3812804</v>
      </c>
      <c r="FB190" s="443">
        <v>41030.358930555994</v>
      </c>
      <c r="FC190" s="443">
        <v>0</v>
      </c>
      <c r="FD190" s="443">
        <v>0</v>
      </c>
      <c r="FE190" s="443">
        <v>1304310</v>
      </c>
      <c r="FF190" s="452">
        <v>0.0313</v>
      </c>
      <c r="FG190" s="443">
        <v>40824.903</v>
      </c>
      <c r="FH190" s="453">
        <v>40824.903</v>
      </c>
    </row>
    <row r="191" spans="2:164" ht="12.75">
      <c r="B191" s="356" t="s">
        <v>879</v>
      </c>
      <c r="C191" s="442">
        <v>5054.5</v>
      </c>
      <c r="D191" s="443">
        <v>1208498.5</v>
      </c>
      <c r="E191" s="443">
        <v>1036891.713</v>
      </c>
      <c r="F191" s="443">
        <v>145822.65715361436</v>
      </c>
      <c r="G191" s="443">
        <v>171606.787</v>
      </c>
      <c r="H191" s="444">
        <v>0.4169017706993768</v>
      </c>
      <c r="I191" s="445">
        <v>1698.12</v>
      </c>
      <c r="J191" s="445">
        <v>409.11</v>
      </c>
      <c r="K191" s="443">
        <v>1182714.3701536143</v>
      </c>
      <c r="L191" s="443">
        <v>946171.4961228915</v>
      </c>
      <c r="M191" s="443">
        <v>252627.50867398313</v>
      </c>
      <c r="N191" s="443">
        <v>236542.8740307228</v>
      </c>
      <c r="O191" s="446">
        <v>1.0679988129389653</v>
      </c>
      <c r="P191" s="447">
        <v>0.9478682362251459</v>
      </c>
      <c r="Q191" s="448">
        <v>0.05223068552774755</v>
      </c>
      <c r="R191" s="443">
        <v>1198799.0047968747</v>
      </c>
      <c r="S191" s="443">
        <v>810388.1272426874</v>
      </c>
      <c r="T191" s="443">
        <v>109486.03297460437</v>
      </c>
      <c r="U191" s="443">
        <v>199014.1682769284</v>
      </c>
      <c r="V191" s="443">
        <v>273326.17309368745</v>
      </c>
      <c r="W191" s="446">
        <v>0.728119689469741</v>
      </c>
      <c r="X191" s="448">
        <v>13.595068943054182</v>
      </c>
      <c r="Y191" s="443">
        <v>109486.03297460437</v>
      </c>
      <c r="Z191" s="443">
        <v>115084.70446049997</v>
      </c>
      <c r="AA191" s="444">
        <v>0.9513517325161381</v>
      </c>
      <c r="AB191" s="444">
        <v>0.07804926303294095</v>
      </c>
      <c r="AC191" s="445">
        <v>390</v>
      </c>
      <c r="AD191" s="445">
        <v>399</v>
      </c>
      <c r="AE191" s="443">
        <v>1118888.32849422</v>
      </c>
      <c r="AF191" s="443">
        <v>0</v>
      </c>
      <c r="AG191" s="447">
        <v>0</v>
      </c>
      <c r="AH191" s="446">
        <v>0</v>
      </c>
      <c r="AI191" s="448">
        <v>0</v>
      </c>
      <c r="AJ191" s="443">
        <v>1118888.32849422</v>
      </c>
      <c r="AK191" s="449">
        <v>1.0421109271193911</v>
      </c>
      <c r="AL191" s="443">
        <v>1166005.7533501775</v>
      </c>
      <c r="AM191" s="443">
        <v>2598753.461219458</v>
      </c>
      <c r="AN191" s="443">
        <v>2567016.5867452295</v>
      </c>
      <c r="AO191" s="443">
        <v>2486219.5302809672</v>
      </c>
      <c r="AP191" s="443">
        <v>2567016.5867452295</v>
      </c>
      <c r="AQ191" s="443">
        <v>20218</v>
      </c>
      <c r="AR191" s="443">
        <v>2587234.5867452295</v>
      </c>
      <c r="AS191" s="450">
        <v>511.867560934856</v>
      </c>
      <c r="AT191" s="446">
        <v>5054</v>
      </c>
      <c r="AU191" s="446">
        <v>229</v>
      </c>
      <c r="AV191" s="446">
        <v>505</v>
      </c>
      <c r="AW191" s="446">
        <v>96</v>
      </c>
      <c r="AX191" s="446">
        <v>113</v>
      </c>
      <c r="AY191" s="446">
        <v>885</v>
      </c>
      <c r="AZ191" s="446">
        <v>269</v>
      </c>
      <c r="BA191" s="446">
        <v>124</v>
      </c>
      <c r="BB191" s="446">
        <v>81</v>
      </c>
      <c r="BC191" s="446">
        <v>74</v>
      </c>
      <c r="BD191" s="446">
        <v>1555</v>
      </c>
      <c r="BE191" s="446">
        <v>215</v>
      </c>
      <c r="BF191" s="446">
        <v>49</v>
      </c>
      <c r="BG191" s="446">
        <v>844</v>
      </c>
      <c r="BH191" s="446">
        <v>0</v>
      </c>
      <c r="BI191" s="446">
        <v>15</v>
      </c>
      <c r="BJ191" s="448">
        <v>1.1958322627347457</v>
      </c>
      <c r="BK191" s="448">
        <v>7.300631836218617</v>
      </c>
      <c r="BL191" s="448">
        <v>4.382816866370243</v>
      </c>
      <c r="BM191" s="448">
        <v>5.835629939696747</v>
      </c>
      <c r="BN191" s="445">
        <v>4790</v>
      </c>
      <c r="BO191" s="445">
        <v>264</v>
      </c>
      <c r="BP191" s="443">
        <v>1201494.5284987947</v>
      </c>
      <c r="BQ191" s="443">
        <v>5064883</v>
      </c>
      <c r="BR191" s="443">
        <v>6793515</v>
      </c>
      <c r="BS191" s="444">
        <v>0.07805698456667985</v>
      </c>
      <c r="BT191" s="445">
        <v>390</v>
      </c>
      <c r="BU191" s="445">
        <v>399</v>
      </c>
      <c r="BV191" s="443">
        <v>530281.2955085081</v>
      </c>
      <c r="BW191" s="444">
        <v>0.016703250168996354</v>
      </c>
      <c r="BX191" s="443">
        <v>7941.671571789031</v>
      </c>
      <c r="BY191" s="443">
        <v>6804600.495579092</v>
      </c>
      <c r="BZ191" s="451">
        <v>1.0233333333333334</v>
      </c>
      <c r="CA191" s="443">
        <v>6963374.507142604</v>
      </c>
      <c r="CB191" s="443">
        <v>5095364.337986247</v>
      </c>
      <c r="CC191" s="443">
        <v>5095364.337986247</v>
      </c>
      <c r="CD191" s="443">
        <v>4982659.821212419</v>
      </c>
      <c r="CE191" s="443">
        <v>5059152.362685195</v>
      </c>
      <c r="CF191" s="450">
        <v>1001.0194623437268</v>
      </c>
      <c r="CG191" s="446">
        <v>5054</v>
      </c>
      <c r="CH191" s="446">
        <v>229</v>
      </c>
      <c r="CI191" s="446">
        <v>505</v>
      </c>
      <c r="CJ191" s="446">
        <v>96</v>
      </c>
      <c r="CK191" s="446">
        <v>113</v>
      </c>
      <c r="CL191" s="446">
        <v>885</v>
      </c>
      <c r="CM191" s="446">
        <v>269</v>
      </c>
      <c r="CN191" s="446">
        <v>124</v>
      </c>
      <c r="CO191" s="446">
        <v>81</v>
      </c>
      <c r="CP191" s="446">
        <v>74</v>
      </c>
      <c r="CQ191" s="446">
        <v>1555</v>
      </c>
      <c r="CR191" s="446">
        <v>215</v>
      </c>
      <c r="CS191" s="446">
        <v>49</v>
      </c>
      <c r="CT191" s="446">
        <v>844</v>
      </c>
      <c r="CU191" s="446">
        <v>0</v>
      </c>
      <c r="CV191" s="446">
        <v>15</v>
      </c>
      <c r="CW191" s="443">
        <v>3554056.840629204</v>
      </c>
      <c r="CX191" s="448">
        <v>0.9990430737998475</v>
      </c>
      <c r="CY191" s="448">
        <v>1.0233333333333334</v>
      </c>
      <c r="CZ191" s="443">
        <v>3550655.8705215747</v>
      </c>
      <c r="DA191" s="450">
        <v>702.5437021214038</v>
      </c>
      <c r="DB191" s="445">
        <v>5054.5</v>
      </c>
      <c r="DC191" s="448">
        <v>1.0007221287961223</v>
      </c>
      <c r="DD191" s="450">
        <v>328.7</v>
      </c>
      <c r="DE191" s="443">
        <v>69368</v>
      </c>
      <c r="DF191" s="450">
        <v>62.59654246254543</v>
      </c>
      <c r="DG191" s="450">
        <v>65.28819378843488</v>
      </c>
      <c r="DH191" s="450">
        <v>66.72453405178044</v>
      </c>
      <c r="DI191" s="450">
        <v>68.1924738009196</v>
      </c>
      <c r="DJ191" s="450">
        <v>70.44282543634993</v>
      </c>
      <c r="DK191" s="450">
        <v>72.97876715205852</v>
      </c>
      <c r="DL191" s="450">
        <v>75.31408770092438</v>
      </c>
      <c r="DM191" s="450">
        <v>78.40196529666227</v>
      </c>
      <c r="DN191" s="450">
        <v>81.85165176971539</v>
      </c>
      <c r="DO191" s="450">
        <v>86.35349261704972</v>
      </c>
      <c r="DP191" s="450">
        <v>85.57631118349627</v>
      </c>
      <c r="DQ191" s="450">
        <v>89.94070305385458</v>
      </c>
      <c r="DR191" s="450">
        <v>50.42</v>
      </c>
      <c r="DS191" s="450">
        <v>53.048769405178035</v>
      </c>
      <c r="DT191" s="450">
        <v>55.7688013841839</v>
      </c>
      <c r="DU191" s="450">
        <v>59.21337853067296</v>
      </c>
      <c r="DV191" s="450">
        <v>63.00701829981737</v>
      </c>
      <c r="DW191" s="450">
        <v>66.73838368799699</v>
      </c>
      <c r="DX191" s="450">
        <v>71.26011899469634</v>
      </c>
      <c r="DY191" s="450">
        <v>75.22401840149101</v>
      </c>
      <c r="DZ191" s="450">
        <v>77.49553839002525</v>
      </c>
      <c r="EA191" s="450">
        <v>79.65743771030697</v>
      </c>
      <c r="EB191" s="450">
        <v>84.964114237597</v>
      </c>
      <c r="EC191" s="450">
        <v>-1.04</v>
      </c>
      <c r="ED191" s="450">
        <v>83.924114237597</v>
      </c>
      <c r="EE191" s="450">
        <v>4364.053940355044</v>
      </c>
      <c r="EF191" s="443">
        <v>21616948.428694077</v>
      </c>
      <c r="EG191" s="450">
        <v>52.86</v>
      </c>
      <c r="EH191" s="450">
        <v>55.293081405178036</v>
      </c>
      <c r="EI191" s="450">
        <v>57.8076341521839</v>
      </c>
      <c r="EJ191" s="450">
        <v>61.05622849884897</v>
      </c>
      <c r="EK191" s="450">
        <v>64.64346907155766</v>
      </c>
      <c r="EL191" s="450">
        <v>68.14573135169364</v>
      </c>
      <c r="EM191" s="450">
        <v>72.43215812902292</v>
      </c>
      <c r="EN191" s="450">
        <v>76.31167071814608</v>
      </c>
      <c r="EO191" s="450">
        <v>78.53279614934196</v>
      </c>
      <c r="EP191" s="450">
        <v>80.35053199360648</v>
      </c>
      <c r="EQ191" s="450">
        <v>85.54686791099525</v>
      </c>
      <c r="ER191" s="443">
        <v>9764216</v>
      </c>
      <c r="ES191" s="443">
        <v>0</v>
      </c>
      <c r="ET191" s="443">
        <v>0</v>
      </c>
      <c r="EU191" s="443">
        <v>0</v>
      </c>
      <c r="EV191" s="443">
        <v>0</v>
      </c>
      <c r="EW191" s="443">
        <v>0</v>
      </c>
      <c r="EX191" s="443">
        <v>0</v>
      </c>
      <c r="EY191" s="443">
        <v>0</v>
      </c>
      <c r="EZ191" s="443">
        <v>0</v>
      </c>
      <c r="FA191" s="443">
        <v>9764216</v>
      </c>
      <c r="FB191" s="443">
        <v>43846.54675751914</v>
      </c>
      <c r="FC191" s="443">
        <v>0</v>
      </c>
      <c r="FD191" s="443">
        <v>0</v>
      </c>
      <c r="FE191" s="443">
        <v>13284</v>
      </c>
      <c r="FF191" s="452">
        <v>0.0313</v>
      </c>
      <c r="FG191" s="443">
        <v>415.7892</v>
      </c>
      <c r="FH191" s="453">
        <v>415.7892</v>
      </c>
    </row>
    <row r="192" spans="2:164" ht="12.75">
      <c r="B192" s="356" t="s">
        <v>880</v>
      </c>
      <c r="C192" s="442">
        <v>3464.23</v>
      </c>
      <c r="D192" s="443">
        <v>837965.59</v>
      </c>
      <c r="E192" s="443">
        <v>718974.4762200001</v>
      </c>
      <c r="F192" s="443">
        <v>126099.83013198213</v>
      </c>
      <c r="G192" s="443">
        <v>118991.11378000003</v>
      </c>
      <c r="H192" s="444">
        <v>0.5199279493567113</v>
      </c>
      <c r="I192" s="445">
        <v>1585.09</v>
      </c>
      <c r="J192" s="445">
        <v>216.06</v>
      </c>
      <c r="K192" s="443">
        <v>845074.3063519822</v>
      </c>
      <c r="L192" s="443">
        <v>676059.4450815858</v>
      </c>
      <c r="M192" s="443">
        <v>213391.48965988393</v>
      </c>
      <c r="N192" s="443">
        <v>169014.8612703964</v>
      </c>
      <c r="O192" s="446">
        <v>1.2625605112824494</v>
      </c>
      <c r="P192" s="447">
        <v>0.7871879176613562</v>
      </c>
      <c r="Q192" s="448">
        <v>0.20668373635699708</v>
      </c>
      <c r="R192" s="443">
        <v>889450.9347414697</v>
      </c>
      <c r="S192" s="443">
        <v>601268.8318852335</v>
      </c>
      <c r="T192" s="443">
        <v>81569.6598420648</v>
      </c>
      <c r="U192" s="443">
        <v>163034.30959004728</v>
      </c>
      <c r="V192" s="443">
        <v>202794.8131210551</v>
      </c>
      <c r="W192" s="446">
        <v>0.8039372757168427</v>
      </c>
      <c r="X192" s="448">
        <v>15.010695147141524</v>
      </c>
      <c r="Y192" s="443">
        <v>81569.6598420648</v>
      </c>
      <c r="Z192" s="443">
        <v>85387.2897351811</v>
      </c>
      <c r="AA192" s="444">
        <v>0.955290419628539</v>
      </c>
      <c r="AB192" s="444">
        <v>0.07837239444263228</v>
      </c>
      <c r="AC192" s="445">
        <v>263</v>
      </c>
      <c r="AD192" s="445">
        <v>280</v>
      </c>
      <c r="AE192" s="443">
        <v>845872.8013173456</v>
      </c>
      <c r="AF192" s="443">
        <v>0</v>
      </c>
      <c r="AG192" s="447">
        <v>0</v>
      </c>
      <c r="AH192" s="446">
        <v>0.018087035753164227</v>
      </c>
      <c r="AI192" s="448">
        <v>0.015231272205710411</v>
      </c>
      <c r="AJ192" s="443">
        <v>845872.8013173456</v>
      </c>
      <c r="AK192" s="449">
        <v>1.1323222768566725</v>
      </c>
      <c r="AL192" s="443">
        <v>957800.6163187885</v>
      </c>
      <c r="AM192" s="443">
        <v>2134713.0232118615</v>
      </c>
      <c r="AN192" s="443">
        <v>2108643.170774076</v>
      </c>
      <c r="AO192" s="443">
        <v>2049747.9949253658</v>
      </c>
      <c r="AP192" s="443">
        <v>2108643.170774076</v>
      </c>
      <c r="AQ192" s="443">
        <v>13856.92</v>
      </c>
      <c r="AR192" s="443">
        <v>2122500.090774076</v>
      </c>
      <c r="AS192" s="450">
        <v>612.6902921497926</v>
      </c>
      <c r="AT192" s="446">
        <v>3394</v>
      </c>
      <c r="AU192" s="446">
        <v>0</v>
      </c>
      <c r="AV192" s="446">
        <v>365</v>
      </c>
      <c r="AW192" s="446">
        <v>44</v>
      </c>
      <c r="AX192" s="446">
        <v>0</v>
      </c>
      <c r="AY192" s="446">
        <v>567</v>
      </c>
      <c r="AZ192" s="446">
        <v>58</v>
      </c>
      <c r="BA192" s="446">
        <v>257</v>
      </c>
      <c r="BB192" s="446">
        <v>74</v>
      </c>
      <c r="BC192" s="446">
        <v>35</v>
      </c>
      <c r="BD192" s="446">
        <v>1027</v>
      </c>
      <c r="BE192" s="446">
        <v>692</v>
      </c>
      <c r="BF192" s="446">
        <v>0</v>
      </c>
      <c r="BG192" s="446">
        <v>255</v>
      </c>
      <c r="BH192" s="446">
        <v>19</v>
      </c>
      <c r="BI192" s="446">
        <v>1</v>
      </c>
      <c r="BJ192" s="448">
        <v>1.2800834190501864</v>
      </c>
      <c r="BK192" s="448">
        <v>7.883965752302</v>
      </c>
      <c r="BL192" s="448">
        <v>4.88137946347861</v>
      </c>
      <c r="BM192" s="448">
        <v>6.005172577646779</v>
      </c>
      <c r="BN192" s="445">
        <v>2702</v>
      </c>
      <c r="BO192" s="445">
        <v>692</v>
      </c>
      <c r="BP192" s="443">
        <v>871462.8705215002</v>
      </c>
      <c r="BQ192" s="443">
        <v>3640985</v>
      </c>
      <c r="BR192" s="443">
        <v>4526773</v>
      </c>
      <c r="BS192" s="444">
        <v>0.07999410724808485</v>
      </c>
      <c r="BT192" s="445">
        <v>263</v>
      </c>
      <c r="BU192" s="445">
        <v>280</v>
      </c>
      <c r="BV192" s="443">
        <v>362115.1648497348</v>
      </c>
      <c r="BW192" s="444">
        <v>0.007296138774595234</v>
      </c>
      <c r="BX192" s="443">
        <v>2515.7350725751767</v>
      </c>
      <c r="BY192" s="443">
        <v>4877078.77044381</v>
      </c>
      <c r="BZ192" s="451">
        <v>1.1133333333333335</v>
      </c>
      <c r="CA192" s="443">
        <v>5429814.364427443</v>
      </c>
      <c r="CB192" s="443">
        <v>3973200.413967402</v>
      </c>
      <c r="CC192" s="443">
        <v>3973200.413967402</v>
      </c>
      <c r="CD192" s="443">
        <v>3894087.56632099</v>
      </c>
      <c r="CE192" s="443">
        <v>3944963.486102578</v>
      </c>
      <c r="CF192" s="450">
        <v>1162.3345568952793</v>
      </c>
      <c r="CG192" s="446">
        <v>3394</v>
      </c>
      <c r="CH192" s="446">
        <v>0</v>
      </c>
      <c r="CI192" s="446">
        <v>365</v>
      </c>
      <c r="CJ192" s="446">
        <v>44</v>
      </c>
      <c r="CK192" s="446">
        <v>0</v>
      </c>
      <c r="CL192" s="446">
        <v>567</v>
      </c>
      <c r="CM192" s="446">
        <v>58</v>
      </c>
      <c r="CN192" s="446">
        <v>257</v>
      </c>
      <c r="CO192" s="446">
        <v>74</v>
      </c>
      <c r="CP192" s="446">
        <v>35</v>
      </c>
      <c r="CQ192" s="446">
        <v>1027</v>
      </c>
      <c r="CR192" s="446">
        <v>692</v>
      </c>
      <c r="CS192" s="446">
        <v>0</v>
      </c>
      <c r="CT192" s="446">
        <v>255</v>
      </c>
      <c r="CU192" s="446">
        <v>19</v>
      </c>
      <c r="CV192" s="446">
        <v>1</v>
      </c>
      <c r="CW192" s="443">
        <v>2474386.635651493</v>
      </c>
      <c r="CX192" s="448">
        <v>1.0869067969027657</v>
      </c>
      <c r="CY192" s="448">
        <v>1.1133333333333335</v>
      </c>
      <c r="CZ192" s="443">
        <v>2689427.652454975</v>
      </c>
      <c r="DA192" s="450">
        <v>792.4064974823144</v>
      </c>
      <c r="DB192" s="445">
        <v>3464.23</v>
      </c>
      <c r="DC192" s="448">
        <v>0.99353911258779</v>
      </c>
      <c r="DD192" s="450">
        <v>333.2</v>
      </c>
      <c r="DE192" s="443">
        <v>72720</v>
      </c>
      <c r="DF192" s="450">
        <v>63.95553810348068</v>
      </c>
      <c r="DG192" s="450">
        <v>66.70562624193035</v>
      </c>
      <c r="DH192" s="450">
        <v>68.1731500192528</v>
      </c>
      <c r="DI192" s="450">
        <v>69.67295931967635</v>
      </c>
      <c r="DJ192" s="450">
        <v>71.97216697722567</v>
      </c>
      <c r="DK192" s="450">
        <v>74.56316498840577</v>
      </c>
      <c r="DL192" s="450">
        <v>76.94918626803475</v>
      </c>
      <c r="DM192" s="450">
        <v>80.10410290502416</v>
      </c>
      <c r="DN192" s="450">
        <v>83.62868343284521</v>
      </c>
      <c r="DO192" s="450">
        <v>88.22826102165169</v>
      </c>
      <c r="DP192" s="450">
        <v>87.43420667245682</v>
      </c>
      <c r="DQ192" s="450">
        <v>91.89335121275212</v>
      </c>
      <c r="DR192" s="450">
        <v>51.15</v>
      </c>
      <c r="DS192" s="450">
        <v>53.865085001925266</v>
      </c>
      <c r="DT192" s="450">
        <v>56.67487714393525</v>
      </c>
      <c r="DU192" s="450">
        <v>60.223525450627676</v>
      </c>
      <c r="DV192" s="450">
        <v>64.13037131278676</v>
      </c>
      <c r="DW192" s="450">
        <v>67.9769837070024</v>
      </c>
      <c r="DX192" s="450">
        <v>72.63205261219643</v>
      </c>
      <c r="DY192" s="450">
        <v>76.69462076110108</v>
      </c>
      <c r="DZ192" s="450">
        <v>79.0229874006135</v>
      </c>
      <c r="EA192" s="450">
        <v>81.28325483272096</v>
      </c>
      <c r="EB192" s="450">
        <v>86.7216309059022</v>
      </c>
      <c r="EC192" s="450">
        <v>-0.74</v>
      </c>
      <c r="ED192" s="450">
        <v>85.98163090590221</v>
      </c>
      <c r="EE192" s="450">
        <v>4471.044807106915</v>
      </c>
      <c r="EF192" s="443">
        <v>15178953.001081508</v>
      </c>
      <c r="EG192" s="450">
        <v>63.11</v>
      </c>
      <c r="EH192" s="450">
        <v>64.86589300192526</v>
      </c>
      <c r="EI192" s="450">
        <v>66.66850005593524</v>
      </c>
      <c r="EJ192" s="450">
        <v>69.25651136021166</v>
      </c>
      <c r="EK192" s="450">
        <v>72.15166280049735</v>
      </c>
      <c r="EL192" s="450">
        <v>74.8752943864335</v>
      </c>
      <c r="EM192" s="450">
        <v>78.37696574602664</v>
      </c>
      <c r="EN192" s="450">
        <v>82.02590014929551</v>
      </c>
      <c r="EO192" s="450">
        <v>84.10725084382159</v>
      </c>
      <c r="EP192" s="450">
        <v>84.68055304102512</v>
      </c>
      <c r="EQ192" s="450">
        <v>89.57807923944435</v>
      </c>
      <c r="ER192" s="443">
        <v>4189820</v>
      </c>
      <c r="ES192" s="443">
        <v>0</v>
      </c>
      <c r="ET192" s="443">
        <v>0</v>
      </c>
      <c r="EU192" s="443">
        <v>0</v>
      </c>
      <c r="EV192" s="443">
        <v>0</v>
      </c>
      <c r="EW192" s="443">
        <v>0</v>
      </c>
      <c r="EX192" s="443">
        <v>0</v>
      </c>
      <c r="EY192" s="443">
        <v>0</v>
      </c>
      <c r="EZ192" s="443">
        <v>0</v>
      </c>
      <c r="FA192" s="443">
        <v>4189820</v>
      </c>
      <c r="FB192" s="443">
        <v>41208.761613779796</v>
      </c>
      <c r="FC192" s="443">
        <v>0</v>
      </c>
      <c r="FD192" s="443">
        <v>0</v>
      </c>
      <c r="FE192" s="443">
        <v>48227</v>
      </c>
      <c r="FF192" s="452">
        <v>0.0313</v>
      </c>
      <c r="FG192" s="443">
        <v>1509.5051</v>
      </c>
      <c r="FH192" s="453">
        <v>1509.5051</v>
      </c>
    </row>
    <row r="193" spans="2:164" ht="12.75">
      <c r="B193" s="356" t="s">
        <v>881</v>
      </c>
      <c r="C193" s="442">
        <v>2771</v>
      </c>
      <c r="D193" s="443">
        <v>676443</v>
      </c>
      <c r="E193" s="443">
        <v>580388.094</v>
      </c>
      <c r="F193" s="443">
        <v>72642.718634957</v>
      </c>
      <c r="G193" s="443">
        <v>96054.90600000002</v>
      </c>
      <c r="H193" s="444">
        <v>0.37103572717430533</v>
      </c>
      <c r="I193" s="445">
        <v>782.31</v>
      </c>
      <c r="J193" s="445">
        <v>245.83</v>
      </c>
      <c r="K193" s="443">
        <v>653030.812634957</v>
      </c>
      <c r="L193" s="443">
        <v>522424.65010796563</v>
      </c>
      <c r="M193" s="443">
        <v>143242.57976751335</v>
      </c>
      <c r="N193" s="443">
        <v>130606.16252699138</v>
      </c>
      <c r="O193" s="446">
        <v>1.096752075063154</v>
      </c>
      <c r="P193" s="447">
        <v>0.9249368459040058</v>
      </c>
      <c r="Q193" s="448">
        <v>0.07470227354745579</v>
      </c>
      <c r="R193" s="443">
        <v>665667.229875479</v>
      </c>
      <c r="S193" s="443">
        <v>449991.0473958238</v>
      </c>
      <c r="T193" s="443">
        <v>57907.046140000595</v>
      </c>
      <c r="U193" s="443">
        <v>77258.61583935689</v>
      </c>
      <c r="V193" s="443">
        <v>151772.1284116092</v>
      </c>
      <c r="W193" s="446">
        <v>0.5090435025713673</v>
      </c>
      <c r="X193" s="448">
        <v>9.504593286732039</v>
      </c>
      <c r="Y193" s="443">
        <v>57907.046140000595</v>
      </c>
      <c r="Z193" s="443">
        <v>63904.05406804599</v>
      </c>
      <c r="AA193" s="444">
        <v>0.9061560645016403</v>
      </c>
      <c r="AB193" s="444">
        <v>0.07434139299891736</v>
      </c>
      <c r="AC193" s="445">
        <v>202</v>
      </c>
      <c r="AD193" s="445">
        <v>210</v>
      </c>
      <c r="AE193" s="443">
        <v>585156.7093751812</v>
      </c>
      <c r="AF193" s="443">
        <v>0</v>
      </c>
      <c r="AG193" s="447">
        <v>0</v>
      </c>
      <c r="AH193" s="446">
        <v>0</v>
      </c>
      <c r="AI193" s="448">
        <v>0</v>
      </c>
      <c r="AJ193" s="443">
        <v>585156.7093751812</v>
      </c>
      <c r="AK193" s="449">
        <v>1.1287034737444066</v>
      </c>
      <c r="AL193" s="443">
        <v>660468.4105566132</v>
      </c>
      <c r="AM193" s="443">
        <v>1472029.244305659</v>
      </c>
      <c r="AN193" s="443">
        <v>1454052.3149639277</v>
      </c>
      <c r="AO193" s="443">
        <v>1415528.240679581</v>
      </c>
      <c r="AP193" s="443">
        <v>1454052.3149639277</v>
      </c>
      <c r="AQ193" s="443">
        <v>11084</v>
      </c>
      <c r="AR193" s="443">
        <v>1465136.3149639277</v>
      </c>
      <c r="AS193" s="450">
        <v>528.7391970277617</v>
      </c>
      <c r="AT193" s="446">
        <v>2724</v>
      </c>
      <c r="AU193" s="446">
        <v>3</v>
      </c>
      <c r="AV193" s="446">
        <v>143</v>
      </c>
      <c r="AW193" s="446">
        <v>5</v>
      </c>
      <c r="AX193" s="446">
        <v>185</v>
      </c>
      <c r="AY193" s="446">
        <v>256</v>
      </c>
      <c r="AZ193" s="446">
        <v>184</v>
      </c>
      <c r="BA193" s="446">
        <v>201</v>
      </c>
      <c r="BB193" s="446">
        <v>326</v>
      </c>
      <c r="BC193" s="446">
        <v>0</v>
      </c>
      <c r="BD193" s="446">
        <v>665</v>
      </c>
      <c r="BE193" s="446">
        <v>207</v>
      </c>
      <c r="BF193" s="446">
        <v>0</v>
      </c>
      <c r="BG193" s="446">
        <v>549</v>
      </c>
      <c r="BH193" s="446">
        <v>0</v>
      </c>
      <c r="BI193" s="446">
        <v>0</v>
      </c>
      <c r="BJ193" s="448">
        <v>1.2965006609741185</v>
      </c>
      <c r="BK193" s="448">
        <v>10.519031619685789</v>
      </c>
      <c r="BL193" s="448">
        <v>4.799672769306052</v>
      </c>
      <c r="BM193" s="448">
        <v>11.438717700759474</v>
      </c>
      <c r="BN193" s="445">
        <v>2517</v>
      </c>
      <c r="BO193" s="445">
        <v>207</v>
      </c>
      <c r="BP193" s="443">
        <v>710735.1798427069</v>
      </c>
      <c r="BQ193" s="443">
        <v>2788569</v>
      </c>
      <c r="BR193" s="443">
        <v>3679275</v>
      </c>
      <c r="BS193" s="444">
        <v>0.07562408223201175</v>
      </c>
      <c r="BT193" s="445">
        <v>202</v>
      </c>
      <c r="BU193" s="445">
        <v>210</v>
      </c>
      <c r="BV193" s="443">
        <v>278241.79515418503</v>
      </c>
      <c r="BW193" s="444">
        <v>0.012928404431062591</v>
      </c>
      <c r="BX193" s="443">
        <v>4773.567244891642</v>
      </c>
      <c r="BY193" s="443">
        <v>3782319.5422417833</v>
      </c>
      <c r="BZ193" s="451">
        <v>1.0633333333333335</v>
      </c>
      <c r="CA193" s="443">
        <v>4021866.446583763</v>
      </c>
      <c r="CB193" s="443">
        <v>2942951.702948913</v>
      </c>
      <c r="CC193" s="443">
        <v>2942951.702948913</v>
      </c>
      <c r="CD193" s="443">
        <v>2879581.67687843</v>
      </c>
      <c r="CE193" s="443">
        <v>2922036.595154778</v>
      </c>
      <c r="CF193" s="450">
        <v>1072.7006590142357</v>
      </c>
      <c r="CG193" s="446">
        <v>2724</v>
      </c>
      <c r="CH193" s="446">
        <v>3</v>
      </c>
      <c r="CI193" s="446">
        <v>143</v>
      </c>
      <c r="CJ193" s="446">
        <v>5</v>
      </c>
      <c r="CK193" s="446">
        <v>185</v>
      </c>
      <c r="CL193" s="446">
        <v>256</v>
      </c>
      <c r="CM193" s="446">
        <v>184</v>
      </c>
      <c r="CN193" s="446">
        <v>201</v>
      </c>
      <c r="CO193" s="446">
        <v>326</v>
      </c>
      <c r="CP193" s="446">
        <v>0</v>
      </c>
      <c r="CQ193" s="446">
        <v>665</v>
      </c>
      <c r="CR193" s="446">
        <v>207</v>
      </c>
      <c r="CS193" s="446">
        <v>0</v>
      </c>
      <c r="CT193" s="446">
        <v>549</v>
      </c>
      <c r="CU193" s="446">
        <v>0</v>
      </c>
      <c r="CV193" s="446">
        <v>0</v>
      </c>
      <c r="CW193" s="443">
        <v>1914736.7658403674</v>
      </c>
      <c r="CX193" s="448">
        <v>1.0380936174011444</v>
      </c>
      <c r="CY193" s="448">
        <v>1.0633333333333335</v>
      </c>
      <c r="CZ193" s="443">
        <v>1987676.0156221949</v>
      </c>
      <c r="DA193" s="450">
        <v>729.690167262186</v>
      </c>
      <c r="DB193" s="445">
        <v>2771</v>
      </c>
      <c r="DC193" s="448">
        <v>1.0071454348610611</v>
      </c>
      <c r="DD193" s="450">
        <v>345.4</v>
      </c>
      <c r="DE193" s="443">
        <v>83457</v>
      </c>
      <c r="DF193" s="450">
        <v>69.52458728966069</v>
      </c>
      <c r="DG193" s="450">
        <v>72.51414454311609</v>
      </c>
      <c r="DH193" s="450">
        <v>74.10945572306463</v>
      </c>
      <c r="DI193" s="450">
        <v>75.73986374897203</v>
      </c>
      <c r="DJ193" s="450">
        <v>78.23927925268809</v>
      </c>
      <c r="DK193" s="450">
        <v>81.05589330578485</v>
      </c>
      <c r="DL193" s="450">
        <v>83.64968189156995</v>
      </c>
      <c r="DM193" s="450">
        <v>87.07931884912432</v>
      </c>
      <c r="DN193" s="450">
        <v>90.91080887848577</v>
      </c>
      <c r="DO193" s="450">
        <v>95.91090336680247</v>
      </c>
      <c r="DP193" s="450">
        <v>95.04770523650124</v>
      </c>
      <c r="DQ193" s="450">
        <v>99.8951382035628</v>
      </c>
      <c r="DR193" s="450">
        <v>53.06</v>
      </c>
      <c r="DS193" s="450">
        <v>56.215533572306455</v>
      </c>
      <c r="DT193" s="450">
        <v>59.48422958179439</v>
      </c>
      <c r="DU193" s="450">
        <v>63.54621791983041</v>
      </c>
      <c r="DV193" s="450">
        <v>68.00845484220723</v>
      </c>
      <c r="DW193" s="450">
        <v>72.4288848128932</v>
      </c>
      <c r="DX193" s="450">
        <v>77.73463904200233</v>
      </c>
      <c r="DY193" s="450">
        <v>82.23894601747656</v>
      </c>
      <c r="DZ193" s="450">
        <v>84.82260174312032</v>
      </c>
      <c r="EA193" s="450">
        <v>87.63851653885536</v>
      </c>
      <c r="EB193" s="450">
        <v>93.66549234658214</v>
      </c>
      <c r="EC193" s="450">
        <v>-5.13</v>
      </c>
      <c r="ED193" s="450">
        <v>88.53549234658215</v>
      </c>
      <c r="EE193" s="450">
        <v>4603.845602022271</v>
      </c>
      <c r="EF193" s="443">
        <v>12502111.039939638</v>
      </c>
      <c r="EG193" s="450">
        <v>54.93</v>
      </c>
      <c r="EH193" s="450">
        <v>57.93555957230645</v>
      </c>
      <c r="EI193" s="450">
        <v>61.046777645794386</v>
      </c>
      <c r="EJ193" s="450">
        <v>64.95856605117841</v>
      </c>
      <c r="EK193" s="450">
        <v>69.26261998284426</v>
      </c>
      <c r="EL193" s="450">
        <v>73.50746683384105</v>
      </c>
      <c r="EM193" s="450">
        <v>78.63288214904769</v>
      </c>
      <c r="EN193" s="450">
        <v>83.07251562081467</v>
      </c>
      <c r="EO193" s="450">
        <v>85.61754928817042</v>
      </c>
      <c r="EP193" s="450">
        <v>88.16969945269557</v>
      </c>
      <c r="EQ193" s="450">
        <v>94.112110940539</v>
      </c>
      <c r="ER193" s="443">
        <v>6846241</v>
      </c>
      <c r="ES193" s="443">
        <v>0</v>
      </c>
      <c r="ET193" s="443">
        <v>0</v>
      </c>
      <c r="EU193" s="443">
        <v>0</v>
      </c>
      <c r="EV193" s="443">
        <v>0</v>
      </c>
      <c r="EW193" s="443">
        <v>0</v>
      </c>
      <c r="EX193" s="443">
        <v>0</v>
      </c>
      <c r="EY193" s="443">
        <v>0</v>
      </c>
      <c r="EZ193" s="443">
        <v>0</v>
      </c>
      <c r="FA193" s="443">
        <v>6846241</v>
      </c>
      <c r="FB193" s="443">
        <v>42465.77095601476</v>
      </c>
      <c r="FC193" s="443">
        <v>0</v>
      </c>
      <c r="FD193" s="443">
        <v>0</v>
      </c>
      <c r="FE193" s="443">
        <v>0</v>
      </c>
      <c r="FF193" s="452">
        <v>0</v>
      </c>
      <c r="FG193" s="443">
        <v>0</v>
      </c>
      <c r="FH193" s="453">
        <v>0</v>
      </c>
    </row>
    <row r="194" spans="2:164" ht="12.75">
      <c r="B194" s="356" t="s">
        <v>882</v>
      </c>
      <c r="C194" s="442">
        <v>23539</v>
      </c>
      <c r="D194" s="443">
        <v>5515387</v>
      </c>
      <c r="E194" s="443">
        <v>4732202.046</v>
      </c>
      <c r="F194" s="443">
        <v>734160.6920997945</v>
      </c>
      <c r="G194" s="443">
        <v>783184.954</v>
      </c>
      <c r="H194" s="444">
        <v>0.4599069629126131</v>
      </c>
      <c r="I194" s="445">
        <v>9094.02</v>
      </c>
      <c r="J194" s="445">
        <v>1731.73</v>
      </c>
      <c r="K194" s="443">
        <v>5466362.738099795</v>
      </c>
      <c r="L194" s="443">
        <v>4373090.190479836</v>
      </c>
      <c r="M194" s="443">
        <v>1404041.7367690264</v>
      </c>
      <c r="N194" s="443">
        <v>1093272.5476199586</v>
      </c>
      <c r="O194" s="446">
        <v>1.2842559157143465</v>
      </c>
      <c r="P194" s="447">
        <v>0.7813416032966566</v>
      </c>
      <c r="Q194" s="448">
        <v>0.2186583967033434</v>
      </c>
      <c r="R194" s="443">
        <v>5777131.927248863</v>
      </c>
      <c r="S194" s="443">
        <v>3905341.182820231</v>
      </c>
      <c r="T194" s="443">
        <v>565331.5656735972</v>
      </c>
      <c r="U194" s="443">
        <v>1345636.581644655</v>
      </c>
      <c r="V194" s="443">
        <v>1317186.0794127407</v>
      </c>
      <c r="W194" s="446">
        <v>1.0215994555944585</v>
      </c>
      <c r="X194" s="448">
        <v>19.074769206018658</v>
      </c>
      <c r="Y194" s="443">
        <v>565331.5656735972</v>
      </c>
      <c r="Z194" s="443">
        <v>554604.6650158908</v>
      </c>
      <c r="AA194" s="444">
        <v>1.0193415261975824</v>
      </c>
      <c r="AB194" s="444">
        <v>0.08362717192743957</v>
      </c>
      <c r="AC194" s="445">
        <v>2020</v>
      </c>
      <c r="AD194" s="445">
        <v>1917</v>
      </c>
      <c r="AE194" s="443">
        <v>5816309.330138483</v>
      </c>
      <c r="AF194" s="443">
        <v>1201841.3946277886</v>
      </c>
      <c r="AG194" s="447">
        <v>1</v>
      </c>
      <c r="AH194" s="446">
        <v>0.5563065798619221</v>
      </c>
      <c r="AI194" s="448">
        <v>0.4684712886810303</v>
      </c>
      <c r="AJ194" s="443">
        <v>7018150.724766271</v>
      </c>
      <c r="AK194" s="449">
        <v>1.011974155871452</v>
      </c>
      <c r="AL194" s="443">
        <v>7102187.155473965</v>
      </c>
      <c r="AM194" s="443">
        <v>15829110.104719479</v>
      </c>
      <c r="AN194" s="443">
        <v>15635799.547204534</v>
      </c>
      <c r="AO194" s="443">
        <v>15390017.47424953</v>
      </c>
      <c r="AP194" s="443">
        <v>15635799.547204534</v>
      </c>
      <c r="AQ194" s="443">
        <v>94156</v>
      </c>
      <c r="AR194" s="443">
        <v>15729955.547204534</v>
      </c>
      <c r="AS194" s="450">
        <v>668.2507985557812</v>
      </c>
      <c r="AT194" s="446">
        <v>23539</v>
      </c>
      <c r="AU194" s="446">
        <v>3102</v>
      </c>
      <c r="AV194" s="446">
        <v>3047</v>
      </c>
      <c r="AW194" s="446">
        <v>135</v>
      </c>
      <c r="AX194" s="446">
        <v>1076</v>
      </c>
      <c r="AY194" s="446">
        <v>2171</v>
      </c>
      <c r="AZ194" s="446">
        <v>339</v>
      </c>
      <c r="BA194" s="446">
        <v>635</v>
      </c>
      <c r="BB194" s="446">
        <v>1958</v>
      </c>
      <c r="BC194" s="446">
        <v>85</v>
      </c>
      <c r="BD194" s="446">
        <v>4986</v>
      </c>
      <c r="BE194" s="446">
        <v>3027</v>
      </c>
      <c r="BF194" s="446">
        <v>2120</v>
      </c>
      <c r="BG194" s="446">
        <v>844</v>
      </c>
      <c r="BH194" s="446">
        <v>0</v>
      </c>
      <c r="BI194" s="446">
        <v>14</v>
      </c>
      <c r="BJ194" s="448">
        <v>1.7326702438063473</v>
      </c>
      <c r="BK194" s="448">
        <v>20.143167371977093</v>
      </c>
      <c r="BL194" s="448">
        <v>12.289948679220437</v>
      </c>
      <c r="BM194" s="448">
        <v>15.706437385513313</v>
      </c>
      <c r="BN194" s="445">
        <v>18392</v>
      </c>
      <c r="BO194" s="445">
        <v>5147</v>
      </c>
      <c r="BP194" s="443">
        <v>8106663.329069438</v>
      </c>
      <c r="BQ194" s="443">
        <v>25642060</v>
      </c>
      <c r="BR194" s="443">
        <v>33056720</v>
      </c>
      <c r="BS194" s="444">
        <v>0.08362717192743957</v>
      </c>
      <c r="BT194" s="445">
        <v>2020</v>
      </c>
      <c r="BU194" s="445">
        <v>1917</v>
      </c>
      <c r="BV194" s="443">
        <v>2764440.0067972303</v>
      </c>
      <c r="BW194" s="444">
        <v>0.018988645195169032</v>
      </c>
      <c r="BX194" s="443">
        <v>116017.90037267082</v>
      </c>
      <c r="BY194" s="443">
        <v>36629181.23623934</v>
      </c>
      <c r="BZ194" s="451">
        <v>0.9366666666666665</v>
      </c>
      <c r="CA194" s="443">
        <v>34309333.09127751</v>
      </c>
      <c r="CB194" s="443">
        <v>25105435.89377085</v>
      </c>
      <c r="CC194" s="443">
        <v>25105435.89377085</v>
      </c>
      <c r="CD194" s="443">
        <v>24863862.247260105</v>
      </c>
      <c r="CE194" s="443">
        <v>24927015.399336364</v>
      </c>
      <c r="CF194" s="450">
        <v>1058.9666255718748</v>
      </c>
      <c r="CG194" s="446">
        <v>23539</v>
      </c>
      <c r="CH194" s="446">
        <v>3102</v>
      </c>
      <c r="CI194" s="446">
        <v>3047</v>
      </c>
      <c r="CJ194" s="446">
        <v>135</v>
      </c>
      <c r="CK194" s="446">
        <v>1076</v>
      </c>
      <c r="CL194" s="446">
        <v>2171</v>
      </c>
      <c r="CM194" s="446">
        <v>339</v>
      </c>
      <c r="CN194" s="446">
        <v>635</v>
      </c>
      <c r="CO194" s="446">
        <v>1958</v>
      </c>
      <c r="CP194" s="446">
        <v>85</v>
      </c>
      <c r="CQ194" s="446">
        <v>4986</v>
      </c>
      <c r="CR194" s="446">
        <v>3027</v>
      </c>
      <c r="CS194" s="446">
        <v>2120</v>
      </c>
      <c r="CT194" s="446">
        <v>844</v>
      </c>
      <c r="CU194" s="446">
        <v>0</v>
      </c>
      <c r="CV194" s="446">
        <v>14</v>
      </c>
      <c r="CW194" s="443">
        <v>16345390.68453024</v>
      </c>
      <c r="CX194" s="448">
        <v>0.9144335626637038</v>
      </c>
      <c r="CY194" s="448">
        <v>0.9366666666666665</v>
      </c>
      <c r="CZ194" s="443">
        <v>14946773.836785102</v>
      </c>
      <c r="DA194" s="450">
        <v>634.9791340662349</v>
      </c>
      <c r="DB194" s="445">
        <v>23539</v>
      </c>
      <c r="DC194" s="448">
        <v>1.021436764518459</v>
      </c>
      <c r="DD194" s="450">
        <v>320.6</v>
      </c>
      <c r="DE194" s="443">
        <v>30833</v>
      </c>
      <c r="DF194" s="450">
        <v>49.72739164800374</v>
      </c>
      <c r="DG194" s="450">
        <v>51.865669488867894</v>
      </c>
      <c r="DH194" s="450">
        <v>53.00671421762298</v>
      </c>
      <c r="DI194" s="450">
        <v>54.172861930410676</v>
      </c>
      <c r="DJ194" s="450">
        <v>55.96056637411422</v>
      </c>
      <c r="DK194" s="450">
        <v>57.97514676358232</v>
      </c>
      <c r="DL194" s="450">
        <v>59.83035146001695</v>
      </c>
      <c r="DM194" s="450">
        <v>62.28339586987764</v>
      </c>
      <c r="DN194" s="450">
        <v>65.02386528815224</v>
      </c>
      <c r="DO194" s="450">
        <v>68.60017787900061</v>
      </c>
      <c r="DP194" s="450">
        <v>67.9827762780896</v>
      </c>
      <c r="DQ194" s="450">
        <v>71.44989786827217</v>
      </c>
      <c r="DR194" s="450">
        <v>37.41</v>
      </c>
      <c r="DS194" s="450">
        <v>39.71038942176229</v>
      </c>
      <c r="DT194" s="450">
        <v>42.093889538082124</v>
      </c>
      <c r="DU194" s="450">
        <v>45.04268520299825</v>
      </c>
      <c r="DV194" s="450">
        <v>48.280068283631344</v>
      </c>
      <c r="DW194" s="450">
        <v>51.49258396725911</v>
      </c>
      <c r="DX194" s="450">
        <v>55.33970310190891</v>
      </c>
      <c r="DY194" s="450">
        <v>58.580118399477264</v>
      </c>
      <c r="DZ194" s="450">
        <v>60.43925143890152</v>
      </c>
      <c r="EA194" s="450">
        <v>62.529655863944306</v>
      </c>
      <c r="EB194" s="450">
        <v>66.86491422405881</v>
      </c>
      <c r="EC194" s="450">
        <v>-2.21</v>
      </c>
      <c r="ED194" s="450">
        <v>64.65491422405881</v>
      </c>
      <c r="EE194" s="450">
        <v>3362.055539651058</v>
      </c>
      <c r="EF194" s="443">
        <v>77556636.84088933</v>
      </c>
      <c r="EG194" s="450">
        <v>40.22</v>
      </c>
      <c r="EH194" s="450">
        <v>42.295027421762285</v>
      </c>
      <c r="EI194" s="450">
        <v>44.44188957008212</v>
      </c>
      <c r="EJ194" s="450">
        <v>47.16498373192225</v>
      </c>
      <c r="EK194" s="450">
        <v>50.16466937731585</v>
      </c>
      <c r="EL194" s="450">
        <v>53.113340907827784</v>
      </c>
      <c r="EM194" s="450">
        <v>56.6894694820145</v>
      </c>
      <c r="EN194" s="450">
        <v>59.83270160021525</v>
      </c>
      <c r="EO194" s="450">
        <v>61.63379828467199</v>
      </c>
      <c r="EP194" s="450">
        <v>63.327850509875304</v>
      </c>
      <c r="EQ194" s="450">
        <v>67.53603628235759</v>
      </c>
      <c r="ER194" s="443">
        <v>357926382</v>
      </c>
      <c r="ES194" s="443">
        <v>2798000</v>
      </c>
      <c r="ET194" s="443">
        <v>0</v>
      </c>
      <c r="EU194" s="443">
        <v>0</v>
      </c>
      <c r="EV194" s="443">
        <v>45100000</v>
      </c>
      <c r="EW194" s="443">
        <v>0</v>
      </c>
      <c r="EX194" s="443">
        <v>0</v>
      </c>
      <c r="EY194" s="443">
        <v>0</v>
      </c>
      <c r="EZ194" s="443">
        <v>0</v>
      </c>
      <c r="FA194" s="443">
        <v>381875382</v>
      </c>
      <c r="FB194" s="443">
        <v>219928.27928859968</v>
      </c>
      <c r="FC194" s="443">
        <v>0</v>
      </c>
      <c r="FD194" s="443">
        <v>0</v>
      </c>
      <c r="FE194" s="443">
        <v>112182</v>
      </c>
      <c r="FF194" s="452">
        <v>0.0536</v>
      </c>
      <c r="FG194" s="443">
        <v>6012.9552</v>
      </c>
      <c r="FH194" s="453">
        <v>6012.9552</v>
      </c>
    </row>
    <row r="195" spans="2:164" ht="13.5" thickBot="1">
      <c r="B195" s="357" t="s">
        <v>883</v>
      </c>
      <c r="C195" s="454">
        <v>6128.25</v>
      </c>
      <c r="D195" s="455">
        <v>1458682.25</v>
      </c>
      <c r="E195" s="455">
        <v>1251549.3705</v>
      </c>
      <c r="F195" s="455">
        <v>180855.5214614635</v>
      </c>
      <c r="G195" s="455">
        <v>207132.8795</v>
      </c>
      <c r="H195" s="456">
        <v>0.42837677966793136</v>
      </c>
      <c r="I195" s="457">
        <v>2141.34</v>
      </c>
      <c r="J195" s="457">
        <v>483.86</v>
      </c>
      <c r="K195" s="455">
        <v>1432404.8919614635</v>
      </c>
      <c r="L195" s="455">
        <v>1145923.9135691707</v>
      </c>
      <c r="M195" s="455">
        <v>331440.4824870648</v>
      </c>
      <c r="N195" s="455">
        <v>286480.9783922926</v>
      </c>
      <c r="O195" s="458">
        <v>1.1569371353975442</v>
      </c>
      <c r="P195" s="459">
        <v>0.8792069514135357</v>
      </c>
      <c r="Q195" s="460">
        <v>0.12075225390609065</v>
      </c>
      <c r="R195" s="455">
        <v>1477364.3960562355</v>
      </c>
      <c r="S195" s="455">
        <v>998698.3317340153</v>
      </c>
      <c r="T195" s="455">
        <v>119467.04153999107</v>
      </c>
      <c r="U195" s="455">
        <v>331732.0894503344</v>
      </c>
      <c r="V195" s="455">
        <v>336839.0823008217</v>
      </c>
      <c r="W195" s="458">
        <v>0.9848384789092661</v>
      </c>
      <c r="X195" s="460">
        <v>18.388387530482376</v>
      </c>
      <c r="Y195" s="455">
        <v>119467.04153999107</v>
      </c>
      <c r="Z195" s="455">
        <v>141826.9820213986</v>
      </c>
      <c r="AA195" s="456">
        <v>0.8423435360273414</v>
      </c>
      <c r="AB195" s="456">
        <v>0.06910618855301269</v>
      </c>
      <c r="AC195" s="457">
        <v>437</v>
      </c>
      <c r="AD195" s="457">
        <v>410</v>
      </c>
      <c r="AE195" s="455">
        <v>1449897.4627243406</v>
      </c>
      <c r="AF195" s="455">
        <v>0</v>
      </c>
      <c r="AG195" s="459">
        <v>0</v>
      </c>
      <c r="AH195" s="458">
        <v>0.017405234039789753</v>
      </c>
      <c r="AI195" s="460">
        <v>0.01465712022036314</v>
      </c>
      <c r="AJ195" s="455">
        <v>1449897.4627243406</v>
      </c>
      <c r="AK195" s="461">
        <v>1.090488652086243</v>
      </c>
      <c r="AL195" s="455">
        <v>1581096.72978953</v>
      </c>
      <c r="AM195" s="455">
        <v>3523893.932133385</v>
      </c>
      <c r="AN195" s="455">
        <v>3480858.9228285262</v>
      </c>
      <c r="AO195" s="455">
        <v>3403034.7712324406</v>
      </c>
      <c r="AP195" s="455">
        <v>3480858.9228285262</v>
      </c>
      <c r="AQ195" s="455">
        <v>24513</v>
      </c>
      <c r="AR195" s="455">
        <v>3505371.9228285262</v>
      </c>
      <c r="AS195" s="462">
        <v>572.002108730637</v>
      </c>
      <c r="AT195" s="458">
        <v>6124</v>
      </c>
      <c r="AU195" s="458">
        <v>62</v>
      </c>
      <c r="AV195" s="458">
        <v>579</v>
      </c>
      <c r="AW195" s="458">
        <v>78</v>
      </c>
      <c r="AX195" s="458">
        <v>34</v>
      </c>
      <c r="AY195" s="458">
        <v>869</v>
      </c>
      <c r="AZ195" s="458">
        <v>339</v>
      </c>
      <c r="BA195" s="458">
        <v>528</v>
      </c>
      <c r="BB195" s="458">
        <v>274</v>
      </c>
      <c r="BC195" s="458">
        <v>8</v>
      </c>
      <c r="BD195" s="458">
        <v>1658</v>
      </c>
      <c r="BE195" s="458">
        <v>740</v>
      </c>
      <c r="BF195" s="458">
        <v>0</v>
      </c>
      <c r="BG195" s="458">
        <v>952</v>
      </c>
      <c r="BH195" s="458">
        <v>2</v>
      </c>
      <c r="BI195" s="458">
        <v>1</v>
      </c>
      <c r="BJ195" s="460">
        <v>1.4315219422186265</v>
      </c>
      <c r="BK195" s="460">
        <v>14.028574924980504</v>
      </c>
      <c r="BL195" s="460">
        <v>7.300698591162701</v>
      </c>
      <c r="BM195" s="460">
        <v>13.455752667635608</v>
      </c>
      <c r="BN195" s="457">
        <v>5384</v>
      </c>
      <c r="BO195" s="457">
        <v>740</v>
      </c>
      <c r="BP195" s="455">
        <v>1794734.8470080474</v>
      </c>
      <c r="BQ195" s="455">
        <v>6367530</v>
      </c>
      <c r="BR195" s="455">
        <v>8252484</v>
      </c>
      <c r="BS195" s="456">
        <v>0.0691541476159373</v>
      </c>
      <c r="BT195" s="457">
        <v>437</v>
      </c>
      <c r="BU195" s="457">
        <v>410</v>
      </c>
      <c r="BV195" s="455">
        <v>570693.4967341607</v>
      </c>
      <c r="BW195" s="456">
        <v>0.028456489760504224</v>
      </c>
      <c r="BX195" s="455">
        <v>31502.52148698978</v>
      </c>
      <c r="BY195" s="455">
        <v>8764460.865229197</v>
      </c>
      <c r="BZ195" s="463">
        <v>1.0433333333333332</v>
      </c>
      <c r="CA195" s="455">
        <v>9144254.169389127</v>
      </c>
      <c r="CB195" s="455">
        <v>6691196.42271069</v>
      </c>
      <c r="CC195" s="455">
        <v>6691196.42271069</v>
      </c>
      <c r="CD195" s="455">
        <v>6600393.495801088</v>
      </c>
      <c r="CE195" s="455">
        <v>6643643.112776145</v>
      </c>
      <c r="CF195" s="462">
        <v>1084.8535455219048</v>
      </c>
      <c r="CG195" s="458">
        <v>6124</v>
      </c>
      <c r="CH195" s="458">
        <v>62</v>
      </c>
      <c r="CI195" s="458">
        <v>579</v>
      </c>
      <c r="CJ195" s="458">
        <v>78</v>
      </c>
      <c r="CK195" s="458">
        <v>34</v>
      </c>
      <c r="CL195" s="458">
        <v>869</v>
      </c>
      <c r="CM195" s="458">
        <v>339</v>
      </c>
      <c r="CN195" s="458">
        <v>528</v>
      </c>
      <c r="CO195" s="458">
        <v>274</v>
      </c>
      <c r="CP195" s="458">
        <v>8</v>
      </c>
      <c r="CQ195" s="458">
        <v>1658</v>
      </c>
      <c r="CR195" s="458">
        <v>740</v>
      </c>
      <c r="CS195" s="458">
        <v>0</v>
      </c>
      <c r="CT195" s="458">
        <v>952</v>
      </c>
      <c r="CU195" s="458">
        <v>2</v>
      </c>
      <c r="CV195" s="458">
        <v>1</v>
      </c>
      <c r="CW195" s="455">
        <v>4340758.362681625</v>
      </c>
      <c r="CX195" s="460">
        <v>1.0185683456004957</v>
      </c>
      <c r="CY195" s="460">
        <v>1.0433333333333332</v>
      </c>
      <c r="CZ195" s="455">
        <v>4421359.06412814</v>
      </c>
      <c r="DA195" s="462">
        <v>721.9724141293501</v>
      </c>
      <c r="DB195" s="457">
        <v>6128.25</v>
      </c>
      <c r="DC195" s="460">
        <v>0.9940602945375923</v>
      </c>
      <c r="DD195" s="462">
        <v>328.3</v>
      </c>
      <c r="DE195" s="455">
        <v>78450</v>
      </c>
      <c r="DF195" s="462">
        <v>65.27519254409576</v>
      </c>
      <c r="DG195" s="462">
        <v>68.08202582349188</v>
      </c>
      <c r="DH195" s="462">
        <v>69.57983039160868</v>
      </c>
      <c r="DI195" s="462">
        <v>71.11058666022406</v>
      </c>
      <c r="DJ195" s="462">
        <v>73.45723602001145</v>
      </c>
      <c r="DK195" s="462">
        <v>76.10169651673185</v>
      </c>
      <c r="DL195" s="462">
        <v>78.53695080526725</v>
      </c>
      <c r="DM195" s="462">
        <v>81.75696578828321</v>
      </c>
      <c r="DN195" s="462">
        <v>85.35427228296766</v>
      </c>
      <c r="DO195" s="462">
        <v>90.04875725853087</v>
      </c>
      <c r="DP195" s="462">
        <v>89.2383184432041</v>
      </c>
      <c r="DQ195" s="462">
        <v>93.7894726838075</v>
      </c>
      <c r="DR195" s="462">
        <v>49.04</v>
      </c>
      <c r="DS195" s="462">
        <v>52.064975039160856</v>
      </c>
      <c r="DT195" s="462">
        <v>55.19931362004479</v>
      </c>
      <c r="DU195" s="462">
        <v>59.07543410081941</v>
      </c>
      <c r="DV195" s="462">
        <v>63.33065641248932</v>
      </c>
      <c r="DW195" s="462">
        <v>67.55385631561867</v>
      </c>
      <c r="DX195" s="462">
        <v>72.61024469730387</v>
      </c>
      <c r="DY195" s="462">
        <v>76.86611511053883</v>
      </c>
      <c r="DZ195" s="462">
        <v>79.30790226098591</v>
      </c>
      <c r="EA195" s="462">
        <v>82.0612931284439</v>
      </c>
      <c r="EB195" s="462">
        <v>87.75502979915713</v>
      </c>
      <c r="EC195" s="462">
        <v>-0.54</v>
      </c>
      <c r="ED195" s="462">
        <v>87.21502979915712</v>
      </c>
      <c r="EE195" s="462">
        <v>4535.1815495561705</v>
      </c>
      <c r="EF195" s="455">
        <v>27236871.80444625</v>
      </c>
      <c r="EG195" s="462">
        <v>60.26</v>
      </c>
      <c r="EH195" s="462">
        <v>62.385131039160854</v>
      </c>
      <c r="EI195" s="462">
        <v>64.57460200404479</v>
      </c>
      <c r="EJ195" s="462">
        <v>67.54952288890742</v>
      </c>
      <c r="EK195" s="462">
        <v>70.85564725631147</v>
      </c>
      <c r="EL195" s="462">
        <v>74.02534844130574</v>
      </c>
      <c r="EM195" s="462">
        <v>77.99970333957606</v>
      </c>
      <c r="EN195" s="462">
        <v>81.86753273056742</v>
      </c>
      <c r="EO195" s="462">
        <v>84.07758753128653</v>
      </c>
      <c r="EP195" s="462">
        <v>85.24839061148512</v>
      </c>
      <c r="EQ195" s="462">
        <v>90.43474136289818</v>
      </c>
      <c r="ER195" s="455">
        <v>-6869673</v>
      </c>
      <c r="ES195" s="455">
        <v>0</v>
      </c>
      <c r="ET195" s="455">
        <v>0</v>
      </c>
      <c r="EU195" s="455">
        <v>0</v>
      </c>
      <c r="EV195" s="455">
        <v>0</v>
      </c>
      <c r="EW195" s="455">
        <v>0</v>
      </c>
      <c r="EX195" s="455">
        <v>0</v>
      </c>
      <c r="EY195" s="455">
        <v>0</v>
      </c>
      <c r="EZ195" s="455">
        <v>0</v>
      </c>
      <c r="FA195" s="455">
        <v>-6869673</v>
      </c>
      <c r="FB195" s="455">
        <v>0</v>
      </c>
      <c r="FC195" s="455">
        <v>6869673</v>
      </c>
      <c r="FD195" s="455">
        <v>49805.129250000005</v>
      </c>
      <c r="FE195" s="455">
        <v>3723</v>
      </c>
      <c r="FF195" s="464">
        <v>0.0313</v>
      </c>
      <c r="FG195" s="455">
        <v>116.52990000000001</v>
      </c>
      <c r="FH195" s="465">
        <v>49921.65915000001</v>
      </c>
    </row>
    <row r="196" ht="12.75">
      <c r="CZ196" s="466"/>
    </row>
  </sheetData>
  <mergeCells count="16">
    <mergeCell ref="DE8:DG8"/>
    <mergeCell ref="CC10:CC11"/>
    <mergeCell ref="CH10:CH11"/>
    <mergeCell ref="B2:D3"/>
    <mergeCell ref="D8:F8"/>
    <mergeCell ref="AT8:AV8"/>
    <mergeCell ref="DR8:DT8"/>
    <mergeCell ref="EG8:EI8"/>
    <mergeCell ref="ER8:ET8"/>
    <mergeCell ref="H10:H11"/>
    <mergeCell ref="X10:X11"/>
    <mergeCell ref="AB10:AB11"/>
    <mergeCell ref="AI10:AI11"/>
    <mergeCell ref="AN10:AN11"/>
    <mergeCell ref="BK10:BK11"/>
    <mergeCell ref="BZ10:BZ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tabColor indexed="9"/>
  </sheetPr>
  <dimension ref="A2:H35"/>
  <sheetViews>
    <sheetView workbookViewId="0" topLeftCell="A1">
      <selection activeCell="I15" sqref="I15"/>
    </sheetView>
  </sheetViews>
  <sheetFormatPr defaultColWidth="9.140625" defaultRowHeight="12.75"/>
  <cols>
    <col min="1" max="1" width="9.140625" style="1" customWidth="1"/>
    <col min="2" max="2" width="13.421875" style="1" customWidth="1"/>
    <col min="3" max="3" width="11.8515625" style="1" customWidth="1"/>
    <col min="4" max="4" width="15.28125" style="1" customWidth="1"/>
    <col min="5" max="5" width="19.57421875" style="1" customWidth="1"/>
    <col min="6" max="7" width="15.8515625" style="1" customWidth="1"/>
    <col min="8" max="8" width="11.00390625" style="1" customWidth="1"/>
    <col min="9" max="16384" width="9.140625" style="1" customWidth="1"/>
  </cols>
  <sheetData>
    <row r="1" ht="13.5" thickBot="1"/>
    <row r="2" spans="2:8" ht="12.75">
      <c r="B2" s="476" t="s">
        <v>3</v>
      </c>
      <c r="C2" s="477"/>
      <c r="D2" s="477"/>
      <c r="E2" s="477"/>
      <c r="F2" s="477"/>
      <c r="G2" s="477"/>
      <c r="H2" s="478"/>
    </row>
    <row r="3" spans="2:8" ht="13.5" thickBot="1">
      <c r="B3" s="479"/>
      <c r="C3" s="480"/>
      <c r="D3" s="480"/>
      <c r="E3" s="480"/>
      <c r="F3" s="480"/>
      <c r="G3" s="480"/>
      <c r="H3" s="481"/>
    </row>
    <row r="4" ht="13.5" thickBot="1"/>
    <row r="5" spans="2:3" ht="13.5" thickBot="1">
      <c r="B5" s="482" t="str">
        <f>name</f>
        <v>Local Authority</v>
      </c>
      <c r="C5" s="483"/>
    </row>
    <row r="6" ht="13.5" thickBot="1"/>
    <row r="7" spans="2:8" ht="18">
      <c r="B7" s="11"/>
      <c r="C7" s="12"/>
      <c r="D7" s="12"/>
      <c r="E7" s="12"/>
      <c r="F7" s="13"/>
      <c r="G7" s="14"/>
      <c r="H7" s="15"/>
    </row>
    <row r="8" spans="2:8" ht="18">
      <c r="B8" s="16" t="s">
        <v>4</v>
      </c>
      <c r="C8" s="17"/>
      <c r="D8" s="17"/>
      <c r="E8" s="17"/>
      <c r="F8" s="18"/>
      <c r="G8" s="19"/>
      <c r="H8" s="20"/>
    </row>
    <row r="9" spans="2:8" ht="15">
      <c r="B9" s="21"/>
      <c r="C9" s="22"/>
      <c r="D9" s="22"/>
      <c r="E9" s="22"/>
      <c r="F9" s="23"/>
      <c r="G9" s="24"/>
      <c r="H9" s="25"/>
    </row>
    <row r="10" spans="1:8" ht="15">
      <c r="A10" s="26"/>
      <c r="B10" s="21" t="s">
        <v>0</v>
      </c>
      <c r="C10" s="22"/>
      <c r="D10" s="22"/>
      <c r="E10" s="22"/>
      <c r="F10" s="23"/>
      <c r="G10" s="24"/>
      <c r="H10" s="25"/>
    </row>
    <row r="11" spans="1:8" ht="15">
      <c r="A11" s="26"/>
      <c r="B11" s="21"/>
      <c r="C11" s="22"/>
      <c r="D11" s="22"/>
      <c r="E11" s="22"/>
      <c r="F11" s="23"/>
      <c r="G11" s="24"/>
      <c r="H11" s="25"/>
    </row>
    <row r="12" spans="2:8" ht="17.25" customHeight="1">
      <c r="B12" s="27" t="s">
        <v>5</v>
      </c>
      <c r="C12" s="22"/>
      <c r="D12" s="22"/>
      <c r="E12" s="22"/>
      <c r="F12" s="23"/>
      <c r="G12" s="24"/>
      <c r="H12" s="25"/>
    </row>
    <row r="13" spans="2:8" ht="15">
      <c r="B13" s="21"/>
      <c r="C13" s="22"/>
      <c r="D13" s="22"/>
      <c r="E13" s="22"/>
      <c r="F13" s="23"/>
      <c r="G13" s="24"/>
      <c r="H13" s="25"/>
    </row>
    <row r="14" spans="2:8" ht="15">
      <c r="B14" s="21" t="s">
        <v>6</v>
      </c>
      <c r="C14" s="22"/>
      <c r="D14" s="22"/>
      <c r="E14" s="22"/>
      <c r="F14" s="23"/>
      <c r="G14" s="24"/>
      <c r="H14" s="25"/>
    </row>
    <row r="15" spans="2:8" ht="15">
      <c r="B15" s="21"/>
      <c r="C15" s="22"/>
      <c r="D15" s="22"/>
      <c r="E15" s="22"/>
      <c r="F15" s="23"/>
      <c r="G15" s="24"/>
      <c r="H15" s="25"/>
    </row>
    <row r="16" spans="2:8" ht="15.75">
      <c r="B16" s="27" t="s">
        <v>7</v>
      </c>
      <c r="C16" s="22"/>
      <c r="D16" s="22"/>
      <c r="E16" s="22"/>
      <c r="F16" s="23"/>
      <c r="G16" s="24"/>
      <c r="H16" s="25"/>
    </row>
    <row r="17" spans="2:8" ht="15">
      <c r="B17" s="21"/>
      <c r="C17" s="22"/>
      <c r="D17" s="22"/>
      <c r="E17" s="22"/>
      <c r="F17" s="23"/>
      <c r="G17" s="24"/>
      <c r="H17" s="25"/>
    </row>
    <row r="18" spans="2:8" ht="15">
      <c r="B18" s="21" t="s">
        <v>8</v>
      </c>
      <c r="C18" s="22"/>
      <c r="D18" s="22"/>
      <c r="E18" s="22"/>
      <c r="F18" s="23"/>
      <c r="G18" s="24"/>
      <c r="H18" s="25"/>
    </row>
    <row r="19" spans="2:8" ht="15">
      <c r="B19" s="21"/>
      <c r="C19" s="22"/>
      <c r="D19" s="22"/>
      <c r="E19" s="22"/>
      <c r="F19" s="23"/>
      <c r="G19" s="24"/>
      <c r="H19" s="25"/>
    </row>
    <row r="20" spans="2:8" ht="15">
      <c r="B20" s="21" t="s">
        <v>9</v>
      </c>
      <c r="C20" s="22"/>
      <c r="D20" s="22"/>
      <c r="E20" s="22"/>
      <c r="F20" s="23"/>
      <c r="G20" s="24"/>
      <c r="H20" s="25"/>
    </row>
    <row r="21" spans="2:8" ht="15">
      <c r="B21" s="21"/>
      <c r="C21" s="22"/>
      <c r="D21" s="22"/>
      <c r="E21" s="22"/>
      <c r="F21" s="23"/>
      <c r="G21" s="24"/>
      <c r="H21" s="25"/>
    </row>
    <row r="22" spans="2:8" ht="15">
      <c r="B22" s="21" t="s">
        <v>10</v>
      </c>
      <c r="C22" s="22"/>
      <c r="D22" s="22"/>
      <c r="E22" s="22"/>
      <c r="F22" s="23"/>
      <c r="G22" s="24"/>
      <c r="H22" s="25"/>
    </row>
    <row r="23" spans="2:8" ht="15">
      <c r="B23" s="21"/>
      <c r="C23" s="22"/>
      <c r="D23" s="22"/>
      <c r="E23" s="22"/>
      <c r="F23" s="23"/>
      <c r="G23" s="24"/>
      <c r="H23" s="25"/>
    </row>
    <row r="24" spans="2:8" ht="15">
      <c r="B24" s="21" t="s">
        <v>11</v>
      </c>
      <c r="C24" s="22"/>
      <c r="D24" s="22"/>
      <c r="E24" s="22"/>
      <c r="F24" s="23"/>
      <c r="G24" s="24"/>
      <c r="H24" s="25"/>
    </row>
    <row r="25" spans="2:8" ht="15">
      <c r="B25" s="21"/>
      <c r="C25" s="22"/>
      <c r="D25" s="22"/>
      <c r="E25" s="22"/>
      <c r="F25" s="23"/>
      <c r="G25" s="24"/>
      <c r="H25" s="25"/>
    </row>
    <row r="26" spans="2:8" ht="15">
      <c r="B26" s="21" t="s">
        <v>12</v>
      </c>
      <c r="C26" s="22"/>
      <c r="D26" s="22"/>
      <c r="E26" s="22"/>
      <c r="F26" s="23"/>
      <c r="G26" s="24"/>
      <c r="H26" s="25"/>
    </row>
    <row r="27" spans="2:8" ht="15">
      <c r="B27" s="21"/>
      <c r="C27" s="22"/>
      <c r="D27" s="22"/>
      <c r="E27" s="22"/>
      <c r="F27" s="23"/>
      <c r="G27" s="24"/>
      <c r="H27" s="25"/>
    </row>
    <row r="28" spans="2:8" ht="15">
      <c r="B28" s="21"/>
      <c r="C28" s="22"/>
      <c r="D28" s="22"/>
      <c r="E28" s="22" t="s">
        <v>13</v>
      </c>
      <c r="F28" s="23"/>
      <c r="G28" s="24"/>
      <c r="H28" s="25"/>
    </row>
    <row r="29" spans="2:8" ht="15">
      <c r="B29" s="21"/>
      <c r="C29" s="22"/>
      <c r="D29" s="22"/>
      <c r="E29" s="22" t="s">
        <v>14</v>
      </c>
      <c r="F29" s="23"/>
      <c r="G29" s="24"/>
      <c r="H29" s="25"/>
    </row>
    <row r="30" spans="2:8" ht="15">
      <c r="B30" s="21"/>
      <c r="C30" s="22"/>
      <c r="D30" s="22"/>
      <c r="E30" s="22" t="s">
        <v>15</v>
      </c>
      <c r="F30" s="23"/>
      <c r="G30" s="24"/>
      <c r="H30" s="25"/>
    </row>
    <row r="31" spans="2:8" ht="15">
      <c r="B31" s="21"/>
      <c r="C31" s="22"/>
      <c r="D31" s="22"/>
      <c r="E31" s="22"/>
      <c r="F31" s="23"/>
      <c r="G31" s="24"/>
      <c r="H31" s="25"/>
    </row>
    <row r="32" spans="2:8" ht="15">
      <c r="B32" s="21" t="s">
        <v>16</v>
      </c>
      <c r="C32" s="22"/>
      <c r="D32" s="22"/>
      <c r="E32" s="22"/>
      <c r="F32" s="23"/>
      <c r="G32" s="24"/>
      <c r="H32" s="25"/>
    </row>
    <row r="33" spans="2:8" ht="15">
      <c r="B33" s="21"/>
      <c r="C33" s="22"/>
      <c r="D33" s="22"/>
      <c r="E33" s="22"/>
      <c r="F33" s="23"/>
      <c r="G33" s="24"/>
      <c r="H33" s="25"/>
    </row>
    <row r="34" spans="2:8" ht="15">
      <c r="B34" s="21" t="s">
        <v>17</v>
      </c>
      <c r="C34" s="22"/>
      <c r="D34" s="22"/>
      <c r="E34" s="22"/>
      <c r="F34" s="23"/>
      <c r="G34" s="24"/>
      <c r="H34" s="25"/>
    </row>
    <row r="35" spans="2:8" ht="15.75" thickBot="1">
      <c r="B35" s="28"/>
      <c r="C35" s="29"/>
      <c r="D35" s="29"/>
      <c r="E35" s="29"/>
      <c r="F35" s="30"/>
      <c r="G35" s="31"/>
      <c r="H35" s="32"/>
    </row>
  </sheetData>
  <mergeCells count="2">
    <mergeCell ref="B2:H3"/>
    <mergeCell ref="B5:C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tabColor indexed="11"/>
  </sheetPr>
  <dimension ref="B3:E32"/>
  <sheetViews>
    <sheetView workbookViewId="0" topLeftCell="B6">
      <selection activeCell="I15" sqref="I15"/>
    </sheetView>
  </sheetViews>
  <sheetFormatPr defaultColWidth="9.140625" defaultRowHeight="12.75"/>
  <cols>
    <col min="1" max="1" width="9.140625" style="1" customWidth="1"/>
    <col min="2" max="3" width="20.7109375" style="1" customWidth="1"/>
    <col min="4" max="4" width="71.140625" style="1" bestFit="1" customWidth="1"/>
    <col min="5" max="5" width="20.7109375" style="1" customWidth="1"/>
    <col min="6" max="16384" width="9.140625" style="1" customWidth="1"/>
  </cols>
  <sheetData>
    <row r="2" ht="13.5" thickBot="1"/>
    <row r="3" spans="2:4" ht="18">
      <c r="B3" s="33" t="s">
        <v>18</v>
      </c>
      <c r="C3" s="34"/>
      <c r="D3" s="35"/>
    </row>
    <row r="4" spans="2:4" ht="18.75" thickBot="1">
      <c r="B4" s="36"/>
      <c r="C4" s="37"/>
      <c r="D4" s="38"/>
    </row>
    <row r="5" spans="2:4" ht="18.75" thickBot="1">
      <c r="B5" s="484" t="str">
        <f>name</f>
        <v>Local Authority</v>
      </c>
      <c r="C5" s="485"/>
      <c r="D5" s="38"/>
    </row>
    <row r="6" spans="2:4" ht="18">
      <c r="B6" s="36"/>
      <c r="C6" s="37"/>
      <c r="D6" s="38"/>
    </row>
    <row r="7" spans="2:4" ht="18">
      <c r="B7" s="36"/>
      <c r="C7" s="37"/>
      <c r="D7" s="38"/>
    </row>
    <row r="8" spans="2:4" ht="18.75" thickBot="1">
      <c r="B8" s="39"/>
      <c r="C8" s="40"/>
      <c r="D8" s="41"/>
    </row>
    <row r="13" ht="13.5" thickBot="1"/>
    <row r="14" spans="2:5" ht="26.25" thickBot="1">
      <c r="B14" s="42" t="s">
        <v>19</v>
      </c>
      <c r="C14" s="43" t="s">
        <v>20</v>
      </c>
      <c r="D14" s="44" t="s">
        <v>21</v>
      </c>
      <c r="E14" s="45" t="str">
        <f>name</f>
        <v>Local Authority</v>
      </c>
    </row>
    <row r="15" spans="2:5" ht="12.75">
      <c r="B15" s="46">
        <v>1</v>
      </c>
      <c r="C15" s="47" t="s">
        <v>22</v>
      </c>
      <c r="D15" s="48" t="s">
        <v>23</v>
      </c>
      <c r="E15" s="49" t="e">
        <f>VLOOKUP($B$5,SchedData!$B$15:$T$195,Schedules!$B15+1,FALSE)</f>
        <v>#N/A</v>
      </c>
    </row>
    <row r="16" spans="2:5" ht="12.75">
      <c r="B16" s="50">
        <v>2</v>
      </c>
      <c r="C16" s="47" t="s">
        <v>24</v>
      </c>
      <c r="D16" s="51" t="s">
        <v>25</v>
      </c>
      <c r="E16" s="52" t="e">
        <f>VLOOKUP($B$5,SchedData!$B$15:$T$195,Schedules!$B16+1,FALSE)</f>
        <v>#N/A</v>
      </c>
    </row>
    <row r="17" spans="2:5" ht="12.75">
      <c r="B17" s="50">
        <v>3</v>
      </c>
      <c r="C17" s="47" t="s">
        <v>26</v>
      </c>
      <c r="D17" s="51" t="s">
        <v>27</v>
      </c>
      <c r="E17" s="52" t="e">
        <f>VLOOKUP($B$5,SchedData!$B$15:$T$195,Schedules!$B17+1,FALSE)</f>
        <v>#N/A</v>
      </c>
    </row>
    <row r="18" spans="2:5" ht="12.75">
      <c r="B18" s="50">
        <v>4</v>
      </c>
      <c r="C18" s="47" t="s">
        <v>28</v>
      </c>
      <c r="D18" s="51" t="s">
        <v>29</v>
      </c>
      <c r="E18" s="53" t="e">
        <f>VLOOKUP($B$5,SchedData!$B$15:$T$195,Schedules!$B18+1,FALSE)</f>
        <v>#N/A</v>
      </c>
    </row>
    <row r="19" spans="2:5" ht="12.75">
      <c r="B19" s="50">
        <v>5</v>
      </c>
      <c r="C19" s="47" t="s">
        <v>30</v>
      </c>
      <c r="D19" s="51" t="s">
        <v>31</v>
      </c>
      <c r="E19" s="53" t="e">
        <f>VLOOKUP($B$5,SchedData!$B$15:$T$195,Schedules!$B19+1,FALSE)</f>
        <v>#N/A</v>
      </c>
    </row>
    <row r="20" spans="2:5" ht="12.75">
      <c r="B20" s="50">
        <v>6</v>
      </c>
      <c r="C20" s="47" t="s">
        <v>32</v>
      </c>
      <c r="D20" s="51" t="s">
        <v>33</v>
      </c>
      <c r="E20" s="53" t="e">
        <f>VLOOKUP($B$5,SchedData!$B$15:$T$195,Schedules!$B20+1,FALSE)</f>
        <v>#N/A</v>
      </c>
    </row>
    <row r="21" spans="2:5" ht="12.75">
      <c r="B21" s="50">
        <v>7</v>
      </c>
      <c r="C21" s="54" t="s">
        <v>34</v>
      </c>
      <c r="D21" s="55" t="s">
        <v>35</v>
      </c>
      <c r="E21" s="56" t="e">
        <f>VLOOKUP($B$5,SchedData!$B$15:$T$195,Schedules!$B21+1,FALSE)</f>
        <v>#N/A</v>
      </c>
    </row>
    <row r="22" spans="2:5" ht="12.75">
      <c r="B22" s="50">
        <v>8</v>
      </c>
      <c r="C22" s="47" t="s">
        <v>36</v>
      </c>
      <c r="D22" s="51" t="s">
        <v>13</v>
      </c>
      <c r="E22" s="53" t="e">
        <f>VLOOKUP($B$5,SchedData!$B$15:$T$195,Schedules!$B22+1,FALSE)</f>
        <v>#N/A</v>
      </c>
    </row>
    <row r="23" spans="2:5" ht="12.75">
      <c r="B23" s="50">
        <v>9</v>
      </c>
      <c r="C23" s="47" t="s">
        <v>37</v>
      </c>
      <c r="D23" s="51" t="s">
        <v>14</v>
      </c>
      <c r="E23" s="53" t="e">
        <f>VLOOKUP($B$5,SchedData!$B$15:$T$195,Schedules!$B23+1,FALSE)</f>
        <v>#N/A</v>
      </c>
    </row>
    <row r="24" spans="2:5" ht="12.75">
      <c r="B24" s="50">
        <v>10</v>
      </c>
      <c r="C24" s="47"/>
      <c r="D24" s="51" t="s">
        <v>38</v>
      </c>
      <c r="E24" s="53" t="e">
        <f>VLOOKUP($B$5,SchedData!$B$15:$T$195,Schedules!$B24+1,FALSE)</f>
        <v>#N/A</v>
      </c>
    </row>
    <row r="25" spans="2:5" ht="12.75">
      <c r="B25" s="50">
        <v>11</v>
      </c>
      <c r="C25" s="47"/>
      <c r="D25" s="51" t="s">
        <v>39</v>
      </c>
      <c r="E25" s="53" t="e">
        <f>VLOOKUP($B$5,SchedData!$B$15:$T$195,Schedules!$B25+1,FALSE)</f>
        <v>#N/A</v>
      </c>
    </row>
    <row r="26" spans="2:5" ht="12.75">
      <c r="B26" s="50">
        <v>12</v>
      </c>
      <c r="C26" s="47"/>
      <c r="D26" s="51" t="s">
        <v>40</v>
      </c>
      <c r="E26" s="53" t="e">
        <f>VLOOKUP($B$5,SchedData!$B$15:$T$195,Schedules!$B26+1,FALSE)</f>
        <v>#N/A</v>
      </c>
    </row>
    <row r="27" spans="2:5" ht="12.75">
      <c r="B27" s="50">
        <v>13</v>
      </c>
      <c r="C27" s="47"/>
      <c r="D27" s="51" t="s">
        <v>41</v>
      </c>
      <c r="E27" s="53" t="e">
        <f>VLOOKUP($B$5,SchedData!$B$15:$T$195,Schedules!$B27+1,FALSE)</f>
        <v>#N/A</v>
      </c>
    </row>
    <row r="28" spans="2:5" ht="12.75">
      <c r="B28" s="50">
        <v>14</v>
      </c>
      <c r="C28" s="47"/>
      <c r="D28" s="51" t="s">
        <v>42</v>
      </c>
      <c r="E28" s="53" t="e">
        <f>VLOOKUP($B$5,SchedData!$B$15:$T$195,Schedules!$B28+1,FALSE)</f>
        <v>#N/A</v>
      </c>
    </row>
    <row r="29" spans="2:5" ht="12.75">
      <c r="B29" s="50">
        <v>15</v>
      </c>
      <c r="C29" s="47"/>
      <c r="D29" s="51" t="s">
        <v>43</v>
      </c>
      <c r="E29" s="53" t="e">
        <f>VLOOKUP($B$5,SchedData!$B$15:$T$195,Schedules!$B29+1,FALSE)</f>
        <v>#N/A</v>
      </c>
    </row>
    <row r="30" spans="2:5" ht="12.75">
      <c r="B30" s="50">
        <v>16</v>
      </c>
      <c r="C30" s="47"/>
      <c r="D30" s="51" t="s">
        <v>44</v>
      </c>
      <c r="E30" s="53" t="e">
        <f>VLOOKUP($B$5,SchedData!$B$15:$T$195,Schedules!$B30+1,FALSE)</f>
        <v>#N/A</v>
      </c>
    </row>
    <row r="31" spans="2:5" ht="12.75">
      <c r="B31" s="50">
        <v>17</v>
      </c>
      <c r="C31" s="47"/>
      <c r="D31" s="51" t="s">
        <v>45</v>
      </c>
      <c r="E31" s="53" t="e">
        <f>VLOOKUP($B$5,SchedData!$B$15:$T$195,Schedules!$B31+1,FALSE)</f>
        <v>#N/A</v>
      </c>
    </row>
    <row r="32" spans="2:5" ht="13.5" thickBot="1">
      <c r="B32" s="57">
        <v>18</v>
      </c>
      <c r="C32" s="58"/>
      <c r="D32" s="59" t="s">
        <v>46</v>
      </c>
      <c r="E32" s="60" t="e">
        <f>VLOOKUP($B$5,SchedData!$B$15:$T$195,Schedules!$B32+1,FALSE)</f>
        <v>#N/A</v>
      </c>
    </row>
  </sheetData>
  <mergeCells count="1">
    <mergeCell ref="B5: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7">
    <tabColor indexed="15"/>
  </sheetPr>
  <dimension ref="B2:K224"/>
  <sheetViews>
    <sheetView zoomScale="85" zoomScaleNormal="85" workbookViewId="0" topLeftCell="A1">
      <selection activeCell="I15" sqref="I15"/>
    </sheetView>
  </sheetViews>
  <sheetFormatPr defaultColWidth="9.140625" defaultRowHeight="12.75"/>
  <cols>
    <col min="1" max="1" width="9.140625" style="1" customWidth="1"/>
    <col min="2" max="8" width="13.8515625" style="1" customWidth="1"/>
    <col min="9" max="9" width="18.28125" style="1" bestFit="1" customWidth="1"/>
    <col min="10" max="10" width="20.8515625" style="1" bestFit="1" customWidth="1"/>
    <col min="11" max="11" width="12.7109375" style="1" bestFit="1" customWidth="1"/>
    <col min="12" max="16384" width="9.140625" style="1" customWidth="1"/>
  </cols>
  <sheetData>
    <row r="1" ht="13.5" thickBot="1"/>
    <row r="2" spans="2:7" ht="18">
      <c r="B2" s="33" t="s">
        <v>47</v>
      </c>
      <c r="C2" s="61"/>
      <c r="D2" s="61"/>
      <c r="E2" s="61"/>
      <c r="F2" s="61"/>
      <c r="G2" s="62"/>
    </row>
    <row r="3" spans="2:7" ht="12.75">
      <c r="B3" s="63"/>
      <c r="C3" s="64"/>
      <c r="D3" s="64"/>
      <c r="E3" s="64"/>
      <c r="F3" s="64"/>
      <c r="G3" s="65"/>
    </row>
    <row r="4" spans="2:7" ht="13.5" thickBot="1">
      <c r="B4" s="63"/>
      <c r="C4" s="64"/>
      <c r="D4" s="64"/>
      <c r="E4" s="64"/>
      <c r="F4" s="64"/>
      <c r="G4" s="65"/>
    </row>
    <row r="5" spans="2:7" ht="18.75" thickBot="1">
      <c r="B5" s="484" t="str">
        <f>name</f>
        <v>Local Authority</v>
      </c>
      <c r="C5" s="486"/>
      <c r="D5" s="64"/>
      <c r="E5" s="64"/>
      <c r="F5" s="64"/>
      <c r="G5" s="65"/>
    </row>
    <row r="6" spans="2:7" ht="12.75">
      <c r="B6" s="63"/>
      <c r="C6" s="64"/>
      <c r="D6" s="64"/>
      <c r="E6" s="64"/>
      <c r="F6" s="64"/>
      <c r="G6" s="65"/>
    </row>
    <row r="7" spans="2:7" ht="13.5" thickBot="1">
      <c r="B7" s="66"/>
      <c r="C7" s="67"/>
      <c r="D7" s="67"/>
      <c r="E7" s="67"/>
      <c r="F7" s="67"/>
      <c r="G7" s="68"/>
    </row>
    <row r="9" ht="13.5" thickBot="1"/>
    <row r="10" spans="2:9" ht="18">
      <c r="B10" s="69" t="s">
        <v>48</v>
      </c>
      <c r="C10" s="70"/>
      <c r="D10" s="70"/>
      <c r="E10" s="70"/>
      <c r="F10" s="71"/>
      <c r="G10" s="70"/>
      <c r="H10" s="70"/>
      <c r="I10" s="72"/>
    </row>
    <row r="11" spans="2:9" ht="15.75">
      <c r="B11" s="73" t="s">
        <v>49</v>
      </c>
      <c r="C11" s="74"/>
      <c r="D11" s="74"/>
      <c r="E11" s="74"/>
      <c r="F11" s="75"/>
      <c r="G11" s="74"/>
      <c r="H11" s="76" t="e">
        <f>VLOOKUP($B$5,ComData!$B$15:$FH$195,2,FALSE)</f>
        <v>#N/A</v>
      </c>
      <c r="I11" s="77"/>
    </row>
    <row r="12" spans="2:9" ht="16.5" thickBot="1">
      <c r="B12" s="78"/>
      <c r="C12" s="79"/>
      <c r="D12" s="79"/>
      <c r="E12" s="79"/>
      <c r="F12" s="80"/>
      <c r="G12" s="79"/>
      <c r="H12" s="79"/>
      <c r="I12" s="81"/>
    </row>
    <row r="13" spans="2:9" ht="18">
      <c r="B13" s="16" t="s">
        <v>50</v>
      </c>
      <c r="C13" s="74"/>
      <c r="D13" s="74"/>
      <c r="E13" s="74"/>
      <c r="F13" s="82"/>
      <c r="G13" s="83"/>
      <c r="H13" s="83"/>
      <c r="I13" s="84"/>
    </row>
    <row r="14" spans="2:9" ht="15.75">
      <c r="B14" s="85"/>
      <c r="C14" s="74"/>
      <c r="D14" s="74"/>
      <c r="E14" s="74"/>
      <c r="F14" s="82"/>
      <c r="G14" s="83"/>
      <c r="H14" s="83"/>
      <c r="I14" s="84"/>
    </row>
    <row r="15" spans="2:9" ht="15.75">
      <c r="B15" s="86" t="s">
        <v>51</v>
      </c>
      <c r="C15" s="83"/>
      <c r="D15" s="83"/>
      <c r="E15" s="83"/>
      <c r="F15" s="87"/>
      <c r="G15" s="83"/>
      <c r="H15" s="83"/>
      <c r="I15" s="84"/>
    </row>
    <row r="16" spans="2:9" ht="15">
      <c r="B16" s="88" t="s">
        <v>52</v>
      </c>
      <c r="C16" s="83"/>
      <c r="D16" s="75"/>
      <c r="E16" s="89"/>
      <c r="F16" s="87">
        <v>1400</v>
      </c>
      <c r="G16" s="83"/>
      <c r="H16" s="83"/>
      <c r="I16" s="84"/>
    </row>
    <row r="17" spans="2:9" ht="15">
      <c r="B17" s="88"/>
      <c r="C17" s="83"/>
      <c r="D17" s="83"/>
      <c r="E17" s="83"/>
      <c r="F17" s="87"/>
      <c r="G17" s="83"/>
      <c r="H17" s="83"/>
      <c r="I17" s="84"/>
    </row>
    <row r="18" spans="2:9" ht="15">
      <c r="B18" s="88" t="s">
        <v>53</v>
      </c>
      <c r="C18" s="83"/>
      <c r="D18" s="83"/>
      <c r="E18" s="83"/>
      <c r="F18" s="90">
        <v>357000</v>
      </c>
      <c r="G18" s="83"/>
      <c r="H18" s="83"/>
      <c r="I18" s="84"/>
    </row>
    <row r="19" spans="2:9" ht="15">
      <c r="B19" s="88"/>
      <c r="C19" s="83"/>
      <c r="D19" s="83"/>
      <c r="E19" s="83"/>
      <c r="F19" s="87"/>
      <c r="G19" s="89"/>
      <c r="H19" s="83"/>
      <c r="I19" s="84"/>
    </row>
    <row r="20" spans="2:9" ht="15">
      <c r="B20" s="88" t="s">
        <v>54</v>
      </c>
      <c r="C20" s="83"/>
      <c r="D20" s="83"/>
      <c r="E20" s="83"/>
      <c r="F20" s="90">
        <v>233</v>
      </c>
      <c r="G20" s="83"/>
      <c r="H20" s="83"/>
      <c r="I20" s="84"/>
    </row>
    <row r="21" spans="2:9" ht="15">
      <c r="B21" s="88"/>
      <c r="C21" s="83"/>
      <c r="D21" s="83"/>
      <c r="E21" s="83"/>
      <c r="F21" s="87"/>
      <c r="G21" s="83"/>
      <c r="H21" s="83"/>
      <c r="I21" s="84"/>
    </row>
    <row r="22" spans="2:9" ht="15">
      <c r="B22" s="88" t="s">
        <v>55</v>
      </c>
      <c r="C22" s="83"/>
      <c r="D22" s="83"/>
      <c r="E22" s="83"/>
      <c r="F22" s="87"/>
      <c r="G22" s="83"/>
      <c r="H22" s="91"/>
      <c r="I22" s="84"/>
    </row>
    <row r="23" spans="2:9" ht="15">
      <c r="B23" s="88"/>
      <c r="C23" s="83"/>
      <c r="D23" s="83"/>
      <c r="E23" s="83"/>
      <c r="F23" s="87"/>
      <c r="G23" s="83"/>
      <c r="H23" s="83"/>
      <c r="I23" s="84"/>
    </row>
    <row r="24" spans="2:9" ht="15.75">
      <c r="B24" s="86" t="s">
        <v>56</v>
      </c>
      <c r="C24" s="83"/>
      <c r="D24" s="83"/>
      <c r="E24" s="83"/>
      <c r="F24" s="87"/>
      <c r="G24" s="83"/>
      <c r="H24" s="83"/>
      <c r="I24" s="84"/>
    </row>
    <row r="25" spans="2:9" ht="15">
      <c r="B25" s="88"/>
      <c r="C25" s="83"/>
      <c r="D25" s="83"/>
      <c r="E25" s="83"/>
      <c r="F25" s="87"/>
      <c r="G25" s="83"/>
      <c r="H25" s="83"/>
      <c r="I25" s="84"/>
    </row>
    <row r="26" spans="2:9" ht="15">
      <c r="B26" s="88" t="s">
        <v>53</v>
      </c>
      <c r="C26" s="83"/>
      <c r="D26" s="83"/>
      <c r="E26" s="83"/>
      <c r="F26" s="90">
        <v>11268</v>
      </c>
      <c r="G26" s="83"/>
      <c r="H26" s="83"/>
      <c r="I26" s="84"/>
    </row>
    <row r="27" spans="2:9" ht="15">
      <c r="B27" s="88"/>
      <c r="C27" s="83"/>
      <c r="D27" s="83"/>
      <c r="E27" s="83"/>
      <c r="F27" s="87"/>
      <c r="G27" s="83"/>
      <c r="H27" s="83"/>
      <c r="I27" s="84"/>
    </row>
    <row r="28" spans="2:9" ht="15">
      <c r="B28" s="88" t="s">
        <v>54</v>
      </c>
      <c r="C28" s="83"/>
      <c r="D28" s="83"/>
      <c r="E28" s="83"/>
      <c r="F28" s="92">
        <v>247</v>
      </c>
      <c r="G28" s="83"/>
      <c r="H28" s="83"/>
      <c r="I28" s="84"/>
    </row>
    <row r="29" spans="2:9" ht="15">
      <c r="B29" s="88"/>
      <c r="C29" s="83"/>
      <c r="D29" s="83"/>
      <c r="E29" s="83"/>
      <c r="F29" s="92"/>
      <c r="G29" s="83"/>
      <c r="H29" s="83"/>
      <c r="I29" s="84"/>
    </row>
    <row r="30" spans="2:9" ht="15">
      <c r="B30" s="88" t="s">
        <v>57</v>
      </c>
      <c r="C30" s="83"/>
      <c r="D30" s="83"/>
      <c r="E30" s="83"/>
      <c r="F30" s="92"/>
      <c r="G30" s="83"/>
      <c r="H30" s="83"/>
      <c r="I30" s="84"/>
    </row>
    <row r="31" spans="2:9" ht="15">
      <c r="B31" s="88"/>
      <c r="C31" s="83"/>
      <c r="D31" s="83"/>
      <c r="E31" s="83"/>
      <c r="F31" s="92"/>
      <c r="G31" s="83"/>
      <c r="H31" s="83"/>
      <c r="I31" s="84"/>
    </row>
    <row r="32" spans="2:9" ht="16.5" thickBot="1">
      <c r="B32" s="93" t="s">
        <v>58</v>
      </c>
      <c r="C32" s="94"/>
      <c r="D32" s="94"/>
      <c r="E32" s="94"/>
      <c r="F32" s="95"/>
      <c r="G32" s="94"/>
      <c r="H32" s="96"/>
      <c r="I32" s="97" t="e">
        <f>VLOOKUP($B$5,ComData!$B$15:$FH$195,3,FALSE)</f>
        <v>#N/A</v>
      </c>
    </row>
    <row r="33" spans="2:9" ht="15">
      <c r="B33" s="98"/>
      <c r="C33" s="75"/>
      <c r="D33" s="75"/>
      <c r="E33" s="83"/>
      <c r="F33" s="87"/>
      <c r="G33" s="83"/>
      <c r="H33" s="83"/>
      <c r="I33" s="84"/>
    </row>
    <row r="34" spans="2:9" ht="18">
      <c r="B34" s="99" t="s">
        <v>59</v>
      </c>
      <c r="C34" s="83"/>
      <c r="D34" s="83"/>
      <c r="E34" s="83"/>
      <c r="F34" s="87"/>
      <c r="G34" s="83"/>
      <c r="H34" s="83"/>
      <c r="I34" s="84"/>
    </row>
    <row r="35" spans="2:9" ht="18">
      <c r="B35" s="99"/>
      <c r="C35" s="83"/>
      <c r="D35" s="83"/>
      <c r="E35" s="83"/>
      <c r="F35" s="87"/>
      <c r="G35" s="83"/>
      <c r="H35" s="83"/>
      <c r="I35" s="84"/>
    </row>
    <row r="36" spans="2:11" ht="15">
      <c r="B36" s="88" t="s">
        <v>60</v>
      </c>
      <c r="C36" s="83"/>
      <c r="D36" s="83"/>
      <c r="E36" s="83"/>
      <c r="F36" s="100">
        <v>0.858</v>
      </c>
      <c r="G36" s="83"/>
      <c r="H36" s="90"/>
      <c r="I36" s="101" t="e">
        <f>VLOOKUP($B$5,ComData!$B$15:$FH$195,4,FALSE)</f>
        <v>#N/A</v>
      </c>
      <c r="K36" s="102"/>
    </row>
    <row r="37" spans="2:9" ht="15">
      <c r="B37" s="88"/>
      <c r="C37" s="83"/>
      <c r="D37" s="83"/>
      <c r="E37" s="83"/>
      <c r="F37" s="87"/>
      <c r="G37" s="83"/>
      <c r="H37" s="83"/>
      <c r="I37" s="84"/>
    </row>
    <row r="38" spans="2:9" ht="15.75">
      <c r="B38" s="88" t="s">
        <v>61</v>
      </c>
      <c r="C38" s="83"/>
      <c r="D38" s="83"/>
      <c r="E38" s="83"/>
      <c r="F38" s="87"/>
      <c r="G38" s="83"/>
      <c r="H38" s="83"/>
      <c r="I38" s="103"/>
    </row>
    <row r="39" spans="2:9" ht="15">
      <c r="B39" s="88"/>
      <c r="C39" s="83"/>
      <c r="D39" s="83"/>
      <c r="E39" s="83"/>
      <c r="F39" s="87"/>
      <c r="G39" s="83"/>
      <c r="H39" s="83"/>
      <c r="I39" s="84"/>
    </row>
    <row r="40" spans="2:10" ht="15">
      <c r="B40" s="104" t="s">
        <v>62</v>
      </c>
      <c r="C40" s="83"/>
      <c r="D40" s="83"/>
      <c r="E40" s="83"/>
      <c r="F40" s="100">
        <f>1-F36</f>
        <v>0.14200000000000002</v>
      </c>
      <c r="G40" s="89" t="s">
        <v>63</v>
      </c>
      <c r="H40" s="83"/>
      <c r="I40" s="101" t="e">
        <f>VLOOKUP($B$5,ComData!$B$15:$FH$195,6,FALSE)</f>
        <v>#N/A</v>
      </c>
      <c r="J40" s="102"/>
    </row>
    <row r="41" spans="2:9" ht="15">
      <c r="B41" s="88"/>
      <c r="C41" s="83"/>
      <c r="D41" s="83"/>
      <c r="E41" s="83"/>
      <c r="F41" s="87"/>
      <c r="G41" s="83"/>
      <c r="H41" s="83"/>
      <c r="I41" s="84"/>
    </row>
    <row r="42" spans="2:10" ht="15">
      <c r="B42" s="104" t="s">
        <v>64</v>
      </c>
      <c r="C42" s="83"/>
      <c r="D42" s="83"/>
      <c r="E42" s="83"/>
      <c r="F42" s="87"/>
      <c r="G42" s="83"/>
      <c r="H42" s="83"/>
      <c r="I42" s="105" t="e">
        <f>VLOOKUP($B$5,ComData!$B$15:$FH$195,7,FALSE)</f>
        <v>#N/A</v>
      </c>
      <c r="J42" s="106"/>
    </row>
    <row r="43" spans="2:9" ht="15">
      <c r="B43" s="88"/>
      <c r="C43" s="83"/>
      <c r="D43" s="83"/>
      <c r="E43" s="83"/>
      <c r="F43" s="87"/>
      <c r="G43" s="83"/>
      <c r="H43" s="83"/>
      <c r="I43" s="84"/>
    </row>
    <row r="44" spans="2:9" ht="15">
      <c r="B44" s="88" t="s">
        <v>65</v>
      </c>
      <c r="C44" s="83"/>
      <c r="D44" s="83"/>
      <c r="E44" s="83"/>
      <c r="F44" s="87"/>
      <c r="G44" s="87"/>
      <c r="H44" s="83"/>
      <c r="I44" s="84"/>
    </row>
    <row r="45" spans="2:9" ht="15">
      <c r="B45" s="88"/>
      <c r="C45" s="83"/>
      <c r="D45" s="83"/>
      <c r="E45" s="83"/>
      <c r="F45" s="87"/>
      <c r="G45" s="87"/>
      <c r="H45" s="83"/>
      <c r="I45" s="84"/>
    </row>
    <row r="46" spans="2:9" ht="15">
      <c r="B46" s="104" t="s">
        <v>66</v>
      </c>
      <c r="C46" s="83"/>
      <c r="D46" s="83"/>
      <c r="E46" s="83"/>
      <c r="F46" s="107">
        <v>0.89</v>
      </c>
      <c r="G46" s="89" t="s">
        <v>67</v>
      </c>
      <c r="H46" s="83"/>
      <c r="I46" s="108" t="e">
        <f>VLOOKUP($B$5,ComData!$B$15:$FH$195,8,FALSE)</f>
        <v>#N/A</v>
      </c>
    </row>
    <row r="47" spans="2:9" ht="15">
      <c r="B47" s="88"/>
      <c r="C47" s="83"/>
      <c r="D47" s="83"/>
      <c r="E47" s="83"/>
      <c r="F47" s="87"/>
      <c r="G47" s="83"/>
      <c r="H47" s="83"/>
      <c r="I47" s="84"/>
    </row>
    <row r="48" spans="2:9" ht="15">
      <c r="B48" s="104" t="s">
        <v>68</v>
      </c>
      <c r="C48" s="83"/>
      <c r="D48" s="83"/>
      <c r="E48" s="83"/>
      <c r="F48" s="107">
        <v>0.13</v>
      </c>
      <c r="G48" s="89" t="s">
        <v>69</v>
      </c>
      <c r="H48" s="83"/>
      <c r="I48" s="108" t="e">
        <f>VLOOKUP($B$5,ComData!$B$15:$FH$195,9,FALSE)</f>
        <v>#N/A</v>
      </c>
    </row>
    <row r="49" spans="2:9" ht="15">
      <c r="B49" s="88"/>
      <c r="C49" s="83"/>
      <c r="D49" s="83"/>
      <c r="E49" s="83"/>
      <c r="F49" s="87"/>
      <c r="G49" s="83"/>
      <c r="H49" s="83"/>
      <c r="I49" s="84"/>
    </row>
    <row r="50" spans="2:9" ht="15">
      <c r="B50" s="104" t="s">
        <v>70</v>
      </c>
      <c r="C50" s="83"/>
      <c r="D50" s="83"/>
      <c r="E50" s="83"/>
      <c r="F50" s="87"/>
      <c r="G50" s="83"/>
      <c r="H50" s="83"/>
      <c r="I50" s="109">
        <f>ComData!H12</f>
        <v>0.49061767739539186</v>
      </c>
    </row>
    <row r="51" spans="2:9" ht="15">
      <c r="B51" s="88"/>
      <c r="C51" s="83"/>
      <c r="D51" s="83"/>
      <c r="E51" s="83"/>
      <c r="F51" s="87"/>
      <c r="G51" s="83"/>
      <c r="H51" s="83"/>
      <c r="I51" s="84"/>
    </row>
    <row r="52" spans="2:9" ht="15">
      <c r="B52" s="88" t="s">
        <v>71</v>
      </c>
      <c r="C52" s="83"/>
      <c r="D52" s="83"/>
      <c r="E52" s="83"/>
      <c r="F52" s="87"/>
      <c r="G52" s="83"/>
      <c r="H52" s="83"/>
      <c r="I52" s="84"/>
    </row>
    <row r="53" spans="2:9" ht="15">
      <c r="B53" s="88"/>
      <c r="C53" s="83"/>
      <c r="D53" s="83"/>
      <c r="E53" s="83"/>
      <c r="F53" s="87"/>
      <c r="G53" s="83"/>
      <c r="H53" s="83"/>
      <c r="I53" s="84"/>
    </row>
    <row r="54" spans="2:9" ht="16.5" thickBot="1">
      <c r="B54" s="93" t="s">
        <v>72</v>
      </c>
      <c r="C54" s="94"/>
      <c r="D54" s="94"/>
      <c r="E54" s="94"/>
      <c r="F54" s="95"/>
      <c r="G54" s="94"/>
      <c r="H54" s="94"/>
      <c r="I54" s="97" t="e">
        <f>VLOOKUP($B$5,ComData!$B$15:$FH$195,10,FALSE)</f>
        <v>#N/A</v>
      </c>
    </row>
    <row r="55" spans="2:9" ht="15">
      <c r="B55" s="88"/>
      <c r="C55" s="83"/>
      <c r="D55" s="83"/>
      <c r="E55" s="83"/>
      <c r="F55" s="87"/>
      <c r="G55" s="83"/>
      <c r="H55" s="83"/>
      <c r="I55" s="84"/>
    </row>
    <row r="56" spans="2:9" ht="18">
      <c r="B56" s="99" t="s">
        <v>73</v>
      </c>
      <c r="C56" s="83"/>
      <c r="D56" s="83"/>
      <c r="E56" s="83"/>
      <c r="F56" s="87"/>
      <c r="G56" s="83"/>
      <c r="H56" s="83"/>
      <c r="I56" s="110"/>
    </row>
    <row r="57" spans="2:9" ht="15">
      <c r="B57" s="88"/>
      <c r="C57" s="83"/>
      <c r="D57" s="83"/>
      <c r="E57" s="83"/>
      <c r="F57" s="87"/>
      <c r="G57" s="83"/>
      <c r="H57" s="83"/>
      <c r="I57" s="84"/>
    </row>
    <row r="58" spans="2:9" ht="15.75">
      <c r="B58" s="88" t="s">
        <v>74</v>
      </c>
      <c r="C58" s="83"/>
      <c r="D58" s="83"/>
      <c r="E58" s="83"/>
      <c r="F58" s="107"/>
      <c r="G58" s="83"/>
      <c r="H58" s="83"/>
      <c r="I58" s="103"/>
    </row>
    <row r="59" spans="2:10" ht="15">
      <c r="B59" s="88"/>
      <c r="C59" s="83"/>
      <c r="D59" s="83"/>
      <c r="E59" s="83"/>
      <c r="F59" s="107">
        <v>0.8</v>
      </c>
      <c r="G59" s="83"/>
      <c r="H59" s="83"/>
      <c r="I59" s="108" t="e">
        <f>VLOOKUP($B$5,ComData!$B$15:$FH$195,11,FALSE)</f>
        <v>#N/A</v>
      </c>
      <c r="J59" s="102"/>
    </row>
    <row r="60" spans="2:9" ht="15.75">
      <c r="B60" s="88" t="s">
        <v>75</v>
      </c>
      <c r="C60" s="83"/>
      <c r="D60" s="83"/>
      <c r="E60" s="83"/>
      <c r="F60" s="87"/>
      <c r="G60" s="83"/>
      <c r="H60" s="83"/>
      <c r="I60" s="103"/>
    </row>
    <row r="61" spans="2:9" ht="15">
      <c r="B61" s="88"/>
      <c r="C61" s="83"/>
      <c r="D61" s="83"/>
      <c r="E61" s="83"/>
      <c r="F61" s="87"/>
      <c r="G61" s="83"/>
      <c r="H61" s="83"/>
      <c r="I61" s="84"/>
    </row>
    <row r="62" spans="2:9" ht="15">
      <c r="B62" s="104" t="s">
        <v>76</v>
      </c>
      <c r="C62" s="83"/>
      <c r="D62" s="83"/>
      <c r="E62" s="83"/>
      <c r="F62" s="107">
        <f>1-F59</f>
        <v>0.19999999999999996</v>
      </c>
      <c r="G62" s="89" t="s">
        <v>77</v>
      </c>
      <c r="H62" s="83"/>
      <c r="I62" s="108" t="e">
        <f>VLOOKUP($B$5,ComData!$B$15:$FH$195,13,FALSE)</f>
        <v>#N/A</v>
      </c>
    </row>
    <row r="63" spans="2:9" ht="15">
      <c r="B63" s="88"/>
      <c r="C63" s="83"/>
      <c r="D63" s="83"/>
      <c r="E63" s="83"/>
      <c r="F63" s="107"/>
      <c r="G63" s="89"/>
      <c r="H63" s="83"/>
      <c r="I63" s="110"/>
    </row>
    <row r="64" spans="2:9" ht="15">
      <c r="B64" s="104" t="s">
        <v>78</v>
      </c>
      <c r="C64" s="83"/>
      <c r="D64" s="83"/>
      <c r="E64" s="83"/>
      <c r="F64" s="87"/>
      <c r="G64" s="83"/>
      <c r="H64" s="83"/>
      <c r="I64" s="111" t="e">
        <f>VLOOKUP($B$5,ComData!$B$15:$FH$195,14,FALSE)</f>
        <v>#N/A</v>
      </c>
    </row>
    <row r="65" spans="2:9" ht="15">
      <c r="B65" s="88"/>
      <c r="C65" s="83"/>
      <c r="D65" s="83"/>
      <c r="E65" s="83"/>
      <c r="F65" s="87"/>
      <c r="G65" s="83"/>
      <c r="H65" s="83"/>
      <c r="I65" s="84"/>
    </row>
    <row r="66" spans="2:9" ht="15">
      <c r="B66" s="88" t="s">
        <v>79</v>
      </c>
      <c r="C66" s="83"/>
      <c r="D66" s="83"/>
      <c r="E66" s="83"/>
      <c r="F66" s="112">
        <v>1</v>
      </c>
      <c r="G66" s="89" t="s">
        <v>80</v>
      </c>
      <c r="H66" s="83"/>
      <c r="I66" s="84"/>
    </row>
    <row r="67" spans="2:9" ht="15">
      <c r="B67" s="88" t="s">
        <v>54</v>
      </c>
      <c r="C67" s="83"/>
      <c r="D67" s="83"/>
      <c r="E67" s="83"/>
      <c r="F67" s="112">
        <v>2.3</v>
      </c>
      <c r="G67" s="89" t="s">
        <v>81</v>
      </c>
      <c r="H67" s="83"/>
      <c r="I67" s="84"/>
    </row>
    <row r="68" spans="2:9" ht="15">
      <c r="B68" s="88"/>
      <c r="C68" s="83"/>
      <c r="D68" s="83"/>
      <c r="E68" s="83"/>
      <c r="F68" s="87"/>
      <c r="G68" s="83"/>
      <c r="H68" s="83"/>
      <c r="I68" s="84"/>
    </row>
    <row r="69" spans="2:9" ht="15">
      <c r="B69" s="104" t="s">
        <v>82</v>
      </c>
      <c r="C69" s="83"/>
      <c r="D69" s="83"/>
      <c r="E69" s="83"/>
      <c r="F69" s="87"/>
      <c r="G69" s="83"/>
      <c r="H69" s="83"/>
      <c r="I69" s="113" t="e">
        <f>VLOOKUP($B$5,ComData!$B$15:$FH$195,15,FALSE)</f>
        <v>#N/A</v>
      </c>
    </row>
    <row r="70" spans="2:9" ht="15">
      <c r="B70" s="88"/>
      <c r="C70" s="83"/>
      <c r="D70" s="83"/>
      <c r="E70" s="83"/>
      <c r="F70" s="87"/>
      <c r="G70" s="83"/>
      <c r="H70" s="83"/>
      <c r="I70" s="114"/>
    </row>
    <row r="71" spans="2:9" ht="15">
      <c r="B71" s="104" t="s">
        <v>83</v>
      </c>
      <c r="C71" s="83"/>
      <c r="D71" s="83"/>
      <c r="E71" s="83"/>
      <c r="F71" s="87"/>
      <c r="G71" s="83"/>
      <c r="H71" s="83"/>
      <c r="I71" s="113" t="e">
        <f>VLOOKUP($B$5,ComData!$B$15:$FH$195,16,FALSE)</f>
        <v>#N/A</v>
      </c>
    </row>
    <row r="72" spans="2:9" ht="15.75">
      <c r="B72" s="88"/>
      <c r="C72" s="83"/>
      <c r="D72" s="83"/>
      <c r="E72" s="83"/>
      <c r="F72" s="87"/>
      <c r="G72" s="83"/>
      <c r="H72" s="83"/>
      <c r="I72" s="103"/>
    </row>
    <row r="73" spans="2:9" ht="16.5" thickBot="1">
      <c r="B73" s="93" t="s">
        <v>84</v>
      </c>
      <c r="C73" s="94"/>
      <c r="D73" s="94"/>
      <c r="E73" s="94"/>
      <c r="F73" s="95"/>
      <c r="G73" s="94"/>
      <c r="H73" s="94"/>
      <c r="I73" s="97" t="e">
        <f>VLOOKUP($B$5,ComData!$B$15:$FH$195,17,FALSE)</f>
        <v>#N/A</v>
      </c>
    </row>
    <row r="74" spans="2:9" ht="15">
      <c r="B74" s="88"/>
      <c r="C74" s="83"/>
      <c r="D74" s="83"/>
      <c r="E74" s="83"/>
      <c r="F74" s="87"/>
      <c r="G74" s="83"/>
      <c r="H74" s="83"/>
      <c r="I74" s="84"/>
    </row>
    <row r="75" spans="2:9" ht="18">
      <c r="B75" s="99" t="s">
        <v>85</v>
      </c>
      <c r="C75" s="83"/>
      <c r="D75" s="83"/>
      <c r="E75" s="83"/>
      <c r="F75" s="87"/>
      <c r="G75" s="83"/>
      <c r="H75" s="83"/>
      <c r="I75" s="115"/>
    </row>
    <row r="76" spans="2:9" ht="15">
      <c r="B76" s="88"/>
      <c r="C76" s="83"/>
      <c r="D76" s="83"/>
      <c r="E76" s="83"/>
      <c r="F76" s="87"/>
      <c r="G76" s="83"/>
      <c r="H76" s="83"/>
      <c r="I76" s="116"/>
    </row>
    <row r="77" spans="2:10" ht="15">
      <c r="B77" s="88" t="s">
        <v>86</v>
      </c>
      <c r="C77" s="83"/>
      <c r="D77" s="83"/>
      <c r="E77" s="83"/>
      <c r="F77" s="100">
        <v>0.676</v>
      </c>
      <c r="G77" s="83"/>
      <c r="H77" s="83"/>
      <c r="I77" s="117" t="e">
        <f>VLOOKUP($B$5,ComData!$B$15:$FH$195,18,FALSE)</f>
        <v>#N/A</v>
      </c>
      <c r="J77" s="102"/>
    </row>
    <row r="78" spans="2:9" ht="15">
      <c r="B78" s="88"/>
      <c r="C78" s="83"/>
      <c r="D78" s="83"/>
      <c r="E78" s="83"/>
      <c r="F78" s="87"/>
      <c r="G78" s="83"/>
      <c r="H78" s="83"/>
      <c r="I78" s="116"/>
    </row>
    <row r="79" spans="2:9" ht="15">
      <c r="B79" s="88" t="s">
        <v>87</v>
      </c>
      <c r="C79" s="83"/>
      <c r="D79" s="83"/>
      <c r="E79" s="83"/>
      <c r="F79" s="87"/>
      <c r="G79" s="83"/>
      <c r="H79" s="83"/>
      <c r="I79" s="117" t="e">
        <f>$I$82+$I$95</f>
        <v>#N/A</v>
      </c>
    </row>
    <row r="80" spans="2:9" ht="15">
      <c r="B80" s="88"/>
      <c r="C80" s="83"/>
      <c r="D80" s="83"/>
      <c r="E80" s="83"/>
      <c r="F80" s="87"/>
      <c r="G80" s="83"/>
      <c r="H80" s="83"/>
      <c r="I80" s="116"/>
    </row>
    <row r="81" spans="2:9" ht="15">
      <c r="B81" s="88"/>
      <c r="C81" s="83"/>
      <c r="D81" s="83"/>
      <c r="E81" s="83"/>
      <c r="F81" s="87"/>
      <c r="G81" s="83"/>
      <c r="H81" s="83"/>
      <c r="I81" s="115"/>
    </row>
    <row r="82" spans="2:9" ht="15">
      <c r="B82" s="104" t="s">
        <v>88</v>
      </c>
      <c r="C82" s="83"/>
      <c r="D82" s="83"/>
      <c r="E82" s="83"/>
      <c r="F82" s="87"/>
      <c r="G82" s="83"/>
      <c r="H82" s="83"/>
      <c r="I82" s="117" t="e">
        <f>VLOOKUP($B$5,ComData!$B$15:$FH$195,20,FALSE)</f>
        <v>#N/A</v>
      </c>
    </row>
    <row r="83" spans="2:9" ht="15">
      <c r="B83" s="88"/>
      <c r="C83" s="83"/>
      <c r="D83" s="83"/>
      <c r="E83" s="83"/>
      <c r="F83" s="87"/>
      <c r="G83" s="83"/>
      <c r="H83" s="83"/>
      <c r="I83" s="116"/>
    </row>
    <row r="84" spans="2:9" ht="15">
      <c r="B84" s="88" t="s">
        <v>89</v>
      </c>
      <c r="C84" s="83"/>
      <c r="D84" s="83"/>
      <c r="E84" s="83"/>
      <c r="F84" s="87"/>
      <c r="G84" s="83"/>
      <c r="H84" s="83"/>
      <c r="I84" s="116"/>
    </row>
    <row r="85" spans="2:10" ht="15">
      <c r="B85" s="88"/>
      <c r="C85" s="83"/>
      <c r="D85" s="83"/>
      <c r="E85" s="83"/>
      <c r="F85" s="87"/>
      <c r="G85" s="83"/>
      <c r="H85" s="83"/>
      <c r="I85" s="116"/>
      <c r="J85" s="102"/>
    </row>
    <row r="86" spans="2:9" ht="15">
      <c r="B86" s="104" t="s">
        <v>90</v>
      </c>
      <c r="C86" s="83"/>
      <c r="D86" s="83"/>
      <c r="E86" s="83"/>
      <c r="F86" s="100">
        <v>0.228</v>
      </c>
      <c r="G86" s="89" t="s">
        <v>91</v>
      </c>
      <c r="H86" s="83"/>
      <c r="I86" s="117" t="e">
        <f>VLOOKUP($B$5,ComData!$B$15:$FH$195,21,FALSE)</f>
        <v>#N/A</v>
      </c>
    </row>
    <row r="87" spans="2:9" ht="15">
      <c r="B87" s="88"/>
      <c r="C87" s="83"/>
      <c r="D87" s="83"/>
      <c r="E87" s="83"/>
      <c r="F87" s="87"/>
      <c r="G87" s="83"/>
      <c r="H87" s="83"/>
      <c r="I87" s="116"/>
    </row>
    <row r="88" spans="2:9" ht="15">
      <c r="B88" s="104" t="s">
        <v>92</v>
      </c>
      <c r="C88" s="83"/>
      <c r="D88" s="83"/>
      <c r="E88" s="83"/>
      <c r="F88" s="87"/>
      <c r="G88" s="83"/>
      <c r="H88" s="83"/>
      <c r="I88" s="118" t="e">
        <f>VLOOKUP($B$5,ComData!$B$15:$FH$195,22,FALSE)</f>
        <v>#N/A</v>
      </c>
    </row>
    <row r="89" spans="2:9" ht="15">
      <c r="B89" s="104" t="s">
        <v>93</v>
      </c>
      <c r="C89" s="83"/>
      <c r="D89" s="83"/>
      <c r="E89" s="83"/>
      <c r="F89" s="87"/>
      <c r="G89" s="83"/>
      <c r="H89" s="83"/>
      <c r="I89" s="116"/>
    </row>
    <row r="90" spans="2:9" ht="15">
      <c r="B90" s="88"/>
      <c r="C90" s="83"/>
      <c r="D90" s="83"/>
      <c r="E90" s="83"/>
      <c r="F90" s="87"/>
      <c r="G90" s="83"/>
      <c r="H90" s="83"/>
      <c r="I90" s="116"/>
    </row>
    <row r="91" spans="2:9" ht="15">
      <c r="B91" s="88" t="s">
        <v>94</v>
      </c>
      <c r="C91" s="83"/>
      <c r="D91" s="83"/>
      <c r="E91" s="83"/>
      <c r="F91" s="87"/>
      <c r="G91" s="83"/>
      <c r="H91" s="83"/>
      <c r="I91" s="119" t="e">
        <f>VLOOKUP($B$5,ComData!$B$15:$FH$195,23,FALSE)</f>
        <v>#N/A</v>
      </c>
    </row>
    <row r="92" spans="2:9" ht="15">
      <c r="B92" s="88"/>
      <c r="C92" s="83"/>
      <c r="D92" s="83"/>
      <c r="E92" s="83"/>
      <c r="F92" s="87"/>
      <c r="G92" s="83"/>
      <c r="H92" s="83"/>
      <c r="I92" s="116"/>
    </row>
    <row r="93" spans="2:9" ht="15">
      <c r="B93" s="88" t="s">
        <v>95</v>
      </c>
      <c r="C93" s="83"/>
      <c r="D93" s="83"/>
      <c r="E93" s="83"/>
      <c r="F93" s="87"/>
      <c r="G93" s="83"/>
      <c r="H93" s="83"/>
      <c r="I93" s="119">
        <f>ComData!X12</f>
        <v>18.671475500071836</v>
      </c>
    </row>
    <row r="94" spans="2:9" ht="15">
      <c r="B94" s="88"/>
      <c r="C94" s="83"/>
      <c r="D94" s="83"/>
      <c r="E94" s="83"/>
      <c r="F94" s="87"/>
      <c r="G94" s="83"/>
      <c r="H94" s="83"/>
      <c r="I94" s="116"/>
    </row>
    <row r="95" spans="2:9" ht="15">
      <c r="B95" s="104" t="s">
        <v>96</v>
      </c>
      <c r="C95" s="83"/>
      <c r="D95" s="83"/>
      <c r="E95" s="83"/>
      <c r="F95" s="87"/>
      <c r="G95" s="83"/>
      <c r="H95" s="83"/>
      <c r="I95" s="117" t="e">
        <f>VLOOKUP($B$5,ComData!$B$15:$FH$195,24,FALSE)</f>
        <v>#N/A</v>
      </c>
    </row>
    <row r="96" spans="2:9" ht="15">
      <c r="B96" s="88"/>
      <c r="C96" s="83"/>
      <c r="D96" s="83"/>
      <c r="E96" s="83"/>
      <c r="F96" s="87"/>
      <c r="G96" s="83"/>
      <c r="H96" s="83"/>
      <c r="I96" s="116"/>
    </row>
    <row r="97" spans="2:9" ht="15">
      <c r="B97" s="88" t="s">
        <v>97</v>
      </c>
      <c r="C97" s="83"/>
      <c r="D97" s="83"/>
      <c r="E97" s="83"/>
      <c r="F97" s="87"/>
      <c r="G97" s="83"/>
      <c r="H97" s="83"/>
      <c r="I97" s="116"/>
    </row>
    <row r="98" spans="2:9" ht="15">
      <c r="B98" s="88"/>
      <c r="C98" s="83"/>
      <c r="D98" s="83"/>
      <c r="E98" s="83"/>
      <c r="F98" s="87"/>
      <c r="G98" s="83"/>
      <c r="H98" s="83"/>
      <c r="I98" s="116"/>
    </row>
    <row r="99" spans="2:10" ht="15">
      <c r="B99" s="104" t="s">
        <v>98</v>
      </c>
      <c r="C99" s="83"/>
      <c r="D99" s="83"/>
      <c r="E99" s="83"/>
      <c r="F99" s="100">
        <v>0.096</v>
      </c>
      <c r="G99" s="89" t="s">
        <v>91</v>
      </c>
      <c r="H99" s="83"/>
      <c r="I99" s="117" t="e">
        <f>VLOOKUP($B$5,ComData!$B$15:$FH$195,25,FALSE)</f>
        <v>#N/A</v>
      </c>
      <c r="J99" s="102"/>
    </row>
    <row r="100" spans="2:9" ht="15">
      <c r="B100" s="88"/>
      <c r="C100" s="83"/>
      <c r="D100" s="83"/>
      <c r="E100" s="83"/>
      <c r="F100" s="87"/>
      <c r="G100" s="83"/>
      <c r="H100" s="83"/>
      <c r="I100" s="116"/>
    </row>
    <row r="101" spans="2:9" ht="15">
      <c r="B101" s="104" t="s">
        <v>99</v>
      </c>
      <c r="C101" s="83"/>
      <c r="D101" s="83"/>
      <c r="E101" s="83"/>
      <c r="F101" s="87"/>
      <c r="G101" s="83"/>
      <c r="H101" s="83"/>
      <c r="I101" s="118" t="e">
        <f>VLOOKUP($B$5,ComData!$B$15:$FH$195,26,FALSE)</f>
        <v>#N/A</v>
      </c>
    </row>
    <row r="102" spans="2:9" ht="15">
      <c r="B102" s="88"/>
      <c r="C102" s="83"/>
      <c r="D102" s="83"/>
      <c r="E102" s="83"/>
      <c r="F102" s="87"/>
      <c r="G102" s="83"/>
      <c r="H102" s="83"/>
      <c r="I102" s="116"/>
    </row>
    <row r="103" spans="2:9" ht="15">
      <c r="B103" s="88" t="s">
        <v>100</v>
      </c>
      <c r="C103" s="83"/>
      <c r="D103" s="83"/>
      <c r="E103" s="83"/>
      <c r="F103" s="87"/>
      <c r="G103" s="83"/>
      <c r="H103" s="83"/>
      <c r="I103" s="109" t="e">
        <f>VLOOKUP($B$5,ComData!$B$15:$FH$195,27,FALSE)</f>
        <v>#N/A</v>
      </c>
    </row>
    <row r="104" spans="2:9" ht="15">
      <c r="B104" s="88"/>
      <c r="C104" s="83"/>
      <c r="D104" s="83"/>
      <c r="E104" s="83"/>
      <c r="F104" s="87"/>
      <c r="G104" s="83"/>
      <c r="H104" s="83"/>
      <c r="I104" s="116"/>
    </row>
    <row r="105" spans="2:10" ht="15">
      <c r="B105" s="88" t="s">
        <v>95</v>
      </c>
      <c r="C105" s="83"/>
      <c r="D105" s="83"/>
      <c r="E105" s="83"/>
      <c r="F105" s="87"/>
      <c r="G105" s="83"/>
      <c r="H105" s="83"/>
      <c r="I105" s="109">
        <f>ComData!AB12</f>
        <v>0.08204038565895708</v>
      </c>
      <c r="J105" s="120"/>
    </row>
    <row r="106" spans="2:9" ht="15">
      <c r="B106" s="88"/>
      <c r="C106" s="83"/>
      <c r="D106" s="83"/>
      <c r="E106" s="83"/>
      <c r="F106" s="87"/>
      <c r="G106" s="83"/>
      <c r="H106" s="83"/>
      <c r="I106" s="116"/>
    </row>
    <row r="107" spans="2:10" ht="15">
      <c r="B107" s="104" t="s">
        <v>101</v>
      </c>
      <c r="C107" s="83"/>
      <c r="D107" s="83"/>
      <c r="E107" s="83"/>
      <c r="F107" s="87"/>
      <c r="G107" s="83"/>
      <c r="H107" s="83"/>
      <c r="I107" s="121" t="e">
        <f>VLOOKUP($B$5,ComData!$B$15:$FH$195,28,FALSE)</f>
        <v>#N/A</v>
      </c>
      <c r="J107" s="122"/>
    </row>
    <row r="108" spans="2:10" ht="15">
      <c r="B108" s="88"/>
      <c r="C108" s="83"/>
      <c r="D108" s="83"/>
      <c r="E108" s="83"/>
      <c r="F108" s="87"/>
      <c r="G108" s="83"/>
      <c r="H108" s="83"/>
      <c r="I108" s="116"/>
      <c r="J108" s="123"/>
    </row>
    <row r="109" spans="2:9" ht="15">
      <c r="B109" s="104" t="s">
        <v>102</v>
      </c>
      <c r="C109" s="83"/>
      <c r="D109" s="83"/>
      <c r="E109" s="83"/>
      <c r="F109" s="87"/>
      <c r="G109" s="83"/>
      <c r="H109" s="83"/>
      <c r="I109" s="121" t="e">
        <f>VLOOKUP($B$5,ComData!$B$15:$FH$195,29,FALSE)</f>
        <v>#N/A</v>
      </c>
    </row>
    <row r="110" spans="2:9" ht="15">
      <c r="B110" s="88"/>
      <c r="C110" s="83"/>
      <c r="D110" s="83"/>
      <c r="E110" s="83"/>
      <c r="F110" s="87"/>
      <c r="G110" s="83"/>
      <c r="H110" s="83"/>
      <c r="I110" s="84"/>
    </row>
    <row r="111" spans="2:9" ht="16.5" thickBot="1">
      <c r="B111" s="93" t="s">
        <v>103</v>
      </c>
      <c r="C111" s="94"/>
      <c r="D111" s="94"/>
      <c r="E111" s="94"/>
      <c r="F111" s="95"/>
      <c r="G111" s="94"/>
      <c r="H111" s="94"/>
      <c r="I111" s="97" t="e">
        <f>VLOOKUP($B$5,ComData!$B$15:$FH$195,30,FALSE)</f>
        <v>#N/A</v>
      </c>
    </row>
    <row r="112" spans="2:9" ht="15">
      <c r="B112" s="88"/>
      <c r="C112" s="83"/>
      <c r="D112" s="83"/>
      <c r="E112" s="83"/>
      <c r="F112" s="87"/>
      <c r="G112" s="83"/>
      <c r="H112" s="83"/>
      <c r="I112" s="84"/>
    </row>
    <row r="113" spans="2:9" ht="18">
      <c r="B113" s="99" t="s">
        <v>104</v>
      </c>
      <c r="C113" s="83"/>
      <c r="D113" s="83"/>
      <c r="E113" s="83"/>
      <c r="F113" s="87"/>
      <c r="G113" s="83"/>
      <c r="H113" s="83"/>
      <c r="I113" s="115"/>
    </row>
    <row r="114" spans="2:9" ht="15">
      <c r="B114" s="88"/>
      <c r="C114" s="83"/>
      <c r="D114" s="83"/>
      <c r="E114" s="83"/>
      <c r="F114" s="87"/>
      <c r="G114" s="83"/>
      <c r="H114" s="83"/>
      <c r="I114" s="116"/>
    </row>
    <row r="115" spans="2:9" ht="15">
      <c r="B115" s="88" t="s">
        <v>105</v>
      </c>
      <c r="C115" s="83"/>
      <c r="D115" s="83"/>
      <c r="E115" s="83"/>
      <c r="F115" s="87"/>
      <c r="G115" s="83"/>
      <c r="H115" s="83"/>
      <c r="I115" s="116"/>
    </row>
    <row r="116" spans="2:9" ht="15">
      <c r="B116" s="88"/>
      <c r="C116" s="83"/>
      <c r="D116" s="83"/>
      <c r="E116" s="83"/>
      <c r="F116" s="87"/>
      <c r="G116" s="83"/>
      <c r="H116" s="83"/>
      <c r="I116" s="116"/>
    </row>
    <row r="117" spans="2:9" ht="15">
      <c r="B117" s="88" t="s">
        <v>106</v>
      </c>
      <c r="C117" s="83"/>
      <c r="D117" s="83"/>
      <c r="E117" s="83"/>
      <c r="F117" s="87"/>
      <c r="G117" s="83"/>
      <c r="H117" s="83"/>
      <c r="I117" s="121" t="e">
        <f>VLOOKUP($B$5,ComData!$B$15:$FH$195,31,FALSE)</f>
        <v>#N/A</v>
      </c>
    </row>
    <row r="118" spans="2:9" ht="15">
      <c r="B118" s="88"/>
      <c r="C118" s="83"/>
      <c r="D118" s="83"/>
      <c r="E118" s="83"/>
      <c r="F118" s="87"/>
      <c r="G118" s="83"/>
      <c r="H118" s="83"/>
      <c r="I118" s="116"/>
    </row>
    <row r="119" spans="2:9" ht="15">
      <c r="B119" s="88" t="s">
        <v>107</v>
      </c>
      <c r="C119" s="83"/>
      <c r="D119" s="83"/>
      <c r="E119" s="83"/>
      <c r="F119" s="87"/>
      <c r="G119" s="83"/>
      <c r="H119" s="83"/>
      <c r="I119" s="116"/>
    </row>
    <row r="120" spans="2:9" ht="15">
      <c r="B120" s="88"/>
      <c r="C120" s="83"/>
      <c r="D120" s="83"/>
      <c r="E120" s="83"/>
      <c r="F120" s="87"/>
      <c r="G120" s="83"/>
      <c r="H120" s="83"/>
      <c r="I120" s="116"/>
    </row>
    <row r="121" spans="2:9" ht="15">
      <c r="B121" s="104" t="s">
        <v>108</v>
      </c>
      <c r="C121" s="83"/>
      <c r="D121" s="83"/>
      <c r="E121" s="83"/>
      <c r="F121" s="87"/>
      <c r="G121" s="83"/>
      <c r="H121" s="83"/>
      <c r="I121" s="118" t="e">
        <f>VLOOKUP($B$5,ComData!$B$15:$FH$195,32,FALSE)</f>
        <v>#N/A</v>
      </c>
    </row>
    <row r="122" spans="2:9" ht="15">
      <c r="B122" s="88"/>
      <c r="C122" s="83"/>
      <c r="D122" s="83"/>
      <c r="E122" s="83"/>
      <c r="F122" s="87"/>
      <c r="G122" s="83"/>
      <c r="H122" s="83"/>
      <c r="I122" s="116"/>
    </row>
    <row r="123" spans="2:9" ht="15">
      <c r="B123" s="88" t="s">
        <v>109</v>
      </c>
      <c r="C123" s="83"/>
      <c r="D123" s="83"/>
      <c r="E123" s="83"/>
      <c r="F123" s="124">
        <v>1</v>
      </c>
      <c r="G123" s="83"/>
      <c r="H123" s="83"/>
      <c r="I123" s="116"/>
    </row>
    <row r="124" spans="2:9" ht="15">
      <c r="B124" s="88" t="s">
        <v>110</v>
      </c>
      <c r="C124" s="83"/>
      <c r="D124" s="83"/>
      <c r="E124" s="83"/>
      <c r="F124" s="87">
        <v>25</v>
      </c>
      <c r="G124" s="83" t="s">
        <v>111</v>
      </c>
      <c r="H124" s="83"/>
      <c r="I124" s="116"/>
    </row>
    <row r="125" spans="2:9" ht="15">
      <c r="B125" s="88" t="s">
        <v>112</v>
      </c>
      <c r="C125" s="83"/>
      <c r="D125" s="83"/>
      <c r="E125" s="83"/>
      <c r="F125" s="87"/>
      <c r="G125" s="83"/>
      <c r="H125" s="83"/>
      <c r="I125" s="116"/>
    </row>
    <row r="126" spans="2:9" ht="15">
      <c r="B126" s="88"/>
      <c r="C126" s="83"/>
      <c r="D126" s="83"/>
      <c r="E126" s="83"/>
      <c r="F126" s="87"/>
      <c r="G126" s="83"/>
      <c r="H126" s="83"/>
      <c r="I126" s="116"/>
    </row>
    <row r="127" spans="2:9" ht="15">
      <c r="B127" s="88" t="s">
        <v>109</v>
      </c>
      <c r="C127" s="83"/>
      <c r="D127" s="83"/>
      <c r="E127" s="83"/>
      <c r="F127" s="124">
        <v>0.75</v>
      </c>
      <c r="G127" s="83"/>
      <c r="H127" s="83"/>
      <c r="I127" s="116"/>
    </row>
    <row r="128" spans="2:9" ht="15">
      <c r="B128" s="88" t="s">
        <v>110</v>
      </c>
      <c r="C128" s="83"/>
      <c r="D128" s="83"/>
      <c r="E128" s="83"/>
      <c r="F128" s="87">
        <v>50</v>
      </c>
      <c r="G128" s="83" t="s">
        <v>111</v>
      </c>
      <c r="H128" s="83"/>
      <c r="I128" s="116"/>
    </row>
    <row r="129" spans="2:9" ht="15">
      <c r="B129" s="88" t="s">
        <v>112</v>
      </c>
      <c r="C129" s="83"/>
      <c r="D129" s="83"/>
      <c r="E129" s="83"/>
      <c r="F129" s="87"/>
      <c r="G129" s="83"/>
      <c r="H129" s="83"/>
      <c r="I129" s="116"/>
    </row>
    <row r="130" spans="2:9" ht="15">
      <c r="B130" s="88"/>
      <c r="C130" s="83"/>
      <c r="D130" s="83"/>
      <c r="E130" s="83"/>
      <c r="F130" s="87"/>
      <c r="G130" s="83"/>
      <c r="H130" s="83"/>
      <c r="I130" s="116"/>
    </row>
    <row r="131" spans="2:9" ht="15">
      <c r="B131" s="88" t="s">
        <v>109</v>
      </c>
      <c r="C131" s="83"/>
      <c r="D131" s="83"/>
      <c r="E131" s="83"/>
      <c r="F131" s="124">
        <v>0.5</v>
      </c>
      <c r="G131" s="83"/>
      <c r="H131" s="83"/>
      <c r="I131" s="116"/>
    </row>
    <row r="132" spans="2:9" ht="15">
      <c r="B132" s="88" t="s">
        <v>110</v>
      </c>
      <c r="C132" s="83"/>
      <c r="D132" s="83"/>
      <c r="E132" s="83"/>
      <c r="F132" s="87">
        <v>75</v>
      </c>
      <c r="G132" s="83" t="s">
        <v>111</v>
      </c>
      <c r="H132" s="83"/>
      <c r="I132" s="116"/>
    </row>
    <row r="133" spans="2:9" ht="15">
      <c r="B133" s="88" t="s">
        <v>112</v>
      </c>
      <c r="C133" s="83"/>
      <c r="D133" s="83"/>
      <c r="E133" s="83"/>
      <c r="F133" s="87"/>
      <c r="G133" s="83"/>
      <c r="H133" s="83"/>
      <c r="I133" s="116"/>
    </row>
    <row r="134" spans="2:9" ht="15">
      <c r="B134" s="88"/>
      <c r="C134" s="83"/>
      <c r="D134" s="83"/>
      <c r="E134" s="83"/>
      <c r="F134" s="87"/>
      <c r="G134" s="83"/>
      <c r="H134" s="83"/>
      <c r="I134" s="116"/>
    </row>
    <row r="135" spans="2:9" ht="15">
      <c r="B135" s="88" t="s">
        <v>109</v>
      </c>
      <c r="C135" s="83"/>
      <c r="D135" s="83"/>
      <c r="E135" s="83"/>
      <c r="F135" s="124">
        <v>0.25</v>
      </c>
      <c r="G135" s="83"/>
      <c r="H135" s="83"/>
      <c r="I135" s="116"/>
    </row>
    <row r="136" spans="2:9" ht="15">
      <c r="B136" s="88" t="s">
        <v>110</v>
      </c>
      <c r="C136" s="83"/>
      <c r="D136" s="83"/>
      <c r="E136" s="83"/>
      <c r="F136" s="87">
        <v>100</v>
      </c>
      <c r="G136" s="83" t="s">
        <v>111</v>
      </c>
      <c r="H136" s="83"/>
      <c r="I136" s="116"/>
    </row>
    <row r="137" spans="2:9" ht="15">
      <c r="B137" s="88" t="s">
        <v>112</v>
      </c>
      <c r="C137" s="83"/>
      <c r="D137" s="83"/>
      <c r="E137" s="83"/>
      <c r="F137" s="87"/>
      <c r="G137" s="83"/>
      <c r="H137" s="83"/>
      <c r="I137" s="116"/>
    </row>
    <row r="138" spans="2:9" ht="15">
      <c r="B138" s="88"/>
      <c r="C138" s="83"/>
      <c r="D138" s="83"/>
      <c r="E138" s="83"/>
      <c r="F138" s="87"/>
      <c r="G138" s="83"/>
      <c r="H138" s="83"/>
      <c r="I138" s="116"/>
    </row>
    <row r="139" spans="2:9" ht="15">
      <c r="B139" s="88" t="s">
        <v>113</v>
      </c>
      <c r="C139" s="83"/>
      <c r="D139" s="83"/>
      <c r="E139" s="83"/>
      <c r="F139" s="87">
        <v>0</v>
      </c>
      <c r="G139" s="83"/>
      <c r="H139" s="83"/>
      <c r="I139" s="116"/>
    </row>
    <row r="140" spans="2:9" ht="15">
      <c r="B140" s="88"/>
      <c r="C140" s="83"/>
      <c r="D140" s="83"/>
      <c r="E140" s="83"/>
      <c r="F140" s="87"/>
      <c r="G140" s="83"/>
      <c r="H140" s="83"/>
      <c r="I140" s="116"/>
    </row>
    <row r="141" spans="2:9" ht="15">
      <c r="B141" s="88"/>
      <c r="C141" s="83"/>
      <c r="D141" s="83"/>
      <c r="E141" s="83"/>
      <c r="F141" s="87"/>
      <c r="G141" s="83"/>
      <c r="H141" s="83"/>
      <c r="I141" s="115"/>
    </row>
    <row r="142" spans="2:9" ht="15">
      <c r="B142" s="104" t="s">
        <v>114</v>
      </c>
      <c r="C142" s="83"/>
      <c r="D142" s="83"/>
      <c r="E142" s="83"/>
      <c r="F142" s="87"/>
      <c r="G142" s="83"/>
      <c r="H142" s="83"/>
      <c r="I142" s="121"/>
    </row>
    <row r="143" spans="2:9" ht="15">
      <c r="B143" s="88"/>
      <c r="C143" s="83"/>
      <c r="D143" s="83"/>
      <c r="E143" s="83"/>
      <c r="F143" s="87"/>
      <c r="G143" s="83"/>
      <c r="H143" s="83"/>
      <c r="I143" s="116"/>
    </row>
    <row r="144" spans="2:10" ht="15">
      <c r="B144" s="104" t="s">
        <v>115</v>
      </c>
      <c r="C144" s="83"/>
      <c r="D144" s="83"/>
      <c r="E144" s="83"/>
      <c r="F144" s="125">
        <v>85</v>
      </c>
      <c r="G144" s="83"/>
      <c r="H144" s="83"/>
      <c r="I144" s="117" t="e">
        <f>($F$144*($F$146*$H$11)+(($F$148*$F$150*$H$11*($I$154/$I$157))))</f>
        <v>#N/A</v>
      </c>
      <c r="J144" s="126"/>
    </row>
    <row r="145" spans="2:9" ht="15">
      <c r="B145" s="88"/>
      <c r="C145" s="83"/>
      <c r="D145" s="83"/>
      <c r="E145" s="83"/>
      <c r="F145" s="87"/>
      <c r="G145" s="83"/>
      <c r="H145" s="83"/>
      <c r="I145" s="116"/>
    </row>
    <row r="146" spans="2:9" ht="15">
      <c r="B146" s="88" t="s">
        <v>116</v>
      </c>
      <c r="C146" s="83"/>
      <c r="D146" s="83"/>
      <c r="E146" s="83"/>
      <c r="F146" s="107">
        <v>0.1</v>
      </c>
      <c r="G146" s="89" t="s">
        <v>117</v>
      </c>
      <c r="H146" s="83"/>
      <c r="I146" s="116"/>
    </row>
    <row r="147" spans="2:9" ht="15">
      <c r="B147" s="88"/>
      <c r="C147" s="83"/>
      <c r="D147" s="83"/>
      <c r="E147" s="83"/>
      <c r="F147" s="127"/>
      <c r="G147" s="83"/>
      <c r="H147" s="83"/>
      <c r="I147" s="116"/>
    </row>
    <row r="148" spans="2:9" ht="15">
      <c r="B148" s="104" t="s">
        <v>118</v>
      </c>
      <c r="C148" s="83"/>
      <c r="D148" s="83"/>
      <c r="E148" s="83"/>
      <c r="F148" s="125">
        <v>85</v>
      </c>
      <c r="G148" s="83"/>
      <c r="H148" s="83"/>
      <c r="I148" s="116"/>
    </row>
    <row r="149" spans="2:9" ht="15">
      <c r="B149" s="88"/>
      <c r="C149" s="83"/>
      <c r="D149" s="83"/>
      <c r="E149" s="83"/>
      <c r="F149" s="87"/>
      <c r="G149" s="83"/>
      <c r="H149" s="83"/>
      <c r="I149" s="116"/>
    </row>
    <row r="150" spans="2:9" ht="15">
      <c r="B150" s="88" t="s">
        <v>116</v>
      </c>
      <c r="C150" s="83"/>
      <c r="D150" s="83"/>
      <c r="E150" s="83"/>
      <c r="F150" s="107">
        <v>0.9</v>
      </c>
      <c r="G150" s="89" t="s">
        <v>117</v>
      </c>
      <c r="H150" s="83"/>
      <c r="I150" s="116"/>
    </row>
    <row r="151" spans="2:9" ht="15">
      <c r="B151" s="88"/>
      <c r="C151" s="83"/>
      <c r="D151" s="83"/>
      <c r="E151" s="83"/>
      <c r="F151" s="87"/>
      <c r="G151" s="83"/>
      <c r="H151" s="83"/>
      <c r="I151" s="116"/>
    </row>
    <row r="152" spans="2:9" ht="15">
      <c r="B152" s="104" t="s">
        <v>119</v>
      </c>
      <c r="C152" s="83"/>
      <c r="D152" s="83"/>
      <c r="E152" s="83"/>
      <c r="F152" s="87"/>
      <c r="G152" s="83"/>
      <c r="H152" s="83"/>
      <c r="I152" s="119" t="e">
        <f>VLOOKUP($B$5,ComData!$B$15:$FH$195,33,FALSE)</f>
        <v>#N/A</v>
      </c>
    </row>
    <row r="153" spans="2:9" ht="15">
      <c r="B153" s="88"/>
      <c r="C153" s="83"/>
      <c r="D153" s="83"/>
      <c r="E153" s="83"/>
      <c r="F153" s="87"/>
      <c r="G153" s="83"/>
      <c r="H153" s="83"/>
      <c r="I153" s="116"/>
    </row>
    <row r="154" spans="2:9" ht="15">
      <c r="B154" s="104" t="s">
        <v>120</v>
      </c>
      <c r="C154" s="83"/>
      <c r="D154" s="83"/>
      <c r="E154" s="83"/>
      <c r="F154" s="87"/>
      <c r="G154" s="83"/>
      <c r="H154" s="83"/>
      <c r="I154" s="119" t="e">
        <f>VLOOKUP($B$5,ComData!$B$15:$FH$195,34,FALSE)</f>
        <v>#N/A</v>
      </c>
    </row>
    <row r="155" spans="2:9" ht="15">
      <c r="B155" s="88" t="s">
        <v>121</v>
      </c>
      <c r="C155" s="83"/>
      <c r="D155" s="83"/>
      <c r="E155" s="83"/>
      <c r="F155" s="87"/>
      <c r="G155" s="83"/>
      <c r="H155" s="83"/>
      <c r="I155" s="116"/>
    </row>
    <row r="156" spans="2:9" ht="15">
      <c r="B156" s="88"/>
      <c r="C156" s="83"/>
      <c r="D156" s="83"/>
      <c r="E156" s="83"/>
      <c r="F156" s="87"/>
      <c r="G156" s="83"/>
      <c r="H156" s="83"/>
      <c r="I156" s="116"/>
    </row>
    <row r="157" spans="2:9" ht="15">
      <c r="B157" s="104" t="s">
        <v>122</v>
      </c>
      <c r="C157" s="83"/>
      <c r="D157" s="83"/>
      <c r="E157" s="83"/>
      <c r="F157" s="87"/>
      <c r="G157" s="83"/>
      <c r="H157" s="83"/>
      <c r="I157" s="128">
        <f>ComData!AI12</f>
        <v>0.8421099185943604</v>
      </c>
    </row>
    <row r="158" spans="2:9" ht="15">
      <c r="B158" s="88"/>
      <c r="C158" s="83"/>
      <c r="D158" s="83"/>
      <c r="E158" s="83"/>
      <c r="F158" s="87"/>
      <c r="G158" s="83"/>
      <c r="H158" s="83"/>
      <c r="I158" s="116"/>
    </row>
    <row r="159" spans="2:9" ht="15">
      <c r="B159" s="88"/>
      <c r="C159" s="83"/>
      <c r="D159" s="83"/>
      <c r="E159" s="83"/>
      <c r="F159" s="87"/>
      <c r="G159" s="83"/>
      <c r="H159" s="83"/>
      <c r="I159" s="84"/>
    </row>
    <row r="160" spans="2:9" ht="16.5" thickBot="1">
      <c r="B160" s="93" t="s">
        <v>123</v>
      </c>
      <c r="C160" s="94"/>
      <c r="D160" s="94"/>
      <c r="E160" s="94"/>
      <c r="F160" s="95"/>
      <c r="G160" s="94"/>
      <c r="H160" s="94"/>
      <c r="I160" s="97" t="e">
        <f>VLOOKUP($B$5,ComData!$B$15:$FH$195,35,FALSE)</f>
        <v>#N/A</v>
      </c>
    </row>
    <row r="161" spans="2:9" ht="15">
      <c r="B161" s="88"/>
      <c r="C161" s="83"/>
      <c r="D161" s="83"/>
      <c r="E161" s="83"/>
      <c r="F161" s="87"/>
      <c r="G161" s="83"/>
      <c r="H161" s="83"/>
      <c r="I161" s="84"/>
    </row>
    <row r="162" spans="2:9" ht="18">
      <c r="B162" s="99" t="s">
        <v>124</v>
      </c>
      <c r="C162" s="83"/>
      <c r="D162" s="83"/>
      <c r="E162" s="83"/>
      <c r="F162" s="87"/>
      <c r="G162" s="83"/>
      <c r="H162" s="83"/>
      <c r="I162" s="110"/>
    </row>
    <row r="163" spans="2:9" ht="15">
      <c r="B163" s="88"/>
      <c r="C163" s="83"/>
      <c r="D163" s="83"/>
      <c r="E163" s="83"/>
      <c r="F163" s="87"/>
      <c r="G163" s="83"/>
      <c r="H163" s="83"/>
      <c r="I163" s="84"/>
    </row>
    <row r="164" spans="2:10" ht="15">
      <c r="B164" s="88" t="s">
        <v>125</v>
      </c>
      <c r="C164" s="83"/>
      <c r="D164" s="83"/>
      <c r="E164" s="83"/>
      <c r="F164" s="87"/>
      <c r="G164" s="83"/>
      <c r="H164" s="83"/>
      <c r="I164" s="119" t="e">
        <f>VLOOKUP($B$5,ComData!$B$15:$FH$195,36,FALSE)</f>
        <v>#N/A</v>
      </c>
      <c r="J164" s="102"/>
    </row>
    <row r="165" spans="2:9" ht="15">
      <c r="B165" s="88"/>
      <c r="C165" s="83"/>
      <c r="D165" s="83"/>
      <c r="E165" s="83"/>
      <c r="F165" s="87"/>
      <c r="G165" s="83"/>
      <c r="H165" s="83"/>
      <c r="I165" s="84"/>
    </row>
    <row r="166" spans="2:9" ht="16.5" thickBot="1">
      <c r="B166" s="93" t="s">
        <v>126</v>
      </c>
      <c r="C166" s="94"/>
      <c r="D166" s="94"/>
      <c r="E166" s="94"/>
      <c r="F166" s="95"/>
      <c r="G166" s="94"/>
      <c r="H166" s="94"/>
      <c r="I166" s="97" t="e">
        <f>VLOOKUP($B$5,ComData!$B$15:$FH$195,37,FALSE)</f>
        <v>#N/A</v>
      </c>
    </row>
    <row r="167" spans="2:9" ht="15">
      <c r="B167" s="88"/>
      <c r="C167" s="83"/>
      <c r="D167" s="83"/>
      <c r="E167" s="83"/>
      <c r="F167" s="87"/>
      <c r="G167" s="83"/>
      <c r="H167" s="83"/>
      <c r="I167" s="84"/>
    </row>
    <row r="168" spans="2:9" ht="18">
      <c r="B168" s="99" t="s">
        <v>127</v>
      </c>
      <c r="C168" s="83"/>
      <c r="D168" s="83"/>
      <c r="E168" s="83"/>
      <c r="F168" s="87"/>
      <c r="G168" s="83"/>
      <c r="H168" s="83"/>
      <c r="I168" s="110"/>
    </row>
    <row r="169" spans="2:9" ht="15">
      <c r="B169" s="88"/>
      <c r="C169" s="83"/>
      <c r="D169" s="83"/>
      <c r="E169" s="83"/>
      <c r="F169" s="87"/>
      <c r="G169" s="83"/>
      <c r="H169" s="83"/>
      <c r="I169" s="84"/>
    </row>
    <row r="170" spans="2:9" ht="15">
      <c r="B170" s="88" t="s">
        <v>128</v>
      </c>
      <c r="C170" s="83"/>
      <c r="D170" s="83"/>
      <c r="E170" s="83"/>
      <c r="F170" s="87"/>
      <c r="G170" s="83"/>
      <c r="H170" s="83"/>
      <c r="I170" s="84"/>
    </row>
    <row r="171" spans="2:9" ht="15">
      <c r="B171" s="88"/>
      <c r="C171" s="83"/>
      <c r="D171" s="83"/>
      <c r="E171" s="83"/>
      <c r="F171" s="87"/>
      <c r="G171" s="83"/>
      <c r="H171" s="83"/>
      <c r="I171" s="84"/>
    </row>
    <row r="172" spans="2:9" ht="15">
      <c r="B172" s="88" t="s">
        <v>129</v>
      </c>
      <c r="C172" s="83"/>
      <c r="D172" s="83"/>
      <c r="E172" s="83"/>
      <c r="F172" s="87"/>
      <c r="G172" s="83"/>
      <c r="H172" s="83"/>
      <c r="I172" s="128">
        <f>ComData!$K$4</f>
        <v>2.2287655560469557</v>
      </c>
    </row>
    <row r="173" spans="2:9" ht="15">
      <c r="B173" s="88"/>
      <c r="C173" s="83"/>
      <c r="D173" s="83"/>
      <c r="E173" s="83"/>
      <c r="F173" s="87"/>
      <c r="G173" s="83"/>
      <c r="H173" s="83"/>
      <c r="I173" s="116"/>
    </row>
    <row r="174" spans="2:9" ht="15">
      <c r="B174" s="88" t="s">
        <v>130</v>
      </c>
      <c r="C174" s="83"/>
      <c r="D174" s="83"/>
      <c r="E174" s="83"/>
      <c r="F174" s="87"/>
      <c r="G174" s="83"/>
      <c r="H174" s="83"/>
      <c r="I174" s="116"/>
    </row>
    <row r="175" spans="2:10" ht="15">
      <c r="B175" s="88"/>
      <c r="C175" s="83"/>
      <c r="D175" s="83"/>
      <c r="E175" s="83"/>
      <c r="F175" s="87"/>
      <c r="G175" s="83"/>
      <c r="H175" s="83"/>
      <c r="I175" s="115"/>
      <c r="J175" s="102"/>
    </row>
    <row r="176" spans="2:9" ht="15">
      <c r="B176" s="104" t="s">
        <v>131</v>
      </c>
      <c r="C176" s="83"/>
      <c r="D176" s="83"/>
      <c r="E176" s="83"/>
      <c r="F176" s="87"/>
      <c r="G176" s="83"/>
      <c r="H176" s="83"/>
      <c r="I176" s="117">
        <f>ComData!$K$2</f>
        <v>550141962.0581343</v>
      </c>
    </row>
    <row r="177" spans="2:9" ht="15">
      <c r="B177" s="88"/>
      <c r="C177" s="83"/>
      <c r="D177" s="83"/>
      <c r="E177" s="83"/>
      <c r="F177" s="87"/>
      <c r="G177" s="83"/>
      <c r="H177" s="83"/>
      <c r="I177" s="116"/>
    </row>
    <row r="178" spans="2:9" ht="15">
      <c r="B178" s="104" t="s">
        <v>132</v>
      </c>
      <c r="C178" s="83"/>
      <c r="D178" s="83"/>
      <c r="E178" s="83"/>
      <c r="F178" s="87"/>
      <c r="G178" s="83"/>
      <c r="H178" s="83"/>
      <c r="I178" s="117">
        <f>ComData!$K$3</f>
        <v>1226137455.971261</v>
      </c>
    </row>
    <row r="179" spans="2:9" ht="15">
      <c r="B179" s="88"/>
      <c r="C179" s="83"/>
      <c r="D179" s="83"/>
      <c r="E179" s="83"/>
      <c r="F179" s="87"/>
      <c r="G179" s="83"/>
      <c r="H179" s="83"/>
      <c r="I179" s="116"/>
    </row>
    <row r="180" spans="2:9" ht="15">
      <c r="B180" s="104" t="s">
        <v>133</v>
      </c>
      <c r="C180" s="83"/>
      <c r="D180" s="83"/>
      <c r="E180" s="83"/>
      <c r="F180" s="87"/>
      <c r="G180" s="83"/>
      <c r="H180" s="83"/>
      <c r="I180" s="116"/>
    </row>
    <row r="181" spans="2:9" ht="15">
      <c r="B181" s="88"/>
      <c r="C181" s="83"/>
      <c r="D181" s="83"/>
      <c r="E181" s="83"/>
      <c r="F181" s="87"/>
      <c r="G181" s="83"/>
      <c r="H181" s="83"/>
      <c r="I181" s="116"/>
    </row>
    <row r="182" spans="2:9" ht="15">
      <c r="B182" s="88" t="s">
        <v>134</v>
      </c>
      <c r="C182" s="83"/>
      <c r="D182" s="83"/>
      <c r="E182" s="83"/>
      <c r="F182" s="87"/>
      <c r="G182" s="83"/>
      <c r="H182" s="83"/>
      <c r="I182" s="116"/>
    </row>
    <row r="183" spans="2:9" ht="15">
      <c r="B183" s="88"/>
      <c r="C183" s="83"/>
      <c r="D183" s="83"/>
      <c r="E183" s="83"/>
      <c r="F183" s="87"/>
      <c r="G183" s="83"/>
      <c r="H183" s="83"/>
      <c r="I183" s="116"/>
    </row>
    <row r="184" spans="2:9" ht="15">
      <c r="B184" s="88" t="s">
        <v>135</v>
      </c>
      <c r="C184" s="83"/>
      <c r="D184" s="83"/>
      <c r="E184" s="83"/>
      <c r="F184" s="87"/>
      <c r="G184" s="83"/>
      <c r="H184" s="83"/>
      <c r="I184" s="116"/>
    </row>
    <row r="185" spans="2:9" ht="15">
      <c r="B185" s="88"/>
      <c r="C185" s="83"/>
      <c r="D185" s="83"/>
      <c r="E185" s="83"/>
      <c r="F185" s="87"/>
      <c r="G185" s="83"/>
      <c r="H185" s="83"/>
      <c r="I185" s="116"/>
    </row>
    <row r="186" spans="2:9" ht="15">
      <c r="B186" s="88" t="s">
        <v>136</v>
      </c>
      <c r="C186" s="83"/>
      <c r="D186" s="83"/>
      <c r="E186" s="83"/>
      <c r="F186" s="87"/>
      <c r="G186" s="83"/>
      <c r="H186" s="83"/>
      <c r="I186" s="116"/>
    </row>
    <row r="187" spans="2:9" ht="15">
      <c r="B187" s="88"/>
      <c r="C187" s="83"/>
      <c r="D187" s="83"/>
      <c r="E187" s="83"/>
      <c r="F187" s="87"/>
      <c r="G187" s="83"/>
      <c r="H187" s="83"/>
      <c r="I187" s="116"/>
    </row>
    <row r="188" spans="2:9" ht="15">
      <c r="B188" s="104" t="s">
        <v>137</v>
      </c>
      <c r="C188" s="83"/>
      <c r="D188" s="83"/>
      <c r="E188" s="83"/>
      <c r="F188" s="129">
        <v>1</v>
      </c>
      <c r="G188" s="83"/>
      <c r="H188" s="83"/>
      <c r="I188" s="116"/>
    </row>
    <row r="189" spans="2:9" ht="15">
      <c r="B189" s="88"/>
      <c r="C189" s="83"/>
      <c r="D189" s="83"/>
      <c r="E189" s="83"/>
      <c r="F189" s="130"/>
      <c r="G189" s="75"/>
      <c r="H189" s="75"/>
      <c r="I189" s="116"/>
    </row>
    <row r="190" spans="2:9" ht="15">
      <c r="B190" s="88" t="s">
        <v>138</v>
      </c>
      <c r="C190" s="83"/>
      <c r="D190" s="83"/>
      <c r="E190" s="83"/>
      <c r="F190" s="131">
        <f>ComData!N12</f>
        <v>0.019</v>
      </c>
      <c r="G190" s="75"/>
      <c r="H190" s="75"/>
      <c r="I190" s="116"/>
    </row>
    <row r="191" spans="2:9" ht="15">
      <c r="B191" s="88"/>
      <c r="C191" s="83"/>
      <c r="D191" s="83"/>
      <c r="E191" s="83"/>
      <c r="F191" s="130"/>
      <c r="G191" s="75"/>
      <c r="H191" s="75"/>
      <c r="I191" s="116"/>
    </row>
    <row r="192" spans="2:9" ht="15">
      <c r="B192" s="88" t="s">
        <v>139</v>
      </c>
      <c r="C192" s="83"/>
      <c r="D192" s="83"/>
      <c r="E192" s="83"/>
      <c r="F192" s="131">
        <f>ComData!S1</f>
        <v>0</v>
      </c>
      <c r="G192" s="75"/>
      <c r="H192" s="75"/>
      <c r="I192" s="116"/>
    </row>
    <row r="193" spans="2:9" ht="15">
      <c r="B193" s="88"/>
      <c r="C193" s="83"/>
      <c r="D193" s="83"/>
      <c r="E193" s="83"/>
      <c r="F193" s="130"/>
      <c r="G193" s="75"/>
      <c r="H193" s="75"/>
      <c r="I193" s="116"/>
    </row>
    <row r="194" spans="2:9" ht="15">
      <c r="B194" s="88" t="s">
        <v>140</v>
      </c>
      <c r="C194" s="83"/>
      <c r="D194" s="83"/>
      <c r="E194" s="83"/>
      <c r="F194" s="131">
        <v>0</v>
      </c>
      <c r="G194" s="75"/>
      <c r="H194" s="75"/>
      <c r="I194" s="116"/>
    </row>
    <row r="195" spans="2:9" ht="15">
      <c r="B195" s="88"/>
      <c r="C195" s="83"/>
      <c r="D195" s="83"/>
      <c r="E195" s="83"/>
      <c r="F195" s="75"/>
      <c r="G195" s="75"/>
      <c r="H195" s="75"/>
      <c r="I195" s="116"/>
    </row>
    <row r="196" spans="2:9" ht="15">
      <c r="B196" s="88"/>
      <c r="C196" s="83"/>
      <c r="D196" s="83"/>
      <c r="E196" s="83"/>
      <c r="F196" s="75"/>
      <c r="G196" s="75"/>
      <c r="H196" s="75"/>
      <c r="I196" s="116"/>
    </row>
    <row r="197" spans="2:9" ht="15">
      <c r="B197" s="88" t="s">
        <v>141</v>
      </c>
      <c r="C197" s="83"/>
      <c r="D197" s="83"/>
      <c r="E197" s="83"/>
      <c r="F197" s="132">
        <f>SUM(F188:F194)</f>
        <v>1.019</v>
      </c>
      <c r="G197" s="75"/>
      <c r="H197" s="75"/>
      <c r="I197" s="116"/>
    </row>
    <row r="198" spans="2:9" ht="15">
      <c r="B198" s="88"/>
      <c r="C198" s="83"/>
      <c r="D198" s="83"/>
      <c r="E198" s="83"/>
      <c r="F198" s="132"/>
      <c r="G198" s="75"/>
      <c r="H198" s="75"/>
      <c r="I198" s="116"/>
    </row>
    <row r="199" spans="2:9" ht="15">
      <c r="B199" s="88"/>
      <c r="C199" s="83"/>
      <c r="D199" s="83"/>
      <c r="E199" s="83"/>
      <c r="F199" s="129"/>
      <c r="G199" s="83"/>
      <c r="H199" s="83"/>
      <c r="I199" s="110"/>
    </row>
    <row r="200" spans="2:9" ht="16.5" thickBot="1">
      <c r="B200" s="93" t="s">
        <v>142</v>
      </c>
      <c r="C200" s="94"/>
      <c r="D200" s="94"/>
      <c r="E200" s="94"/>
      <c r="F200" s="95"/>
      <c r="G200" s="94"/>
      <c r="H200" s="94"/>
      <c r="I200" s="97" t="e">
        <f>VLOOKUP($B$5,ComData!$B$15:$FH$195,38,FALSE)</f>
        <v>#N/A</v>
      </c>
    </row>
    <row r="201" spans="2:9" ht="15">
      <c r="B201" s="88"/>
      <c r="C201" s="83"/>
      <c r="D201" s="83"/>
      <c r="E201" s="83"/>
      <c r="F201" s="87"/>
      <c r="G201" s="83"/>
      <c r="H201" s="83"/>
      <c r="I201" s="110"/>
    </row>
    <row r="202" spans="2:9" ht="18">
      <c r="B202" s="99" t="s">
        <v>143</v>
      </c>
      <c r="C202" s="83"/>
      <c r="D202" s="83"/>
      <c r="E202" s="83"/>
      <c r="F202" s="87"/>
      <c r="G202" s="83"/>
      <c r="H202" s="83"/>
      <c r="I202" s="115"/>
    </row>
    <row r="203" spans="2:9" ht="15">
      <c r="B203" s="88"/>
      <c r="C203" s="83"/>
      <c r="D203" s="83"/>
      <c r="E203" s="83"/>
      <c r="F203" s="87"/>
      <c r="G203" s="83"/>
      <c r="H203" s="83"/>
      <c r="I203" s="115"/>
    </row>
    <row r="204" spans="2:9" ht="15">
      <c r="B204" s="88" t="s">
        <v>144</v>
      </c>
      <c r="C204" s="83"/>
      <c r="D204" s="83"/>
      <c r="E204" s="83"/>
      <c r="F204" s="87"/>
      <c r="G204" s="83"/>
      <c r="H204" s="83"/>
      <c r="I204" s="115"/>
    </row>
    <row r="205" spans="2:9" ht="15">
      <c r="B205" s="88"/>
      <c r="C205" s="83"/>
      <c r="D205" s="83"/>
      <c r="E205" s="83"/>
      <c r="F205" s="87"/>
      <c r="G205" s="83"/>
      <c r="H205" s="83"/>
      <c r="I205" s="115"/>
    </row>
    <row r="206" spans="2:9" ht="15">
      <c r="B206" s="88" t="str">
        <f>CONCATENATE(TEXT(ComData!$AN$12,"0.00%")," of its Step 7 pot")</f>
        <v>98.78% of its Step 7 pot</v>
      </c>
      <c r="C206" s="83"/>
      <c r="D206" s="83"/>
      <c r="E206" s="83"/>
      <c r="F206" s="87"/>
      <c r="G206" s="83"/>
      <c r="H206" s="83"/>
      <c r="I206" s="117" t="e">
        <f>VLOOKUP($B$5,ComData!$B$15:$FH$195,39,FALSE)</f>
        <v>#N/A</v>
      </c>
    </row>
    <row r="207" spans="2:9" ht="15">
      <c r="B207" s="88"/>
      <c r="C207" s="83"/>
      <c r="D207" s="83"/>
      <c r="E207" s="83"/>
      <c r="F207" s="87"/>
      <c r="G207" s="83"/>
      <c r="H207" s="83"/>
      <c r="I207" s="115"/>
    </row>
    <row r="208" spans="2:9" ht="15">
      <c r="B208" s="88" t="s">
        <v>145</v>
      </c>
      <c r="C208" s="83"/>
      <c r="D208" s="83"/>
      <c r="E208" s="83"/>
      <c r="F208" s="87"/>
      <c r="G208" s="83"/>
      <c r="H208" s="83"/>
      <c r="I208" s="117" t="e">
        <f>VLOOKUP($B$5,ComData!$B$15:$FH$195,40,FALSE)</f>
        <v>#N/A</v>
      </c>
    </row>
    <row r="209" spans="2:9" ht="15">
      <c r="B209" s="88"/>
      <c r="C209" s="83"/>
      <c r="D209" s="83"/>
      <c r="E209" s="83"/>
      <c r="F209" s="87"/>
      <c r="G209" s="83"/>
      <c r="H209" s="83"/>
      <c r="I209" s="117"/>
    </row>
    <row r="210" spans="2:9" ht="15">
      <c r="B210" s="88"/>
      <c r="C210" s="83"/>
      <c r="D210" s="83"/>
      <c r="E210" s="83"/>
      <c r="F210" s="87"/>
      <c r="G210" s="83"/>
      <c r="H210" s="83"/>
      <c r="I210" s="110"/>
    </row>
    <row r="211" spans="2:9" ht="16.5" thickBot="1">
      <c r="B211" s="93" t="s">
        <v>146</v>
      </c>
      <c r="C211" s="94"/>
      <c r="D211" s="94"/>
      <c r="E211" s="94"/>
      <c r="F211" s="95"/>
      <c r="G211" s="94"/>
      <c r="H211" s="94"/>
      <c r="I211" s="97" t="e">
        <f>VLOOKUP($B$5,ComData!$B$15:$FH$195,41,FALSE)</f>
        <v>#N/A</v>
      </c>
    </row>
    <row r="212" spans="2:9" ht="15">
      <c r="B212" s="133"/>
      <c r="C212" s="134"/>
      <c r="D212" s="134"/>
      <c r="E212" s="134"/>
      <c r="F212" s="135"/>
      <c r="G212" s="134"/>
      <c r="H212" s="134"/>
      <c r="I212" s="136"/>
    </row>
    <row r="213" spans="2:9" ht="18">
      <c r="B213" s="99" t="s">
        <v>147</v>
      </c>
      <c r="C213" s="83"/>
      <c r="D213" s="83"/>
      <c r="E213" s="83"/>
      <c r="F213" s="87"/>
      <c r="G213" s="83"/>
      <c r="H213" s="83"/>
      <c r="I213" s="115"/>
    </row>
    <row r="214" spans="2:9" ht="15">
      <c r="B214" s="88"/>
      <c r="C214" s="83"/>
      <c r="D214" s="83"/>
      <c r="E214" s="83"/>
      <c r="F214" s="87"/>
      <c r="G214" s="83"/>
      <c r="H214" s="83"/>
      <c r="I214" s="116"/>
    </row>
    <row r="215" spans="2:9" ht="15">
      <c r="B215" s="88" t="s">
        <v>148</v>
      </c>
      <c r="C215" s="83"/>
      <c r="D215" s="83"/>
      <c r="E215" s="83"/>
      <c r="F215" s="92"/>
      <c r="G215" s="89"/>
      <c r="H215" s="83"/>
      <c r="I215" s="117"/>
    </row>
    <row r="216" spans="2:10" ht="15">
      <c r="B216" s="88" t="s">
        <v>149</v>
      </c>
      <c r="C216" s="83"/>
      <c r="D216" s="83"/>
      <c r="E216" s="83"/>
      <c r="F216" s="92">
        <v>4</v>
      </c>
      <c r="G216" s="89" t="s">
        <v>150</v>
      </c>
      <c r="H216" s="83"/>
      <c r="I216" s="117" t="e">
        <f>VLOOKUP($B$5,ComData!$B$15:$FH$195,42,FALSE)</f>
        <v>#N/A</v>
      </c>
      <c r="J216" s="123"/>
    </row>
    <row r="217" spans="2:9" ht="15">
      <c r="B217" s="88"/>
      <c r="C217" s="83"/>
      <c r="D217" s="83"/>
      <c r="E217" s="83"/>
      <c r="F217" s="87"/>
      <c r="G217" s="89"/>
      <c r="H217" s="83"/>
      <c r="I217" s="84"/>
    </row>
    <row r="218" spans="2:9" ht="16.5" thickBot="1">
      <c r="B218" s="93" t="s">
        <v>151</v>
      </c>
      <c r="C218" s="94"/>
      <c r="D218" s="94"/>
      <c r="E218" s="94"/>
      <c r="F218" s="95"/>
      <c r="G218" s="94"/>
      <c r="H218" s="94"/>
      <c r="I218" s="97" t="e">
        <f>VLOOKUP($B$5,ComData!$B$15:$FH$195,43,FALSE)</f>
        <v>#N/A</v>
      </c>
    </row>
    <row r="219" spans="2:9" ht="15">
      <c r="B219" s="137"/>
      <c r="C219" s="134"/>
      <c r="D219" s="134"/>
      <c r="E219" s="134"/>
      <c r="F219" s="135"/>
      <c r="G219" s="71"/>
      <c r="H219" s="71"/>
      <c r="I219" s="72"/>
    </row>
    <row r="220" spans="2:9" ht="15">
      <c r="B220" s="98"/>
      <c r="C220" s="83"/>
      <c r="D220" s="83"/>
      <c r="E220" s="83"/>
      <c r="F220" s="87"/>
      <c r="G220" s="75"/>
      <c r="H220" s="75"/>
      <c r="I220" s="84"/>
    </row>
    <row r="221" spans="2:9" ht="16.5" thickBot="1">
      <c r="B221" s="138" t="s">
        <v>152</v>
      </c>
      <c r="C221" s="139"/>
      <c r="D221" s="139"/>
      <c r="E221" s="139"/>
      <c r="F221" s="140"/>
      <c r="G221" s="139"/>
      <c r="H221" s="139"/>
      <c r="I221" s="141" t="e">
        <f>VLOOKUP($B$5,ComData!$B$15:$FH$195,43,FALSE)</f>
        <v>#N/A</v>
      </c>
    </row>
    <row r="222" spans="2:9" ht="15">
      <c r="B222" s="88"/>
      <c r="C222" s="83"/>
      <c r="D222" s="83"/>
      <c r="E222" s="83"/>
      <c r="F222" s="92"/>
      <c r="G222" s="75"/>
      <c r="H222" s="75"/>
      <c r="I222" s="84"/>
    </row>
    <row r="223" spans="2:9" ht="16.5" thickBot="1">
      <c r="B223" s="138" t="s">
        <v>153</v>
      </c>
      <c r="C223" s="139"/>
      <c r="D223" s="139"/>
      <c r="E223" s="139"/>
      <c r="F223" s="140"/>
      <c r="G223" s="139"/>
      <c r="H223" s="139"/>
      <c r="I223" s="142" t="e">
        <f>VLOOKUP($B$5,ComData!$B$15:$FH$195,44,FALSE)</f>
        <v>#N/A</v>
      </c>
    </row>
    <row r="224" spans="2:9" ht="15.75" thickBot="1">
      <c r="B224" s="143"/>
      <c r="C224" s="79"/>
      <c r="D224" s="79"/>
      <c r="E224" s="79"/>
      <c r="F224" s="144"/>
      <c r="G224" s="80"/>
      <c r="H224" s="80"/>
      <c r="I224" s="81"/>
    </row>
  </sheetData>
  <mergeCells count="1">
    <mergeCell ref="B5:C5"/>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8">
    <tabColor indexed="15"/>
  </sheetPr>
  <dimension ref="A3:J195"/>
  <sheetViews>
    <sheetView zoomScale="85" zoomScaleNormal="85" workbookViewId="0" topLeftCell="A1">
      <selection activeCell="I15" sqref="I15"/>
    </sheetView>
  </sheetViews>
  <sheetFormatPr defaultColWidth="9.140625" defaultRowHeight="12.75"/>
  <cols>
    <col min="1" max="1" width="9.140625" style="1" customWidth="1"/>
    <col min="2" max="5" width="14.7109375" style="1" customWidth="1"/>
    <col min="6" max="6" width="17.8515625" style="1" customWidth="1"/>
    <col min="7" max="8" width="14.7109375" style="1" customWidth="1"/>
    <col min="9" max="9" width="17.57421875" style="1" customWidth="1"/>
    <col min="10" max="10" width="13.8515625" style="1" bestFit="1" customWidth="1"/>
    <col min="11" max="16384" width="9.140625" style="1" customWidth="1"/>
  </cols>
  <sheetData>
    <row r="2" ht="13.5" thickBot="1"/>
    <row r="3" spans="2:7" ht="18">
      <c r="B3" s="33" t="s">
        <v>154</v>
      </c>
      <c r="C3" s="34"/>
      <c r="D3" s="61"/>
      <c r="E3" s="61"/>
      <c r="F3" s="61"/>
      <c r="G3" s="62"/>
    </row>
    <row r="4" spans="2:7" ht="18.75" thickBot="1">
      <c r="B4" s="36"/>
      <c r="C4" s="37"/>
      <c r="D4" s="64"/>
      <c r="E4" s="64"/>
      <c r="F4" s="64"/>
      <c r="G4" s="65"/>
    </row>
    <row r="5" spans="2:7" ht="18.75" thickBot="1">
      <c r="B5" s="484" t="str">
        <f>name</f>
        <v>Local Authority</v>
      </c>
      <c r="C5" s="485"/>
      <c r="D5" s="64"/>
      <c r="E5" s="64"/>
      <c r="F5" s="64"/>
      <c r="G5" s="65"/>
    </row>
    <row r="6" spans="2:7" ht="12.75">
      <c r="B6" s="63"/>
      <c r="C6" s="64"/>
      <c r="D6" s="64"/>
      <c r="E6" s="64"/>
      <c r="F6" s="64"/>
      <c r="G6" s="65"/>
    </row>
    <row r="7" spans="2:7" ht="13.5" thickBot="1">
      <c r="B7" s="66"/>
      <c r="C7" s="67"/>
      <c r="D7" s="67"/>
      <c r="E7" s="67"/>
      <c r="F7" s="67"/>
      <c r="G7" s="68"/>
    </row>
    <row r="9" ht="13.5" thickBot="1"/>
    <row r="10" spans="2:9" ht="18">
      <c r="B10" s="69" t="s">
        <v>48</v>
      </c>
      <c r="C10" s="70"/>
      <c r="D10" s="70"/>
      <c r="E10" s="70"/>
      <c r="F10" s="71"/>
      <c r="G10" s="70"/>
      <c r="H10" s="70"/>
      <c r="I10" s="72"/>
    </row>
    <row r="11" spans="2:9" ht="15.75">
      <c r="B11" s="73" t="s">
        <v>155</v>
      </c>
      <c r="C11" s="74"/>
      <c r="D11" s="74"/>
      <c r="E11" s="74"/>
      <c r="F11" s="75"/>
      <c r="G11" s="74"/>
      <c r="H11" s="74"/>
      <c r="I11" s="145" t="e">
        <f>VLOOKUP($B$5,ComData!$B$15:$FH$195,45,FALSE)</f>
        <v>#N/A</v>
      </c>
    </row>
    <row r="12" spans="2:9" ht="16.5" thickBot="1">
      <c r="B12" s="78"/>
      <c r="C12" s="79"/>
      <c r="D12" s="79"/>
      <c r="E12" s="79"/>
      <c r="F12" s="80"/>
      <c r="G12" s="79"/>
      <c r="H12" s="79"/>
      <c r="I12" s="81"/>
    </row>
    <row r="13" spans="2:9" ht="18">
      <c r="B13" s="11" t="s">
        <v>156</v>
      </c>
      <c r="C13" s="70"/>
      <c r="D13" s="70"/>
      <c r="E13" s="70"/>
      <c r="F13" s="146"/>
      <c r="G13" s="134"/>
      <c r="H13" s="134"/>
      <c r="I13" s="72"/>
    </row>
    <row r="14" spans="2:9" ht="15.75">
      <c r="B14" s="85"/>
      <c r="C14" s="74"/>
      <c r="D14" s="74"/>
      <c r="E14" s="74"/>
      <c r="F14" s="82"/>
      <c r="G14" s="83"/>
      <c r="H14" s="83"/>
      <c r="I14" s="84"/>
    </row>
    <row r="15" spans="2:9" ht="15.75">
      <c r="B15" s="86" t="s">
        <v>157</v>
      </c>
      <c r="C15" s="83"/>
      <c r="D15" s="83"/>
      <c r="E15" s="83"/>
      <c r="F15" s="87"/>
      <c r="G15" s="83"/>
      <c r="H15" s="83"/>
      <c r="I15" s="84"/>
    </row>
    <row r="16" spans="2:9" ht="15">
      <c r="B16" s="88"/>
      <c r="C16" s="83"/>
      <c r="D16" s="75"/>
      <c r="E16" s="89"/>
      <c r="F16" s="87"/>
      <c r="G16" s="83"/>
      <c r="H16" s="83"/>
      <c r="I16" s="84"/>
    </row>
    <row r="17" spans="2:9" ht="15">
      <c r="B17" s="104" t="s">
        <v>158</v>
      </c>
      <c r="C17" s="83"/>
      <c r="D17" s="83"/>
      <c r="E17" s="83"/>
      <c r="F17" s="90"/>
      <c r="G17" s="83"/>
      <c r="H17" s="83"/>
      <c r="I17" s="84"/>
    </row>
    <row r="18" spans="2:9" ht="15">
      <c r="B18" s="88"/>
      <c r="C18" s="83"/>
      <c r="D18" s="83"/>
      <c r="E18" s="83"/>
      <c r="F18" s="87"/>
      <c r="G18" s="89"/>
      <c r="H18" s="83"/>
      <c r="I18" s="84"/>
    </row>
    <row r="19" spans="2:9" ht="15">
      <c r="B19" s="88" t="s">
        <v>159</v>
      </c>
      <c r="C19" s="83"/>
      <c r="D19" s="83"/>
      <c r="E19" s="83"/>
      <c r="F19" s="90"/>
      <c r="G19" s="83"/>
      <c r="H19" s="83"/>
      <c r="I19" s="84"/>
    </row>
    <row r="20" spans="2:9" ht="15">
      <c r="B20" s="88" t="s">
        <v>160</v>
      </c>
      <c r="C20" s="83"/>
      <c r="D20" s="83"/>
      <c r="E20" s="83"/>
      <c r="F20" s="87"/>
      <c r="G20" s="83"/>
      <c r="H20" s="83"/>
      <c r="I20" s="84"/>
    </row>
    <row r="21" spans="2:9" ht="15">
      <c r="B21" s="88"/>
      <c r="C21" s="83"/>
      <c r="D21" s="83"/>
      <c r="E21" s="83"/>
      <c r="F21" s="87"/>
      <c r="G21" s="83"/>
      <c r="H21" s="83"/>
      <c r="I21" s="84"/>
    </row>
    <row r="22" spans="2:9" ht="15">
      <c r="B22" s="88"/>
      <c r="C22" s="83"/>
      <c r="D22" s="83"/>
      <c r="E22" s="83"/>
      <c r="F22" s="87"/>
      <c r="G22" s="83"/>
      <c r="H22" s="83"/>
      <c r="I22" s="84"/>
    </row>
    <row r="23" spans="2:9" ht="47.25">
      <c r="B23" s="86" t="s">
        <v>161</v>
      </c>
      <c r="C23" s="83"/>
      <c r="D23" s="83"/>
      <c r="E23" s="147" t="s">
        <v>162</v>
      </c>
      <c r="F23" s="147" t="s">
        <v>163</v>
      </c>
      <c r="G23" s="147" t="s">
        <v>164</v>
      </c>
      <c r="H23" s="83" t="s">
        <v>48</v>
      </c>
      <c r="I23" s="148" t="s">
        <v>165</v>
      </c>
    </row>
    <row r="24" spans="2:9" ht="15">
      <c r="B24" s="88"/>
      <c r="C24" s="83"/>
      <c r="D24" s="83"/>
      <c r="E24" s="83"/>
      <c r="F24" s="87"/>
      <c r="G24" s="83"/>
      <c r="H24" s="83"/>
      <c r="I24" s="149"/>
    </row>
    <row r="25" spans="1:9" ht="15.75">
      <c r="A25" s="150">
        <v>46</v>
      </c>
      <c r="B25" s="151" t="s">
        <v>166</v>
      </c>
      <c r="C25" s="83"/>
      <c r="D25" s="83"/>
      <c r="E25" s="152">
        <v>168</v>
      </c>
      <c r="F25" s="153">
        <v>1.14</v>
      </c>
      <c r="G25" s="152">
        <f aca="true" t="shared" si="0" ref="G25:G39">ROUND(E25*F25,0)</f>
        <v>192</v>
      </c>
      <c r="H25" s="154" t="e">
        <f>VLOOKUP($B$5,ComData!$B$15:$FH$195,A25,FALSE)</f>
        <v>#N/A</v>
      </c>
      <c r="I25" s="103" t="e">
        <f aca="true" t="shared" si="1" ref="I25:I39">H25*G25</f>
        <v>#N/A</v>
      </c>
    </row>
    <row r="26" spans="1:9" ht="15.75">
      <c r="A26" s="150">
        <v>47</v>
      </c>
      <c r="B26" s="151" t="s">
        <v>167</v>
      </c>
      <c r="C26" s="83"/>
      <c r="D26" s="83"/>
      <c r="E26" s="152">
        <v>190</v>
      </c>
      <c r="F26" s="155">
        <v>1.64</v>
      </c>
      <c r="G26" s="152">
        <f t="shared" si="0"/>
        <v>312</v>
      </c>
      <c r="H26" s="154" t="e">
        <f>VLOOKUP($B$5,ComData!$B$15:$FH$195,A26,FALSE)</f>
        <v>#N/A</v>
      </c>
      <c r="I26" s="103" t="e">
        <f t="shared" si="1"/>
        <v>#N/A</v>
      </c>
    </row>
    <row r="27" spans="1:9" ht="15.75">
      <c r="A27" s="150">
        <v>48</v>
      </c>
      <c r="B27" s="151" t="s">
        <v>168</v>
      </c>
      <c r="C27" s="83"/>
      <c r="D27" s="83"/>
      <c r="E27" s="152">
        <v>214</v>
      </c>
      <c r="F27" s="155">
        <v>1.15</v>
      </c>
      <c r="G27" s="152">
        <f t="shared" si="0"/>
        <v>246</v>
      </c>
      <c r="H27" s="154" t="e">
        <f>VLOOKUP($B$5,ComData!$B$15:$FH$195,A27,FALSE)</f>
        <v>#N/A</v>
      </c>
      <c r="I27" s="103" t="e">
        <f t="shared" si="1"/>
        <v>#N/A</v>
      </c>
    </row>
    <row r="28" spans="1:9" ht="15.75">
      <c r="A28" s="150">
        <v>49</v>
      </c>
      <c r="B28" s="151" t="s">
        <v>169</v>
      </c>
      <c r="C28" s="83"/>
      <c r="D28" s="83"/>
      <c r="E28" s="152">
        <v>155</v>
      </c>
      <c r="F28" s="155">
        <v>1.16</v>
      </c>
      <c r="G28" s="152">
        <f t="shared" si="0"/>
        <v>180</v>
      </c>
      <c r="H28" s="154" t="e">
        <f>VLOOKUP($B$5,ComData!$B$15:$FH$195,A28,FALSE)</f>
        <v>#N/A</v>
      </c>
      <c r="I28" s="103" t="e">
        <f t="shared" si="1"/>
        <v>#N/A</v>
      </c>
    </row>
    <row r="29" spans="1:9" ht="15.75">
      <c r="A29" s="150">
        <v>50</v>
      </c>
      <c r="B29" s="151" t="s">
        <v>170</v>
      </c>
      <c r="C29" s="83"/>
      <c r="D29" s="83"/>
      <c r="E29" s="152">
        <v>186</v>
      </c>
      <c r="F29" s="155">
        <v>1.28</v>
      </c>
      <c r="G29" s="152">
        <f t="shared" si="0"/>
        <v>238</v>
      </c>
      <c r="H29" s="154" t="e">
        <f>VLOOKUP($B$5,ComData!$B$15:$FH$195,A29,FALSE)</f>
        <v>#N/A</v>
      </c>
      <c r="I29" s="103" t="e">
        <f t="shared" si="1"/>
        <v>#N/A</v>
      </c>
    </row>
    <row r="30" spans="1:9" ht="15.75">
      <c r="A30" s="150">
        <v>51</v>
      </c>
      <c r="B30" s="151" t="s">
        <v>171</v>
      </c>
      <c r="C30" s="83"/>
      <c r="D30" s="83"/>
      <c r="E30" s="152">
        <v>141</v>
      </c>
      <c r="F30" s="155">
        <v>1.21</v>
      </c>
      <c r="G30" s="152">
        <f t="shared" si="0"/>
        <v>171</v>
      </c>
      <c r="H30" s="154" t="e">
        <f>VLOOKUP($B$5,ComData!$B$15:$FH$195,A30,FALSE)</f>
        <v>#N/A</v>
      </c>
      <c r="I30" s="103" t="e">
        <f t="shared" si="1"/>
        <v>#N/A</v>
      </c>
    </row>
    <row r="31" spans="1:9" ht="15.75">
      <c r="A31" s="150">
        <v>52</v>
      </c>
      <c r="B31" s="151" t="s">
        <v>172</v>
      </c>
      <c r="C31" s="83"/>
      <c r="D31" s="83"/>
      <c r="E31" s="152">
        <v>207</v>
      </c>
      <c r="F31" s="155">
        <v>1.23</v>
      </c>
      <c r="G31" s="152">
        <f t="shared" si="0"/>
        <v>255</v>
      </c>
      <c r="H31" s="154" t="e">
        <f>VLOOKUP($B$5,ComData!$B$15:$FH$195,A31,FALSE)</f>
        <v>#N/A</v>
      </c>
      <c r="I31" s="103" t="e">
        <f t="shared" si="1"/>
        <v>#N/A</v>
      </c>
    </row>
    <row r="32" spans="1:9" ht="15.75">
      <c r="A32" s="150">
        <v>53</v>
      </c>
      <c r="B32" s="151" t="s">
        <v>173</v>
      </c>
      <c r="C32" s="83"/>
      <c r="D32" s="83"/>
      <c r="E32" s="152">
        <v>173</v>
      </c>
      <c r="F32" s="155">
        <v>1.3</v>
      </c>
      <c r="G32" s="152">
        <f t="shared" si="0"/>
        <v>225</v>
      </c>
      <c r="H32" s="154" t="e">
        <f>VLOOKUP($B$5,ComData!$B$15:$FH$195,A32,FALSE)</f>
        <v>#N/A</v>
      </c>
      <c r="I32" s="103" t="e">
        <f t="shared" si="1"/>
        <v>#N/A</v>
      </c>
    </row>
    <row r="33" spans="1:9" ht="15.75">
      <c r="A33" s="150">
        <v>54</v>
      </c>
      <c r="B33" s="151" t="s">
        <v>174</v>
      </c>
      <c r="C33" s="75"/>
      <c r="D33" s="75"/>
      <c r="E33" s="152">
        <v>82</v>
      </c>
      <c r="F33" s="155">
        <v>1.44</v>
      </c>
      <c r="G33" s="152">
        <f t="shared" si="0"/>
        <v>118</v>
      </c>
      <c r="H33" s="154" t="e">
        <f>VLOOKUP($B$5,ComData!$B$15:$FH$195,A33,FALSE)</f>
        <v>#N/A</v>
      </c>
      <c r="I33" s="103" t="e">
        <f t="shared" si="1"/>
        <v>#N/A</v>
      </c>
    </row>
    <row r="34" spans="1:9" ht="15.75">
      <c r="A34" s="150">
        <v>55</v>
      </c>
      <c r="B34" s="151" t="s">
        <v>175</v>
      </c>
      <c r="C34" s="83"/>
      <c r="D34" s="83"/>
      <c r="E34" s="152">
        <v>89</v>
      </c>
      <c r="F34" s="155">
        <v>1.44</v>
      </c>
      <c r="G34" s="152">
        <f t="shared" si="0"/>
        <v>128</v>
      </c>
      <c r="H34" s="154" t="e">
        <f>VLOOKUP($B$5,ComData!$B$15:$FH$195,A34,FALSE)</f>
        <v>#N/A</v>
      </c>
      <c r="I34" s="103" t="e">
        <f t="shared" si="1"/>
        <v>#N/A</v>
      </c>
    </row>
    <row r="35" spans="1:9" ht="15.75">
      <c r="A35" s="150">
        <v>56</v>
      </c>
      <c r="B35" s="151" t="s">
        <v>176</v>
      </c>
      <c r="C35" s="83"/>
      <c r="D35" s="83"/>
      <c r="E35" s="152">
        <v>111</v>
      </c>
      <c r="F35" s="155">
        <v>1.72</v>
      </c>
      <c r="G35" s="152">
        <f t="shared" si="0"/>
        <v>191</v>
      </c>
      <c r="H35" s="154" t="e">
        <f>VLOOKUP($B$5,ComData!$B$15:$FH$195,A35,FALSE)</f>
        <v>#N/A</v>
      </c>
      <c r="I35" s="103" t="e">
        <f t="shared" si="1"/>
        <v>#N/A</v>
      </c>
    </row>
    <row r="36" spans="1:9" ht="15.75">
      <c r="A36" s="150">
        <v>57</v>
      </c>
      <c r="B36" s="151" t="s">
        <v>177</v>
      </c>
      <c r="C36" s="83"/>
      <c r="D36" s="83"/>
      <c r="E36" s="152">
        <v>84</v>
      </c>
      <c r="F36" s="155">
        <v>1.72</v>
      </c>
      <c r="G36" s="152">
        <f t="shared" si="0"/>
        <v>144</v>
      </c>
      <c r="H36" s="154" t="e">
        <f>VLOOKUP($B$5,ComData!$B$15:$FH$195,A36,FALSE)</f>
        <v>#N/A</v>
      </c>
      <c r="I36" s="103" t="e">
        <f t="shared" si="1"/>
        <v>#N/A</v>
      </c>
    </row>
    <row r="37" spans="1:9" ht="15.75">
      <c r="A37" s="150">
        <v>58</v>
      </c>
      <c r="B37" s="151" t="s">
        <v>178</v>
      </c>
      <c r="C37" s="83"/>
      <c r="D37" s="83"/>
      <c r="E37" s="152">
        <v>135</v>
      </c>
      <c r="F37" s="155">
        <v>1.71</v>
      </c>
      <c r="G37" s="152">
        <f t="shared" si="0"/>
        <v>231</v>
      </c>
      <c r="H37" s="154" t="e">
        <f>VLOOKUP($B$5,ComData!$B$15:$FH$195,A37,FALSE)</f>
        <v>#N/A</v>
      </c>
      <c r="I37" s="103" t="e">
        <f t="shared" si="1"/>
        <v>#N/A</v>
      </c>
    </row>
    <row r="38" spans="1:9" ht="15.75">
      <c r="A38" s="150">
        <v>59</v>
      </c>
      <c r="B38" s="151" t="s">
        <v>179</v>
      </c>
      <c r="C38" s="83"/>
      <c r="D38" s="83"/>
      <c r="E38" s="152">
        <v>82</v>
      </c>
      <c r="F38" s="155">
        <v>1.44</v>
      </c>
      <c r="G38" s="152">
        <f t="shared" si="0"/>
        <v>118</v>
      </c>
      <c r="H38" s="154" t="e">
        <f>VLOOKUP($B$5,ComData!$B$15:$FH$195,A38,FALSE)</f>
        <v>#N/A</v>
      </c>
      <c r="I38" s="103" t="e">
        <f t="shared" si="1"/>
        <v>#N/A</v>
      </c>
    </row>
    <row r="39" spans="1:9" ht="15.75">
      <c r="A39" s="150">
        <v>60</v>
      </c>
      <c r="B39" s="151" t="s">
        <v>180</v>
      </c>
      <c r="C39" s="83"/>
      <c r="D39" s="83"/>
      <c r="E39" s="152">
        <v>89</v>
      </c>
      <c r="F39" s="155">
        <v>1.44</v>
      </c>
      <c r="G39" s="152">
        <f t="shared" si="0"/>
        <v>128</v>
      </c>
      <c r="H39" s="154" t="e">
        <f>VLOOKUP($B$5,ComData!$B$15:$FH$195,A39,FALSE)</f>
        <v>#N/A</v>
      </c>
      <c r="I39" s="103" t="e">
        <f t="shared" si="1"/>
        <v>#N/A</v>
      </c>
    </row>
    <row r="40" spans="2:9" ht="15">
      <c r="B40" s="88"/>
      <c r="C40" s="83"/>
      <c r="D40" s="83"/>
      <c r="E40" s="83"/>
      <c r="F40" s="87"/>
      <c r="G40" s="83"/>
      <c r="H40" s="83"/>
      <c r="I40" s="84"/>
    </row>
    <row r="41" spans="2:9" ht="15.75">
      <c r="B41" s="88" t="s">
        <v>181</v>
      </c>
      <c r="C41" s="83"/>
      <c r="D41" s="83"/>
      <c r="E41" s="83"/>
      <c r="F41" s="100"/>
      <c r="G41" s="89"/>
      <c r="H41" s="156" t="e">
        <f>SUM(H25:H39)</f>
        <v>#N/A</v>
      </c>
      <c r="I41" s="103" t="e">
        <f>SUM(I25:I39)</f>
        <v>#N/A</v>
      </c>
    </row>
    <row r="42" spans="2:10" ht="15">
      <c r="B42" s="88"/>
      <c r="C42" s="83"/>
      <c r="D42" s="83"/>
      <c r="E42" s="83"/>
      <c r="F42" s="87"/>
      <c r="G42" s="83"/>
      <c r="H42" s="83"/>
      <c r="I42" s="84"/>
      <c r="J42" s="102"/>
    </row>
    <row r="43" spans="2:9" ht="15">
      <c r="B43" s="104" t="s">
        <v>182</v>
      </c>
      <c r="C43" s="83"/>
      <c r="D43" s="83"/>
      <c r="E43" s="83"/>
      <c r="F43" s="87"/>
      <c r="G43" s="83"/>
      <c r="H43" s="83"/>
      <c r="I43" s="157" t="e">
        <f>VLOOKUP($B$5,ComData!$B$15:$FH$195,61,FALSE)</f>
        <v>#N/A</v>
      </c>
    </row>
    <row r="44" spans="2:9" ht="15">
      <c r="B44" s="88"/>
      <c r="C44" s="83"/>
      <c r="D44" s="83"/>
      <c r="E44" s="83"/>
      <c r="F44" s="87"/>
      <c r="G44" s="83"/>
      <c r="H44" s="83"/>
      <c r="I44" s="116"/>
    </row>
    <row r="45" spans="2:9" ht="15">
      <c r="B45" s="88" t="s">
        <v>183</v>
      </c>
      <c r="C45" s="83"/>
      <c r="D45" s="83"/>
      <c r="E45" s="83"/>
      <c r="F45" s="87"/>
      <c r="G45" s="87"/>
      <c r="H45" s="83"/>
      <c r="I45" s="116"/>
    </row>
    <row r="46" spans="2:9" ht="15">
      <c r="B46" s="88"/>
      <c r="C46" s="83"/>
      <c r="D46" s="83"/>
      <c r="E46" s="83"/>
      <c r="F46" s="87"/>
      <c r="G46" s="87"/>
      <c r="H46" s="83"/>
      <c r="I46" s="116"/>
    </row>
    <row r="47" spans="2:9" ht="15">
      <c r="B47" s="104" t="s">
        <v>184</v>
      </c>
      <c r="C47" s="83"/>
      <c r="D47" s="83"/>
      <c r="E47" s="83"/>
      <c r="F47" s="87"/>
      <c r="G47" s="83"/>
      <c r="H47" s="83"/>
      <c r="I47" s="157" t="e">
        <f>VLOOKUP($B$5,ComData!$B$15:$FH$195,62,FALSE)</f>
        <v>#N/A</v>
      </c>
    </row>
    <row r="48" spans="2:9" ht="15">
      <c r="B48" s="88"/>
      <c r="C48" s="83"/>
      <c r="D48" s="83"/>
      <c r="E48" s="83"/>
      <c r="F48" s="107"/>
      <c r="G48" s="89"/>
      <c r="H48" s="83"/>
      <c r="I48" s="115"/>
    </row>
    <row r="49" spans="2:9" ht="15">
      <c r="B49" s="88" t="s">
        <v>109</v>
      </c>
      <c r="C49" s="83"/>
      <c r="D49" s="83"/>
      <c r="E49" s="83"/>
      <c r="F49" s="87">
        <v>1</v>
      </c>
      <c r="G49" s="83" t="s">
        <v>185</v>
      </c>
      <c r="H49" s="83"/>
      <c r="I49" s="116"/>
    </row>
    <row r="50" spans="2:9" ht="15">
      <c r="B50" s="88" t="s">
        <v>54</v>
      </c>
      <c r="C50" s="83"/>
      <c r="D50" s="83"/>
      <c r="E50" s="83"/>
      <c r="F50" s="112">
        <v>0.5</v>
      </c>
      <c r="G50" s="83" t="s">
        <v>186</v>
      </c>
      <c r="H50" s="83"/>
      <c r="I50" s="115"/>
    </row>
    <row r="51" spans="2:9" ht="15">
      <c r="B51" s="88"/>
      <c r="C51" s="83"/>
      <c r="D51" s="83"/>
      <c r="E51" s="83"/>
      <c r="F51" s="87"/>
      <c r="G51" s="83"/>
      <c r="H51" s="83"/>
      <c r="I51" s="109"/>
    </row>
    <row r="52" spans="2:9" ht="15">
      <c r="B52" s="104" t="s">
        <v>187</v>
      </c>
      <c r="C52" s="83"/>
      <c r="D52" s="83"/>
      <c r="E52" s="83"/>
      <c r="F52" s="87"/>
      <c r="G52" s="83"/>
      <c r="H52" s="83"/>
      <c r="I52" s="157" t="e">
        <f>VLOOKUP($B$5,ComData!$B$15:$FH$195,63,FALSE)</f>
        <v>#N/A</v>
      </c>
    </row>
    <row r="53" spans="2:9" ht="15">
      <c r="B53" s="88"/>
      <c r="C53" s="83"/>
      <c r="D53" s="83"/>
      <c r="E53" s="83"/>
      <c r="F53" s="87"/>
      <c r="G53" s="83"/>
      <c r="H53" s="83"/>
      <c r="I53" s="116"/>
    </row>
    <row r="54" spans="2:9" ht="15">
      <c r="B54" s="104" t="s">
        <v>188</v>
      </c>
      <c r="C54" s="83"/>
      <c r="D54" s="83"/>
      <c r="E54" s="83"/>
      <c r="F54" s="87"/>
      <c r="G54" s="83"/>
      <c r="H54" s="83"/>
      <c r="I54" s="157" t="e">
        <f>VLOOKUP($B$5,ComData!$B$15:$FH$195,64,FALSE)</f>
        <v>#N/A</v>
      </c>
    </row>
    <row r="55" spans="2:9" ht="15">
      <c r="B55" s="88"/>
      <c r="C55" s="83"/>
      <c r="D55" s="83"/>
      <c r="E55" s="83"/>
      <c r="F55" s="87"/>
      <c r="G55" s="83"/>
      <c r="H55" s="83"/>
      <c r="I55" s="116"/>
    </row>
    <row r="56" spans="2:9" ht="15">
      <c r="B56" s="104" t="s">
        <v>189</v>
      </c>
      <c r="C56" s="83"/>
      <c r="D56" s="83"/>
      <c r="E56" s="83"/>
      <c r="F56" s="87"/>
      <c r="G56" s="83"/>
      <c r="H56" s="83"/>
      <c r="I56" s="157">
        <f>ComData!BK12</f>
        <v>41.130180745022635</v>
      </c>
    </row>
    <row r="57" spans="2:9" ht="15">
      <c r="B57" s="88"/>
      <c r="C57" s="83"/>
      <c r="D57" s="83"/>
      <c r="E57" s="83"/>
      <c r="F57" s="87"/>
      <c r="G57" s="83"/>
      <c r="H57" s="83"/>
      <c r="I57" s="116"/>
    </row>
    <row r="58" spans="2:9" ht="15">
      <c r="B58" s="104" t="s">
        <v>190</v>
      </c>
      <c r="C58" s="83"/>
      <c r="D58" s="83"/>
      <c r="E58" s="83"/>
      <c r="F58" s="158">
        <v>0.98</v>
      </c>
      <c r="G58" s="83" t="s">
        <v>191</v>
      </c>
      <c r="H58" s="83"/>
      <c r="I58" s="116"/>
    </row>
    <row r="59" spans="2:9" ht="15">
      <c r="B59" s="88"/>
      <c r="C59" s="83"/>
      <c r="D59" s="83"/>
      <c r="E59" s="83"/>
      <c r="F59" s="107"/>
      <c r="G59" s="83"/>
      <c r="H59" s="83"/>
      <c r="I59" s="117"/>
    </row>
    <row r="60" spans="2:9" ht="15">
      <c r="B60" s="104" t="s">
        <v>192</v>
      </c>
      <c r="C60" s="83"/>
      <c r="D60" s="83"/>
      <c r="E60" s="83"/>
      <c r="F60" s="87"/>
      <c r="G60" s="83"/>
      <c r="H60" s="83"/>
      <c r="I60" s="159" t="e">
        <f>VLOOKUP($B$5,ComData!$B$15:$FH$195,65,FALSE)</f>
        <v>#N/A</v>
      </c>
    </row>
    <row r="61" spans="2:9" ht="15">
      <c r="B61" s="88"/>
      <c r="C61" s="83"/>
      <c r="D61" s="83"/>
      <c r="E61" s="83"/>
      <c r="F61" s="87"/>
      <c r="G61" s="83"/>
      <c r="H61" s="83"/>
      <c r="I61" s="117"/>
    </row>
    <row r="62" spans="2:9" ht="15">
      <c r="B62" s="88" t="s">
        <v>54</v>
      </c>
      <c r="C62" s="83"/>
      <c r="D62" s="83"/>
      <c r="E62" s="83"/>
      <c r="F62" s="158">
        <v>3.34</v>
      </c>
      <c r="G62" s="83" t="s">
        <v>193</v>
      </c>
      <c r="H62" s="83"/>
      <c r="I62" s="116"/>
    </row>
    <row r="63" spans="2:9" ht="15">
      <c r="B63" s="88"/>
      <c r="C63" s="83"/>
      <c r="D63" s="83"/>
      <c r="E63" s="83"/>
      <c r="F63" s="87"/>
      <c r="G63" s="83"/>
      <c r="H63" s="83"/>
      <c r="I63" s="115"/>
    </row>
    <row r="64" spans="2:9" ht="15">
      <c r="B64" s="104" t="s">
        <v>194</v>
      </c>
      <c r="C64" s="83"/>
      <c r="D64" s="83"/>
      <c r="E64" s="83"/>
      <c r="F64" s="107"/>
      <c r="G64" s="89"/>
      <c r="H64" s="83"/>
      <c r="I64" s="159" t="e">
        <f>VLOOKUP($B$5,ComData!$B$15:$FH$195,66,FALSE)</f>
        <v>#N/A</v>
      </c>
    </row>
    <row r="65" spans="2:9" ht="15">
      <c r="B65" s="88"/>
      <c r="C65" s="83"/>
      <c r="D65" s="83"/>
      <c r="E65" s="83"/>
      <c r="F65" s="87"/>
      <c r="G65" s="83"/>
      <c r="H65" s="83"/>
      <c r="I65" s="84"/>
    </row>
    <row r="66" spans="2:9" ht="18.75" thickBot="1">
      <c r="B66" s="93" t="s">
        <v>195</v>
      </c>
      <c r="C66" s="94"/>
      <c r="D66" s="94"/>
      <c r="E66" s="94"/>
      <c r="F66" s="95"/>
      <c r="G66" s="94"/>
      <c r="H66" s="94"/>
      <c r="I66" s="160" t="e">
        <f>VLOOKUP($B$5,ComData!$B$15:$FH$195,67,FALSE)</f>
        <v>#N/A</v>
      </c>
    </row>
    <row r="67" spans="2:9" ht="15">
      <c r="B67" s="88"/>
      <c r="C67" s="83"/>
      <c r="D67" s="83"/>
      <c r="E67" s="83"/>
      <c r="F67" s="87"/>
      <c r="G67" s="83"/>
      <c r="H67" s="83"/>
      <c r="I67" s="84"/>
    </row>
    <row r="68" spans="2:9" ht="18">
      <c r="B68" s="99" t="s">
        <v>196</v>
      </c>
      <c r="C68" s="83"/>
      <c r="D68" s="83"/>
      <c r="E68" s="83"/>
      <c r="F68" s="112"/>
      <c r="G68" s="89"/>
      <c r="H68" s="83"/>
      <c r="I68" s="84"/>
    </row>
    <row r="69" spans="2:9" ht="15">
      <c r="B69" s="88"/>
      <c r="C69" s="83"/>
      <c r="D69" s="83"/>
      <c r="E69" s="83"/>
      <c r="F69" s="112"/>
      <c r="G69" s="89"/>
      <c r="H69" s="83"/>
      <c r="I69" s="84"/>
    </row>
    <row r="70" spans="2:9" ht="15">
      <c r="B70" s="88" t="s">
        <v>197</v>
      </c>
      <c r="C70" s="83"/>
      <c r="D70" s="83"/>
      <c r="E70" s="83"/>
      <c r="F70" s="87"/>
      <c r="G70" s="83"/>
      <c r="H70" s="83"/>
      <c r="I70" s="84"/>
    </row>
    <row r="71" spans="2:9" ht="15.75">
      <c r="B71" s="88" t="s">
        <v>160</v>
      </c>
      <c r="C71" s="83"/>
      <c r="D71" s="83"/>
      <c r="E71" s="83"/>
      <c r="F71" s="87"/>
      <c r="G71" s="83"/>
      <c r="H71" s="83"/>
      <c r="I71" s="161"/>
    </row>
    <row r="72" spans="2:9" ht="15">
      <c r="B72" s="88"/>
      <c r="C72" s="83"/>
      <c r="D72" s="83"/>
      <c r="E72" s="83"/>
      <c r="F72" s="87"/>
      <c r="G72" s="83"/>
      <c r="H72" s="83"/>
      <c r="I72" s="84"/>
    </row>
    <row r="73" spans="2:9" ht="15.75">
      <c r="B73" s="86" t="s">
        <v>161</v>
      </c>
      <c r="C73" s="83"/>
      <c r="D73" s="83"/>
      <c r="E73" s="83"/>
      <c r="F73" s="87" t="s">
        <v>198</v>
      </c>
      <c r="G73" s="83"/>
      <c r="H73" s="83" t="str">
        <f>H23</f>
        <v>Stock</v>
      </c>
      <c r="I73" s="161" t="s">
        <v>199</v>
      </c>
    </row>
    <row r="74" spans="2:9" ht="15.75">
      <c r="B74" s="88"/>
      <c r="C74" s="83"/>
      <c r="D74" s="83"/>
      <c r="E74" s="83"/>
      <c r="F74" s="87"/>
      <c r="G74" s="83"/>
      <c r="H74" s="83"/>
      <c r="I74" s="103"/>
    </row>
    <row r="75" spans="1:9" ht="15.75">
      <c r="A75" s="150"/>
      <c r="B75" s="151" t="s">
        <v>166</v>
      </c>
      <c r="C75" s="83"/>
      <c r="D75" s="83"/>
      <c r="E75" s="83"/>
      <c r="F75" s="92">
        <v>1014</v>
      </c>
      <c r="G75" s="83"/>
      <c r="H75" s="154" t="e">
        <f>VLOOKUP($B$5,ComData!$B$15:$FH$195,A25,FALSE)</f>
        <v>#N/A</v>
      </c>
      <c r="I75" s="103" t="e">
        <f aca="true" t="shared" si="2" ref="I75:I89">H75*F75</f>
        <v>#N/A</v>
      </c>
    </row>
    <row r="76" spans="1:9" ht="15.75">
      <c r="A76" s="150"/>
      <c r="B76" s="151" t="s">
        <v>167</v>
      </c>
      <c r="C76" s="83"/>
      <c r="D76" s="83"/>
      <c r="E76" s="83"/>
      <c r="F76" s="92">
        <v>1042</v>
      </c>
      <c r="G76" s="83"/>
      <c r="H76" s="154" t="e">
        <f>VLOOKUP($B$5,ComData!$B$15:$FH$195,A26,FALSE)</f>
        <v>#N/A</v>
      </c>
      <c r="I76" s="103" t="e">
        <f t="shared" si="2"/>
        <v>#N/A</v>
      </c>
    </row>
    <row r="77" spans="1:9" ht="15.75">
      <c r="A77" s="150"/>
      <c r="B77" s="151" t="s">
        <v>168</v>
      </c>
      <c r="C77" s="83"/>
      <c r="D77" s="83"/>
      <c r="E77" s="83"/>
      <c r="F77" s="92">
        <v>1255</v>
      </c>
      <c r="G77" s="83"/>
      <c r="H77" s="154" t="e">
        <f>VLOOKUP($B$5,ComData!$B$15:$FH$195,A27,FALSE)</f>
        <v>#N/A</v>
      </c>
      <c r="I77" s="103" t="e">
        <f t="shared" si="2"/>
        <v>#N/A</v>
      </c>
    </row>
    <row r="78" spans="1:9" ht="15.75">
      <c r="A78" s="150"/>
      <c r="B78" s="151" t="s">
        <v>169</v>
      </c>
      <c r="C78" s="83"/>
      <c r="D78" s="83"/>
      <c r="E78" s="83"/>
      <c r="F78" s="92">
        <v>917</v>
      </c>
      <c r="G78" s="83"/>
      <c r="H78" s="154" t="e">
        <f>VLOOKUP($B$5,ComData!$B$15:$FH$195,A28,FALSE)</f>
        <v>#N/A</v>
      </c>
      <c r="I78" s="103" t="e">
        <f t="shared" si="2"/>
        <v>#N/A</v>
      </c>
    </row>
    <row r="79" spans="1:9" ht="15.75">
      <c r="A79" s="150"/>
      <c r="B79" s="151" t="s">
        <v>170</v>
      </c>
      <c r="C79" s="83"/>
      <c r="D79" s="83"/>
      <c r="E79" s="83"/>
      <c r="F79" s="92">
        <v>970</v>
      </c>
      <c r="G79" s="83"/>
      <c r="H79" s="154" t="e">
        <f>VLOOKUP($B$5,ComData!$B$15:$FH$195,A29,FALSE)</f>
        <v>#N/A</v>
      </c>
      <c r="I79" s="103" t="e">
        <f t="shared" si="2"/>
        <v>#N/A</v>
      </c>
    </row>
    <row r="80" spans="1:9" ht="15.75">
      <c r="A80" s="150"/>
      <c r="B80" s="151" t="s">
        <v>171</v>
      </c>
      <c r="C80" s="83"/>
      <c r="D80" s="83"/>
      <c r="E80" s="83"/>
      <c r="F80" s="92">
        <v>968</v>
      </c>
      <c r="G80" s="83"/>
      <c r="H80" s="154" t="e">
        <f>VLOOKUP($B$5,ComData!$B$15:$FH$195,A30,FALSE)</f>
        <v>#N/A</v>
      </c>
      <c r="I80" s="103" t="e">
        <f t="shared" si="2"/>
        <v>#N/A</v>
      </c>
    </row>
    <row r="81" spans="1:9" ht="15.75">
      <c r="A81" s="150"/>
      <c r="B81" s="151" t="s">
        <v>172</v>
      </c>
      <c r="C81" s="83"/>
      <c r="D81" s="83"/>
      <c r="E81" s="83"/>
      <c r="F81" s="92">
        <v>995</v>
      </c>
      <c r="G81" s="83"/>
      <c r="H81" s="154" t="e">
        <f>VLOOKUP($B$5,ComData!$B$15:$FH$195,A31,FALSE)</f>
        <v>#N/A</v>
      </c>
      <c r="I81" s="103" t="e">
        <f t="shared" si="2"/>
        <v>#N/A</v>
      </c>
    </row>
    <row r="82" spans="1:9" ht="15.75">
      <c r="A82" s="150"/>
      <c r="B82" s="151" t="s">
        <v>173</v>
      </c>
      <c r="C82" s="83"/>
      <c r="D82" s="83"/>
      <c r="E82" s="83"/>
      <c r="F82" s="92">
        <v>1190</v>
      </c>
      <c r="G82" s="83"/>
      <c r="H82" s="154" t="e">
        <f>VLOOKUP($B$5,ComData!$B$15:$FH$195,A32,FALSE)</f>
        <v>#N/A</v>
      </c>
      <c r="I82" s="103" t="e">
        <f t="shared" si="2"/>
        <v>#N/A</v>
      </c>
    </row>
    <row r="83" spans="1:9" ht="15.75">
      <c r="A83" s="150"/>
      <c r="B83" s="151" t="s">
        <v>174</v>
      </c>
      <c r="C83" s="83"/>
      <c r="D83" s="83"/>
      <c r="E83" s="83"/>
      <c r="F83" s="92">
        <v>692</v>
      </c>
      <c r="G83" s="83"/>
      <c r="H83" s="154" t="e">
        <f>VLOOKUP($B$5,ComData!$B$15:$FH$195,A33,FALSE)</f>
        <v>#N/A</v>
      </c>
      <c r="I83" s="103" t="e">
        <f t="shared" si="2"/>
        <v>#N/A</v>
      </c>
    </row>
    <row r="84" spans="1:9" ht="15.75">
      <c r="A84" s="150"/>
      <c r="B84" s="151" t="s">
        <v>175</v>
      </c>
      <c r="C84" s="83"/>
      <c r="D84" s="83"/>
      <c r="E84" s="83"/>
      <c r="F84" s="92">
        <v>1002</v>
      </c>
      <c r="G84" s="83"/>
      <c r="H84" s="154" t="e">
        <f>VLOOKUP($B$5,ComData!$B$15:$FH$195,A34,FALSE)</f>
        <v>#N/A</v>
      </c>
      <c r="I84" s="103" t="e">
        <f t="shared" si="2"/>
        <v>#N/A</v>
      </c>
    </row>
    <row r="85" spans="1:9" ht="15.75">
      <c r="A85" s="150"/>
      <c r="B85" s="151" t="s">
        <v>176</v>
      </c>
      <c r="C85" s="83"/>
      <c r="D85" s="83"/>
      <c r="E85" s="83"/>
      <c r="F85" s="92">
        <v>1386</v>
      </c>
      <c r="G85" s="83"/>
      <c r="H85" s="154" t="e">
        <f>VLOOKUP($B$5,ComData!$B$15:$FH$195,A35,FALSE)</f>
        <v>#N/A</v>
      </c>
      <c r="I85" s="103" t="e">
        <f t="shared" si="2"/>
        <v>#N/A</v>
      </c>
    </row>
    <row r="86" spans="1:9" ht="15.75">
      <c r="A86" s="150"/>
      <c r="B86" s="151" t="s">
        <v>177</v>
      </c>
      <c r="C86" s="83"/>
      <c r="D86" s="83"/>
      <c r="E86" s="83"/>
      <c r="F86" s="92">
        <v>1296</v>
      </c>
      <c r="G86" s="83"/>
      <c r="H86" s="154" t="e">
        <f>VLOOKUP($B$5,ComData!$B$15:$FH$195,A36,FALSE)</f>
        <v>#N/A</v>
      </c>
      <c r="I86" s="103" t="e">
        <f t="shared" si="2"/>
        <v>#N/A</v>
      </c>
    </row>
    <row r="87" spans="1:9" ht="15.75">
      <c r="A87" s="150"/>
      <c r="B87" s="151" t="s">
        <v>178</v>
      </c>
      <c r="C87" s="83"/>
      <c r="D87" s="83"/>
      <c r="E87" s="83"/>
      <c r="F87" s="92">
        <v>898</v>
      </c>
      <c r="G87" s="83"/>
      <c r="H87" s="154" t="e">
        <f>VLOOKUP($B$5,ComData!$B$15:$FH$195,A37,FALSE)</f>
        <v>#N/A</v>
      </c>
      <c r="I87" s="103" t="e">
        <f t="shared" si="2"/>
        <v>#N/A</v>
      </c>
    </row>
    <row r="88" spans="1:9" ht="15.75">
      <c r="A88" s="150"/>
      <c r="B88" s="151" t="s">
        <v>179</v>
      </c>
      <c r="C88" s="83"/>
      <c r="D88" s="83"/>
      <c r="E88" s="83"/>
      <c r="F88" s="92">
        <v>692</v>
      </c>
      <c r="G88" s="83"/>
      <c r="H88" s="154" t="e">
        <f>VLOOKUP($B$5,ComData!$B$15:$FH$195,A38,FALSE)</f>
        <v>#N/A</v>
      </c>
      <c r="I88" s="103" t="e">
        <f t="shared" si="2"/>
        <v>#N/A</v>
      </c>
    </row>
    <row r="89" spans="1:9" ht="15.75">
      <c r="A89" s="150"/>
      <c r="B89" s="151" t="s">
        <v>180</v>
      </c>
      <c r="C89" s="83"/>
      <c r="D89" s="83"/>
      <c r="E89" s="83"/>
      <c r="F89" s="92">
        <v>1002</v>
      </c>
      <c r="G89" s="89"/>
      <c r="H89" s="154" t="e">
        <f>VLOOKUP($B$5,ComData!$B$15:$FH$195,A39,FALSE)</f>
        <v>#N/A</v>
      </c>
      <c r="I89" s="103" t="e">
        <f t="shared" si="2"/>
        <v>#N/A</v>
      </c>
    </row>
    <row r="90" spans="2:9" ht="18">
      <c r="B90" s="88"/>
      <c r="C90" s="83"/>
      <c r="D90" s="83"/>
      <c r="E90" s="83"/>
      <c r="F90" s="87"/>
      <c r="G90" s="83"/>
      <c r="H90" s="83"/>
      <c r="I90" s="162"/>
    </row>
    <row r="91" spans="2:9" ht="18.75" thickBot="1">
      <c r="B91" s="93" t="s">
        <v>200</v>
      </c>
      <c r="C91" s="94"/>
      <c r="D91" s="94"/>
      <c r="E91" s="94"/>
      <c r="F91" s="95"/>
      <c r="G91" s="94"/>
      <c r="H91" s="94"/>
      <c r="I91" s="163" t="e">
        <f>VLOOKUP($B$5,ComData!$B$15:$FH$195,68,FALSE)</f>
        <v>#N/A</v>
      </c>
    </row>
    <row r="92" spans="2:9" ht="15">
      <c r="B92" s="88"/>
      <c r="C92" s="83"/>
      <c r="D92" s="83"/>
      <c r="E92" s="83"/>
      <c r="F92" s="87"/>
      <c r="G92" s="83"/>
      <c r="H92" s="83"/>
      <c r="I92" s="84"/>
    </row>
    <row r="93" spans="2:9" ht="18">
      <c r="B93" s="99" t="s">
        <v>201</v>
      </c>
      <c r="C93" s="164"/>
      <c r="D93" s="83"/>
      <c r="E93" s="83"/>
      <c r="F93" s="87"/>
      <c r="G93" s="83"/>
      <c r="H93" s="83"/>
      <c r="I93" s="165"/>
    </row>
    <row r="94" spans="2:9" ht="15">
      <c r="B94" s="88"/>
      <c r="C94" s="83"/>
      <c r="D94" s="83"/>
      <c r="E94" s="83"/>
      <c r="F94" s="87"/>
      <c r="G94" s="83"/>
      <c r="H94" s="83"/>
      <c r="I94" s="84"/>
    </row>
    <row r="95" spans="2:9" ht="15.75">
      <c r="B95" s="88" t="s">
        <v>202</v>
      </c>
      <c r="C95" s="83"/>
      <c r="D95" s="83"/>
      <c r="E95" s="83"/>
      <c r="F95" s="87"/>
      <c r="G95" s="83"/>
      <c r="H95" s="83"/>
      <c r="I95" s="165"/>
    </row>
    <row r="96" spans="2:9" ht="15">
      <c r="B96" s="88"/>
      <c r="C96" s="83"/>
      <c r="D96" s="83"/>
      <c r="E96" s="83"/>
      <c r="F96" s="87"/>
      <c r="G96" s="83"/>
      <c r="H96" s="83"/>
      <c r="I96" s="110"/>
    </row>
    <row r="97" spans="2:9" ht="15.75">
      <c r="B97" s="104" t="s">
        <v>203</v>
      </c>
      <c r="C97" s="83"/>
      <c r="D97" s="83"/>
      <c r="E97" s="83"/>
      <c r="F97" s="87"/>
      <c r="G97" s="83"/>
      <c r="H97" s="83"/>
      <c r="I97" s="103"/>
    </row>
    <row r="98" spans="2:9" ht="15">
      <c r="B98" s="88"/>
      <c r="C98" s="83"/>
      <c r="D98" s="83"/>
      <c r="E98" s="83"/>
      <c r="F98" s="87"/>
      <c r="G98" s="83"/>
      <c r="H98" s="83"/>
      <c r="I98" s="84"/>
    </row>
    <row r="99" spans="2:9" ht="15">
      <c r="B99" s="88" t="s">
        <v>204</v>
      </c>
      <c r="C99" s="83"/>
      <c r="D99" s="83"/>
      <c r="E99" s="83"/>
      <c r="F99" s="87"/>
      <c r="G99" s="83"/>
      <c r="H99" s="83"/>
      <c r="I99" s="84"/>
    </row>
    <row r="100" spans="2:9" ht="15">
      <c r="B100" s="88" t="s">
        <v>205</v>
      </c>
      <c r="C100" s="83"/>
      <c r="D100" s="83"/>
      <c r="E100" s="83"/>
      <c r="F100" s="87"/>
      <c r="G100" s="83"/>
      <c r="H100" s="83"/>
      <c r="I100" s="84"/>
    </row>
    <row r="101" spans="2:9" ht="15.75">
      <c r="B101" s="88"/>
      <c r="C101" s="83"/>
      <c r="D101" s="83"/>
      <c r="E101" s="83"/>
      <c r="F101" s="100"/>
      <c r="G101" s="89"/>
      <c r="H101" s="83"/>
      <c r="I101" s="103"/>
    </row>
    <row r="102" spans="2:9" ht="43.5">
      <c r="B102" s="86" t="s">
        <v>206</v>
      </c>
      <c r="C102" s="83"/>
      <c r="D102" s="83"/>
      <c r="E102" s="83"/>
      <c r="F102" s="166"/>
      <c r="G102" s="167" t="s">
        <v>164</v>
      </c>
      <c r="H102" s="83" t="str">
        <f>H23</f>
        <v>Stock</v>
      </c>
      <c r="I102" s="168" t="s">
        <v>207</v>
      </c>
    </row>
    <row r="103" spans="2:9" ht="15.75">
      <c r="B103" s="88"/>
      <c r="C103" s="83"/>
      <c r="D103" s="83"/>
      <c r="E103" s="83"/>
      <c r="F103" s="87"/>
      <c r="G103" s="83"/>
      <c r="H103" s="83"/>
      <c r="I103" s="161"/>
    </row>
    <row r="104" spans="1:9" ht="15.75">
      <c r="A104" s="150">
        <v>46</v>
      </c>
      <c r="B104" s="151" t="s">
        <v>166</v>
      </c>
      <c r="C104" s="83"/>
      <c r="D104" s="83"/>
      <c r="E104" s="83"/>
      <c r="F104" s="166"/>
      <c r="G104" s="152">
        <v>1545</v>
      </c>
      <c r="H104" s="154" t="e">
        <f>VLOOKUP($B$5,ComData!$B$15:$FH$195,A104,FALSE)</f>
        <v>#N/A</v>
      </c>
      <c r="I104" s="103" t="e">
        <f aca="true" t="shared" si="3" ref="I104:I118">H104*G104</f>
        <v>#N/A</v>
      </c>
    </row>
    <row r="105" spans="1:9" ht="15.75">
      <c r="A105" s="150">
        <v>47</v>
      </c>
      <c r="B105" s="151" t="s">
        <v>167</v>
      </c>
      <c r="C105" s="83"/>
      <c r="D105" s="83"/>
      <c r="E105" s="83"/>
      <c r="F105" s="166"/>
      <c r="G105" s="152">
        <v>1606</v>
      </c>
      <c r="H105" s="154" t="e">
        <f>VLOOKUP($B$5,ComData!$B$15:$FH$195,A105,FALSE)</f>
        <v>#N/A</v>
      </c>
      <c r="I105" s="103" t="e">
        <f t="shared" si="3"/>
        <v>#N/A</v>
      </c>
    </row>
    <row r="106" spans="1:9" ht="15.75">
      <c r="A106" s="150">
        <v>48</v>
      </c>
      <c r="B106" s="151" t="s">
        <v>168</v>
      </c>
      <c r="C106" s="83"/>
      <c r="D106" s="83"/>
      <c r="E106" s="83"/>
      <c r="F106" s="166"/>
      <c r="G106" s="152">
        <v>1655</v>
      </c>
      <c r="H106" s="154" t="e">
        <f>VLOOKUP($B$5,ComData!$B$15:$FH$195,A106,FALSE)</f>
        <v>#N/A</v>
      </c>
      <c r="I106" s="103" t="e">
        <f t="shared" si="3"/>
        <v>#N/A</v>
      </c>
    </row>
    <row r="107" spans="1:9" ht="15.75">
      <c r="A107" s="150">
        <v>49</v>
      </c>
      <c r="B107" s="151" t="s">
        <v>169</v>
      </c>
      <c r="C107" s="83"/>
      <c r="D107" s="83"/>
      <c r="E107" s="83"/>
      <c r="F107" s="166"/>
      <c r="G107" s="152">
        <v>1545</v>
      </c>
      <c r="H107" s="154" t="e">
        <f>VLOOKUP($B$5,ComData!$B$15:$FH$195,A107,FALSE)</f>
        <v>#N/A</v>
      </c>
      <c r="I107" s="103" t="e">
        <f t="shared" si="3"/>
        <v>#N/A</v>
      </c>
    </row>
    <row r="108" spans="1:9" ht="15.75">
      <c r="A108" s="150">
        <v>50</v>
      </c>
      <c r="B108" s="151" t="s">
        <v>170</v>
      </c>
      <c r="C108" s="83"/>
      <c r="D108" s="83"/>
      <c r="E108" s="83"/>
      <c r="F108" s="166"/>
      <c r="G108" s="152">
        <v>1632</v>
      </c>
      <c r="H108" s="154" t="e">
        <f>VLOOKUP($B$5,ComData!$B$15:$FH$195,A108,FALSE)</f>
        <v>#N/A</v>
      </c>
      <c r="I108" s="103" t="e">
        <f t="shared" si="3"/>
        <v>#N/A</v>
      </c>
    </row>
    <row r="109" spans="1:9" ht="15.75">
      <c r="A109" s="150">
        <v>51</v>
      </c>
      <c r="B109" s="151" t="s">
        <v>171</v>
      </c>
      <c r="C109" s="83"/>
      <c r="D109" s="83"/>
      <c r="E109" s="83"/>
      <c r="F109" s="166"/>
      <c r="G109" s="152">
        <v>1621</v>
      </c>
      <c r="H109" s="154" t="e">
        <f>VLOOKUP($B$5,ComData!$B$15:$FH$195,A109,FALSE)</f>
        <v>#N/A</v>
      </c>
      <c r="I109" s="103" t="e">
        <f t="shared" si="3"/>
        <v>#N/A</v>
      </c>
    </row>
    <row r="110" spans="1:9" ht="15.75">
      <c r="A110" s="150">
        <v>52</v>
      </c>
      <c r="B110" s="151" t="s">
        <v>172</v>
      </c>
      <c r="C110" s="83"/>
      <c r="D110" s="83"/>
      <c r="E110" s="83"/>
      <c r="F110" s="166"/>
      <c r="G110" s="152">
        <v>1621</v>
      </c>
      <c r="H110" s="154" t="e">
        <f>VLOOKUP($B$5,ComData!$B$15:$FH$195,A110,FALSE)</f>
        <v>#N/A</v>
      </c>
      <c r="I110" s="103" t="e">
        <f t="shared" si="3"/>
        <v>#N/A</v>
      </c>
    </row>
    <row r="111" spans="1:9" ht="15.75">
      <c r="A111" s="150">
        <v>53</v>
      </c>
      <c r="B111" s="151" t="s">
        <v>173</v>
      </c>
      <c r="C111" s="83"/>
      <c r="D111" s="83"/>
      <c r="E111" s="83"/>
      <c r="F111" s="166"/>
      <c r="G111" s="152">
        <v>1606</v>
      </c>
      <c r="H111" s="154" t="e">
        <f>VLOOKUP($B$5,ComData!$B$15:$FH$195,A111,FALSE)</f>
        <v>#N/A</v>
      </c>
      <c r="I111" s="103" t="e">
        <f t="shared" si="3"/>
        <v>#N/A</v>
      </c>
    </row>
    <row r="112" spans="1:9" ht="15.75">
      <c r="A112" s="150">
        <v>54</v>
      </c>
      <c r="B112" s="151" t="s">
        <v>174</v>
      </c>
      <c r="C112" s="83"/>
      <c r="D112" s="83"/>
      <c r="E112" s="83"/>
      <c r="F112" s="166"/>
      <c r="G112" s="152">
        <v>1127</v>
      </c>
      <c r="H112" s="154" t="e">
        <f>VLOOKUP($B$5,ComData!$B$15:$FH$195,A112,FALSE)</f>
        <v>#N/A</v>
      </c>
      <c r="I112" s="103" t="e">
        <f t="shared" si="3"/>
        <v>#N/A</v>
      </c>
    </row>
    <row r="113" spans="1:9" ht="15.75">
      <c r="A113" s="150">
        <v>55</v>
      </c>
      <c r="B113" s="151" t="s">
        <v>175</v>
      </c>
      <c r="C113" s="83"/>
      <c r="D113" s="83"/>
      <c r="E113" s="83"/>
      <c r="F113" s="166"/>
      <c r="G113" s="152">
        <v>1125</v>
      </c>
      <c r="H113" s="154" t="e">
        <f>VLOOKUP($B$5,ComData!$B$15:$FH$195,A113,FALSE)</f>
        <v>#N/A</v>
      </c>
      <c r="I113" s="103" t="e">
        <f t="shared" si="3"/>
        <v>#N/A</v>
      </c>
    </row>
    <row r="114" spans="1:9" ht="15.75">
      <c r="A114" s="150">
        <v>56</v>
      </c>
      <c r="B114" s="151" t="s">
        <v>176</v>
      </c>
      <c r="C114" s="83"/>
      <c r="D114" s="83"/>
      <c r="E114" s="83"/>
      <c r="F114" s="166"/>
      <c r="G114" s="152">
        <v>1186</v>
      </c>
      <c r="H114" s="154" t="e">
        <f>VLOOKUP($B$5,ComData!$B$15:$FH$195,A114,FALSE)</f>
        <v>#N/A</v>
      </c>
      <c r="I114" s="103" t="e">
        <f t="shared" si="3"/>
        <v>#N/A</v>
      </c>
    </row>
    <row r="115" spans="1:9" ht="15.75">
      <c r="A115" s="150">
        <v>57</v>
      </c>
      <c r="B115" s="151" t="s">
        <v>177</v>
      </c>
      <c r="C115" s="83"/>
      <c r="D115" s="83"/>
      <c r="E115" s="83"/>
      <c r="F115" s="166"/>
      <c r="G115" s="152">
        <v>1414</v>
      </c>
      <c r="H115" s="154" t="e">
        <f>VLOOKUP($B$5,ComData!$B$15:$FH$195,A115,FALSE)</f>
        <v>#N/A</v>
      </c>
      <c r="I115" s="103" t="e">
        <f t="shared" si="3"/>
        <v>#N/A</v>
      </c>
    </row>
    <row r="116" spans="1:9" ht="15.75">
      <c r="A116" s="150">
        <v>58</v>
      </c>
      <c r="B116" s="151" t="s">
        <v>178</v>
      </c>
      <c r="C116" s="83"/>
      <c r="D116" s="83"/>
      <c r="E116" s="83"/>
      <c r="F116" s="166"/>
      <c r="G116" s="152">
        <v>1078</v>
      </c>
      <c r="H116" s="154" t="e">
        <f>VLOOKUP($B$5,ComData!$B$15:$FH$195,A116,FALSE)</f>
        <v>#N/A</v>
      </c>
      <c r="I116" s="103" t="e">
        <f t="shared" si="3"/>
        <v>#N/A</v>
      </c>
    </row>
    <row r="117" spans="1:9" ht="15.75">
      <c r="A117" s="150">
        <v>59</v>
      </c>
      <c r="B117" s="151" t="s">
        <v>179</v>
      </c>
      <c r="C117" s="83"/>
      <c r="D117" s="83"/>
      <c r="E117" s="83"/>
      <c r="F117" s="166"/>
      <c r="G117" s="152">
        <v>1127</v>
      </c>
      <c r="H117" s="154" t="e">
        <f>VLOOKUP($B$5,ComData!$B$15:$FH$195,A117,FALSE)</f>
        <v>#N/A</v>
      </c>
      <c r="I117" s="103" t="e">
        <f t="shared" si="3"/>
        <v>#N/A</v>
      </c>
    </row>
    <row r="118" spans="1:9" ht="15.75">
      <c r="A118" s="150">
        <v>60</v>
      </c>
      <c r="B118" s="151" t="s">
        <v>180</v>
      </c>
      <c r="C118" s="83"/>
      <c r="D118" s="83"/>
      <c r="E118" s="83"/>
      <c r="F118" s="166"/>
      <c r="G118" s="152">
        <v>1125</v>
      </c>
      <c r="H118" s="154" t="e">
        <f>VLOOKUP($B$5,ComData!$B$15:$FH$195,A118,FALSE)</f>
        <v>#N/A</v>
      </c>
      <c r="I118" s="103" t="e">
        <f t="shared" si="3"/>
        <v>#N/A</v>
      </c>
    </row>
    <row r="119" spans="2:9" ht="15">
      <c r="B119" s="88"/>
      <c r="C119" s="83"/>
      <c r="D119" s="83"/>
      <c r="E119" s="83"/>
      <c r="F119" s="87"/>
      <c r="G119" s="83"/>
      <c r="H119" s="83"/>
      <c r="I119" s="84"/>
    </row>
    <row r="120" spans="2:9" ht="15.75">
      <c r="B120" s="88" t="s">
        <v>208</v>
      </c>
      <c r="C120" s="83"/>
      <c r="D120" s="83"/>
      <c r="E120" s="83"/>
      <c r="F120" s="87"/>
      <c r="G120" s="83"/>
      <c r="H120" s="156"/>
      <c r="I120" s="103" t="e">
        <f>SUM(I104:I118)</f>
        <v>#N/A</v>
      </c>
    </row>
    <row r="121" spans="2:9" ht="15">
      <c r="B121" s="88"/>
      <c r="C121" s="83"/>
      <c r="D121" s="83"/>
      <c r="E121" s="83"/>
      <c r="F121" s="87"/>
      <c r="G121" s="83"/>
      <c r="H121" s="83"/>
      <c r="I121" s="116"/>
    </row>
    <row r="122" spans="2:10" ht="15">
      <c r="B122" s="169" t="s">
        <v>209</v>
      </c>
      <c r="C122" s="89"/>
      <c r="D122" s="89"/>
      <c r="E122" s="89"/>
      <c r="F122" s="89"/>
      <c r="G122" s="89"/>
      <c r="H122" s="89"/>
      <c r="I122" s="170" t="e">
        <f>VLOOKUP($B$5,ComData!$B$15:$FH$195,70,FALSE)</f>
        <v>#N/A</v>
      </c>
      <c r="J122" s="102"/>
    </row>
    <row r="123" spans="2:9" ht="15">
      <c r="B123" s="171"/>
      <c r="C123" s="89"/>
      <c r="D123" s="89"/>
      <c r="E123" s="89"/>
      <c r="F123" s="89"/>
      <c r="G123" s="89"/>
      <c r="H123" s="89"/>
      <c r="I123" s="172"/>
    </row>
    <row r="124" spans="2:9" ht="15">
      <c r="B124" s="104" t="s">
        <v>210</v>
      </c>
      <c r="C124" s="83"/>
      <c r="D124" s="83"/>
      <c r="E124" s="83"/>
      <c r="F124" s="87"/>
      <c r="G124" s="83"/>
      <c r="H124" s="83"/>
      <c r="I124" s="115" t="e">
        <f>VLOOKUP($B$5,ComData!$B$15:$FH$195,71,FALSE)</f>
        <v>#N/A</v>
      </c>
    </row>
    <row r="125" spans="2:9" ht="15">
      <c r="B125" s="88"/>
      <c r="C125" s="83"/>
      <c r="D125" s="83"/>
      <c r="E125" s="83"/>
      <c r="F125" s="87"/>
      <c r="G125" s="83"/>
      <c r="H125" s="83"/>
      <c r="I125" s="116"/>
    </row>
    <row r="126" spans="2:9" ht="15">
      <c r="B126" s="104" t="s">
        <v>211</v>
      </c>
      <c r="C126" s="83"/>
      <c r="D126" s="83"/>
      <c r="E126" s="83"/>
      <c r="F126" s="124"/>
      <c r="G126" s="83"/>
      <c r="H126" s="83"/>
      <c r="I126" s="115" t="e">
        <f>VLOOKUP($B$5,ComData!$B$15:$FH$195,72,FALSE)</f>
        <v>#N/A</v>
      </c>
    </row>
    <row r="127" spans="2:9" ht="15">
      <c r="B127" s="88"/>
      <c r="C127" s="83"/>
      <c r="D127" s="83"/>
      <c r="E127" s="83"/>
      <c r="F127" s="87"/>
      <c r="G127" s="83"/>
      <c r="H127" s="83"/>
      <c r="I127" s="84"/>
    </row>
    <row r="128" spans="2:9" ht="18.75" thickBot="1">
      <c r="B128" s="93" t="s">
        <v>212</v>
      </c>
      <c r="C128" s="94"/>
      <c r="D128" s="94"/>
      <c r="E128" s="94"/>
      <c r="F128" s="95"/>
      <c r="G128" s="94"/>
      <c r="H128" s="94"/>
      <c r="I128" s="160" t="e">
        <f>VLOOKUP($B$5,ComData!$B$15:$FH$195,73,FALSE)</f>
        <v>#N/A</v>
      </c>
    </row>
    <row r="129" spans="2:9" ht="15">
      <c r="B129" s="88"/>
      <c r="C129" s="83"/>
      <c r="D129" s="83"/>
      <c r="E129" s="83"/>
      <c r="F129" s="124"/>
      <c r="G129" s="83"/>
      <c r="H129" s="83"/>
      <c r="I129" s="84"/>
    </row>
    <row r="130" spans="2:9" ht="18">
      <c r="B130" s="99" t="s">
        <v>213</v>
      </c>
      <c r="C130" s="83"/>
      <c r="D130" s="83"/>
      <c r="E130" s="83"/>
      <c r="F130" s="87"/>
      <c r="G130" s="83"/>
      <c r="H130" s="83"/>
      <c r="I130" s="84"/>
    </row>
    <row r="131" spans="2:9" ht="15">
      <c r="B131" s="88"/>
      <c r="C131" s="83"/>
      <c r="D131" s="83"/>
      <c r="E131" s="83"/>
      <c r="F131" s="87"/>
      <c r="G131" s="83"/>
      <c r="H131" s="83"/>
      <c r="I131" s="84"/>
    </row>
    <row r="132" spans="2:9" ht="15">
      <c r="B132" s="88" t="s">
        <v>214</v>
      </c>
      <c r="C132" s="83"/>
      <c r="D132" s="83"/>
      <c r="E132" s="83"/>
      <c r="F132" s="87">
        <v>530</v>
      </c>
      <c r="G132" s="83" t="s">
        <v>215</v>
      </c>
      <c r="H132" s="83"/>
      <c r="I132" s="84"/>
    </row>
    <row r="133" spans="2:9" ht="15">
      <c r="B133" s="88"/>
      <c r="C133" s="83"/>
      <c r="D133" s="83"/>
      <c r="E133" s="83"/>
      <c r="F133" s="124"/>
      <c r="G133" s="83"/>
      <c r="H133" s="83"/>
      <c r="I133" s="84"/>
    </row>
    <row r="134" spans="2:9" ht="15">
      <c r="B134" s="104" t="s">
        <v>216</v>
      </c>
      <c r="C134" s="83"/>
      <c r="D134" s="83"/>
      <c r="E134" s="83"/>
      <c r="F134" s="87"/>
      <c r="G134" s="83"/>
      <c r="H134" s="83"/>
      <c r="I134" s="173" t="e">
        <f>I11*(I47/I56)*I136</f>
        <v>#N/A</v>
      </c>
    </row>
    <row r="135" spans="2:9" ht="15">
      <c r="B135" s="88"/>
      <c r="C135" s="83"/>
      <c r="D135" s="83"/>
      <c r="E135" s="83"/>
      <c r="F135" s="87"/>
      <c r="G135" s="83"/>
      <c r="H135" s="83"/>
      <c r="I135" s="84"/>
    </row>
    <row r="136" spans="2:9" ht="15">
      <c r="B136" s="104" t="s">
        <v>217</v>
      </c>
      <c r="C136" s="83"/>
      <c r="D136" s="83"/>
      <c r="E136" s="83"/>
      <c r="F136" s="87"/>
      <c r="G136" s="83"/>
      <c r="H136" s="83"/>
      <c r="I136" s="170" t="e">
        <f>VLOOKUP($B$5,ComData!$B$15:$FH$195,74,FALSE)</f>
        <v>#N/A</v>
      </c>
    </row>
    <row r="137" spans="2:9" ht="15">
      <c r="B137" s="88"/>
      <c r="C137" s="83"/>
      <c r="D137" s="83"/>
      <c r="E137" s="83"/>
      <c r="F137" s="124"/>
      <c r="G137" s="83"/>
      <c r="H137" s="83"/>
      <c r="I137" s="84"/>
    </row>
    <row r="138" spans="2:9" ht="18.75" thickBot="1">
      <c r="B138" s="93" t="s">
        <v>218</v>
      </c>
      <c r="C138" s="94"/>
      <c r="D138" s="94"/>
      <c r="E138" s="94"/>
      <c r="F138" s="95"/>
      <c r="G138" s="94"/>
      <c r="H138" s="94"/>
      <c r="I138" s="160" t="e">
        <f>VLOOKUP($B$5,ComData!$B$15:$FH$195,75,FALSE)</f>
        <v>#N/A</v>
      </c>
    </row>
    <row r="139" spans="2:9" ht="15">
      <c r="B139" s="88"/>
      <c r="C139" s="83"/>
      <c r="D139" s="83"/>
      <c r="E139" s="83"/>
      <c r="F139" s="87"/>
      <c r="G139" s="83"/>
      <c r="H139" s="83"/>
      <c r="I139" s="84"/>
    </row>
    <row r="140" spans="2:9" ht="18">
      <c r="B140" s="99" t="s">
        <v>219</v>
      </c>
      <c r="C140" s="83"/>
      <c r="D140" s="83"/>
      <c r="E140" s="83"/>
      <c r="F140" s="87"/>
      <c r="G140" s="83"/>
      <c r="H140" s="83"/>
      <c r="I140" s="84"/>
    </row>
    <row r="141" spans="2:9" ht="15">
      <c r="B141" s="88"/>
      <c r="C141" s="83"/>
      <c r="D141" s="83"/>
      <c r="E141" s="83"/>
      <c r="F141" s="87"/>
      <c r="G141" s="83"/>
      <c r="H141" s="83"/>
      <c r="I141" s="84"/>
    </row>
    <row r="142" spans="2:9" ht="18.75" thickBot="1">
      <c r="B142" s="93" t="s">
        <v>220</v>
      </c>
      <c r="C142" s="94"/>
      <c r="D142" s="94"/>
      <c r="E142" s="94"/>
      <c r="F142" s="95"/>
      <c r="G142" s="94"/>
      <c r="H142" s="94"/>
      <c r="I142" s="160" t="e">
        <f>VLOOKUP($B$5,ComData!$B$15:$FH$195,76,FALSE)</f>
        <v>#N/A</v>
      </c>
    </row>
    <row r="143" spans="2:9" ht="15">
      <c r="B143" s="88"/>
      <c r="C143" s="83"/>
      <c r="D143" s="83"/>
      <c r="E143" s="83"/>
      <c r="F143" s="87"/>
      <c r="G143" s="83"/>
      <c r="H143" s="83"/>
      <c r="I143" s="84"/>
    </row>
    <row r="144" spans="2:9" ht="18">
      <c r="B144" s="99" t="s">
        <v>221</v>
      </c>
      <c r="C144" s="83"/>
      <c r="D144" s="83"/>
      <c r="E144" s="83"/>
      <c r="F144" s="87"/>
      <c r="G144" s="83"/>
      <c r="H144" s="83"/>
      <c r="I144" s="84"/>
    </row>
    <row r="145" spans="2:9" ht="15">
      <c r="B145" s="88"/>
      <c r="C145" s="83"/>
      <c r="D145" s="83"/>
      <c r="E145" s="83"/>
      <c r="F145" s="125"/>
      <c r="G145" s="83"/>
      <c r="H145" s="83"/>
      <c r="I145" s="84"/>
    </row>
    <row r="146" spans="2:10" ht="15">
      <c r="B146" s="88" t="s">
        <v>222</v>
      </c>
      <c r="C146" s="83"/>
      <c r="D146" s="83"/>
      <c r="E146" s="83"/>
      <c r="F146" s="87"/>
      <c r="G146" s="83"/>
      <c r="H146" s="83"/>
      <c r="I146" s="157" t="e">
        <f>VLOOKUP($B$5,ComData!$B$15:$FH$195,77,FALSE)</f>
        <v>#N/A</v>
      </c>
      <c r="J146" s="102"/>
    </row>
    <row r="147" spans="2:9" ht="15">
      <c r="B147" s="88"/>
      <c r="C147" s="83"/>
      <c r="D147" s="83"/>
      <c r="E147" s="83"/>
      <c r="F147" s="107"/>
      <c r="G147" s="89"/>
      <c r="H147" s="83"/>
      <c r="I147" s="84"/>
    </row>
    <row r="148" spans="2:9" ht="18.75" thickBot="1">
      <c r="B148" s="93" t="s">
        <v>223</v>
      </c>
      <c r="C148" s="94"/>
      <c r="D148" s="94"/>
      <c r="E148" s="94"/>
      <c r="F148" s="95"/>
      <c r="G148" s="94"/>
      <c r="H148" s="94"/>
      <c r="I148" s="160" t="e">
        <f>VLOOKUP($B$5,ComData!$B$15:$FH$195,78,FALSE)</f>
        <v>#N/A</v>
      </c>
    </row>
    <row r="149" spans="2:9" ht="15">
      <c r="B149" s="88"/>
      <c r="C149" s="83"/>
      <c r="D149" s="83"/>
      <c r="E149" s="83"/>
      <c r="F149" s="87"/>
      <c r="G149" s="83"/>
      <c r="H149" s="83"/>
      <c r="I149" s="84"/>
    </row>
    <row r="150" spans="2:9" ht="18">
      <c r="B150" s="99" t="s">
        <v>224</v>
      </c>
      <c r="C150" s="83"/>
      <c r="D150" s="83"/>
      <c r="E150" s="83"/>
      <c r="F150" s="107"/>
      <c r="G150" s="89"/>
      <c r="H150" s="83"/>
      <c r="I150" s="84"/>
    </row>
    <row r="151" spans="2:9" ht="15">
      <c r="B151" s="88"/>
      <c r="C151" s="83"/>
      <c r="D151" s="83"/>
      <c r="E151" s="83"/>
      <c r="F151" s="87"/>
      <c r="G151" s="83"/>
      <c r="H151" s="83"/>
      <c r="I151" s="84"/>
    </row>
    <row r="152" spans="2:9" ht="15.75">
      <c r="B152" s="88" t="s">
        <v>225</v>
      </c>
      <c r="C152" s="83"/>
      <c r="D152" s="83"/>
      <c r="E152" s="83"/>
      <c r="F152" s="87"/>
      <c r="G152" s="83"/>
      <c r="H152" s="83"/>
      <c r="I152" s="174"/>
    </row>
    <row r="153" spans="2:9" ht="15">
      <c r="B153" s="88"/>
      <c r="C153" s="83"/>
      <c r="D153" s="83"/>
      <c r="E153" s="83"/>
      <c r="F153" s="87"/>
      <c r="G153" s="83"/>
      <c r="H153" s="83"/>
      <c r="I153" s="116"/>
    </row>
    <row r="154" spans="2:9" ht="15">
      <c r="B154" s="88" t="s">
        <v>129</v>
      </c>
      <c r="C154" s="83"/>
      <c r="D154" s="83"/>
      <c r="E154" s="83"/>
      <c r="F154" s="87"/>
      <c r="G154" s="83"/>
      <c r="H154" s="83"/>
      <c r="I154" s="128">
        <f>ComData!$AY$4</f>
        <v>0.7317377993614638</v>
      </c>
    </row>
    <row r="155" spans="2:9" ht="15">
      <c r="B155" s="88"/>
      <c r="C155" s="83"/>
      <c r="D155" s="83"/>
      <c r="E155" s="83"/>
      <c r="F155" s="87"/>
      <c r="G155" s="83"/>
      <c r="H155" s="83"/>
      <c r="I155" s="116"/>
    </row>
    <row r="156" spans="2:9" ht="15">
      <c r="B156" s="88" t="s">
        <v>226</v>
      </c>
      <c r="C156" s="83"/>
      <c r="D156" s="83"/>
      <c r="E156" s="83"/>
      <c r="F156" s="87"/>
      <c r="G156" s="83"/>
      <c r="H156" s="83"/>
      <c r="I156" s="116"/>
    </row>
    <row r="157" spans="2:9" ht="15">
      <c r="B157" s="88"/>
      <c r="C157" s="83"/>
      <c r="D157" s="83"/>
      <c r="E157" s="83"/>
      <c r="F157" s="87"/>
      <c r="G157" s="83"/>
      <c r="H157" s="83"/>
      <c r="I157" s="128"/>
    </row>
    <row r="158" spans="2:9" ht="15">
      <c r="B158" s="104" t="s">
        <v>227</v>
      </c>
      <c r="C158" s="83"/>
      <c r="D158" s="83"/>
      <c r="E158" s="83"/>
      <c r="F158" s="87"/>
      <c r="G158" s="83"/>
      <c r="H158" s="83"/>
      <c r="I158" s="117">
        <f>ComData!$AY$2</f>
        <v>2879678549.6821156</v>
      </c>
    </row>
    <row r="159" spans="2:9" ht="15.75">
      <c r="B159" s="86"/>
      <c r="C159" s="83"/>
      <c r="D159" s="83"/>
      <c r="E159" s="83"/>
      <c r="F159" s="87"/>
      <c r="G159" s="83"/>
      <c r="H159" s="83"/>
      <c r="I159" s="117"/>
    </row>
    <row r="160" spans="2:9" ht="15">
      <c r="B160" s="104" t="s">
        <v>228</v>
      </c>
      <c r="C160" s="83"/>
      <c r="D160" s="83"/>
      <c r="E160" s="83"/>
      <c r="F160" s="87"/>
      <c r="G160" s="83"/>
      <c r="H160" s="83"/>
      <c r="I160" s="117">
        <f>ComData!$AY$3</f>
        <v>2107169644.8128028</v>
      </c>
    </row>
    <row r="161" spans="2:9" ht="15">
      <c r="B161" s="88"/>
      <c r="C161" s="83"/>
      <c r="D161" s="83"/>
      <c r="E161" s="83"/>
      <c r="F161" s="87"/>
      <c r="G161" s="83"/>
      <c r="H161" s="83"/>
      <c r="I161" s="116"/>
    </row>
    <row r="162" spans="2:9" ht="15">
      <c r="B162" s="104" t="s">
        <v>229</v>
      </c>
      <c r="C162" s="83"/>
      <c r="D162" s="83"/>
      <c r="E162" s="83"/>
      <c r="F162" s="87"/>
      <c r="G162" s="83"/>
      <c r="H162" s="83"/>
      <c r="I162" s="175"/>
    </row>
    <row r="163" spans="2:9" ht="15">
      <c r="B163" s="88"/>
      <c r="C163" s="83"/>
      <c r="D163" s="83"/>
      <c r="E163" s="83"/>
      <c r="F163" s="87"/>
      <c r="G163" s="83"/>
      <c r="H163" s="83"/>
      <c r="I163" s="84"/>
    </row>
    <row r="164" spans="2:9" ht="15">
      <c r="B164" s="88" t="s">
        <v>230</v>
      </c>
      <c r="C164" s="83"/>
      <c r="D164" s="83"/>
      <c r="E164" s="83"/>
      <c r="F164" s="87"/>
      <c r="G164" s="83"/>
      <c r="H164" s="83"/>
      <c r="I164" s="84"/>
    </row>
    <row r="165" spans="2:9" ht="15.75">
      <c r="B165" s="86"/>
      <c r="C165" s="83"/>
      <c r="D165" s="83"/>
      <c r="E165" s="83"/>
      <c r="F165" s="87"/>
      <c r="G165" s="83"/>
      <c r="H165" s="83"/>
      <c r="I165" s="103"/>
    </row>
    <row r="166" spans="2:9" ht="15">
      <c r="B166" s="88" t="s">
        <v>135</v>
      </c>
      <c r="C166" s="83"/>
      <c r="D166" s="83"/>
      <c r="E166" s="83"/>
      <c r="F166" s="87"/>
      <c r="G166" s="83"/>
      <c r="H166" s="83"/>
      <c r="I166" s="84"/>
    </row>
    <row r="167" spans="2:9" ht="18">
      <c r="B167" s="99"/>
      <c r="C167" s="83"/>
      <c r="D167" s="83"/>
      <c r="E167" s="83"/>
      <c r="F167" s="87"/>
      <c r="G167" s="83"/>
      <c r="H167" s="83"/>
      <c r="I167" s="110"/>
    </row>
    <row r="168" spans="2:9" ht="15">
      <c r="B168" s="88" t="s">
        <v>231</v>
      </c>
      <c r="C168" s="83"/>
      <c r="D168" s="83"/>
      <c r="E168" s="83"/>
      <c r="F168" s="87"/>
      <c r="G168" s="83"/>
      <c r="H168" s="83"/>
      <c r="I168" s="84"/>
    </row>
    <row r="169" spans="2:9" ht="15">
      <c r="B169" s="88"/>
      <c r="C169" s="83"/>
      <c r="D169" s="83"/>
      <c r="E169" s="83"/>
      <c r="F169" s="87"/>
      <c r="G169" s="83"/>
      <c r="H169" s="83"/>
      <c r="I169" s="84"/>
    </row>
    <row r="170" spans="2:9" ht="15.75">
      <c r="B170" s="104" t="s">
        <v>137</v>
      </c>
      <c r="C170" s="83"/>
      <c r="D170" s="83"/>
      <c r="E170" s="83"/>
      <c r="F170" s="129">
        <v>1</v>
      </c>
      <c r="G170" s="83"/>
      <c r="H170" s="83"/>
      <c r="I170" s="176"/>
    </row>
    <row r="171" spans="2:9" ht="15">
      <c r="B171" s="88"/>
      <c r="C171" s="83"/>
      <c r="D171" s="83"/>
      <c r="E171" s="83"/>
      <c r="F171" s="129"/>
      <c r="G171" s="83"/>
      <c r="H171" s="83"/>
      <c r="I171" s="84"/>
    </row>
    <row r="172" spans="2:9" ht="15">
      <c r="B172" s="88" t="s">
        <v>138</v>
      </c>
      <c r="C172" s="83"/>
      <c r="D172" s="83"/>
      <c r="E172" s="83"/>
      <c r="F172" s="129">
        <f>ComData!N12</f>
        <v>0.019</v>
      </c>
      <c r="G172" s="83"/>
      <c r="H172" s="83"/>
      <c r="I172" s="84"/>
    </row>
    <row r="173" spans="2:9" ht="15">
      <c r="B173" s="88"/>
      <c r="C173" s="83"/>
      <c r="D173" s="83"/>
      <c r="E173" s="83"/>
      <c r="F173" s="129"/>
      <c r="G173" s="83"/>
      <c r="H173" s="83"/>
      <c r="I173" s="84"/>
    </row>
    <row r="174" spans="2:9" ht="15">
      <c r="B174" s="88" t="s">
        <v>139</v>
      </c>
      <c r="C174" s="83"/>
      <c r="D174" s="83"/>
      <c r="E174" s="83"/>
      <c r="F174" s="129">
        <f>rebasing</f>
        <v>0</v>
      </c>
      <c r="G174" s="83"/>
      <c r="H174" s="83"/>
      <c r="I174" s="110"/>
    </row>
    <row r="175" spans="2:9" ht="15.75">
      <c r="B175" s="88"/>
      <c r="C175" s="83"/>
      <c r="D175" s="83"/>
      <c r="E175" s="83"/>
      <c r="F175" s="129"/>
      <c r="G175" s="83"/>
      <c r="H175" s="83"/>
      <c r="I175" s="103"/>
    </row>
    <row r="176" spans="2:9" ht="15">
      <c r="B176" s="88" t="s">
        <v>140</v>
      </c>
      <c r="C176" s="83"/>
      <c r="D176" s="83"/>
      <c r="E176" s="83"/>
      <c r="F176" s="129">
        <v>0</v>
      </c>
      <c r="G176" s="83"/>
      <c r="H176" s="83"/>
      <c r="I176" s="84"/>
    </row>
    <row r="177" spans="2:9" ht="15">
      <c r="B177" s="88"/>
      <c r="C177" s="83"/>
      <c r="D177" s="83"/>
      <c r="E177" s="83"/>
      <c r="F177" s="129"/>
      <c r="G177" s="83"/>
      <c r="H177" s="83"/>
      <c r="I177" s="110"/>
    </row>
    <row r="178" spans="2:9" ht="15.75">
      <c r="B178" s="88"/>
      <c r="C178" s="83"/>
      <c r="D178" s="83"/>
      <c r="E178" s="83"/>
      <c r="F178" s="129"/>
      <c r="G178" s="83"/>
      <c r="H178" s="83"/>
      <c r="I178" s="103"/>
    </row>
    <row r="179" spans="2:9" ht="15">
      <c r="B179" s="88" t="s">
        <v>141</v>
      </c>
      <c r="C179" s="83"/>
      <c r="D179" s="83"/>
      <c r="E179" s="83"/>
      <c r="F179" s="129">
        <f>F170+F172+F174+F176</f>
        <v>1.019</v>
      </c>
      <c r="G179" s="83"/>
      <c r="H179" s="83"/>
      <c r="I179" s="84"/>
    </row>
    <row r="180" spans="2:9" ht="15">
      <c r="B180" s="88"/>
      <c r="C180" s="83"/>
      <c r="D180" s="83"/>
      <c r="E180" s="83"/>
      <c r="F180" s="87"/>
      <c r="G180" s="83"/>
      <c r="H180" s="83"/>
      <c r="I180" s="84"/>
    </row>
    <row r="181" spans="2:9" ht="18.75" thickBot="1">
      <c r="B181" s="93" t="s">
        <v>232</v>
      </c>
      <c r="C181" s="94"/>
      <c r="D181" s="94"/>
      <c r="E181" s="94"/>
      <c r="F181" s="95"/>
      <c r="G181" s="94"/>
      <c r="H181" s="94"/>
      <c r="I181" s="160" t="e">
        <f>VLOOKUP($B$5,ComData!$B$15:$FH$195,79,FALSE)</f>
        <v>#N/A</v>
      </c>
    </row>
    <row r="182" spans="2:9" ht="15.75">
      <c r="B182" s="88"/>
      <c r="C182" s="83"/>
      <c r="D182" s="83"/>
      <c r="E182" s="83"/>
      <c r="F182" s="87"/>
      <c r="G182" s="83"/>
      <c r="H182" s="83"/>
      <c r="I182" s="103"/>
    </row>
    <row r="183" spans="2:9" ht="18">
      <c r="B183" s="99" t="s">
        <v>233</v>
      </c>
      <c r="C183" s="83"/>
      <c r="D183" s="83"/>
      <c r="E183" s="83"/>
      <c r="F183" s="87"/>
      <c r="G183" s="83"/>
      <c r="H183" s="83"/>
      <c r="I183" s="103"/>
    </row>
    <row r="184" spans="2:9" ht="15.75">
      <c r="B184" s="88"/>
      <c r="C184" s="83"/>
      <c r="D184" s="83"/>
      <c r="E184" s="83"/>
      <c r="F184" s="87"/>
      <c r="G184" s="83"/>
      <c r="H184" s="83"/>
      <c r="I184" s="103"/>
    </row>
    <row r="185" spans="2:9" ht="15.75">
      <c r="B185" s="88" t="s">
        <v>234</v>
      </c>
      <c r="C185" s="83"/>
      <c r="D185" s="83"/>
      <c r="E185" s="83"/>
      <c r="F185" s="87"/>
      <c r="G185" s="83"/>
      <c r="H185" s="83"/>
      <c r="I185" s="103"/>
    </row>
    <row r="186" spans="2:9" ht="15.75">
      <c r="B186" s="88"/>
      <c r="C186" s="83"/>
      <c r="D186" s="83"/>
      <c r="E186" s="83"/>
      <c r="F186" s="87"/>
      <c r="G186" s="83"/>
      <c r="H186" s="83"/>
      <c r="I186" s="103"/>
    </row>
    <row r="187" spans="2:9" ht="15">
      <c r="B187" s="88" t="str">
        <f>CONCATENATE(TEXT(ComData!$CC$12,"00.00%")," of its Step 7 pot")</f>
        <v>99.29% of its Step 7 pot</v>
      </c>
      <c r="C187" s="83"/>
      <c r="D187" s="83"/>
      <c r="E187" s="83"/>
      <c r="F187" s="87"/>
      <c r="G187" s="83"/>
      <c r="H187" s="83"/>
      <c r="I187" s="117" t="e">
        <f>VLOOKUP($B$5,ComData!$B$15:$FH$195,82,FALSE)</f>
        <v>#N/A</v>
      </c>
    </row>
    <row r="188" spans="2:9" ht="15">
      <c r="B188" s="88"/>
      <c r="C188" s="83"/>
      <c r="D188" s="83"/>
      <c r="E188" s="83"/>
      <c r="F188" s="87"/>
      <c r="G188" s="83"/>
      <c r="H188" s="83"/>
      <c r="I188" s="117"/>
    </row>
    <row r="189" spans="2:9" ht="15">
      <c r="B189" s="88" t="s">
        <v>235</v>
      </c>
      <c r="C189" s="83"/>
      <c r="D189" s="83"/>
      <c r="E189" s="83"/>
      <c r="F189" s="75"/>
      <c r="G189" s="75"/>
      <c r="H189" s="75"/>
      <c r="I189" s="117" t="e">
        <f>VLOOKUP($B$5,ComData!$B$15:$FH$195,81,FALSE)</f>
        <v>#N/A</v>
      </c>
    </row>
    <row r="190" spans="2:9" ht="15.75">
      <c r="B190" s="88"/>
      <c r="C190" s="83"/>
      <c r="D190" s="83"/>
      <c r="E190" s="83"/>
      <c r="F190" s="75"/>
      <c r="G190" s="75"/>
      <c r="H190" s="75"/>
      <c r="I190" s="103"/>
    </row>
    <row r="191" spans="2:9" ht="18.75" thickBot="1">
      <c r="B191" s="138" t="s">
        <v>236</v>
      </c>
      <c r="C191" s="139"/>
      <c r="D191" s="139"/>
      <c r="E191" s="139"/>
      <c r="F191" s="140"/>
      <c r="G191" s="139"/>
      <c r="H191" s="139"/>
      <c r="I191" s="177" t="e">
        <f>VLOOKUP($B$5,ComData!$B$15:$FH$195,82,FALSE)</f>
        <v>#N/A</v>
      </c>
    </row>
    <row r="192" spans="2:9" ht="18">
      <c r="B192" s="86"/>
      <c r="C192" s="83"/>
      <c r="D192" s="83"/>
      <c r="E192" s="83"/>
      <c r="F192" s="87"/>
      <c r="G192" s="83"/>
      <c r="H192" s="83"/>
      <c r="I192" s="178"/>
    </row>
    <row r="193" spans="2:9" ht="18.75" thickBot="1">
      <c r="B193" s="138" t="s">
        <v>237</v>
      </c>
      <c r="C193" s="139"/>
      <c r="D193" s="139"/>
      <c r="E193" s="139"/>
      <c r="F193" s="140"/>
      <c r="G193" s="139"/>
      <c r="H193" s="139"/>
      <c r="I193" s="179" t="e">
        <f>VLOOKUP($B$5,ComData!$B$15:$FH$195,83,FALSE)</f>
        <v>#N/A</v>
      </c>
    </row>
    <row r="194" spans="2:9" ht="15">
      <c r="B194" s="88"/>
      <c r="C194" s="83"/>
      <c r="D194" s="83"/>
      <c r="E194" s="83"/>
      <c r="F194" s="87"/>
      <c r="G194" s="83"/>
      <c r="H194" s="83"/>
      <c r="I194" s="110"/>
    </row>
    <row r="195" spans="2:9" ht="15.75" thickBot="1">
      <c r="B195" s="143"/>
      <c r="C195" s="79"/>
      <c r="D195" s="79"/>
      <c r="E195" s="79"/>
      <c r="F195" s="144"/>
      <c r="G195" s="80"/>
      <c r="H195" s="80"/>
      <c r="I195" s="81"/>
    </row>
  </sheetData>
  <mergeCells count="1">
    <mergeCell ref="B5:C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9">
    <tabColor indexed="15"/>
  </sheetPr>
  <dimension ref="A3:J61"/>
  <sheetViews>
    <sheetView zoomScale="85" zoomScaleNormal="85" workbookViewId="0" topLeftCell="A1">
      <selection activeCell="I15" sqref="I15"/>
    </sheetView>
  </sheetViews>
  <sheetFormatPr defaultColWidth="9.140625" defaultRowHeight="12.75"/>
  <cols>
    <col min="1" max="1" width="9.140625" style="1" customWidth="1"/>
    <col min="2" max="8" width="15.00390625" style="1" customWidth="1"/>
    <col min="9" max="9" width="17.140625" style="1" bestFit="1" customWidth="1"/>
    <col min="10" max="11" width="15.00390625" style="1" customWidth="1"/>
    <col min="12" max="16384" width="9.140625" style="1" customWidth="1"/>
  </cols>
  <sheetData>
    <row r="2" ht="13.5" thickBot="1"/>
    <row r="3" spans="2:7" ht="18">
      <c r="B3" s="33" t="s">
        <v>238</v>
      </c>
      <c r="C3" s="34"/>
      <c r="D3" s="34"/>
      <c r="E3" s="34"/>
      <c r="F3" s="34"/>
      <c r="G3" s="35"/>
    </row>
    <row r="4" spans="2:7" ht="18.75" thickBot="1">
      <c r="B4" s="36"/>
      <c r="C4" s="37"/>
      <c r="D4" s="37"/>
      <c r="E4" s="37"/>
      <c r="F4" s="37"/>
      <c r="G4" s="38"/>
    </row>
    <row r="5" spans="2:7" ht="18.75" thickBot="1">
      <c r="B5" s="484" t="str">
        <f>name</f>
        <v>Local Authority</v>
      </c>
      <c r="C5" s="485"/>
      <c r="D5" s="37"/>
      <c r="E5" s="37"/>
      <c r="F5" s="37"/>
      <c r="G5" s="38"/>
    </row>
    <row r="6" spans="2:7" ht="18">
      <c r="B6" s="36"/>
      <c r="C6" s="37"/>
      <c r="D6" s="37"/>
      <c r="E6" s="37"/>
      <c r="F6" s="37"/>
      <c r="G6" s="38"/>
    </row>
    <row r="7" spans="2:7" ht="18.75" thickBot="1">
      <c r="B7" s="39"/>
      <c r="C7" s="40"/>
      <c r="D7" s="40"/>
      <c r="E7" s="40"/>
      <c r="F7" s="40"/>
      <c r="G7" s="41"/>
    </row>
    <row r="10" ht="13.5" thickBot="1"/>
    <row r="11" spans="2:9" ht="18">
      <c r="B11" s="69" t="s">
        <v>48</v>
      </c>
      <c r="C11" s="70"/>
      <c r="D11" s="70"/>
      <c r="E11" s="70"/>
      <c r="F11" s="71"/>
      <c r="G11" s="70"/>
      <c r="H11" s="70"/>
      <c r="I11" s="72"/>
    </row>
    <row r="12" spans="2:9" ht="15.75">
      <c r="B12" s="73" t="s">
        <v>239</v>
      </c>
      <c r="C12" s="74"/>
      <c r="D12" s="74"/>
      <c r="E12" s="74"/>
      <c r="F12" s="75"/>
      <c r="G12" s="74"/>
      <c r="H12" s="74"/>
      <c r="I12" s="145" t="e">
        <f>VLOOKUP($B$5,ComData!$B$15:$FH$195,84,FALSE)</f>
        <v>#N/A</v>
      </c>
    </row>
    <row r="13" spans="2:9" ht="16.5" thickBot="1">
      <c r="B13" s="78"/>
      <c r="C13" s="79"/>
      <c r="D13" s="79"/>
      <c r="E13" s="79"/>
      <c r="F13" s="80"/>
      <c r="G13" s="79"/>
      <c r="H13" s="79"/>
      <c r="I13" s="81"/>
    </row>
    <row r="14" spans="2:9" ht="18">
      <c r="B14" s="180" t="s">
        <v>240</v>
      </c>
      <c r="C14" s="74"/>
      <c r="D14" s="74"/>
      <c r="E14" s="74"/>
      <c r="F14" s="82"/>
      <c r="G14" s="83"/>
      <c r="H14" s="83"/>
      <c r="I14" s="84"/>
    </row>
    <row r="15" spans="2:9" ht="15.75">
      <c r="B15" s="85"/>
      <c r="C15" s="74"/>
      <c r="D15" s="74"/>
      <c r="E15" s="74"/>
      <c r="F15" s="82"/>
      <c r="G15" s="83"/>
      <c r="H15" s="83"/>
      <c r="I15" s="84"/>
    </row>
    <row r="16" spans="2:9" ht="15.75">
      <c r="B16" s="86" t="s">
        <v>157</v>
      </c>
      <c r="C16" s="83"/>
      <c r="D16" s="83"/>
      <c r="E16" s="83"/>
      <c r="F16" s="87"/>
      <c r="G16" s="83"/>
      <c r="H16" s="83"/>
      <c r="I16" s="84"/>
    </row>
    <row r="17" spans="2:9" ht="15">
      <c r="B17" s="88"/>
      <c r="C17" s="83"/>
      <c r="D17" s="75"/>
      <c r="E17" s="89"/>
      <c r="F17" s="87"/>
      <c r="G17" s="83"/>
      <c r="H17" s="83"/>
      <c r="I17" s="84"/>
    </row>
    <row r="18" spans="2:9" ht="15">
      <c r="B18" s="104" t="s">
        <v>241</v>
      </c>
      <c r="C18" s="83"/>
      <c r="D18" s="83"/>
      <c r="E18" s="83"/>
      <c r="F18" s="87"/>
      <c r="G18" s="83"/>
      <c r="H18" s="83"/>
      <c r="I18" s="84"/>
    </row>
    <row r="19" spans="2:9" ht="15">
      <c r="B19" s="88"/>
      <c r="C19" s="83"/>
      <c r="D19" s="83"/>
      <c r="E19" s="83"/>
      <c r="F19" s="90"/>
      <c r="G19" s="83"/>
      <c r="H19" s="83"/>
      <c r="I19" s="84"/>
    </row>
    <row r="20" spans="2:9" ht="15">
      <c r="B20" s="88" t="s">
        <v>242</v>
      </c>
      <c r="C20" s="83"/>
      <c r="D20" s="83"/>
      <c r="E20" s="83"/>
      <c r="F20" s="87"/>
      <c r="G20" s="89"/>
      <c r="H20" s="83"/>
      <c r="I20" s="84"/>
    </row>
    <row r="21" spans="2:9" ht="15">
      <c r="B21" s="88" t="s">
        <v>160</v>
      </c>
      <c r="C21" s="83"/>
      <c r="D21" s="83"/>
      <c r="E21" s="83"/>
      <c r="F21" s="90"/>
      <c r="G21" s="83"/>
      <c r="H21" s="83"/>
      <c r="I21" s="84"/>
    </row>
    <row r="22" spans="2:9" ht="15.75">
      <c r="B22" s="88"/>
      <c r="C22" s="83"/>
      <c r="D22" s="83"/>
      <c r="E22" s="83"/>
      <c r="F22" s="487" t="s">
        <v>243</v>
      </c>
      <c r="G22" s="488"/>
      <c r="H22" s="181"/>
      <c r="I22" s="182"/>
    </row>
    <row r="23" spans="2:9" ht="15.75">
      <c r="B23" s="88"/>
      <c r="C23" s="83"/>
      <c r="D23" s="83"/>
      <c r="E23" s="83"/>
      <c r="F23" s="488"/>
      <c r="G23" s="488"/>
      <c r="H23" s="181" t="s">
        <v>48</v>
      </c>
      <c r="I23" s="77" t="s">
        <v>240</v>
      </c>
    </row>
    <row r="24" spans="1:9" ht="15">
      <c r="A24" s="183">
        <v>85</v>
      </c>
      <c r="B24" s="88" t="s">
        <v>244</v>
      </c>
      <c r="C24" s="83"/>
      <c r="D24" s="83"/>
      <c r="E24" s="83"/>
      <c r="F24" s="87"/>
      <c r="G24" s="184">
        <f>ComData!CH12</f>
        <v>416.82705630450357</v>
      </c>
      <c r="H24" s="185" t="e">
        <f>VLOOKUP($B$5,ComData!$B$15:$FH$195,$A24,FALSE)</f>
        <v>#N/A</v>
      </c>
      <c r="I24" s="117" t="e">
        <f aca="true" t="shared" si="0" ref="I24:I38">H24*G24</f>
        <v>#N/A</v>
      </c>
    </row>
    <row r="25" spans="1:9" ht="15">
      <c r="A25" s="183">
        <v>86</v>
      </c>
      <c r="B25" s="186" t="s">
        <v>245</v>
      </c>
      <c r="C25" s="83"/>
      <c r="D25" s="83"/>
      <c r="E25" s="83"/>
      <c r="F25" s="87"/>
      <c r="G25" s="184">
        <f>ComData!CI12</f>
        <v>479.94658197347127</v>
      </c>
      <c r="H25" s="185" t="e">
        <f>VLOOKUP($B$5,ComData!$B$15:$FH$195,$A25,FALSE)</f>
        <v>#N/A</v>
      </c>
      <c r="I25" s="117" t="e">
        <f t="shared" si="0"/>
        <v>#N/A</v>
      </c>
    </row>
    <row r="26" spans="1:9" ht="15">
      <c r="A26" s="183">
        <v>87</v>
      </c>
      <c r="B26" s="88" t="s">
        <v>246</v>
      </c>
      <c r="C26" s="83"/>
      <c r="D26" s="83"/>
      <c r="E26" s="83"/>
      <c r="F26" s="87"/>
      <c r="G26" s="184">
        <f>ComData!CJ12</f>
        <v>491.8559264393142</v>
      </c>
      <c r="H26" s="185" t="e">
        <f>VLOOKUP($B$5,ComData!$B$15:$FH$195,$A26,FALSE)</f>
        <v>#N/A</v>
      </c>
      <c r="I26" s="117" t="e">
        <f t="shared" si="0"/>
        <v>#N/A</v>
      </c>
    </row>
    <row r="27" spans="1:9" ht="15">
      <c r="A27" s="183">
        <v>88</v>
      </c>
      <c r="B27" s="88" t="s">
        <v>247</v>
      </c>
      <c r="C27" s="83"/>
      <c r="D27" s="83"/>
      <c r="E27" s="83"/>
      <c r="F27" s="90"/>
      <c r="G27" s="184">
        <f>ComData!CK$12</f>
        <v>681.2145034462172</v>
      </c>
      <c r="H27" s="185" t="e">
        <f>VLOOKUP($B$5,ComData!$B$15:$FH$195,$A27,FALSE)</f>
        <v>#N/A</v>
      </c>
      <c r="I27" s="117" t="e">
        <f t="shared" si="0"/>
        <v>#N/A</v>
      </c>
    </row>
    <row r="28" spans="1:9" ht="15">
      <c r="A28" s="183">
        <v>89</v>
      </c>
      <c r="B28" s="88" t="s">
        <v>248</v>
      </c>
      <c r="C28" s="83"/>
      <c r="D28" s="83"/>
      <c r="E28" s="83"/>
      <c r="F28" s="87"/>
      <c r="G28" s="184">
        <f>ComData!CL$12</f>
        <v>781.2529969592981</v>
      </c>
      <c r="H28" s="185" t="e">
        <f>VLOOKUP($B$5,ComData!$B$15:$FH$195,$A28,FALSE)</f>
        <v>#N/A</v>
      </c>
      <c r="I28" s="117" t="e">
        <f t="shared" si="0"/>
        <v>#N/A</v>
      </c>
    </row>
    <row r="29" spans="1:9" ht="15">
      <c r="A29" s="183">
        <v>90</v>
      </c>
      <c r="B29" s="88" t="s">
        <v>249</v>
      </c>
      <c r="C29" s="83"/>
      <c r="D29" s="83"/>
      <c r="E29" s="83"/>
      <c r="F29" s="92"/>
      <c r="G29" s="184">
        <f>ComData!CM$12</f>
        <v>771.7255213866237</v>
      </c>
      <c r="H29" s="185" t="e">
        <f>VLOOKUP($B$5,ComData!$B$15:$FH$195,$A29,FALSE)</f>
        <v>#N/A</v>
      </c>
      <c r="I29" s="117" t="e">
        <f t="shared" si="0"/>
        <v>#N/A</v>
      </c>
    </row>
    <row r="30" spans="1:9" ht="15">
      <c r="A30" s="183">
        <v>91</v>
      </c>
      <c r="B30" s="88" t="s">
        <v>250</v>
      </c>
      <c r="C30" s="83"/>
      <c r="D30" s="83"/>
      <c r="E30" s="83"/>
      <c r="F30" s="92"/>
      <c r="G30" s="184">
        <f>ComData!CN$12</f>
        <v>572.8394688070463</v>
      </c>
      <c r="H30" s="185" t="e">
        <f>VLOOKUP($B$5,ComData!$B$15:$FH$195,$A30,FALSE)</f>
        <v>#N/A</v>
      </c>
      <c r="I30" s="117" t="e">
        <f t="shared" si="0"/>
        <v>#N/A</v>
      </c>
    </row>
    <row r="31" spans="1:9" ht="15">
      <c r="A31" s="183">
        <v>92</v>
      </c>
      <c r="B31" s="88" t="s">
        <v>251</v>
      </c>
      <c r="C31" s="83"/>
      <c r="D31" s="83"/>
      <c r="E31" s="83"/>
      <c r="F31" s="92"/>
      <c r="G31" s="184">
        <f>ComData!CO$12</f>
        <v>626.4315189033396</v>
      </c>
      <c r="H31" s="185" t="e">
        <f>VLOOKUP($B$5,ComData!$B$15:$FH$195,$A31,FALSE)</f>
        <v>#N/A</v>
      </c>
      <c r="I31" s="117" t="e">
        <f t="shared" si="0"/>
        <v>#N/A</v>
      </c>
    </row>
    <row r="32" spans="1:9" ht="15">
      <c r="A32" s="183">
        <v>93</v>
      </c>
      <c r="B32" s="88" t="s">
        <v>252</v>
      </c>
      <c r="C32" s="83"/>
      <c r="D32" s="83"/>
      <c r="E32" s="83"/>
      <c r="F32" s="92"/>
      <c r="G32" s="184">
        <f>ComData!CP$12</f>
        <v>546.6389109821919</v>
      </c>
      <c r="H32" s="185" t="e">
        <f>VLOOKUP($B$5,ComData!$B$15:$FH$195,$A32,FALSE)</f>
        <v>#N/A</v>
      </c>
      <c r="I32" s="117" t="e">
        <f t="shared" si="0"/>
        <v>#N/A</v>
      </c>
    </row>
    <row r="33" spans="1:9" ht="15">
      <c r="A33" s="183">
        <v>94</v>
      </c>
      <c r="B33" s="88" t="s">
        <v>253</v>
      </c>
      <c r="C33" s="83"/>
      <c r="D33" s="83"/>
      <c r="E33" s="83"/>
      <c r="F33" s="92"/>
      <c r="G33" s="184">
        <f>ComData!CQ$12</f>
        <v>813.408227017074</v>
      </c>
      <c r="H33" s="185" t="e">
        <f>VLOOKUP($B$5,ComData!$B$15:$FH$195,$A33,FALSE)</f>
        <v>#N/A</v>
      </c>
      <c r="I33" s="117" t="e">
        <f t="shared" si="0"/>
        <v>#N/A</v>
      </c>
    </row>
    <row r="34" spans="1:9" ht="15">
      <c r="A34" s="183">
        <v>95</v>
      </c>
      <c r="B34" s="186" t="s">
        <v>254</v>
      </c>
      <c r="C34" s="83"/>
      <c r="D34" s="83"/>
      <c r="E34" s="83"/>
      <c r="F34" s="87"/>
      <c r="G34" s="184">
        <f>ComData!CR$12</f>
        <v>825.3175714829171</v>
      </c>
      <c r="H34" s="185" t="e">
        <f>VLOOKUP($B$5,ComData!$B$15:$FH$195,$A34,FALSE)</f>
        <v>#N/A</v>
      </c>
      <c r="I34" s="117" t="e">
        <f t="shared" si="0"/>
        <v>#N/A</v>
      </c>
    </row>
    <row r="35" spans="1:9" ht="15">
      <c r="A35" s="183">
        <v>96</v>
      </c>
      <c r="B35" s="186" t="s">
        <v>255</v>
      </c>
      <c r="C35" s="75"/>
      <c r="D35" s="75"/>
      <c r="E35" s="83"/>
      <c r="F35" s="87"/>
      <c r="G35" s="184">
        <f>ComData!CS$12</f>
        <v>992.0483940047184</v>
      </c>
      <c r="H35" s="185" t="e">
        <f>VLOOKUP($B$5,ComData!$B$15:$FH$195,$A35,FALSE)</f>
        <v>#N/A</v>
      </c>
      <c r="I35" s="117" t="e">
        <f t="shared" si="0"/>
        <v>#N/A</v>
      </c>
    </row>
    <row r="36" spans="1:9" ht="15">
      <c r="A36" s="183">
        <v>97</v>
      </c>
      <c r="B36" s="186" t="s">
        <v>256</v>
      </c>
      <c r="C36" s="83"/>
      <c r="D36" s="83"/>
      <c r="E36" s="83"/>
      <c r="F36" s="87"/>
      <c r="G36" s="184">
        <f>ComData!CT$12</f>
        <v>625.2405844567554</v>
      </c>
      <c r="H36" s="185" t="e">
        <f>VLOOKUP($B$5,ComData!$B$15:$FH$195,$A36,FALSE)</f>
        <v>#N/A</v>
      </c>
      <c r="I36" s="117" t="e">
        <f t="shared" si="0"/>
        <v>#N/A</v>
      </c>
    </row>
    <row r="37" spans="1:9" ht="15">
      <c r="A37" s="183">
        <v>98</v>
      </c>
      <c r="B37" s="186" t="s">
        <v>257</v>
      </c>
      <c r="C37" s="83"/>
      <c r="D37" s="83"/>
      <c r="E37" s="83"/>
      <c r="F37" s="87"/>
      <c r="G37" s="184">
        <f>ComData!CU$12</f>
        <v>546.6389109821919</v>
      </c>
      <c r="H37" s="185" t="e">
        <f>VLOOKUP($B$5,ComData!$B$15:$FH$195,$A37,FALSE)</f>
        <v>#N/A</v>
      </c>
      <c r="I37" s="117" t="e">
        <f t="shared" si="0"/>
        <v>#N/A</v>
      </c>
    </row>
    <row r="38" spans="1:9" ht="15">
      <c r="A38" s="183">
        <v>99</v>
      </c>
      <c r="B38" s="88" t="s">
        <v>258</v>
      </c>
      <c r="C38" s="83"/>
      <c r="D38" s="83"/>
      <c r="E38" s="83"/>
      <c r="F38" s="100"/>
      <c r="G38" s="184">
        <f>ComData!CV$12</f>
        <v>813.408227017074</v>
      </c>
      <c r="H38" s="185" t="e">
        <f>VLOOKUP($B$5,ComData!$B$15:$FH$195,$A38,FALSE)</f>
        <v>#N/A</v>
      </c>
      <c r="I38" s="117" t="e">
        <f t="shared" si="0"/>
        <v>#N/A</v>
      </c>
    </row>
    <row r="39" spans="2:9" ht="15">
      <c r="B39" s="88"/>
      <c r="C39" s="83"/>
      <c r="D39" s="83"/>
      <c r="E39" s="83"/>
      <c r="F39" s="87"/>
      <c r="G39" s="83"/>
      <c r="H39" s="83"/>
      <c r="I39" s="84"/>
    </row>
    <row r="40" spans="2:9" ht="15.75">
      <c r="B40" s="88"/>
      <c r="C40" s="83"/>
      <c r="D40" s="83"/>
      <c r="E40" s="83"/>
      <c r="F40" s="87"/>
      <c r="G40" s="83"/>
      <c r="H40" s="83"/>
      <c r="I40" s="103"/>
    </row>
    <row r="41" spans="2:9" ht="18.75" thickBot="1">
      <c r="B41" s="187" t="s">
        <v>259</v>
      </c>
      <c r="C41" s="188"/>
      <c r="D41" s="188"/>
      <c r="E41" s="188"/>
      <c r="F41" s="189"/>
      <c r="G41" s="188"/>
      <c r="H41" s="188"/>
      <c r="I41" s="160" t="e">
        <f>VLOOKUP($B$5,ComData!$B$15:$FH$195,100,FALSE)</f>
        <v>#N/A</v>
      </c>
    </row>
    <row r="42" spans="2:9" ht="15">
      <c r="B42" s="104"/>
      <c r="C42" s="83"/>
      <c r="D42" s="83"/>
      <c r="E42" s="83"/>
      <c r="F42" s="87"/>
      <c r="G42" s="83"/>
      <c r="H42" s="83"/>
      <c r="I42" s="84"/>
    </row>
    <row r="43" spans="2:9" ht="15.75">
      <c r="B43" s="104" t="s">
        <v>260</v>
      </c>
      <c r="C43" s="83"/>
      <c r="D43" s="83"/>
      <c r="E43" s="83"/>
      <c r="F43" s="87"/>
      <c r="G43" s="83"/>
      <c r="H43" s="190"/>
      <c r="I43" s="191" t="e">
        <f>VLOOKUP($B$5,ComData!$B$15:$FH$195,101,FALSE)</f>
        <v>#N/A</v>
      </c>
    </row>
    <row r="44" spans="2:9" ht="15">
      <c r="B44" s="88"/>
      <c r="C44" s="83"/>
      <c r="D44" s="83"/>
      <c r="E44" s="83"/>
      <c r="F44" s="87"/>
      <c r="G44" s="83"/>
      <c r="H44" s="83"/>
      <c r="I44" s="110"/>
    </row>
    <row r="45" spans="2:9" ht="15">
      <c r="B45" s="88" t="s">
        <v>261</v>
      </c>
      <c r="C45" s="83"/>
      <c r="D45" s="83"/>
      <c r="E45" s="83"/>
      <c r="F45" s="87"/>
      <c r="G45" s="83"/>
      <c r="H45" s="83"/>
      <c r="I45" s="110"/>
    </row>
    <row r="46" spans="2:9" ht="15">
      <c r="B46" s="88"/>
      <c r="C46" s="83"/>
      <c r="D46" s="83"/>
      <c r="E46" s="83"/>
      <c r="F46" s="87"/>
      <c r="G46" s="83"/>
      <c r="H46" s="83"/>
      <c r="I46" s="84"/>
    </row>
    <row r="47" spans="2:9" ht="15.75">
      <c r="B47" s="104" t="s">
        <v>262</v>
      </c>
      <c r="C47" s="83"/>
      <c r="D47" s="83"/>
      <c r="E47" s="83"/>
      <c r="F47" s="87"/>
      <c r="G47" s="87"/>
      <c r="H47" s="190"/>
      <c r="I47" s="191" t="e">
        <f>VLOOKUP($B$5,ComData!$B$15:$FH$195,102,FALSE)</f>
        <v>#N/A</v>
      </c>
    </row>
    <row r="48" spans="2:9" ht="15.75">
      <c r="B48" s="88"/>
      <c r="C48" s="83"/>
      <c r="D48" s="83"/>
      <c r="E48" s="83"/>
      <c r="F48" s="107"/>
      <c r="G48" s="89"/>
      <c r="H48" s="190"/>
      <c r="I48" s="192"/>
    </row>
    <row r="49" spans="2:9" ht="15.75">
      <c r="B49" s="104" t="s">
        <v>263</v>
      </c>
      <c r="C49" s="83"/>
      <c r="D49" s="83"/>
      <c r="E49" s="83"/>
      <c r="F49" s="107"/>
      <c r="G49" s="89"/>
      <c r="H49" s="190"/>
      <c r="I49" s="191">
        <f>ComData!$CK$2</f>
        <v>0.9762635900324241</v>
      </c>
    </row>
    <row r="50" spans="2:9" ht="15">
      <c r="B50" s="88"/>
      <c r="C50" s="83"/>
      <c r="D50" s="83"/>
      <c r="E50" s="83"/>
      <c r="F50" s="87"/>
      <c r="G50" s="83"/>
      <c r="H50" s="83"/>
      <c r="I50" s="84"/>
    </row>
    <row r="51" spans="2:9" ht="15">
      <c r="B51" s="88" t="s">
        <v>264</v>
      </c>
      <c r="C51" s="83"/>
      <c r="D51" s="83"/>
      <c r="E51" s="83"/>
      <c r="F51" s="87"/>
      <c r="G51" s="83"/>
      <c r="H51" s="83"/>
      <c r="I51" s="110"/>
    </row>
    <row r="52" spans="2:9" ht="15.75">
      <c r="B52" s="88"/>
      <c r="C52" s="83"/>
      <c r="D52" s="83"/>
      <c r="E52" s="83"/>
      <c r="F52" s="87"/>
      <c r="G52" s="83"/>
      <c r="H52" s="83"/>
      <c r="I52" s="193"/>
    </row>
    <row r="53" spans="2:9" ht="15">
      <c r="B53" s="104" t="s">
        <v>265</v>
      </c>
      <c r="C53" s="83"/>
      <c r="D53" s="83"/>
      <c r="E53" s="83"/>
      <c r="F53" s="87"/>
      <c r="G53" s="83"/>
      <c r="H53" s="489">
        <f>ComData!$CK$3</f>
        <v>1273949777.9008846</v>
      </c>
      <c r="I53" s="490"/>
    </row>
    <row r="54" spans="2:9" ht="15">
      <c r="B54" s="88"/>
      <c r="C54" s="83"/>
      <c r="D54" s="83"/>
      <c r="E54" s="83"/>
      <c r="F54" s="87"/>
      <c r="G54" s="83"/>
      <c r="H54" s="152"/>
      <c r="I54" s="84"/>
    </row>
    <row r="55" spans="2:9" ht="15">
      <c r="B55" s="104" t="s">
        <v>266</v>
      </c>
      <c r="C55" s="83"/>
      <c r="D55" s="83"/>
      <c r="E55" s="83"/>
      <c r="F55" s="87"/>
      <c r="G55" s="83"/>
      <c r="H55" s="489">
        <f>ComData!$CK$4</f>
        <v>1304923988.6725404</v>
      </c>
      <c r="I55" s="490"/>
    </row>
    <row r="56" spans="2:9" ht="15">
      <c r="B56" s="88" t="s">
        <v>267</v>
      </c>
      <c r="C56" s="83"/>
      <c r="D56" s="83"/>
      <c r="E56" s="83"/>
      <c r="F56" s="87"/>
      <c r="G56" s="83"/>
      <c r="H56" s="83"/>
      <c r="I56" s="84"/>
    </row>
    <row r="57" spans="2:9" ht="15">
      <c r="B57" s="88"/>
      <c r="C57" s="83"/>
      <c r="D57" s="83"/>
      <c r="E57" s="83"/>
      <c r="F57" s="87"/>
      <c r="G57" s="83"/>
      <c r="H57" s="83"/>
      <c r="I57" s="84"/>
    </row>
    <row r="58" spans="2:10" ht="15.75">
      <c r="B58" s="86"/>
      <c r="C58" s="83"/>
      <c r="D58" s="83"/>
      <c r="E58" s="83"/>
      <c r="F58" s="87"/>
      <c r="G58" s="83"/>
      <c r="H58" s="83"/>
      <c r="I58" s="103"/>
      <c r="J58" s="102"/>
    </row>
    <row r="59" spans="2:9" ht="18.75" thickBot="1">
      <c r="B59" s="194" t="s">
        <v>268</v>
      </c>
      <c r="C59" s="139"/>
      <c r="D59" s="139"/>
      <c r="E59" s="139"/>
      <c r="F59" s="140"/>
      <c r="G59" s="139"/>
      <c r="H59" s="195"/>
      <c r="I59" s="141" t="e">
        <f>VLOOKUP($B$5,ComData!$B$15:$FH$195,103,FALSE)</f>
        <v>#N/A</v>
      </c>
    </row>
    <row r="60" spans="2:9" ht="18">
      <c r="B60" s="99"/>
      <c r="C60" s="83"/>
      <c r="D60" s="83"/>
      <c r="E60" s="83"/>
      <c r="F60" s="87"/>
      <c r="G60" s="83"/>
      <c r="H60" s="152"/>
      <c r="I60" s="110"/>
    </row>
    <row r="61" spans="2:10" ht="18.75" thickBot="1">
      <c r="B61" s="194" t="s">
        <v>269</v>
      </c>
      <c r="C61" s="139"/>
      <c r="D61" s="139"/>
      <c r="E61" s="139"/>
      <c r="F61" s="140"/>
      <c r="G61" s="139"/>
      <c r="H61" s="196"/>
      <c r="I61" s="142" t="e">
        <f>VLOOKUP($B$5,ComData!$B$15:$FH$195,104,FALSE)</f>
        <v>#N/A</v>
      </c>
      <c r="J61" s="102"/>
    </row>
  </sheetData>
  <mergeCells count="4">
    <mergeCell ref="B5:C5"/>
    <mergeCell ref="F22:G23"/>
    <mergeCell ref="H53:I53"/>
    <mergeCell ref="H55:I5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0">
    <tabColor indexed="15"/>
  </sheetPr>
  <dimension ref="B3:I73"/>
  <sheetViews>
    <sheetView zoomScale="85" zoomScaleNormal="85" workbookViewId="0" topLeftCell="A1">
      <selection activeCell="I15" sqref="I15"/>
    </sheetView>
  </sheetViews>
  <sheetFormatPr defaultColWidth="9.140625" defaultRowHeight="12.75"/>
  <cols>
    <col min="1" max="1" width="9.140625" style="1" customWidth="1"/>
    <col min="2" max="8" width="15.00390625" style="1" customWidth="1"/>
    <col min="9" max="9" width="18.8515625" style="1" bestFit="1" customWidth="1"/>
    <col min="10" max="16384" width="9.140625" style="1" customWidth="1"/>
  </cols>
  <sheetData>
    <row r="2" ht="13.5" thickBot="1"/>
    <row r="3" spans="2:9" ht="18">
      <c r="B3" s="33" t="s">
        <v>270</v>
      </c>
      <c r="C3" s="34"/>
      <c r="D3" s="61"/>
      <c r="E3" s="61"/>
      <c r="F3" s="61"/>
      <c r="G3" s="61"/>
      <c r="H3" s="61"/>
      <c r="I3" s="62"/>
    </row>
    <row r="4" spans="2:9" ht="18.75" thickBot="1">
      <c r="B4" s="36"/>
      <c r="C4" s="37"/>
      <c r="D4" s="64"/>
      <c r="E4" s="64"/>
      <c r="F4" s="64"/>
      <c r="G4" s="64"/>
      <c r="H4" s="64"/>
      <c r="I4" s="65"/>
    </row>
    <row r="5" spans="2:9" ht="18.75" thickBot="1">
      <c r="B5" s="484" t="str">
        <f>name</f>
        <v>Local Authority</v>
      </c>
      <c r="C5" s="485"/>
      <c r="D5" s="64"/>
      <c r="E5" s="64"/>
      <c r="F5" s="64"/>
      <c r="G5" s="64"/>
      <c r="H5" s="64"/>
      <c r="I5" s="65"/>
    </row>
    <row r="6" spans="2:9" ht="12.75">
      <c r="B6" s="63"/>
      <c r="C6" s="64"/>
      <c r="D6" s="64"/>
      <c r="E6" s="64"/>
      <c r="F6" s="64"/>
      <c r="G6" s="64"/>
      <c r="H6" s="64"/>
      <c r="I6" s="65"/>
    </row>
    <row r="7" spans="2:9" ht="13.5" thickBot="1">
      <c r="B7" s="66"/>
      <c r="C7" s="67"/>
      <c r="D7" s="67"/>
      <c r="E7" s="67"/>
      <c r="F7" s="67"/>
      <c r="G7" s="67"/>
      <c r="H7" s="67"/>
      <c r="I7" s="68"/>
    </row>
    <row r="10" ht="13.5" thickBot="1"/>
    <row r="11" spans="2:9" ht="18">
      <c r="B11" s="69"/>
      <c r="C11" s="70"/>
      <c r="D11" s="70"/>
      <c r="E11" s="70"/>
      <c r="F11" s="71"/>
      <c r="G11" s="70"/>
      <c r="H11" s="70"/>
      <c r="I11" s="72"/>
    </row>
    <row r="12" spans="2:9" ht="18">
      <c r="B12" s="197"/>
      <c r="C12" s="74"/>
      <c r="D12" s="198" t="s">
        <v>13</v>
      </c>
      <c r="E12" s="74"/>
      <c r="F12" s="75"/>
      <c r="G12" s="74"/>
      <c r="H12" s="74"/>
      <c r="I12" s="77"/>
    </row>
    <row r="13" spans="2:9" ht="16.5" thickBot="1">
      <c r="B13" s="78"/>
      <c r="C13" s="79"/>
      <c r="D13" s="79"/>
      <c r="E13" s="79"/>
      <c r="F13" s="80"/>
      <c r="G13" s="79"/>
      <c r="H13" s="79"/>
      <c r="I13" s="81"/>
    </row>
    <row r="14" spans="2:9" ht="54">
      <c r="B14" s="180" t="s">
        <v>271</v>
      </c>
      <c r="C14" s="74"/>
      <c r="D14" s="74"/>
      <c r="E14" s="74"/>
      <c r="F14" s="82"/>
      <c r="G14" s="83"/>
      <c r="H14" s="199"/>
      <c r="I14" s="200" t="e">
        <f>VLOOKUP(B5,ComData!$B$15:$FH$195,147,FALSE)</f>
        <v>#N/A</v>
      </c>
    </row>
    <row r="15" spans="2:9" ht="15.75">
      <c r="B15" s="85"/>
      <c r="C15" s="74"/>
      <c r="D15" s="74"/>
      <c r="E15" s="74"/>
      <c r="F15" s="82"/>
      <c r="G15" s="83"/>
      <c r="H15" s="83"/>
      <c r="I15" s="200"/>
    </row>
    <row r="16" spans="2:9" ht="15">
      <c r="B16" s="186" t="s">
        <v>272</v>
      </c>
      <c r="C16" s="83"/>
      <c r="D16" s="83"/>
      <c r="E16" s="83"/>
      <c r="F16" s="87"/>
      <c r="G16" s="83"/>
      <c r="H16" s="152"/>
      <c r="I16" s="200" t="e">
        <f>VLOOKUP($B$5,ComData!$B$15:$FH$195,148,FALSE)</f>
        <v>#N/A</v>
      </c>
    </row>
    <row r="17" spans="2:9" ht="15">
      <c r="B17" s="88"/>
      <c r="C17" s="83"/>
      <c r="D17" s="75"/>
      <c r="E17" s="89"/>
      <c r="F17" s="87"/>
      <c r="G17" s="83"/>
      <c r="H17" s="83"/>
      <c r="I17" s="200"/>
    </row>
    <row r="18" spans="2:9" ht="15">
      <c r="B18" s="88" t="s">
        <v>273</v>
      </c>
      <c r="C18" s="83"/>
      <c r="D18" s="83"/>
      <c r="E18" s="83"/>
      <c r="F18" s="87"/>
      <c r="G18" s="83"/>
      <c r="H18" s="152"/>
      <c r="I18" s="200" t="e">
        <f>VLOOKUP($B$5,ComData!$B$15:$FH$195,149,FALSE)</f>
        <v>#N/A</v>
      </c>
    </row>
    <row r="19" spans="2:9" ht="15">
      <c r="B19" s="88"/>
      <c r="C19" s="83"/>
      <c r="D19" s="83"/>
      <c r="E19" s="83"/>
      <c r="F19" s="90"/>
      <c r="G19" s="83"/>
      <c r="H19" s="83"/>
      <c r="I19" s="200"/>
    </row>
    <row r="20" spans="2:9" ht="15">
      <c r="B20" s="88" t="s">
        <v>274</v>
      </c>
      <c r="C20" s="83"/>
      <c r="D20" s="83"/>
      <c r="E20" s="83"/>
      <c r="F20" s="87"/>
      <c r="G20" s="89"/>
      <c r="H20" s="152"/>
      <c r="I20" s="200" t="e">
        <f>VLOOKUP($B$5,ComData!$B$15:$FH$195,150,FALSE)</f>
        <v>#N/A</v>
      </c>
    </row>
    <row r="21" spans="2:9" ht="15">
      <c r="B21" s="88" t="s">
        <v>275</v>
      </c>
      <c r="C21" s="83"/>
      <c r="D21" s="83"/>
      <c r="E21" s="83"/>
      <c r="F21" s="90"/>
      <c r="G21" s="83"/>
      <c r="H21" s="152"/>
      <c r="I21" s="200"/>
    </row>
    <row r="22" spans="2:9" ht="15">
      <c r="B22" s="88"/>
      <c r="C22" s="83"/>
      <c r="D22" s="83"/>
      <c r="E22" s="83"/>
      <c r="F22" s="87"/>
      <c r="G22" s="83"/>
      <c r="H22" s="152"/>
      <c r="I22" s="200"/>
    </row>
    <row r="23" spans="2:9" ht="15">
      <c r="B23" s="88" t="s">
        <v>276</v>
      </c>
      <c r="C23" s="83"/>
      <c r="D23" s="83"/>
      <c r="E23" s="83"/>
      <c r="F23" s="87"/>
      <c r="G23" s="83"/>
      <c r="H23" s="152"/>
      <c r="I23" s="200" t="e">
        <f>VLOOKUP($B$5,ComData!$B$15:$FH$195,151,FALSE)</f>
        <v>#N/A</v>
      </c>
    </row>
    <row r="24" spans="2:9" ht="15">
      <c r="B24" s="88"/>
      <c r="C24" s="83"/>
      <c r="D24" s="83"/>
      <c r="E24" s="83"/>
      <c r="F24" s="87"/>
      <c r="G24" s="83"/>
      <c r="H24" s="83"/>
      <c r="I24" s="200"/>
    </row>
    <row r="25" spans="2:9" ht="15">
      <c r="B25" s="186" t="s">
        <v>277</v>
      </c>
      <c r="C25" s="83"/>
      <c r="D25" s="83"/>
      <c r="E25" s="83"/>
      <c r="F25" s="87"/>
      <c r="G25" s="83"/>
      <c r="H25" s="152"/>
      <c r="I25" s="200" t="e">
        <f>VLOOKUP($B$5,ComData!$B$15:$FH$195,152,FALSE)</f>
        <v>#N/A</v>
      </c>
    </row>
    <row r="26" spans="2:9" ht="15">
      <c r="B26" s="88"/>
      <c r="C26" s="83"/>
      <c r="D26" s="83"/>
      <c r="E26" s="83"/>
      <c r="F26" s="87"/>
      <c r="G26" s="83"/>
      <c r="H26" s="152"/>
      <c r="I26" s="200"/>
    </row>
    <row r="27" spans="2:9" ht="15">
      <c r="B27" s="88" t="s">
        <v>278</v>
      </c>
      <c r="C27" s="83"/>
      <c r="D27" s="83"/>
      <c r="E27" s="83"/>
      <c r="F27" s="90"/>
      <c r="G27" s="83"/>
      <c r="H27" s="152"/>
      <c r="I27" s="200" t="e">
        <f>VLOOKUP($B$5,ComData!$B$15:$FH$195,153,FALSE)</f>
        <v>#N/A</v>
      </c>
    </row>
    <row r="28" spans="2:9" ht="15">
      <c r="B28" s="88" t="s">
        <v>279</v>
      </c>
      <c r="C28" s="83"/>
      <c r="D28" s="83"/>
      <c r="E28" s="83"/>
      <c r="F28" s="87"/>
      <c r="G28" s="83"/>
      <c r="H28" s="83"/>
      <c r="I28" s="200"/>
    </row>
    <row r="29" spans="2:9" ht="15">
      <c r="B29" s="88"/>
      <c r="C29" s="83"/>
      <c r="D29" s="83"/>
      <c r="E29" s="83"/>
      <c r="F29" s="92"/>
      <c r="G29" s="83"/>
      <c r="H29" s="83"/>
      <c r="I29" s="200"/>
    </row>
    <row r="30" spans="2:9" ht="15">
      <c r="B30" s="88" t="s">
        <v>280</v>
      </c>
      <c r="C30" s="83"/>
      <c r="D30" s="83"/>
      <c r="E30" s="83"/>
      <c r="F30" s="92"/>
      <c r="G30" s="83"/>
      <c r="H30" s="152"/>
      <c r="I30" s="200" t="e">
        <f>VLOOKUP($B$5,ComData!$B$15:$FH$195,154,FALSE)</f>
        <v>#N/A</v>
      </c>
    </row>
    <row r="31" spans="2:9" ht="15">
      <c r="B31" s="88" t="s">
        <v>281</v>
      </c>
      <c r="C31" s="83"/>
      <c r="D31" s="83"/>
      <c r="E31" s="83"/>
      <c r="F31" s="92"/>
      <c r="G31" s="83"/>
      <c r="H31" s="83"/>
      <c r="I31" s="200"/>
    </row>
    <row r="32" spans="2:9" ht="15">
      <c r="B32" s="88" t="s">
        <v>282</v>
      </c>
      <c r="C32" s="83"/>
      <c r="D32" s="83"/>
      <c r="E32" s="83"/>
      <c r="F32" s="92"/>
      <c r="G32" s="83"/>
      <c r="H32" s="83"/>
      <c r="I32" s="200"/>
    </row>
    <row r="33" spans="2:9" ht="15">
      <c r="B33" s="88"/>
      <c r="C33" s="83"/>
      <c r="D33" s="83"/>
      <c r="E33" s="83"/>
      <c r="F33" s="92"/>
      <c r="G33" s="83"/>
      <c r="H33" s="83"/>
      <c r="I33" s="200"/>
    </row>
    <row r="34" spans="2:9" ht="15">
      <c r="B34" s="88" t="s">
        <v>283</v>
      </c>
      <c r="C34" s="83"/>
      <c r="D34" s="83"/>
      <c r="E34" s="83"/>
      <c r="F34" s="92"/>
      <c r="G34" s="83"/>
      <c r="H34" s="83"/>
      <c r="I34" s="200" t="e">
        <f>VLOOKUP($B$5,ComData!$B$15:$FH$195,155,FALSE)</f>
        <v>#N/A</v>
      </c>
    </row>
    <row r="35" spans="2:9" ht="15">
      <c r="B35" s="88" t="s">
        <v>284</v>
      </c>
      <c r="C35" s="83"/>
      <c r="D35" s="83"/>
      <c r="E35" s="83"/>
      <c r="F35" s="92"/>
      <c r="G35" s="83"/>
      <c r="H35" s="83"/>
      <c r="I35" s="201"/>
    </row>
    <row r="36" spans="2:9" ht="15">
      <c r="B36" s="88"/>
      <c r="C36" s="83"/>
      <c r="D36" s="83"/>
      <c r="E36" s="83"/>
      <c r="F36" s="92"/>
      <c r="G36" s="83"/>
      <c r="H36" s="83"/>
      <c r="I36" s="201"/>
    </row>
    <row r="37" spans="2:9" ht="15.75">
      <c r="B37" s="86"/>
      <c r="C37" s="83"/>
      <c r="D37" s="83"/>
      <c r="E37" s="83"/>
      <c r="F37" s="87"/>
      <c r="G37" s="83"/>
      <c r="H37" s="83"/>
      <c r="I37" s="103"/>
    </row>
    <row r="38" spans="2:9" ht="18">
      <c r="B38" s="202" t="s">
        <v>285</v>
      </c>
      <c r="C38" s="203"/>
      <c r="D38" s="203"/>
      <c r="E38" s="204"/>
      <c r="F38" s="205"/>
      <c r="G38" s="204"/>
      <c r="H38" s="206"/>
      <c r="I38" s="207"/>
    </row>
    <row r="39" spans="2:9" ht="18">
      <c r="B39" s="208" t="str">
        <f>"= A+ (B+C)/2 + D + (E+F)/2 - G - H + [ALMO Round 1&amp;2 Capital Sum]"</f>
        <v>= A+ (B+C)/2 + D + (E+F)/2 - G - H + [ALMO Round 1&amp;2 Capital Sum]</v>
      </c>
      <c r="C39" s="209"/>
      <c r="D39" s="209"/>
      <c r="E39" s="209"/>
      <c r="F39" s="210"/>
      <c r="G39" s="209"/>
      <c r="H39" s="209"/>
      <c r="I39" s="211" t="e">
        <f>I14+((I16+I18)/2)+I20+((I23+I25)/2)-I27-I30+I34</f>
        <v>#N/A</v>
      </c>
    </row>
    <row r="40" spans="2:9" ht="18.75" thickBot="1">
      <c r="B40" s="212" t="s">
        <v>286</v>
      </c>
      <c r="C40" s="213"/>
      <c r="D40" s="213"/>
      <c r="E40" s="213"/>
      <c r="F40" s="214"/>
      <c r="G40" s="213"/>
      <c r="H40" s="213"/>
      <c r="I40" s="215"/>
    </row>
    <row r="41" spans="2:9" ht="15.75">
      <c r="B41" s="88"/>
      <c r="C41" s="83"/>
      <c r="D41" s="83"/>
      <c r="E41" s="83"/>
      <c r="F41" s="100"/>
      <c r="G41" s="83"/>
      <c r="H41" s="83"/>
      <c r="I41" s="103"/>
    </row>
    <row r="42" spans="2:9" ht="18">
      <c r="B42" s="216"/>
      <c r="C42" s="83"/>
      <c r="D42" s="217" t="s">
        <v>287</v>
      </c>
      <c r="E42" s="83"/>
      <c r="F42" s="87"/>
      <c r="G42" s="87"/>
      <c r="H42" s="87"/>
      <c r="I42" s="103"/>
    </row>
    <row r="43" spans="2:9" ht="15">
      <c r="B43" s="88"/>
      <c r="C43" s="83"/>
      <c r="D43" s="83"/>
      <c r="E43" s="83"/>
      <c r="F43" s="87"/>
      <c r="G43" s="83"/>
      <c r="H43" s="83"/>
      <c r="I43" s="149"/>
    </row>
    <row r="44" spans="2:9" ht="15">
      <c r="B44" s="88" t="s">
        <v>214</v>
      </c>
      <c r="C44" s="83"/>
      <c r="D44" s="83"/>
      <c r="E44" s="83"/>
      <c r="F44" s="87"/>
      <c r="G44" s="83"/>
      <c r="H44" s="218"/>
      <c r="I44" s="219">
        <f>ComData!$FC$8</f>
        <v>39226.1531032</v>
      </c>
    </row>
    <row r="45" spans="2:9" ht="15">
      <c r="B45" s="88"/>
      <c r="C45" s="83"/>
      <c r="D45" s="83"/>
      <c r="E45" s="83"/>
      <c r="F45" s="100"/>
      <c r="G45" s="89"/>
      <c r="H45" s="152"/>
      <c r="I45" s="219"/>
    </row>
    <row r="46" spans="2:9" ht="15">
      <c r="B46" s="88" t="s">
        <v>288</v>
      </c>
      <c r="C46" s="83"/>
      <c r="D46" s="83"/>
      <c r="E46" s="83"/>
      <c r="F46" s="87"/>
      <c r="G46" s="83"/>
      <c r="H46" s="218"/>
      <c r="I46" s="219">
        <f>ComData!$FC$9</f>
        <v>473.1965837625</v>
      </c>
    </row>
    <row r="47" spans="2:9" ht="15">
      <c r="B47" s="88"/>
      <c r="C47" s="83"/>
      <c r="D47" s="83"/>
      <c r="E47" s="83"/>
      <c r="F47" s="87"/>
      <c r="G47" s="83"/>
      <c r="H47" s="83"/>
      <c r="I47" s="110"/>
    </row>
    <row r="48" spans="2:9" ht="15.75">
      <c r="B48" s="88" t="s">
        <v>289</v>
      </c>
      <c r="C48" s="83"/>
      <c r="D48" s="83"/>
      <c r="E48" s="83"/>
      <c r="F48" s="87"/>
      <c r="G48" s="83"/>
      <c r="H48" s="83"/>
      <c r="I48" s="193"/>
    </row>
    <row r="49" spans="2:9" ht="15">
      <c r="B49" s="88"/>
      <c r="C49" s="83"/>
      <c r="D49" s="83"/>
      <c r="E49" s="83"/>
      <c r="F49" s="87"/>
      <c r="G49" s="83"/>
      <c r="H49" s="83"/>
      <c r="I49" s="84"/>
    </row>
    <row r="50" spans="2:9" ht="18.75" thickBot="1">
      <c r="B50" s="194" t="s">
        <v>290</v>
      </c>
      <c r="C50" s="220"/>
      <c r="D50" s="220"/>
      <c r="E50" s="220"/>
      <c r="F50" s="221"/>
      <c r="G50" s="221"/>
      <c r="H50" s="195"/>
      <c r="I50" s="222" t="e">
        <f>VLOOKUP($B$5,ComData!$B$15:$FH$195,157,FALSE)</f>
        <v>#N/A</v>
      </c>
    </row>
    <row r="51" spans="2:9" ht="15.75">
      <c r="B51" s="88"/>
      <c r="C51" s="83"/>
      <c r="D51" s="83"/>
      <c r="E51" s="83"/>
      <c r="F51" s="87"/>
      <c r="G51" s="87"/>
      <c r="H51" s="199"/>
      <c r="I51" s="149"/>
    </row>
    <row r="52" spans="2:9" ht="18">
      <c r="B52" s="216"/>
      <c r="C52" s="83"/>
      <c r="D52" s="83"/>
      <c r="E52" s="217" t="s">
        <v>15</v>
      </c>
      <c r="F52" s="87"/>
      <c r="G52" s="87"/>
      <c r="H52" s="83"/>
      <c r="I52" s="149"/>
    </row>
    <row r="53" spans="2:9" ht="15.75">
      <c r="B53" s="88"/>
      <c r="C53" s="83"/>
      <c r="D53" s="83"/>
      <c r="E53" s="83"/>
      <c r="F53" s="107"/>
      <c r="G53" s="89"/>
      <c r="H53" s="83"/>
      <c r="I53" s="192"/>
    </row>
    <row r="54" spans="2:9" ht="15">
      <c r="B54" s="88" t="s">
        <v>291</v>
      </c>
      <c r="C54" s="83"/>
      <c r="D54" s="83"/>
      <c r="E54" s="83"/>
      <c r="F54" s="87"/>
      <c r="G54" s="83"/>
      <c r="H54" s="152"/>
      <c r="I54" s="219" t="e">
        <f>VLOOKUP($B$5,ComData!$B$15:$FH$195,158,FALSE)</f>
        <v>#N/A</v>
      </c>
    </row>
    <row r="55" spans="2:9" ht="15.75">
      <c r="B55" s="88" t="s">
        <v>292</v>
      </c>
      <c r="C55" s="83"/>
      <c r="D55" s="83"/>
      <c r="E55" s="83"/>
      <c r="F55" s="107"/>
      <c r="G55" s="89"/>
      <c r="H55" s="83"/>
      <c r="I55" s="192"/>
    </row>
    <row r="56" spans="2:9" ht="15">
      <c r="B56" s="88"/>
      <c r="C56" s="83"/>
      <c r="D56" s="83"/>
      <c r="E56" s="83"/>
      <c r="F56" s="87"/>
      <c r="G56" s="83"/>
      <c r="H56" s="83"/>
      <c r="I56" s="149"/>
    </row>
    <row r="57" spans="2:9" ht="15">
      <c r="B57" s="88" t="s">
        <v>293</v>
      </c>
      <c r="C57" s="83"/>
      <c r="D57" s="83"/>
      <c r="E57" s="83"/>
      <c r="F57" s="87"/>
      <c r="G57" s="83"/>
      <c r="H57" s="223"/>
      <c r="I57" s="224">
        <f>ComData!$FE$9</f>
        <v>0.00725</v>
      </c>
    </row>
    <row r="58" spans="2:9" ht="15">
      <c r="B58" s="88"/>
      <c r="C58" s="83"/>
      <c r="D58" s="83"/>
      <c r="E58" s="83"/>
      <c r="F58" s="87"/>
      <c r="G58" s="83"/>
      <c r="H58" s="223"/>
      <c r="I58" s="110"/>
    </row>
    <row r="59" spans="2:9" ht="12.75">
      <c r="B59" s="491" t="s">
        <v>294</v>
      </c>
      <c r="C59" s="492"/>
      <c r="D59" s="492"/>
      <c r="E59" s="492"/>
      <c r="F59" s="492"/>
      <c r="G59" s="492"/>
      <c r="H59" s="492"/>
      <c r="I59" s="493"/>
    </row>
    <row r="60" spans="2:9" ht="25.5" customHeight="1">
      <c r="B60" s="494"/>
      <c r="C60" s="492"/>
      <c r="D60" s="492"/>
      <c r="E60" s="492"/>
      <c r="F60" s="492"/>
      <c r="G60" s="492"/>
      <c r="H60" s="492"/>
      <c r="I60" s="493"/>
    </row>
    <row r="61" spans="2:9" ht="12.75">
      <c r="B61" s="225"/>
      <c r="C61" s="226"/>
      <c r="D61" s="226"/>
      <c r="E61" s="226"/>
      <c r="F61" s="226"/>
      <c r="G61" s="226"/>
      <c r="H61" s="226"/>
      <c r="I61" s="227"/>
    </row>
    <row r="62" spans="2:9" ht="15">
      <c r="B62" s="88" t="s">
        <v>295</v>
      </c>
      <c r="C62" s="83"/>
      <c r="D62" s="83"/>
      <c r="E62" s="83"/>
      <c r="F62" s="87"/>
      <c r="G62" s="83"/>
      <c r="H62" s="152"/>
      <c r="I62" s="200" t="e">
        <f>VLOOKUP($B$5,ComData!$B$15:$FH$195,159,FALSE)</f>
        <v>#N/A</v>
      </c>
    </row>
    <row r="63" spans="2:9" ht="15">
      <c r="B63" s="88"/>
      <c r="C63" s="83"/>
      <c r="D63" s="83"/>
      <c r="E63" s="83"/>
      <c r="F63" s="87"/>
      <c r="G63" s="83"/>
      <c r="H63" s="83"/>
      <c r="I63" s="200"/>
    </row>
    <row r="64" spans="2:9" ht="15">
      <c r="B64" s="88" t="s">
        <v>296</v>
      </c>
      <c r="C64" s="83"/>
      <c r="D64" s="83"/>
      <c r="E64" s="83"/>
      <c r="F64" s="87"/>
      <c r="G64" s="83"/>
      <c r="H64" s="152"/>
      <c r="I64" s="200" t="e">
        <f>VLOOKUP($B$5,ComData!$B$15:$FH$195,160,FALSE)</f>
        <v>#N/A</v>
      </c>
    </row>
    <row r="65" spans="2:9" ht="15">
      <c r="B65" s="88" t="s">
        <v>297</v>
      </c>
      <c r="C65" s="83"/>
      <c r="D65" s="83"/>
      <c r="E65" s="83"/>
      <c r="F65" s="87"/>
      <c r="G65" s="83"/>
      <c r="H65" s="83"/>
      <c r="I65" s="228"/>
    </row>
    <row r="66" spans="2:9" ht="15">
      <c r="B66" s="88"/>
      <c r="C66" s="83"/>
      <c r="D66" s="83"/>
      <c r="E66" s="83"/>
      <c r="F66" s="87"/>
      <c r="G66" s="83"/>
      <c r="H66" s="83"/>
      <c r="I66" s="228"/>
    </row>
    <row r="67" spans="2:9" ht="15">
      <c r="B67" s="186" t="s">
        <v>298</v>
      </c>
      <c r="C67" s="83"/>
      <c r="D67" s="83"/>
      <c r="E67" s="83"/>
      <c r="F67" s="87"/>
      <c r="G67" s="83"/>
      <c r="H67" s="223"/>
      <c r="I67" s="229" t="e">
        <f>VLOOKUP($B$5,ComData!$B$15:$FH$195,161,FALSE)</f>
        <v>#N/A</v>
      </c>
    </row>
    <row r="68" spans="2:9" ht="15">
      <c r="B68" s="88" t="s">
        <v>299</v>
      </c>
      <c r="C68" s="83"/>
      <c r="D68" s="83"/>
      <c r="E68" s="83"/>
      <c r="F68" s="87"/>
      <c r="G68" s="83"/>
      <c r="H68" s="83"/>
      <c r="I68" s="228"/>
    </row>
    <row r="69" spans="2:9" ht="18">
      <c r="B69" s="99"/>
      <c r="C69" s="83"/>
      <c r="D69" s="83"/>
      <c r="E69" s="83"/>
      <c r="F69" s="87"/>
      <c r="G69" s="83"/>
      <c r="H69" s="83"/>
      <c r="I69" s="110"/>
    </row>
    <row r="70" spans="2:9" ht="15">
      <c r="B70" s="88" t="s">
        <v>300</v>
      </c>
      <c r="C70" s="83"/>
      <c r="D70" s="83"/>
      <c r="E70" s="83"/>
      <c r="F70" s="87"/>
      <c r="G70" s="83"/>
      <c r="H70" s="152"/>
      <c r="I70" s="200" t="e">
        <f>VLOOKUP($B$5,ComData!$B$15:$FH$195,162,FALSE)</f>
        <v>#N/A</v>
      </c>
    </row>
    <row r="71" spans="2:9" ht="15.75">
      <c r="B71" s="88"/>
      <c r="C71" s="83"/>
      <c r="D71" s="83"/>
      <c r="E71" s="83"/>
      <c r="F71" s="107"/>
      <c r="G71" s="83"/>
      <c r="H71" s="83"/>
      <c r="I71" s="230"/>
    </row>
    <row r="72" spans="2:9" ht="15">
      <c r="B72" s="88"/>
      <c r="C72" s="83"/>
      <c r="D72" s="83"/>
      <c r="E72" s="83"/>
      <c r="F72" s="87"/>
      <c r="G72" s="83"/>
      <c r="H72" s="83"/>
      <c r="I72" s="200"/>
    </row>
    <row r="73" spans="2:9" ht="18.75" thickBot="1">
      <c r="B73" s="194" t="s">
        <v>301</v>
      </c>
      <c r="C73" s="220"/>
      <c r="D73" s="220"/>
      <c r="E73" s="220"/>
      <c r="F73" s="221"/>
      <c r="G73" s="221"/>
      <c r="H73" s="195"/>
      <c r="I73" s="231" t="e">
        <f>VLOOKUP($B$5,ComData!$B$15:$FH$195,163,FALSE)</f>
        <v>#N/A</v>
      </c>
    </row>
  </sheetData>
  <mergeCells count="2">
    <mergeCell ref="B5:C5"/>
    <mergeCell ref="B59:I60"/>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6">
    <tabColor indexed="15"/>
  </sheetPr>
  <dimension ref="B3:H181"/>
  <sheetViews>
    <sheetView zoomScale="85" zoomScaleNormal="85" workbookViewId="0" topLeftCell="A1">
      <selection activeCell="I15" sqref="I15"/>
    </sheetView>
  </sheetViews>
  <sheetFormatPr defaultColWidth="9.140625" defaultRowHeight="12.75"/>
  <cols>
    <col min="1" max="1" width="14.421875" style="1" customWidth="1"/>
    <col min="2" max="7" width="17.28125" style="1" customWidth="1"/>
    <col min="8" max="8" width="18.8515625" style="1" bestFit="1" customWidth="1"/>
    <col min="9" max="10" width="14.421875" style="1" customWidth="1"/>
    <col min="11" max="16384" width="9.140625" style="1" customWidth="1"/>
  </cols>
  <sheetData>
    <row r="2" ht="13.5" thickBot="1"/>
    <row r="3" spans="2:7" ht="18">
      <c r="B3" s="33" t="s">
        <v>302</v>
      </c>
      <c r="C3" s="232"/>
      <c r="D3" s="61"/>
      <c r="E3" s="61"/>
      <c r="F3" s="61"/>
      <c r="G3" s="62"/>
    </row>
    <row r="4" spans="2:7" ht="18.75" thickBot="1">
      <c r="B4" s="233"/>
      <c r="C4" s="234"/>
      <c r="D4" s="64"/>
      <c r="E4" s="64"/>
      <c r="F4" s="64"/>
      <c r="G4" s="65"/>
    </row>
    <row r="5" spans="2:7" ht="18.75" thickBot="1">
      <c r="B5" s="484" t="str">
        <f>name</f>
        <v>Local Authority</v>
      </c>
      <c r="C5" s="486"/>
      <c r="D5" s="64"/>
      <c r="E5" s="64"/>
      <c r="F5" s="64"/>
      <c r="G5" s="65"/>
    </row>
    <row r="6" spans="2:7" ht="13.5" thickBot="1">
      <c r="B6" s="66"/>
      <c r="C6" s="67"/>
      <c r="D6" s="67"/>
      <c r="E6" s="67"/>
      <c r="F6" s="67"/>
      <c r="G6" s="68"/>
    </row>
    <row r="10" ht="13.5" thickBot="1"/>
    <row r="11" spans="2:8" ht="18">
      <c r="B11" s="69" t="s">
        <v>48</v>
      </c>
      <c r="C11" s="71"/>
      <c r="D11" s="71"/>
      <c r="E11" s="71"/>
      <c r="F11" s="13"/>
      <c r="G11" s="235" t="e">
        <f>VLOOKUP($B$5,ComData!$B$15:$FH$195,105,FALSE)</f>
        <v>#N/A</v>
      </c>
      <c r="H11" s="72"/>
    </row>
    <row r="12" spans="2:8" ht="15.75">
      <c r="B12" s="73"/>
      <c r="C12" s="75"/>
      <c r="D12" s="75"/>
      <c r="E12" s="236"/>
      <c r="F12" s="237"/>
      <c r="G12" s="238"/>
      <c r="H12" s="239"/>
    </row>
    <row r="13" spans="2:8" ht="13.5" thickBot="1">
      <c r="B13" s="240"/>
      <c r="C13" s="80"/>
      <c r="D13" s="80"/>
      <c r="E13" s="80"/>
      <c r="F13" s="241"/>
      <c r="G13" s="80"/>
      <c r="H13" s="81"/>
    </row>
    <row r="14" spans="2:8" ht="18">
      <c r="B14" s="11" t="s">
        <v>303</v>
      </c>
      <c r="C14" s="70"/>
      <c r="D14" s="70"/>
      <c r="E14" s="70"/>
      <c r="F14" s="146"/>
      <c r="G14" s="70"/>
      <c r="H14" s="242"/>
    </row>
    <row r="15" spans="2:8" ht="15.75">
      <c r="B15" s="243"/>
      <c r="C15" s="244"/>
      <c r="D15" s="244"/>
      <c r="E15" s="244"/>
      <c r="F15" s="245"/>
      <c r="G15" s="244"/>
      <c r="H15" s="246"/>
    </row>
    <row r="16" spans="2:8" ht="15">
      <c r="B16" s="21" t="s">
        <v>304</v>
      </c>
      <c r="C16" s="247"/>
      <c r="D16" s="247"/>
      <c r="E16" s="247"/>
      <c r="F16" s="248" t="s">
        <v>305</v>
      </c>
      <c r="G16" s="249">
        <v>0.7</v>
      </c>
      <c r="H16" s="250"/>
    </row>
    <row r="17" spans="2:8" ht="15">
      <c r="B17" s="21" t="s">
        <v>54</v>
      </c>
      <c r="C17" s="247"/>
      <c r="D17" s="247"/>
      <c r="E17" s="247"/>
      <c r="F17" s="248" t="s">
        <v>306</v>
      </c>
      <c r="G17" s="249">
        <v>0.3</v>
      </c>
      <c r="H17" s="250"/>
    </row>
    <row r="18" spans="2:8" ht="15">
      <c r="B18" s="21"/>
      <c r="C18" s="247"/>
      <c r="D18" s="247"/>
      <c r="E18" s="247"/>
      <c r="F18" s="251"/>
      <c r="G18" s="247"/>
      <c r="H18" s="250"/>
    </row>
    <row r="19" spans="2:8" ht="15">
      <c r="B19" s="252" t="s">
        <v>307</v>
      </c>
      <c r="C19" s="247"/>
      <c r="D19" s="247"/>
      <c r="E19" s="247"/>
      <c r="F19" s="251"/>
      <c r="G19" s="247"/>
      <c r="H19" s="250"/>
    </row>
    <row r="20" spans="2:8" ht="15">
      <c r="B20" s="252" t="s">
        <v>308</v>
      </c>
      <c r="C20" s="247"/>
      <c r="D20" s="247"/>
      <c r="E20" s="247"/>
      <c r="F20" s="251"/>
      <c r="G20" s="247"/>
      <c r="H20" s="250"/>
    </row>
    <row r="21" spans="2:8" ht="15">
      <c r="B21" s="21"/>
      <c r="C21" s="247"/>
      <c r="D21" s="247"/>
      <c r="E21" s="247"/>
      <c r="F21" s="251"/>
      <c r="G21" s="247"/>
      <c r="H21" s="250"/>
    </row>
    <row r="22" spans="2:8" ht="15">
      <c r="B22" s="253"/>
      <c r="C22" s="254"/>
      <c r="D22" s="254"/>
      <c r="E22" s="254"/>
      <c r="F22" s="255"/>
      <c r="G22" s="254"/>
      <c r="H22" s="256"/>
    </row>
    <row r="23" spans="2:8" ht="15">
      <c r="B23" s="252" t="s">
        <v>309</v>
      </c>
      <c r="C23" s="247"/>
      <c r="D23" s="247"/>
      <c r="E23" s="247"/>
      <c r="F23" s="251"/>
      <c r="G23" s="247"/>
      <c r="H23" s="250"/>
    </row>
    <row r="24" spans="2:8" ht="15">
      <c r="B24" s="257"/>
      <c r="C24" s="247"/>
      <c r="D24" s="247"/>
      <c r="E24" s="247"/>
      <c r="F24" s="251"/>
      <c r="G24" s="247"/>
      <c r="H24" s="250"/>
    </row>
    <row r="25" spans="2:8" ht="15">
      <c r="B25" s="186" t="s">
        <v>310</v>
      </c>
      <c r="C25" s="83"/>
      <c r="D25" s="83"/>
      <c r="E25" s="83"/>
      <c r="F25" s="87"/>
      <c r="G25" s="83"/>
      <c r="H25" s="110"/>
    </row>
    <row r="26" spans="2:8" ht="15">
      <c r="B26" s="186" t="s">
        <v>311</v>
      </c>
      <c r="C26" s="83"/>
      <c r="D26" s="75"/>
      <c r="E26" s="89"/>
      <c r="F26" s="87"/>
      <c r="G26" s="83"/>
      <c r="H26" s="110"/>
    </row>
    <row r="27" spans="2:8" ht="15">
      <c r="B27" s="88" t="s">
        <v>312</v>
      </c>
      <c r="C27" s="83"/>
      <c r="D27" s="83"/>
      <c r="E27" s="83"/>
      <c r="F27" s="87"/>
      <c r="G27" s="83"/>
      <c r="H27" s="110"/>
    </row>
    <row r="28" spans="2:8" ht="15">
      <c r="B28" s="88"/>
      <c r="C28" s="83"/>
      <c r="D28" s="83"/>
      <c r="E28" s="83"/>
      <c r="F28" s="87"/>
      <c r="G28" s="83"/>
      <c r="H28" s="110"/>
    </row>
    <row r="29" spans="2:8" ht="15.75">
      <c r="B29" s="88"/>
      <c r="C29" s="83"/>
      <c r="D29" s="181" t="s">
        <v>313</v>
      </c>
      <c r="E29" s="181"/>
      <c r="F29" s="258" t="s">
        <v>314</v>
      </c>
      <c r="G29" s="83"/>
      <c r="H29" s="110"/>
    </row>
    <row r="30" spans="2:8" ht="15">
      <c r="B30" s="88"/>
      <c r="C30" s="83"/>
      <c r="D30" s="83" t="s">
        <v>315</v>
      </c>
      <c r="E30" s="83"/>
      <c r="F30" s="259">
        <v>0.9</v>
      </c>
      <c r="G30" s="83"/>
      <c r="H30" s="110"/>
    </row>
    <row r="31" spans="2:8" ht="15">
      <c r="B31" s="88"/>
      <c r="C31" s="83"/>
      <c r="D31" s="83" t="s">
        <v>316</v>
      </c>
      <c r="E31" s="83"/>
      <c r="F31" s="259">
        <v>1</v>
      </c>
      <c r="G31" s="83"/>
      <c r="H31" s="110"/>
    </row>
    <row r="32" spans="2:8" ht="15">
      <c r="B32" s="88"/>
      <c r="C32" s="83"/>
      <c r="D32" s="83" t="s">
        <v>317</v>
      </c>
      <c r="E32" s="83"/>
      <c r="F32" s="259">
        <v>1.1</v>
      </c>
      <c r="G32" s="89"/>
      <c r="H32" s="110"/>
    </row>
    <row r="33" spans="2:8" ht="15">
      <c r="B33" s="88"/>
      <c r="C33" s="83"/>
      <c r="D33" s="83" t="s">
        <v>318</v>
      </c>
      <c r="E33" s="83"/>
      <c r="F33" s="259">
        <v>1.2</v>
      </c>
      <c r="G33" s="83"/>
      <c r="H33" s="110"/>
    </row>
    <row r="34" spans="2:8" ht="15.75">
      <c r="B34" s="86"/>
      <c r="C34" s="83"/>
      <c r="D34" s="83" t="s">
        <v>319</v>
      </c>
      <c r="E34" s="83"/>
      <c r="F34" s="259">
        <v>1.3</v>
      </c>
      <c r="G34" s="83"/>
      <c r="H34" s="110"/>
    </row>
    <row r="35" spans="2:8" ht="15">
      <c r="B35" s="88"/>
      <c r="C35" s="83"/>
      <c r="D35" s="83" t="s">
        <v>320</v>
      </c>
      <c r="E35" s="83"/>
      <c r="F35" s="259">
        <v>1.4</v>
      </c>
      <c r="G35" s="83"/>
      <c r="H35" s="110"/>
    </row>
    <row r="36" spans="2:8" ht="15">
      <c r="B36" s="88"/>
      <c r="C36" s="83"/>
      <c r="D36" s="83" t="s">
        <v>321</v>
      </c>
      <c r="E36" s="83"/>
      <c r="F36" s="259">
        <v>0.8</v>
      </c>
      <c r="G36" s="83"/>
      <c r="H36" s="110"/>
    </row>
    <row r="37" spans="2:8" ht="15">
      <c r="B37" s="88"/>
      <c r="C37" s="83"/>
      <c r="D37" s="83" t="s">
        <v>322</v>
      </c>
      <c r="E37" s="83"/>
      <c r="F37" s="259">
        <v>1</v>
      </c>
      <c r="G37" s="83"/>
      <c r="H37" s="110"/>
    </row>
    <row r="38" spans="2:8" ht="15">
      <c r="B38" s="88"/>
      <c r="C38" s="83"/>
      <c r="D38" s="83"/>
      <c r="E38" s="83"/>
      <c r="F38" s="259"/>
      <c r="G38" s="83"/>
      <c r="H38" s="110"/>
    </row>
    <row r="39" spans="2:8" ht="15">
      <c r="B39" s="260"/>
      <c r="C39" s="261"/>
      <c r="D39" s="261"/>
      <c r="E39" s="261"/>
      <c r="F39" s="262"/>
      <c r="G39" s="261"/>
      <c r="H39" s="263"/>
    </row>
    <row r="40" spans="2:8" ht="15.75">
      <c r="B40" s="86" t="s">
        <v>323</v>
      </c>
      <c r="C40" s="83"/>
      <c r="D40" s="83"/>
      <c r="E40" s="83"/>
      <c r="F40" s="92"/>
      <c r="G40" s="264" t="e">
        <f>VLOOKUP($B$5,ComData!$B$15:$FH$195,106,FALSE)</f>
        <v>#N/A</v>
      </c>
      <c r="H40" s="110"/>
    </row>
    <row r="41" spans="2:8" ht="15.75">
      <c r="B41" s="265"/>
      <c r="C41" s="266"/>
      <c r="D41" s="266"/>
      <c r="E41" s="266"/>
      <c r="F41" s="267"/>
      <c r="G41" s="266"/>
      <c r="H41" s="268"/>
    </row>
    <row r="42" spans="2:8" ht="15">
      <c r="B42" s="260"/>
      <c r="C42" s="261"/>
      <c r="D42" s="261"/>
      <c r="E42" s="261"/>
      <c r="F42" s="269"/>
      <c r="G42" s="261"/>
      <c r="H42" s="263"/>
    </row>
    <row r="43" spans="2:8" ht="15.75">
      <c r="B43" s="104" t="s">
        <v>324</v>
      </c>
      <c r="C43" s="83"/>
      <c r="D43" s="83"/>
      <c r="E43" s="83"/>
      <c r="F43" s="87"/>
      <c r="G43" s="270">
        <v>54.62</v>
      </c>
      <c r="H43" s="110"/>
    </row>
    <row r="44" spans="2:8" ht="15">
      <c r="B44" s="88"/>
      <c r="C44" s="83"/>
      <c r="D44" s="83"/>
      <c r="E44" s="83"/>
      <c r="F44" s="87"/>
      <c r="G44" s="83"/>
      <c r="H44" s="110"/>
    </row>
    <row r="45" spans="2:8" ht="15">
      <c r="B45" s="88"/>
      <c r="C45" s="83"/>
      <c r="D45" s="83"/>
      <c r="E45" s="83"/>
      <c r="F45" s="87"/>
      <c r="G45" s="83"/>
      <c r="H45" s="110"/>
    </row>
    <row r="46" spans="2:8" ht="15.75">
      <c r="B46" s="104" t="s">
        <v>325</v>
      </c>
      <c r="C46" s="83"/>
      <c r="D46" s="83"/>
      <c r="E46" s="83"/>
      <c r="F46" s="87"/>
      <c r="G46" s="271" t="e">
        <f>G50/G52</f>
        <v>#N/A</v>
      </c>
      <c r="H46" s="110"/>
    </row>
    <row r="47" spans="2:8" ht="15">
      <c r="B47" s="88"/>
      <c r="C47" s="83"/>
      <c r="D47" s="83"/>
      <c r="E47" s="83"/>
      <c r="F47" s="100"/>
      <c r="G47" s="83"/>
      <c r="H47" s="110"/>
    </row>
    <row r="48" spans="2:8" ht="15.75">
      <c r="B48" s="88" t="s">
        <v>326</v>
      </c>
      <c r="C48" s="83"/>
      <c r="D48" s="83"/>
      <c r="E48" s="83"/>
      <c r="F48" s="87"/>
      <c r="G48" s="272"/>
      <c r="H48" s="110"/>
    </row>
    <row r="49" spans="2:8" ht="15">
      <c r="B49" s="88"/>
      <c r="C49" s="83"/>
      <c r="D49" s="83"/>
      <c r="E49" s="83"/>
      <c r="F49" s="87"/>
      <c r="G49" s="83"/>
      <c r="H49" s="110"/>
    </row>
    <row r="50" spans="2:8" ht="15.75">
      <c r="B50" s="104" t="s">
        <v>327</v>
      </c>
      <c r="C50" s="83"/>
      <c r="D50" s="83"/>
      <c r="E50" s="83"/>
      <c r="F50" s="87"/>
      <c r="G50" s="270" t="e">
        <f>VLOOKUP($B$5,ComData!$B$15:$FH$195,107,FALSE)</f>
        <v>#N/A</v>
      </c>
      <c r="H50" s="110"/>
    </row>
    <row r="51" spans="2:8" ht="15">
      <c r="B51" s="88"/>
      <c r="C51" s="83"/>
      <c r="D51" s="83"/>
      <c r="E51" s="83"/>
      <c r="F51" s="87"/>
      <c r="G51" s="83"/>
      <c r="H51" s="110"/>
    </row>
    <row r="52" spans="2:8" ht="15.75">
      <c r="B52" s="104" t="s">
        <v>328</v>
      </c>
      <c r="C52" s="83"/>
      <c r="D52" s="83"/>
      <c r="E52" s="83"/>
      <c r="F52" s="87"/>
      <c r="G52" s="270">
        <v>316.4</v>
      </c>
      <c r="H52" s="110"/>
    </row>
    <row r="53" spans="2:8" ht="15">
      <c r="B53" s="88"/>
      <c r="C53" s="83"/>
      <c r="D53" s="83"/>
      <c r="E53" s="83"/>
      <c r="F53" s="87"/>
      <c r="G53" s="83"/>
      <c r="H53" s="110"/>
    </row>
    <row r="54" spans="2:8" ht="15">
      <c r="B54" s="88"/>
      <c r="C54" s="83"/>
      <c r="D54" s="83"/>
      <c r="E54" s="83"/>
      <c r="F54" s="87"/>
      <c r="G54" s="83"/>
      <c r="H54" s="110"/>
    </row>
    <row r="55" spans="2:8" ht="15.75">
      <c r="B55" s="104" t="s">
        <v>329</v>
      </c>
      <c r="C55" s="83"/>
      <c r="D55" s="83"/>
      <c r="E55" s="83"/>
      <c r="F55" s="87"/>
      <c r="G55" s="271" t="e">
        <f>G59/G61</f>
        <v>#N/A</v>
      </c>
      <c r="H55" s="110"/>
    </row>
    <row r="56" spans="2:8" ht="15">
      <c r="B56" s="88"/>
      <c r="C56" s="83"/>
      <c r="D56" s="83"/>
      <c r="E56" s="83"/>
      <c r="F56" s="87"/>
      <c r="G56" s="83"/>
      <c r="H56" s="110"/>
    </row>
    <row r="57" spans="2:8" ht="15">
      <c r="B57" s="88" t="s">
        <v>330</v>
      </c>
      <c r="C57" s="83"/>
      <c r="D57" s="83"/>
      <c r="E57" s="83"/>
      <c r="F57" s="87"/>
      <c r="G57" s="83"/>
      <c r="H57" s="110"/>
    </row>
    <row r="58" spans="2:8" ht="15">
      <c r="B58" s="88"/>
      <c r="C58" s="83"/>
      <c r="D58" s="83"/>
      <c r="E58" s="83"/>
      <c r="F58" s="87"/>
      <c r="G58" s="83"/>
      <c r="H58" s="110"/>
    </row>
    <row r="59" spans="2:8" ht="15.75">
      <c r="B59" s="104" t="s">
        <v>331</v>
      </c>
      <c r="C59" s="83"/>
      <c r="D59" s="83"/>
      <c r="E59" s="83"/>
      <c r="F59" s="87"/>
      <c r="G59" s="270" t="e">
        <f>VLOOKUP($B$5,ComData!$B$15:$FH$195,108,FALSE)</f>
        <v>#N/A</v>
      </c>
      <c r="H59" s="110"/>
    </row>
    <row r="60" spans="2:8" ht="15">
      <c r="B60" s="88"/>
      <c r="C60" s="83"/>
      <c r="D60" s="83"/>
      <c r="E60" s="83"/>
      <c r="F60" s="87"/>
      <c r="G60" s="83"/>
      <c r="H60" s="110"/>
    </row>
    <row r="61" spans="2:8" ht="15.75">
      <c r="B61" s="104" t="s">
        <v>332</v>
      </c>
      <c r="C61" s="83"/>
      <c r="D61" s="83"/>
      <c r="E61" s="83"/>
      <c r="F61" s="100"/>
      <c r="G61" s="199">
        <v>49750</v>
      </c>
      <c r="H61" s="110"/>
    </row>
    <row r="62" spans="2:8" ht="15.75">
      <c r="B62" s="88"/>
      <c r="C62" s="83"/>
      <c r="D62" s="83"/>
      <c r="E62" s="83"/>
      <c r="F62" s="100"/>
      <c r="G62" s="199"/>
      <c r="H62" s="110"/>
    </row>
    <row r="63" spans="2:8" ht="15.75">
      <c r="B63" s="88"/>
      <c r="C63" s="83"/>
      <c r="D63" s="83"/>
      <c r="E63" s="83"/>
      <c r="F63" s="100"/>
      <c r="G63" s="199"/>
      <c r="H63" s="110"/>
    </row>
    <row r="64" spans="2:8" ht="18.75" thickBot="1">
      <c r="B64" s="187" t="s">
        <v>333</v>
      </c>
      <c r="C64" s="273"/>
      <c r="D64" s="273"/>
      <c r="E64" s="273"/>
      <c r="F64" s="274"/>
      <c r="G64" s="275"/>
      <c r="H64" s="276"/>
    </row>
    <row r="65" spans="2:8" ht="15">
      <c r="B65" s="88"/>
      <c r="C65" s="83"/>
      <c r="D65" s="83"/>
      <c r="E65" s="83"/>
      <c r="F65" s="87"/>
      <c r="G65" s="83"/>
      <c r="H65" s="110"/>
    </row>
    <row r="66" spans="2:8" ht="18">
      <c r="B66" s="16" t="s">
        <v>334</v>
      </c>
      <c r="C66" s="83"/>
      <c r="D66" s="83"/>
      <c r="E66" s="83"/>
      <c r="F66" s="87"/>
      <c r="G66" s="83"/>
      <c r="H66" s="110"/>
    </row>
    <row r="67" spans="2:8" ht="18">
      <c r="B67" s="16"/>
      <c r="C67" s="83"/>
      <c r="D67" s="83"/>
      <c r="E67" s="83"/>
      <c r="F67" s="87"/>
      <c r="G67" s="83"/>
      <c r="H67" s="110"/>
    </row>
    <row r="68" spans="2:8" ht="15">
      <c r="B68" s="88" t="s">
        <v>335</v>
      </c>
      <c r="C68" s="83"/>
      <c r="D68" s="83"/>
      <c r="E68" s="83"/>
      <c r="F68" s="87"/>
      <c r="G68" s="83"/>
      <c r="H68" s="110"/>
    </row>
    <row r="69" spans="2:8" ht="15">
      <c r="B69" s="88" t="s">
        <v>336</v>
      </c>
      <c r="C69" s="83"/>
      <c r="D69" s="83"/>
      <c r="E69" s="83"/>
      <c r="F69" s="277" t="s">
        <v>337</v>
      </c>
      <c r="G69" s="278">
        <v>0.01</v>
      </c>
      <c r="H69" s="110"/>
    </row>
    <row r="70" spans="2:8" ht="15">
      <c r="B70" s="88"/>
      <c r="C70" s="83"/>
      <c r="D70" s="83"/>
      <c r="E70" s="83"/>
      <c r="F70" s="277"/>
      <c r="G70" s="278"/>
      <c r="H70" s="110"/>
    </row>
    <row r="71" spans="2:8" ht="15">
      <c r="B71" s="88" t="s">
        <v>338</v>
      </c>
      <c r="C71" s="83"/>
      <c r="D71" s="83"/>
      <c r="E71" s="83"/>
      <c r="F71" s="277"/>
      <c r="G71" s="278"/>
      <c r="H71" s="110"/>
    </row>
    <row r="72" spans="2:8" ht="15">
      <c r="B72" s="88" t="s">
        <v>336</v>
      </c>
      <c r="C72" s="83"/>
      <c r="D72" s="83"/>
      <c r="E72" s="83"/>
      <c r="F72" s="277" t="s">
        <v>337</v>
      </c>
      <c r="G72" s="278">
        <v>0.005</v>
      </c>
      <c r="H72" s="110"/>
    </row>
    <row r="73" spans="2:8" ht="15">
      <c r="B73" s="88"/>
      <c r="C73" s="83"/>
      <c r="D73" s="83"/>
      <c r="E73" s="83"/>
      <c r="F73" s="277"/>
      <c r="G73" s="278"/>
      <c r="H73" s="110"/>
    </row>
    <row r="74" spans="2:8" ht="15.75">
      <c r="B74" s="88"/>
      <c r="C74" s="279"/>
      <c r="D74" s="83"/>
      <c r="E74" s="181" t="s">
        <v>339</v>
      </c>
      <c r="F74" s="277"/>
      <c r="G74" s="181" t="s">
        <v>340</v>
      </c>
      <c r="H74" s="110"/>
    </row>
    <row r="75" spans="2:8" ht="15.75">
      <c r="B75" s="88"/>
      <c r="C75" s="280" t="s">
        <v>341</v>
      </c>
      <c r="D75" s="83"/>
      <c r="E75" s="281">
        <f>ComData!DC2</f>
        <v>0.033</v>
      </c>
      <c r="F75" s="277"/>
      <c r="G75" s="282" t="e">
        <f>VLOOKUP($B$5,ComData!$B$15:$FH$195,110,FALSE)</f>
        <v>#N/A</v>
      </c>
      <c r="H75" s="110"/>
    </row>
    <row r="76" spans="2:8" ht="15.75">
      <c r="B76" s="88"/>
      <c r="C76" s="280" t="s">
        <v>342</v>
      </c>
      <c r="D76" s="83"/>
      <c r="E76" s="281">
        <f>ComData!DC3</f>
        <v>0.017</v>
      </c>
      <c r="F76" s="277"/>
      <c r="G76" s="282" t="e">
        <f>VLOOKUP($B$5,ComData!$B$15:$FH$195,111,FALSE)</f>
        <v>#N/A</v>
      </c>
      <c r="H76" s="110"/>
    </row>
    <row r="77" spans="2:8" ht="15.75">
      <c r="B77" s="88"/>
      <c r="C77" s="280" t="s">
        <v>343</v>
      </c>
      <c r="D77" s="83"/>
      <c r="E77" s="281">
        <f>ComData!DC4</f>
        <v>0.017</v>
      </c>
      <c r="F77" s="277"/>
      <c r="G77" s="282" t="e">
        <f>VLOOKUP($B$5,ComData!$B$15:$FH$195,112,FALSE)</f>
        <v>#N/A</v>
      </c>
      <c r="H77" s="110"/>
    </row>
    <row r="78" spans="2:8" ht="15.75">
      <c r="B78" s="88"/>
      <c r="C78" s="280" t="s">
        <v>344</v>
      </c>
      <c r="D78" s="83"/>
      <c r="E78" s="281">
        <f>ComData!DC5</f>
        <v>0.028000000000000025</v>
      </c>
      <c r="F78" s="277"/>
      <c r="G78" s="282" t="e">
        <f>VLOOKUP($B$5,ComData!$B$15:$FH$195,113,FALSE)</f>
        <v>#N/A</v>
      </c>
      <c r="H78" s="110"/>
    </row>
    <row r="79" spans="2:8" ht="15.75">
      <c r="B79" s="88"/>
      <c r="C79" s="280" t="s">
        <v>345</v>
      </c>
      <c r="D79" s="83"/>
      <c r="E79" s="281">
        <f>ComData!DC6</f>
        <v>0.031</v>
      </c>
      <c r="F79" s="277"/>
      <c r="G79" s="282" t="e">
        <f>VLOOKUP($B$5,ComData!$B$15:$FH$195,114,FALSE)</f>
        <v>#N/A</v>
      </c>
      <c r="H79" s="110"/>
    </row>
    <row r="80" spans="2:8" ht="15.75">
      <c r="B80" s="88"/>
      <c r="C80" s="280" t="s">
        <v>346</v>
      </c>
      <c r="D80" s="83"/>
      <c r="E80" s="281">
        <f>ComData!DC7</f>
        <v>0.027</v>
      </c>
      <c r="F80" s="277"/>
      <c r="G80" s="282" t="e">
        <f>VLOOKUP($B$5,ComData!$B$15:$FH$195,115,FALSE)</f>
        <v>#N/A</v>
      </c>
      <c r="H80" s="110"/>
    </row>
    <row r="81" spans="2:8" ht="15.75">
      <c r="B81" s="88"/>
      <c r="C81" s="280" t="s">
        <v>347</v>
      </c>
      <c r="D81" s="83"/>
      <c r="E81" s="281">
        <f>ComData!DC8</f>
        <v>0.03600000000000003</v>
      </c>
      <c r="F81" s="277"/>
      <c r="G81" s="282" t="e">
        <f>VLOOKUP($B$5,ComData!$B$15:$FH$195,116,FALSE)</f>
        <v>#N/A</v>
      </c>
      <c r="H81" s="110"/>
    </row>
    <row r="82" spans="2:8" ht="15.75">
      <c r="B82" s="88"/>
      <c r="C82" s="280" t="s">
        <v>348</v>
      </c>
      <c r="D82" s="83"/>
      <c r="E82" s="281">
        <f>ComData!DC9</f>
        <v>0.039</v>
      </c>
      <c r="F82" s="277"/>
      <c r="G82" s="282" t="e">
        <f>VLOOKUP($B$5,ComData!$B$15:$FH$195,117,FALSE)</f>
        <v>#N/A</v>
      </c>
      <c r="H82" s="110"/>
    </row>
    <row r="83" spans="2:8" ht="15.75">
      <c r="B83" s="88"/>
      <c r="C83" s="280" t="s">
        <v>349</v>
      </c>
      <c r="D83" s="83"/>
      <c r="E83" s="281">
        <f>ComData!DC10</f>
        <v>0.05</v>
      </c>
      <c r="F83" s="277"/>
      <c r="G83" s="282" t="e">
        <f>VLOOKUP($B$5,ComData!$B$15:$FH$195,118,FALSE)</f>
        <v>#N/A</v>
      </c>
      <c r="H83" s="110"/>
    </row>
    <row r="84" spans="2:8" ht="15.75">
      <c r="B84" s="88"/>
      <c r="C84" s="280" t="s">
        <v>350</v>
      </c>
      <c r="D84" s="83"/>
      <c r="E84" s="281">
        <f>ComData!DC11</f>
        <v>-0.014</v>
      </c>
      <c r="F84" s="277"/>
      <c r="G84" s="282" t="e">
        <f>VLOOKUP($B$5,ComData!$B$15:$FH$195,119,FALSE)</f>
        <v>#N/A</v>
      </c>
      <c r="H84" s="110"/>
    </row>
    <row r="85" spans="2:8" ht="16.5" thickBot="1">
      <c r="B85" s="93"/>
      <c r="C85" s="283" t="s">
        <v>351</v>
      </c>
      <c r="D85" s="284"/>
      <c r="E85" s="285">
        <f>ComData!DC12</f>
        <v>0.046</v>
      </c>
      <c r="F85" s="286"/>
      <c r="G85" s="287" t="e">
        <f>VLOOKUP($B$5,ComData!$B$15:$FH$195,120,FALSE)</f>
        <v>#N/A</v>
      </c>
      <c r="H85" s="288"/>
    </row>
    <row r="86" spans="2:8" ht="15">
      <c r="B86" s="88"/>
      <c r="C86" s="83"/>
      <c r="D86" s="83"/>
      <c r="E86" s="83"/>
      <c r="F86" s="277"/>
      <c r="G86" s="278"/>
      <c r="H86" s="110"/>
    </row>
    <row r="87" spans="2:8" ht="18">
      <c r="B87" s="99" t="s">
        <v>352</v>
      </c>
      <c r="C87" s="289"/>
      <c r="D87" s="83"/>
      <c r="E87" s="83"/>
      <c r="F87" s="277"/>
      <c r="G87" s="278"/>
      <c r="H87" s="110"/>
    </row>
    <row r="88" spans="2:8" ht="18">
      <c r="B88" s="99"/>
      <c r="C88" s="289"/>
      <c r="D88" s="83"/>
      <c r="E88" s="83"/>
      <c r="F88" s="277"/>
      <c r="G88" s="278"/>
      <c r="H88" s="110"/>
    </row>
    <row r="89" spans="2:8" ht="15.75">
      <c r="B89" s="186" t="s">
        <v>353</v>
      </c>
      <c r="C89" s="289"/>
      <c r="D89" s="83"/>
      <c r="E89" s="83"/>
      <c r="F89" s="277"/>
      <c r="G89" s="278"/>
      <c r="H89" s="110"/>
    </row>
    <row r="90" spans="2:8" ht="18">
      <c r="B90" s="99"/>
      <c r="C90" s="289"/>
      <c r="D90" s="83"/>
      <c r="E90" s="83"/>
      <c r="F90" s="277"/>
      <c r="G90" s="278"/>
      <c r="H90" s="110"/>
    </row>
    <row r="91" spans="2:8" ht="18">
      <c r="B91" s="99"/>
      <c r="C91" s="289" t="s">
        <v>354</v>
      </c>
      <c r="D91" s="83"/>
      <c r="E91" s="290" t="s">
        <v>355</v>
      </c>
      <c r="F91" s="277"/>
      <c r="G91" s="278"/>
      <c r="H91" s="110"/>
    </row>
    <row r="92" spans="2:8" ht="15.75">
      <c r="B92" s="88"/>
      <c r="C92" s="289"/>
      <c r="D92" s="83"/>
      <c r="E92" s="83"/>
      <c r="F92" s="277"/>
      <c r="G92" s="291"/>
      <c r="H92" s="110"/>
    </row>
    <row r="93" spans="2:8" ht="15.75">
      <c r="B93" s="88"/>
      <c r="C93" s="289" t="s">
        <v>321</v>
      </c>
      <c r="D93" s="83"/>
      <c r="E93" s="270">
        <v>119.6603451648</v>
      </c>
      <c r="F93" s="277"/>
      <c r="G93" s="292"/>
      <c r="H93" s="173"/>
    </row>
    <row r="94" spans="2:8" ht="15.75">
      <c r="B94" s="88"/>
      <c r="C94" s="289" t="s">
        <v>315</v>
      </c>
      <c r="D94" s="83"/>
      <c r="E94" s="270">
        <v>119.6603451648</v>
      </c>
      <c r="F94" s="277"/>
      <c r="G94" s="292"/>
      <c r="H94" s="173"/>
    </row>
    <row r="95" spans="2:8" ht="15.75">
      <c r="B95" s="88"/>
      <c r="C95" s="289" t="s">
        <v>356</v>
      </c>
      <c r="D95" s="83"/>
      <c r="E95" s="270">
        <v>126.69525411840002</v>
      </c>
      <c r="F95" s="277"/>
      <c r="G95" s="292"/>
      <c r="H95" s="173"/>
    </row>
    <row r="96" spans="2:8" ht="15.75">
      <c r="B96" s="88"/>
      <c r="C96" s="289" t="s">
        <v>357</v>
      </c>
      <c r="D96" s="83"/>
      <c r="E96" s="270">
        <v>133.7413118976</v>
      </c>
      <c r="F96" s="277"/>
      <c r="G96" s="292"/>
      <c r="H96" s="173"/>
    </row>
    <row r="97" spans="2:8" ht="15.75">
      <c r="B97" s="88"/>
      <c r="C97" s="289" t="s">
        <v>358</v>
      </c>
      <c r="D97" s="83"/>
      <c r="E97" s="270">
        <v>140.7762208512</v>
      </c>
      <c r="F97" s="277"/>
      <c r="G97" s="292"/>
      <c r="H97" s="173"/>
    </row>
    <row r="98" spans="2:8" ht="15.75">
      <c r="B98" s="88"/>
      <c r="C98" s="289" t="s">
        <v>359</v>
      </c>
      <c r="D98" s="83"/>
      <c r="E98" s="270">
        <v>147.81112980480003</v>
      </c>
      <c r="F98" s="277"/>
      <c r="G98" s="292"/>
      <c r="H98" s="173"/>
    </row>
    <row r="99" spans="2:8" ht="15.75">
      <c r="B99" s="88"/>
      <c r="C99" s="289" t="s">
        <v>360</v>
      </c>
      <c r="D99" s="83"/>
      <c r="E99" s="270">
        <v>154.85718758400003</v>
      </c>
      <c r="F99" s="277"/>
      <c r="G99" s="292"/>
      <c r="H99" s="173"/>
    </row>
    <row r="100" spans="2:8" ht="15.75" thickBot="1">
      <c r="B100" s="98"/>
      <c r="C100" s="79"/>
      <c r="D100" s="79"/>
      <c r="E100" s="79"/>
      <c r="F100" s="144"/>
      <c r="G100" s="144"/>
      <c r="H100" s="293"/>
    </row>
    <row r="101" spans="2:8" ht="18">
      <c r="B101" s="294" t="s">
        <v>361</v>
      </c>
      <c r="C101" s="134"/>
      <c r="D101" s="134"/>
      <c r="E101" s="134"/>
      <c r="F101" s="295"/>
      <c r="G101" s="296"/>
      <c r="H101" s="136"/>
    </row>
    <row r="102" spans="2:8" ht="15">
      <c r="B102" s="88"/>
      <c r="C102" s="83"/>
      <c r="D102" s="83"/>
      <c r="E102" s="83"/>
      <c r="F102" s="87"/>
      <c r="G102" s="83"/>
      <c r="H102" s="110"/>
    </row>
    <row r="103" spans="2:8" ht="15">
      <c r="B103" s="88" t="s">
        <v>362</v>
      </c>
      <c r="C103" s="83"/>
      <c r="D103" s="83"/>
      <c r="E103" s="83"/>
      <c r="F103" s="107"/>
      <c r="G103" s="89"/>
      <c r="H103" s="110"/>
    </row>
    <row r="104" spans="2:8" ht="15">
      <c r="B104" s="88"/>
      <c r="C104" s="83"/>
      <c r="D104" s="83"/>
      <c r="E104" s="83"/>
      <c r="F104" s="107"/>
      <c r="G104" s="89"/>
      <c r="H104" s="110"/>
    </row>
    <row r="105" spans="2:8" ht="15">
      <c r="B105" s="88" t="s">
        <v>363</v>
      </c>
      <c r="C105" s="83"/>
      <c r="D105" s="83"/>
      <c r="E105" s="83"/>
      <c r="F105" s="107"/>
      <c r="G105" s="89"/>
      <c r="H105" s="110"/>
    </row>
    <row r="106" spans="2:8" ht="15">
      <c r="B106" s="88"/>
      <c r="C106" s="83"/>
      <c r="D106" s="83"/>
      <c r="E106" s="83"/>
      <c r="F106" s="87"/>
      <c r="G106" s="83"/>
      <c r="H106" s="110"/>
    </row>
    <row r="107" spans="2:8" ht="15">
      <c r="B107" s="88" t="str">
        <f>CONCATENATE("K*(1+RPI+",G72*100,"%) + (FR - K*(1+RPI+",G72*100,"%)) / n")</f>
        <v>K*(1+RPI+0.5%) + (FR - K*(1+RPI+0.5%)) / n</v>
      </c>
      <c r="C107" s="83"/>
      <c r="D107" s="83"/>
      <c r="E107" s="83"/>
      <c r="F107" s="87"/>
      <c r="G107" s="83"/>
      <c r="H107" s="110"/>
    </row>
    <row r="108" spans="2:8" ht="15">
      <c r="B108" s="88"/>
      <c r="C108" s="83"/>
      <c r="D108" s="83"/>
      <c r="E108" s="83"/>
      <c r="F108" s="87"/>
      <c r="G108" s="83"/>
      <c r="H108" s="110"/>
    </row>
    <row r="109" spans="2:8" ht="15">
      <c r="B109" s="88" t="s">
        <v>364</v>
      </c>
      <c r="C109" s="83"/>
      <c r="D109" s="83"/>
      <c r="E109" s="83"/>
      <c r="F109" s="87"/>
      <c r="G109" s="83"/>
      <c r="H109" s="110"/>
    </row>
    <row r="110" spans="2:8" ht="15">
      <c r="B110" s="88" t="s">
        <v>365</v>
      </c>
      <c r="C110" s="83"/>
      <c r="D110" s="83"/>
      <c r="E110" s="83"/>
      <c r="F110" s="87"/>
      <c r="G110" s="83"/>
      <c r="H110" s="110"/>
    </row>
    <row r="111" spans="2:8" ht="15">
      <c r="B111" s="88" t="s">
        <v>703</v>
      </c>
      <c r="C111" s="87"/>
      <c r="D111" s="87"/>
      <c r="E111" s="83"/>
      <c r="F111" s="87"/>
      <c r="G111" s="83"/>
      <c r="H111" s="110"/>
    </row>
    <row r="112" spans="2:8" ht="15">
      <c r="B112" s="88"/>
      <c r="C112" s="87"/>
      <c r="D112" s="87"/>
      <c r="E112" s="83"/>
      <c r="F112" s="87"/>
      <c r="G112" s="83"/>
      <c r="H112" s="110"/>
    </row>
    <row r="113" spans="2:8" ht="15">
      <c r="B113" s="88" t="s">
        <v>366</v>
      </c>
      <c r="C113" s="83"/>
      <c r="D113" s="83"/>
      <c r="E113" s="83"/>
      <c r="F113" s="87"/>
      <c r="G113" s="83"/>
      <c r="H113" s="110"/>
    </row>
    <row r="114" spans="2:8" ht="15">
      <c r="B114" s="88" t="s">
        <v>367</v>
      </c>
      <c r="C114" s="83"/>
      <c r="D114" s="83"/>
      <c r="E114" s="83"/>
      <c r="F114" s="87"/>
      <c r="G114" s="83"/>
      <c r="H114" s="110"/>
    </row>
    <row r="115" spans="2:8" ht="15">
      <c r="B115" s="88"/>
      <c r="C115" s="83"/>
      <c r="D115" s="83"/>
      <c r="E115" s="83"/>
      <c r="F115" s="87"/>
      <c r="G115" s="83"/>
      <c r="H115" s="110"/>
    </row>
    <row r="116" spans="2:8" ht="15">
      <c r="B116" s="88" t="s">
        <v>368</v>
      </c>
      <c r="C116" s="83"/>
      <c r="D116" s="83"/>
      <c r="E116" s="83"/>
      <c r="F116" s="87"/>
      <c r="G116" s="83"/>
      <c r="H116" s="110"/>
    </row>
    <row r="117" spans="2:8" ht="15">
      <c r="B117" s="88" t="s">
        <v>369</v>
      </c>
      <c r="C117" s="83"/>
      <c r="D117" s="83"/>
      <c r="E117" s="83"/>
      <c r="F117" s="87"/>
      <c r="G117" s="83"/>
      <c r="H117" s="110"/>
    </row>
    <row r="118" spans="2:8" ht="15">
      <c r="B118" s="88"/>
      <c r="C118" s="83"/>
      <c r="D118" s="83"/>
      <c r="E118" s="83"/>
      <c r="F118" s="87"/>
      <c r="G118" s="83"/>
      <c r="H118" s="110"/>
    </row>
    <row r="119" spans="2:8" ht="15">
      <c r="B119" s="88" t="s">
        <v>370</v>
      </c>
      <c r="C119" s="83"/>
      <c r="D119" s="83"/>
      <c r="E119" s="83"/>
      <c r="F119" s="87"/>
      <c r="G119" s="83"/>
      <c r="H119" s="110"/>
    </row>
    <row r="120" spans="2:8" ht="15">
      <c r="B120" s="88"/>
      <c r="C120" s="83"/>
      <c r="D120" s="83"/>
      <c r="E120" s="83"/>
      <c r="F120" s="87"/>
      <c r="G120" s="83"/>
      <c r="H120" s="110"/>
    </row>
    <row r="121" spans="2:8" ht="15.75">
      <c r="B121" s="88"/>
      <c r="C121" s="83"/>
      <c r="D121" s="83"/>
      <c r="E121" s="181" t="s">
        <v>371</v>
      </c>
      <c r="F121" s="87"/>
      <c r="G121" s="181" t="s">
        <v>372</v>
      </c>
      <c r="H121" s="110"/>
    </row>
    <row r="122" spans="2:8" ht="15.75">
      <c r="B122" s="88"/>
      <c r="C122" s="280" t="s">
        <v>341</v>
      </c>
      <c r="D122" s="83"/>
      <c r="E122" s="83"/>
      <c r="F122" s="87"/>
      <c r="G122" s="282" t="e">
        <f>VLOOKUP($B$5,ComData!$B$15:$FH$195,121,FALSE)</f>
        <v>#N/A</v>
      </c>
      <c r="H122" s="110"/>
    </row>
    <row r="123" spans="2:8" ht="15.75">
      <c r="B123" s="88"/>
      <c r="C123" s="280" t="s">
        <v>342</v>
      </c>
      <c r="D123" s="83"/>
      <c r="E123" s="83">
        <v>10</v>
      </c>
      <c r="F123" s="87"/>
      <c r="G123" s="282" t="e">
        <f>VLOOKUP($B$5,ComData!$B$15:$FH$195,122,FALSE)</f>
        <v>#N/A</v>
      </c>
      <c r="H123" s="110"/>
    </row>
    <row r="124" spans="2:8" ht="15.75">
      <c r="B124" s="88"/>
      <c r="C124" s="280" t="s">
        <v>343</v>
      </c>
      <c r="D124" s="83"/>
      <c r="E124" s="83">
        <v>9</v>
      </c>
      <c r="F124" s="87"/>
      <c r="G124" s="282" t="e">
        <f>VLOOKUP($B$5,ComData!$B$15:$FH$195,123,FALSE)</f>
        <v>#N/A</v>
      </c>
      <c r="H124" s="110"/>
    </row>
    <row r="125" spans="2:8" ht="15.75">
      <c r="B125" s="88"/>
      <c r="C125" s="280" t="s">
        <v>344</v>
      </c>
      <c r="D125" s="83"/>
      <c r="E125" s="83">
        <v>8</v>
      </c>
      <c r="F125" s="87"/>
      <c r="G125" s="282" t="e">
        <f>VLOOKUP($B$5,ComData!$B$15:$FH$195,124,FALSE)</f>
        <v>#N/A</v>
      </c>
      <c r="H125" s="110"/>
    </row>
    <row r="126" spans="2:8" ht="15.75">
      <c r="B126" s="88"/>
      <c r="C126" s="280" t="s">
        <v>345</v>
      </c>
      <c r="D126" s="83"/>
      <c r="E126" s="83">
        <v>7</v>
      </c>
      <c r="F126" s="87"/>
      <c r="G126" s="282" t="e">
        <f>VLOOKUP($B$5,ComData!$B$15:$FH$195,125,FALSE)</f>
        <v>#N/A</v>
      </c>
      <c r="H126" s="110"/>
    </row>
    <row r="127" spans="2:8" ht="15.75">
      <c r="B127" s="88"/>
      <c r="C127" s="280" t="s">
        <v>346</v>
      </c>
      <c r="D127" s="83"/>
      <c r="E127" s="83">
        <v>6</v>
      </c>
      <c r="F127" s="87"/>
      <c r="G127" s="282" t="e">
        <f>VLOOKUP($B$5,ComData!$B$15:$FH$195,126,FALSE)</f>
        <v>#N/A</v>
      </c>
      <c r="H127" s="110"/>
    </row>
    <row r="128" spans="2:8" ht="15.75">
      <c r="B128" s="88"/>
      <c r="C128" s="280" t="s">
        <v>347</v>
      </c>
      <c r="D128" s="83"/>
      <c r="E128" s="83">
        <v>5</v>
      </c>
      <c r="F128" s="87"/>
      <c r="G128" s="282" t="e">
        <f>VLOOKUP($B$5,ComData!$B$15:$FH$195,127,FALSE)</f>
        <v>#N/A</v>
      </c>
      <c r="H128" s="110"/>
    </row>
    <row r="129" spans="2:8" ht="15.75">
      <c r="B129" s="88"/>
      <c r="C129" s="280" t="s">
        <v>348</v>
      </c>
      <c r="D129" s="83"/>
      <c r="E129" s="83">
        <v>9</v>
      </c>
      <c r="F129" s="87"/>
      <c r="G129" s="282" t="e">
        <f>VLOOKUP($B$5,ComData!$B$15:$FH$195,128,FALSE)</f>
        <v>#N/A</v>
      </c>
      <c r="H129" s="110"/>
    </row>
    <row r="130" spans="2:8" ht="15.75">
      <c r="B130" s="88"/>
      <c r="C130" s="280" t="s">
        <v>349</v>
      </c>
      <c r="D130" s="297"/>
      <c r="E130" s="297">
        <v>15</v>
      </c>
      <c r="F130" s="23"/>
      <c r="G130" s="282" t="e">
        <f>VLOOKUP($B$5,ComData!$B$15:$FH$195,129,FALSE)</f>
        <v>#N/A</v>
      </c>
      <c r="H130" s="110"/>
    </row>
    <row r="131" spans="2:8" ht="15.75">
      <c r="B131" s="88"/>
      <c r="C131" s="280" t="s">
        <v>350</v>
      </c>
      <c r="D131" s="297"/>
      <c r="E131" s="298">
        <v>3.07</v>
      </c>
      <c r="F131" s="23"/>
      <c r="G131" s="282" t="e">
        <f>VLOOKUP($B$5,ComData!$B$15:$FH$195,130,FALSE)</f>
        <v>#N/A</v>
      </c>
      <c r="H131" s="110"/>
    </row>
    <row r="132" spans="2:8" ht="15.75">
      <c r="B132" s="88"/>
      <c r="C132" s="280" t="s">
        <v>351</v>
      </c>
      <c r="D132" s="297"/>
      <c r="E132" s="297">
        <f>ComData!$EB$12</f>
        <v>5</v>
      </c>
      <c r="F132" s="23"/>
      <c r="G132" s="282" t="e">
        <f>VLOOKUP($B$5,ComData!$B$15:$FH$195,131,FALSE)</f>
        <v>#N/A</v>
      </c>
      <c r="H132" s="110"/>
    </row>
    <row r="133" spans="2:8" ht="15.75">
      <c r="B133" s="88"/>
      <c r="C133" s="299"/>
      <c r="D133" s="300"/>
      <c r="E133" s="300"/>
      <c r="F133" s="301"/>
      <c r="G133" s="302"/>
      <c r="H133" s="110"/>
    </row>
    <row r="134" spans="2:8" ht="15.75">
      <c r="B134" s="88"/>
      <c r="C134" s="280" t="s">
        <v>373</v>
      </c>
      <c r="D134" s="83"/>
      <c r="E134" s="83"/>
      <c r="F134" s="87"/>
      <c r="G134" s="282" t="e">
        <f>VLOOKUP($B$5,ComData!$B$15:$FH$195,132,FALSE)</f>
        <v>#N/A</v>
      </c>
      <c r="H134" s="110"/>
    </row>
    <row r="135" spans="2:8" ht="15.75">
      <c r="B135" s="88"/>
      <c r="C135" s="279"/>
      <c r="D135" s="279"/>
      <c r="E135" s="279"/>
      <c r="F135" s="279"/>
      <c r="G135" s="282"/>
      <c r="H135" s="110"/>
    </row>
    <row r="136" spans="2:8" ht="15.75">
      <c r="B136" s="88"/>
      <c r="C136" s="280" t="s">
        <v>374</v>
      </c>
      <c r="D136" s="297"/>
      <c r="E136" s="297"/>
      <c r="F136" s="297"/>
      <c r="G136" s="282" t="e">
        <f>VLOOKUP($B$5,ComData!$B$15:$FH$195,133,FALSE)</f>
        <v>#N/A</v>
      </c>
      <c r="H136" s="173"/>
    </row>
    <row r="137" spans="2:8" ht="15.75">
      <c r="B137" s="98"/>
      <c r="C137" s="83"/>
      <c r="D137" s="83"/>
      <c r="E137" s="83"/>
      <c r="F137" s="83"/>
      <c r="G137" s="282"/>
      <c r="H137" s="110"/>
    </row>
    <row r="138" spans="2:8" ht="16.5" thickBot="1">
      <c r="B138" s="93"/>
      <c r="C138" s="283" t="s">
        <v>375</v>
      </c>
      <c r="D138" s="284"/>
      <c r="E138" s="285"/>
      <c r="F138" s="286"/>
      <c r="G138" s="287"/>
      <c r="H138" s="303" t="e">
        <f>VLOOKUP($B$5,ComData!$B$15:$FH$195,134,FALSE)</f>
        <v>#N/A</v>
      </c>
    </row>
    <row r="139" spans="2:8" ht="18">
      <c r="B139" s="294" t="s">
        <v>376</v>
      </c>
      <c r="C139" s="134"/>
      <c r="D139" s="134"/>
      <c r="E139" s="134"/>
      <c r="F139" s="135"/>
      <c r="G139" s="134"/>
      <c r="H139" s="136"/>
    </row>
    <row r="140" spans="2:8" ht="15">
      <c r="B140" s="88"/>
      <c r="C140" s="83"/>
      <c r="D140" s="83"/>
      <c r="E140" s="83"/>
      <c r="F140" s="87"/>
      <c r="G140" s="83"/>
      <c r="H140" s="110"/>
    </row>
    <row r="141" spans="2:8" ht="15">
      <c r="B141" s="88" t="s">
        <v>377</v>
      </c>
      <c r="C141" s="83"/>
      <c r="D141" s="83"/>
      <c r="E141" s="83"/>
      <c r="F141" s="107"/>
      <c r="G141" s="83"/>
      <c r="H141" s="110"/>
    </row>
    <row r="142" spans="2:8" ht="15">
      <c r="B142" s="88"/>
      <c r="C142" s="83"/>
      <c r="D142" s="83"/>
      <c r="E142" s="83"/>
      <c r="F142" s="87"/>
      <c r="G142" s="83"/>
      <c r="H142" s="110"/>
    </row>
    <row r="143" spans="2:8" ht="15">
      <c r="B143" s="88" t="s">
        <v>378</v>
      </c>
      <c r="C143" s="83"/>
      <c r="D143" s="83"/>
      <c r="E143" s="83"/>
      <c r="F143" s="87"/>
      <c r="G143" s="83"/>
      <c r="H143" s="110"/>
    </row>
    <row r="144" spans="2:8" ht="15">
      <c r="B144" s="88"/>
      <c r="C144" s="83"/>
      <c r="D144" s="83"/>
      <c r="E144" s="83"/>
      <c r="F144" s="107"/>
      <c r="G144" s="89"/>
      <c r="H144" s="110"/>
    </row>
    <row r="145" spans="2:8" ht="15">
      <c r="B145" s="88" t="s">
        <v>379</v>
      </c>
      <c r="C145" s="83"/>
      <c r="D145" s="83"/>
      <c r="E145" s="83"/>
      <c r="F145" s="75"/>
      <c r="G145" s="304">
        <v>0.02</v>
      </c>
      <c r="H145" s="110"/>
    </row>
    <row r="146" spans="2:8" ht="15">
      <c r="B146" s="88"/>
      <c r="C146" s="83"/>
      <c r="D146" s="83"/>
      <c r="E146" s="83"/>
      <c r="F146" s="75"/>
      <c r="G146" s="304"/>
      <c r="H146" s="110"/>
    </row>
    <row r="147" spans="2:8" ht="15">
      <c r="B147" s="88"/>
      <c r="C147" s="83"/>
      <c r="D147" s="83"/>
      <c r="E147" s="83"/>
      <c r="F147" s="75"/>
      <c r="G147" s="304"/>
      <c r="H147" s="110"/>
    </row>
    <row r="148" spans="2:8" ht="18.75" thickBot="1">
      <c r="B148" s="194" t="s">
        <v>380</v>
      </c>
      <c r="C148" s="305"/>
      <c r="D148" s="305"/>
      <c r="E148" s="305"/>
      <c r="F148" s="306"/>
      <c r="G148" s="307"/>
      <c r="H148" s="177" t="e">
        <f>VLOOKUP($B$5,ComData!$B$15:$FH$195,135,FALSE)</f>
        <v>#N/A</v>
      </c>
    </row>
    <row r="149" spans="2:8" ht="15.75">
      <c r="B149" s="86"/>
      <c r="C149" s="83"/>
      <c r="D149" s="83"/>
      <c r="E149" s="83"/>
      <c r="F149" s="75"/>
      <c r="G149" s="308"/>
      <c r="H149" s="110"/>
    </row>
    <row r="150" spans="2:8" ht="18">
      <c r="B150" s="99" t="s">
        <v>381</v>
      </c>
      <c r="C150" s="83"/>
      <c r="D150" s="83"/>
      <c r="E150" s="83"/>
      <c r="F150" s="107"/>
      <c r="G150" s="89"/>
      <c r="H150" s="110"/>
    </row>
    <row r="151" spans="2:8" ht="15">
      <c r="B151" s="88"/>
      <c r="C151" s="83"/>
      <c r="D151" s="83"/>
      <c r="E151" s="83"/>
      <c r="F151" s="87"/>
      <c r="G151" s="83"/>
      <c r="H151" s="110"/>
    </row>
    <row r="152" spans="2:8" ht="15">
      <c r="B152" s="88" t="s">
        <v>382</v>
      </c>
      <c r="C152" s="83"/>
      <c r="D152" s="83"/>
      <c r="E152" s="83"/>
      <c r="F152" s="107"/>
      <c r="G152" s="89"/>
      <c r="H152" s="110"/>
    </row>
    <row r="153" spans="2:8" ht="15">
      <c r="B153" s="88"/>
      <c r="C153" s="83"/>
      <c r="D153" s="83"/>
      <c r="E153" s="83"/>
      <c r="F153" s="107"/>
      <c r="G153" s="89"/>
      <c r="H153" s="110"/>
    </row>
    <row r="154" spans="2:8" ht="15">
      <c r="B154" s="88" t="s">
        <v>383</v>
      </c>
      <c r="C154" s="83"/>
      <c r="D154" s="83"/>
      <c r="E154" s="83"/>
      <c r="F154" s="107"/>
      <c r="G154" s="89"/>
      <c r="H154" s="110"/>
    </row>
    <row r="155" spans="2:8" ht="15">
      <c r="B155" s="88"/>
      <c r="C155" s="83"/>
      <c r="D155" s="83"/>
      <c r="E155" s="83"/>
      <c r="F155" s="87"/>
      <c r="G155" s="83"/>
      <c r="H155" s="110"/>
    </row>
    <row r="156" spans="2:8" ht="15">
      <c r="B156" s="88" t="s">
        <v>384</v>
      </c>
      <c r="C156" s="83"/>
      <c r="D156" s="83"/>
      <c r="E156" s="83"/>
      <c r="F156" s="87"/>
      <c r="G156" s="83"/>
      <c r="H156" s="110"/>
    </row>
    <row r="157" spans="2:8" ht="15">
      <c r="B157" s="88"/>
      <c r="C157" s="83"/>
      <c r="D157" s="83"/>
      <c r="E157" s="83"/>
      <c r="F157" s="87"/>
      <c r="G157" s="83"/>
      <c r="H157" s="110"/>
    </row>
    <row r="158" spans="2:8" ht="15">
      <c r="B158" s="88" t="s">
        <v>385</v>
      </c>
      <c r="C158" s="83"/>
      <c r="D158" s="83"/>
      <c r="E158" s="83"/>
      <c r="F158" s="87"/>
      <c r="G158" s="83"/>
      <c r="H158" s="110"/>
    </row>
    <row r="159" spans="2:8" ht="15">
      <c r="B159" s="88" t="s">
        <v>386</v>
      </c>
      <c r="C159" s="83"/>
      <c r="D159" s="83"/>
      <c r="E159" s="83"/>
      <c r="F159" s="87"/>
      <c r="G159" s="83"/>
      <c r="H159" s="110"/>
    </row>
    <row r="160" spans="2:8" ht="15">
      <c r="B160" s="88" t="s">
        <v>387</v>
      </c>
      <c r="C160" s="83"/>
      <c r="D160" s="83"/>
      <c r="E160" s="83"/>
      <c r="F160" s="87"/>
      <c r="G160" s="83"/>
      <c r="H160" s="110"/>
    </row>
    <row r="161" spans="2:8" ht="15">
      <c r="B161" s="88"/>
      <c r="C161" s="83"/>
      <c r="D161" s="83"/>
      <c r="E161" s="83"/>
      <c r="F161" s="87"/>
      <c r="G161" s="83"/>
      <c r="H161" s="110"/>
    </row>
    <row r="162" spans="2:8" ht="15">
      <c r="B162" s="88" t="s">
        <v>388</v>
      </c>
      <c r="C162" s="83"/>
      <c r="D162" s="83"/>
      <c r="E162" s="83"/>
      <c r="F162" s="87"/>
      <c r="G162" s="83"/>
      <c r="H162" s="110"/>
    </row>
    <row r="163" spans="2:8" ht="15">
      <c r="B163" s="88"/>
      <c r="C163" s="83"/>
      <c r="D163" s="83"/>
      <c r="E163" s="83"/>
      <c r="F163" s="87"/>
      <c r="G163" s="83"/>
      <c r="H163" s="110"/>
    </row>
    <row r="164" spans="2:8" ht="15">
      <c r="B164" s="88" t="s">
        <v>389</v>
      </c>
      <c r="C164" s="83"/>
      <c r="D164" s="83"/>
      <c r="E164" s="83"/>
      <c r="F164" s="87"/>
      <c r="G164" s="83"/>
      <c r="H164" s="110"/>
    </row>
    <row r="165" spans="2:8" ht="15">
      <c r="B165" s="88"/>
      <c r="C165" s="83"/>
      <c r="D165" s="83"/>
      <c r="E165" s="83"/>
      <c r="F165" s="87"/>
      <c r="G165" s="83"/>
      <c r="H165" s="110"/>
    </row>
    <row r="166" spans="2:8" ht="15">
      <c r="B166" s="88" t="s">
        <v>390</v>
      </c>
      <c r="C166" s="83"/>
      <c r="D166" s="83"/>
      <c r="E166" s="83"/>
      <c r="F166" s="87"/>
      <c r="G166" s="83"/>
      <c r="H166" s="110"/>
    </row>
    <row r="167" spans="2:8" ht="15">
      <c r="B167" s="88"/>
      <c r="C167" s="83"/>
      <c r="D167" s="83"/>
      <c r="E167" s="83"/>
      <c r="F167" s="87"/>
      <c r="G167" s="83"/>
      <c r="H167" s="110"/>
    </row>
    <row r="168" spans="2:8" ht="15">
      <c r="B168" s="88" t="s">
        <v>391</v>
      </c>
      <c r="C168" s="83"/>
      <c r="D168" s="83"/>
      <c r="E168" s="83"/>
      <c r="F168" s="87"/>
      <c r="G168" s="83"/>
      <c r="H168" s="110"/>
    </row>
    <row r="169" spans="2:8" ht="15">
      <c r="B169" s="88"/>
      <c r="C169" s="83"/>
      <c r="D169" s="83"/>
      <c r="E169" s="83"/>
      <c r="F169" s="87"/>
      <c r="G169" s="83"/>
      <c r="H169" s="110"/>
    </row>
    <row r="170" spans="2:8" ht="15.75">
      <c r="B170" s="88"/>
      <c r="C170" s="83"/>
      <c r="D170" s="83"/>
      <c r="E170" s="181" t="s">
        <v>371</v>
      </c>
      <c r="F170" s="87"/>
      <c r="G170" s="181" t="s">
        <v>392</v>
      </c>
      <c r="H170" s="110"/>
    </row>
    <row r="171" spans="2:8" ht="15.75">
      <c r="B171" s="88"/>
      <c r="C171" s="280" t="s">
        <v>341</v>
      </c>
      <c r="D171" s="83"/>
      <c r="E171" s="83"/>
      <c r="F171" s="87"/>
      <c r="G171" s="282" t="e">
        <f>VLOOKUP($B$5,ComData!$B$15:$FH$195,136,FALSE)</f>
        <v>#N/A</v>
      </c>
      <c r="H171" s="110"/>
    </row>
    <row r="172" spans="2:8" ht="15.75">
      <c r="B172" s="88"/>
      <c r="C172" s="280" t="s">
        <v>342</v>
      </c>
      <c r="D172" s="83"/>
      <c r="E172" s="83">
        <v>10</v>
      </c>
      <c r="F172" s="87"/>
      <c r="G172" s="282" t="e">
        <f>VLOOKUP($B$5,ComData!$B$15:$FH$195,137,FALSE)</f>
        <v>#N/A</v>
      </c>
      <c r="H172" s="110"/>
    </row>
    <row r="173" spans="2:8" ht="15.75">
      <c r="B173" s="88"/>
      <c r="C173" s="280" t="s">
        <v>343</v>
      </c>
      <c r="D173" s="83"/>
      <c r="E173" s="83">
        <v>9</v>
      </c>
      <c r="F173" s="87"/>
      <c r="G173" s="282" t="e">
        <f>VLOOKUP($B$5,ComData!$B$15:$FH$195,138,FALSE)</f>
        <v>#N/A</v>
      </c>
      <c r="H173" s="110"/>
    </row>
    <row r="174" spans="2:8" ht="15.75">
      <c r="B174" s="88"/>
      <c r="C174" s="280" t="s">
        <v>344</v>
      </c>
      <c r="D174" s="83"/>
      <c r="E174" s="83">
        <v>8</v>
      </c>
      <c r="F174" s="87"/>
      <c r="G174" s="282" t="e">
        <f>VLOOKUP($B$5,ComData!$B$15:$FH$195,139,FALSE)</f>
        <v>#N/A</v>
      </c>
      <c r="H174" s="110"/>
    </row>
    <row r="175" spans="2:8" ht="15.75">
      <c r="B175" s="88"/>
      <c r="C175" s="280" t="s">
        <v>345</v>
      </c>
      <c r="D175" s="83"/>
      <c r="E175" s="83">
        <v>7</v>
      </c>
      <c r="F175" s="87"/>
      <c r="G175" s="282" t="e">
        <f>VLOOKUP($B$5,ComData!$B$15:$FH$195,140,FALSE)</f>
        <v>#N/A</v>
      </c>
      <c r="H175" s="110"/>
    </row>
    <row r="176" spans="2:8" ht="15.75">
      <c r="B176" s="88"/>
      <c r="C176" s="280" t="s">
        <v>346</v>
      </c>
      <c r="D176" s="83"/>
      <c r="E176" s="83">
        <v>6</v>
      </c>
      <c r="F176" s="87"/>
      <c r="G176" s="282" t="e">
        <f>VLOOKUP($B$5,ComData!$B$15:$FH$195,141,FALSE)</f>
        <v>#N/A</v>
      </c>
      <c r="H176" s="110"/>
    </row>
    <row r="177" spans="2:8" ht="15.75">
      <c r="B177" s="88"/>
      <c r="C177" s="280" t="s">
        <v>347</v>
      </c>
      <c r="D177" s="83"/>
      <c r="E177" s="83">
        <v>5</v>
      </c>
      <c r="F177" s="87"/>
      <c r="G177" s="282" t="e">
        <f>VLOOKUP($B$5,ComData!$B$15:$FH$195,142,FALSE)</f>
        <v>#N/A</v>
      </c>
      <c r="H177" s="110"/>
    </row>
    <row r="178" spans="2:8" ht="15.75">
      <c r="B178" s="88"/>
      <c r="C178" s="280" t="s">
        <v>348</v>
      </c>
      <c r="D178" s="83"/>
      <c r="E178" s="83">
        <v>9</v>
      </c>
      <c r="F178" s="87"/>
      <c r="G178" s="282" t="e">
        <f>VLOOKUP($B$5,ComData!$B$15:$FH$195,143,FALSE)</f>
        <v>#N/A</v>
      </c>
      <c r="H178" s="110"/>
    </row>
    <row r="179" spans="2:8" ht="15.75">
      <c r="B179" s="86"/>
      <c r="C179" s="280" t="s">
        <v>349</v>
      </c>
      <c r="D179" s="297"/>
      <c r="E179" s="297">
        <v>15</v>
      </c>
      <c r="F179" s="23"/>
      <c r="G179" s="282" t="e">
        <f>VLOOKUP($B$5,ComData!$B$15:$FH$195,144,FALSE)</f>
        <v>#N/A</v>
      </c>
      <c r="H179" s="110"/>
    </row>
    <row r="180" spans="2:8" ht="15.75">
      <c r="B180" s="86"/>
      <c r="C180" s="280" t="s">
        <v>350</v>
      </c>
      <c r="D180" s="297"/>
      <c r="E180" s="298">
        <v>3.07</v>
      </c>
      <c r="F180" s="23"/>
      <c r="G180" s="282" t="e">
        <f>VLOOKUP($B$5,ComData!$B$15:$FH$195,145,FALSE)</f>
        <v>#N/A</v>
      </c>
      <c r="H180" s="110"/>
    </row>
    <row r="181" spans="2:8" ht="16.5" thickBot="1">
      <c r="B181" s="138"/>
      <c r="C181" s="309" t="s">
        <v>351</v>
      </c>
      <c r="D181" s="220"/>
      <c r="E181" s="220">
        <f>ComData!$EB$12</f>
        <v>5</v>
      </c>
      <c r="F181" s="310"/>
      <c r="G181" s="311" t="e">
        <f>VLOOKUP($B$5,ComData!$B$15:$FH$195,146,FALSE)</f>
        <v>#N/A</v>
      </c>
      <c r="H181" s="312"/>
    </row>
  </sheetData>
  <mergeCells count="1">
    <mergeCell ref="B5:C5"/>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1">
    <tabColor indexed="41"/>
  </sheetPr>
  <dimension ref="B2:H38"/>
  <sheetViews>
    <sheetView workbookViewId="0" topLeftCell="A1">
      <selection activeCell="G1" sqref="G1"/>
    </sheetView>
  </sheetViews>
  <sheetFormatPr defaultColWidth="9.140625" defaultRowHeight="12.75"/>
  <cols>
    <col min="1" max="1" width="6.140625" style="1" customWidth="1"/>
    <col min="2" max="2" width="29.140625" style="1" customWidth="1"/>
    <col min="3" max="3" width="56.57421875" style="1" bestFit="1" customWidth="1"/>
    <col min="4" max="4" width="3.28125" style="1" customWidth="1"/>
    <col min="5" max="5" width="3.00390625" style="1" customWidth="1"/>
    <col min="6" max="6" width="2.28125" style="1" customWidth="1"/>
    <col min="7" max="7" width="11.421875" style="1" bestFit="1" customWidth="1"/>
    <col min="8" max="16384" width="9.140625" style="1" customWidth="1"/>
  </cols>
  <sheetData>
    <row r="1" ht="13.5" thickBot="1"/>
    <row r="2" spans="2:7" ht="18">
      <c r="B2" s="313" t="s">
        <v>393</v>
      </c>
      <c r="C2" s="314"/>
      <c r="D2" s="314"/>
      <c r="E2" s="314"/>
      <c r="F2" s="315"/>
      <c r="G2" s="316"/>
    </row>
    <row r="3" spans="2:7" ht="12.75">
      <c r="B3" s="317"/>
      <c r="C3" s="318"/>
      <c r="D3" s="318"/>
      <c r="E3" s="318"/>
      <c r="F3" s="319"/>
      <c r="G3" s="320"/>
    </row>
    <row r="4" spans="2:7" ht="15.75">
      <c r="B4" s="321"/>
      <c r="C4" s="318"/>
      <c r="D4" s="318"/>
      <c r="E4" s="318"/>
      <c r="F4" s="319"/>
      <c r="G4" s="320"/>
    </row>
    <row r="5" spans="2:7" ht="15.75">
      <c r="B5" s="321"/>
      <c r="C5" s="318"/>
      <c r="D5" s="318"/>
      <c r="E5" s="318"/>
      <c r="F5" s="319"/>
      <c r="G5" s="320"/>
    </row>
    <row r="6" spans="2:7" ht="16.5" thickBot="1">
      <c r="B6" s="322"/>
      <c r="C6" s="323"/>
      <c r="D6" s="323"/>
      <c r="E6" s="323"/>
      <c r="F6" s="324"/>
      <c r="G6" s="325"/>
    </row>
    <row r="13" ht="13.5" thickBot="1"/>
    <row r="14" spans="2:8" ht="12.75">
      <c r="B14" s="137"/>
      <c r="C14" s="71"/>
      <c r="D14" s="71"/>
      <c r="E14" s="71"/>
      <c r="F14" s="71"/>
      <c r="G14" s="71"/>
      <c r="H14" s="72"/>
    </row>
    <row r="15" spans="2:8" ht="15.75">
      <c r="B15" s="326" t="s">
        <v>28</v>
      </c>
      <c r="C15" s="327" t="s">
        <v>394</v>
      </c>
      <c r="D15" s="75"/>
      <c r="E15" s="75"/>
      <c r="F15" s="75"/>
      <c r="G15" s="270">
        <v>68.12676145988195</v>
      </c>
      <c r="H15" s="84"/>
    </row>
    <row r="16" spans="2:8" ht="15">
      <c r="B16" s="328"/>
      <c r="C16" s="83"/>
      <c r="D16" s="75"/>
      <c r="E16" s="75"/>
      <c r="F16" s="75"/>
      <c r="G16" s="329"/>
      <c r="H16" s="84"/>
    </row>
    <row r="17" spans="2:8" ht="15.75">
      <c r="B17" s="330" t="s">
        <v>395</v>
      </c>
      <c r="C17" s="89" t="s">
        <v>396</v>
      </c>
      <c r="D17" s="75"/>
      <c r="E17" s="75"/>
      <c r="F17" s="75"/>
      <c r="G17" s="270">
        <v>72.78121709411326</v>
      </c>
      <c r="H17" s="84"/>
    </row>
    <row r="18" spans="2:8" ht="15">
      <c r="B18" s="328"/>
      <c r="C18" s="83"/>
      <c r="D18" s="75"/>
      <c r="E18" s="75"/>
      <c r="F18" s="75"/>
      <c r="G18" s="329"/>
      <c r="H18" s="84"/>
    </row>
    <row r="19" spans="2:8" ht="15.75">
      <c r="B19" s="330" t="s">
        <v>397</v>
      </c>
      <c r="C19" s="89" t="s">
        <v>398</v>
      </c>
      <c r="D19" s="75"/>
      <c r="E19" s="75"/>
      <c r="F19" s="75"/>
      <c r="G19" s="270">
        <v>4.6544556342313115</v>
      </c>
      <c r="H19" s="84"/>
    </row>
    <row r="20" spans="2:8" ht="15">
      <c r="B20" s="328"/>
      <c r="C20" s="83"/>
      <c r="D20" s="75"/>
      <c r="E20" s="75"/>
      <c r="F20" s="75"/>
      <c r="G20" s="329"/>
      <c r="H20" s="84"/>
    </row>
    <row r="21" spans="2:8" ht="15.75">
      <c r="B21" s="330" t="s">
        <v>22</v>
      </c>
      <c r="C21" s="327" t="s">
        <v>399</v>
      </c>
      <c r="D21" s="75"/>
      <c r="E21" s="75"/>
      <c r="F21" s="75"/>
      <c r="G21" s="270">
        <v>67.56413906762894</v>
      </c>
      <c r="H21" s="84"/>
    </row>
    <row r="22" spans="2:8" ht="15">
      <c r="B22" s="328"/>
      <c r="C22" s="83"/>
      <c r="D22" s="75"/>
      <c r="E22" s="75"/>
      <c r="F22" s="75"/>
      <c r="G22" s="329"/>
      <c r="H22" s="84"/>
    </row>
    <row r="23" spans="2:8" ht="15.75">
      <c r="B23" s="330" t="s">
        <v>26</v>
      </c>
      <c r="C23" s="89" t="s">
        <v>400</v>
      </c>
      <c r="D23" s="75"/>
      <c r="E23" s="75"/>
      <c r="F23" s="75"/>
      <c r="G23" s="270">
        <v>77.39380942811874</v>
      </c>
      <c r="H23" s="84"/>
    </row>
    <row r="24" spans="2:8" ht="15">
      <c r="B24" s="331"/>
      <c r="C24" s="83"/>
      <c r="D24" s="75"/>
      <c r="E24" s="75"/>
      <c r="F24" s="75"/>
      <c r="G24" s="329"/>
      <c r="H24" s="84"/>
    </row>
    <row r="25" spans="2:8" ht="15.75">
      <c r="B25" s="330" t="s">
        <v>401</v>
      </c>
      <c r="C25" s="89" t="s">
        <v>402</v>
      </c>
      <c r="D25" s="75"/>
      <c r="E25" s="75"/>
      <c r="F25" s="75"/>
      <c r="G25" s="270">
        <v>72.28669001368617</v>
      </c>
      <c r="H25" s="84"/>
    </row>
    <row r="26" spans="2:8" ht="15.75">
      <c r="B26" s="330" t="s">
        <v>403</v>
      </c>
      <c r="C26" s="89"/>
      <c r="D26" s="75"/>
      <c r="E26" s="75"/>
      <c r="F26" s="75"/>
      <c r="G26" s="329"/>
      <c r="H26" s="84"/>
    </row>
    <row r="27" spans="2:8" ht="15">
      <c r="B27" s="331"/>
      <c r="C27" s="83"/>
      <c r="D27" s="75"/>
      <c r="E27" s="75"/>
      <c r="F27" s="75"/>
      <c r="G27" s="329"/>
      <c r="H27" s="84"/>
    </row>
    <row r="28" spans="2:8" ht="15.75">
      <c r="B28" s="330" t="s">
        <v>404</v>
      </c>
      <c r="C28" s="89" t="s">
        <v>405</v>
      </c>
      <c r="D28" s="75"/>
      <c r="E28" s="75"/>
      <c r="F28" s="75"/>
      <c r="G28" s="270">
        <v>4.7225509460572255</v>
      </c>
      <c r="H28" s="84"/>
    </row>
    <row r="29" spans="2:8" ht="15">
      <c r="B29" s="328"/>
      <c r="C29" s="83"/>
      <c r="D29" s="75"/>
      <c r="E29" s="75"/>
      <c r="F29" s="75"/>
      <c r="G29" s="75"/>
      <c r="H29" s="84"/>
    </row>
    <row r="30" spans="2:8" ht="15.75">
      <c r="B30" s="330" t="s">
        <v>406</v>
      </c>
      <c r="C30" s="89" t="s">
        <v>407</v>
      </c>
      <c r="D30" s="75"/>
      <c r="E30" s="75"/>
      <c r="F30" s="75"/>
      <c r="G30" s="270">
        <v>0</v>
      </c>
      <c r="H30" s="84"/>
    </row>
    <row r="31" spans="2:8" ht="18">
      <c r="B31" s="332"/>
      <c r="C31" s="83"/>
      <c r="D31" s="75"/>
      <c r="E31" s="75"/>
      <c r="F31" s="75"/>
      <c r="G31" s="75"/>
      <c r="H31" s="84"/>
    </row>
    <row r="32" spans="2:8" ht="15.75">
      <c r="B32" s="330" t="s">
        <v>37</v>
      </c>
      <c r="C32" s="89" t="s">
        <v>408</v>
      </c>
      <c r="D32" s="75"/>
      <c r="E32" s="75"/>
      <c r="F32" s="75"/>
      <c r="G32" s="270">
        <v>35.35730769230769</v>
      </c>
      <c r="H32" s="84"/>
    </row>
    <row r="33" spans="2:8" ht="18">
      <c r="B33" s="332"/>
      <c r="C33" s="89" t="s">
        <v>409</v>
      </c>
      <c r="D33" s="75"/>
      <c r="E33" s="75"/>
      <c r="F33" s="75"/>
      <c r="G33" s="75"/>
      <c r="H33" s="84"/>
    </row>
    <row r="34" spans="2:8" ht="15">
      <c r="B34" s="328"/>
      <c r="C34" s="83"/>
      <c r="D34" s="75"/>
      <c r="E34" s="75"/>
      <c r="F34" s="75"/>
      <c r="G34" s="75"/>
      <c r="H34" s="84"/>
    </row>
    <row r="35" spans="2:8" ht="15.75">
      <c r="B35" s="330" t="s">
        <v>410</v>
      </c>
      <c r="C35" s="89" t="s">
        <v>411</v>
      </c>
      <c r="D35" s="75"/>
      <c r="E35" s="75"/>
      <c r="F35" s="75"/>
      <c r="G35" s="333">
        <v>0</v>
      </c>
      <c r="H35" s="84"/>
    </row>
    <row r="36" spans="2:8" ht="15">
      <c r="B36" s="331"/>
      <c r="C36" s="89" t="s">
        <v>412</v>
      </c>
      <c r="D36" s="75"/>
      <c r="E36" s="75"/>
      <c r="F36" s="75"/>
      <c r="G36" s="75"/>
      <c r="H36" s="84"/>
    </row>
    <row r="37" spans="2:8" ht="15">
      <c r="B37" s="331"/>
      <c r="C37" s="89" t="s">
        <v>413</v>
      </c>
      <c r="D37" s="75"/>
      <c r="E37" s="75"/>
      <c r="F37" s="75"/>
      <c r="G37" s="75"/>
      <c r="H37" s="84"/>
    </row>
    <row r="38" spans="2:8" ht="13.5" thickBot="1">
      <c r="B38" s="240"/>
      <c r="C38" s="80"/>
      <c r="D38" s="80"/>
      <c r="E38" s="80"/>
      <c r="F38" s="80"/>
      <c r="G38" s="80"/>
      <c r="H38" s="8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mclement</cp:lastModifiedBy>
  <dcterms:created xsi:type="dcterms:W3CDTF">2010-11-10T11:58:40Z</dcterms:created>
  <dcterms:modified xsi:type="dcterms:W3CDTF">2010-11-10T16:33:19Z</dcterms:modified>
  <cp:category/>
  <cp:version/>
  <cp:contentType/>
  <cp:contentStatus/>
</cp:coreProperties>
</file>