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45" windowWidth="20730" windowHeight="11760"/>
  </bookViews>
  <sheets>
    <sheet name="VfM Metrics Sources &amp; notes" sheetId="3" r:id="rId1"/>
    <sheet name="2018_VFM_Metrics_Entity" sheetId="2" r:id="rId2"/>
    <sheet name="2018_VFM_Metrics_Consolidated" sheetId="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_123Graph_A" localSheetId="2" hidden="1">'[1]Model inputs'!#REF!</definedName>
    <definedName name="__123Graph_A" localSheetId="1" hidden="1">'[1]Model inputs'!#REF!</definedName>
    <definedName name="__123Graph_A" localSheetId="0" hidden="1">'[1]Model inputs'!#REF!</definedName>
    <definedName name="__123Graph_A" hidden="1">'[1]Model inputs'!#REF!</definedName>
    <definedName name="__123Graph_AALLTAX" localSheetId="2" hidden="1">'[2]Forecast data'!#REF!</definedName>
    <definedName name="__123Graph_AALLTAX" localSheetId="1" hidden="1">'[2]Forecast data'!#REF!</definedName>
    <definedName name="__123Graph_AALLTAX" localSheetId="0" hidden="1">'[2]Forecast data'!#REF!</definedName>
    <definedName name="__123Graph_AALLTAX" hidden="1">'[2]Forecast data'!#REF!</definedName>
    <definedName name="__123Graph_ACFSINDIV" localSheetId="2" hidden="1">[3]Data!#REF!</definedName>
    <definedName name="__123Graph_ACFSINDIV" localSheetId="1" hidden="1">[3]Data!#REF!</definedName>
    <definedName name="__123Graph_ACFSINDIV" localSheetId="0" hidden="1">[3]Data!#REF!</definedName>
    <definedName name="__123Graph_ACFSINDIV" hidden="1">[3]Data!#REF!</definedName>
    <definedName name="__123Graph_ACHGSPD1" hidden="1">[4]CHGSPD19.FIN!$B$10:$B$20</definedName>
    <definedName name="__123Graph_ACHGSPD2" hidden="1">[4]CHGSPD19.FIN!$E$11:$E$20</definedName>
    <definedName name="__123Graph_AEFF" localSheetId="2" hidden="1">'[5]T3 Page 1'!#REF!</definedName>
    <definedName name="__123Graph_AEFF" localSheetId="1" hidden="1">'[5]T3 Page 1'!#REF!</definedName>
    <definedName name="__123Graph_AEFF" localSheetId="0" hidden="1">'[5]T3 Page 1'!#REF!</definedName>
    <definedName name="__123Graph_AEFF" hidden="1">'[5]T3 Page 1'!#REF!</definedName>
    <definedName name="__123Graph_AGR14PBF1" hidden="1">'[6]HIS19FIN(A)'!$AF$70:$AF$81</definedName>
    <definedName name="__123Graph_AHOMEVAT" localSheetId="2" hidden="1">'[2]Forecast data'!#REF!</definedName>
    <definedName name="__123Graph_AHOMEVAT" localSheetId="1" hidden="1">'[2]Forecast data'!#REF!</definedName>
    <definedName name="__123Graph_AHOMEVAT" localSheetId="0" hidden="1">'[2]Forecast data'!#REF!</definedName>
    <definedName name="__123Graph_AHOMEVAT" hidden="1">'[2]Forecast data'!#REF!</definedName>
    <definedName name="__123Graph_AIMPORT" localSheetId="2" hidden="1">'[2]Forecast data'!#REF!</definedName>
    <definedName name="__123Graph_AIMPORT" localSheetId="1" hidden="1">'[2]Forecast data'!#REF!</definedName>
    <definedName name="__123Graph_AIMPORT" localSheetId="0" hidden="1">'[2]Forecast data'!#REF!</definedName>
    <definedName name="__123Graph_AIMPORT" hidden="1">'[2]Forecast data'!#REF!</definedName>
    <definedName name="__123Graph_ALBFFIN" localSheetId="2" hidden="1">'[5]FC Page 1'!#REF!</definedName>
    <definedName name="__123Graph_ALBFFIN" localSheetId="1" hidden="1">'[5]FC Page 1'!#REF!</definedName>
    <definedName name="__123Graph_ALBFFIN" localSheetId="0" hidden="1">'[5]FC Page 1'!#REF!</definedName>
    <definedName name="__123Graph_ALBFFIN" hidden="1">'[5]FC Page 1'!#REF!</definedName>
    <definedName name="__123Graph_ALBFFIN2" hidden="1">'[6]HIS19FIN(A)'!$K$59:$Q$59</definedName>
    <definedName name="__123Graph_ALBFHIC2" hidden="1">'[6]HIS19FIN(A)'!$D$59:$J$59</definedName>
    <definedName name="__123Graph_ALCB" hidden="1">'[6]HIS19FIN(A)'!$D$83:$I$83</definedName>
    <definedName name="__123Graph_ANACFIN" hidden="1">'[6]HIS19FIN(A)'!$K$97:$Q$97</definedName>
    <definedName name="__123Graph_ANACHIC" hidden="1">'[6]HIS19FIN(A)'!$D$97:$J$97</definedName>
    <definedName name="__123Graph_APDNUMBERS" hidden="1">'[7]SUMMARY TABLE'!$U$6:$U$49</definedName>
    <definedName name="__123Graph_APDTRENDS" hidden="1">'[7]SUMMARY TABLE'!$S$23:$S$46</definedName>
    <definedName name="__123Graph_APIC" localSheetId="2" hidden="1">'[5]T3 Page 1'!#REF!</definedName>
    <definedName name="__123Graph_APIC" localSheetId="1" hidden="1">'[5]T3 Page 1'!#REF!</definedName>
    <definedName name="__123Graph_APIC" localSheetId="0" hidden="1">'[5]T3 Page 1'!#REF!</definedName>
    <definedName name="__123Graph_APIC" hidden="1">'[5]T3 Page 1'!#REF!</definedName>
    <definedName name="__123Graph_ATOBREV" localSheetId="2" hidden="1">'[2]Forecast data'!#REF!</definedName>
    <definedName name="__123Graph_ATOBREV" localSheetId="1" hidden="1">'[2]Forecast data'!#REF!</definedName>
    <definedName name="__123Graph_ATOBREV" localSheetId="0" hidden="1">'[2]Forecast data'!#REF!</definedName>
    <definedName name="__123Graph_ATOBREV" hidden="1">'[2]Forecast data'!#REF!</definedName>
    <definedName name="__123Graph_ATOTAL" localSheetId="2" hidden="1">'[2]Forecast data'!#REF!</definedName>
    <definedName name="__123Graph_ATOTAL" localSheetId="1" hidden="1">'[2]Forecast data'!#REF!</definedName>
    <definedName name="__123Graph_ATOTAL" localSheetId="0" hidden="1">'[2]Forecast data'!#REF!</definedName>
    <definedName name="__123Graph_ATOTAL" hidden="1">'[2]Forecast data'!#REF!</definedName>
    <definedName name="__123Graph_B" localSheetId="2" hidden="1">'[1]Model inputs'!#REF!</definedName>
    <definedName name="__123Graph_B" localSheetId="1" hidden="1">'[1]Model inputs'!#REF!</definedName>
    <definedName name="__123Graph_B" localSheetId="0" hidden="1">'[1]Model inputs'!#REF!</definedName>
    <definedName name="__123Graph_B" hidden="1">'[1]Model inputs'!#REF!</definedName>
    <definedName name="__123Graph_BCFSINDIV" localSheetId="2" hidden="1">[3]Data!#REF!</definedName>
    <definedName name="__123Graph_BCFSINDIV" localSheetId="1" hidden="1">[3]Data!#REF!</definedName>
    <definedName name="__123Graph_BCFSINDIV" hidden="1">[3]Data!#REF!</definedName>
    <definedName name="__123Graph_BCFSUK" localSheetId="2" hidden="1">[3]Data!#REF!</definedName>
    <definedName name="__123Graph_BCFSUK" localSheetId="1" hidden="1">[3]Data!#REF!</definedName>
    <definedName name="__123Graph_BCFSUK" hidden="1">[3]Data!#REF!</definedName>
    <definedName name="__123Graph_BCHGSPD1" hidden="1">[4]CHGSPD19.FIN!$H$10:$H$25</definedName>
    <definedName name="__123Graph_BCHGSPD2" hidden="1">[4]CHGSPD19.FIN!$I$11:$I$25</definedName>
    <definedName name="__123Graph_BEFF" localSheetId="2" hidden="1">'[5]T3 Page 1'!#REF!</definedName>
    <definedName name="__123Graph_BEFF" localSheetId="1" hidden="1">'[5]T3 Page 1'!#REF!</definedName>
    <definedName name="__123Graph_BEFF" localSheetId="0" hidden="1">'[5]T3 Page 1'!#REF!</definedName>
    <definedName name="__123Graph_BEFF" hidden="1">'[5]T3 Page 1'!#REF!</definedName>
    <definedName name="__123Graph_BHOMEVAT" localSheetId="2" hidden="1">'[2]Forecast data'!#REF!</definedName>
    <definedName name="__123Graph_BHOMEVAT" localSheetId="1" hidden="1">'[2]Forecast data'!#REF!</definedName>
    <definedName name="__123Graph_BHOMEVAT" localSheetId="0" hidden="1">'[2]Forecast data'!#REF!</definedName>
    <definedName name="__123Graph_BHOMEVAT" hidden="1">'[2]Forecast data'!#REF!</definedName>
    <definedName name="__123Graph_BIMPORT" localSheetId="2" hidden="1">'[2]Forecast data'!#REF!</definedName>
    <definedName name="__123Graph_BIMPORT" localSheetId="1" hidden="1">'[2]Forecast data'!#REF!</definedName>
    <definedName name="__123Graph_BIMPORT" localSheetId="0" hidden="1">'[2]Forecast data'!#REF!</definedName>
    <definedName name="__123Graph_BIMPORT" hidden="1">'[2]Forecast data'!#REF!</definedName>
    <definedName name="__123Graph_BLBF" localSheetId="2" hidden="1">'[5]T3 Page 1'!#REF!</definedName>
    <definedName name="__123Graph_BLBF" localSheetId="1" hidden="1">'[5]T3 Page 1'!#REF!</definedName>
    <definedName name="__123Graph_BLBF" localSheetId="0" hidden="1">'[5]T3 Page 1'!#REF!</definedName>
    <definedName name="__123Graph_BLBF" hidden="1">'[5]T3 Page 1'!#REF!</definedName>
    <definedName name="__123Graph_BLBFFIN" localSheetId="2" hidden="1">'[5]FC Page 1'!#REF!</definedName>
    <definedName name="__123Graph_BLBFFIN" localSheetId="1" hidden="1">'[5]FC Page 1'!#REF!</definedName>
    <definedName name="__123Graph_BLBFFIN" hidden="1">'[5]FC Page 1'!#REF!</definedName>
    <definedName name="__123Graph_BLCB" hidden="1">'[6]HIS19FIN(A)'!$D$79:$I$79</definedName>
    <definedName name="__123Graph_BPDTRENDS" hidden="1">'[7]SUMMARY TABLE'!$T$23:$T$46</definedName>
    <definedName name="__123Graph_BPIC" localSheetId="2" hidden="1">'[5]T3 Page 1'!#REF!</definedName>
    <definedName name="__123Graph_BPIC" localSheetId="1" hidden="1">'[5]T3 Page 1'!#REF!</definedName>
    <definedName name="__123Graph_BPIC" localSheetId="0" hidden="1">'[5]T3 Page 1'!#REF!</definedName>
    <definedName name="__123Graph_BPIC" hidden="1">'[5]T3 Page 1'!#REF!</definedName>
    <definedName name="__123Graph_BTOTAL" localSheetId="2" hidden="1">'[2]Forecast data'!#REF!</definedName>
    <definedName name="__123Graph_BTOTAL" localSheetId="1" hidden="1">'[2]Forecast data'!#REF!</definedName>
    <definedName name="__123Graph_BTOTAL" localSheetId="0" hidden="1">'[2]Forecast data'!#REF!</definedName>
    <definedName name="__123Graph_BTOTAL" hidden="1">'[2]Forecast data'!#REF!</definedName>
    <definedName name="__123Graph_CACT13BUD" localSheetId="2" hidden="1">'[5]FC Page 1'!#REF!</definedName>
    <definedName name="__123Graph_CACT13BUD" localSheetId="1" hidden="1">'[5]FC Page 1'!#REF!</definedName>
    <definedName name="__123Graph_CACT13BUD" localSheetId="0" hidden="1">'[5]FC Page 1'!#REF!</definedName>
    <definedName name="__123Graph_CACT13BUD" hidden="1">'[5]FC Page 1'!#REF!</definedName>
    <definedName name="__123Graph_CCFSINDIV" localSheetId="2" hidden="1">[3]Data!#REF!</definedName>
    <definedName name="__123Graph_CCFSINDIV" localSheetId="1" hidden="1">[3]Data!#REF!</definedName>
    <definedName name="__123Graph_CCFSINDIV" localSheetId="0" hidden="1">[3]Data!#REF!</definedName>
    <definedName name="__123Graph_CCFSINDIV" hidden="1">[3]Data!#REF!</definedName>
    <definedName name="__123Graph_CCFSUK" localSheetId="2" hidden="1">[3]Data!#REF!</definedName>
    <definedName name="__123Graph_CCFSUK" localSheetId="1" hidden="1">[3]Data!#REF!</definedName>
    <definedName name="__123Graph_CCFSUK" hidden="1">[3]Data!#REF!</definedName>
    <definedName name="__123Graph_CEFF" localSheetId="2" hidden="1">'[5]T3 Page 1'!#REF!</definedName>
    <definedName name="__123Graph_CEFF" localSheetId="1" hidden="1">'[5]T3 Page 1'!#REF!</definedName>
    <definedName name="__123Graph_CEFF" hidden="1">'[5]T3 Page 1'!#REF!</definedName>
    <definedName name="__123Graph_CGR14PBF1" hidden="1">'[6]HIS19FIN(A)'!$AK$70:$AK$81</definedName>
    <definedName name="__123Graph_CLBF" localSheetId="2" hidden="1">'[5]T3 Page 1'!#REF!</definedName>
    <definedName name="__123Graph_CLBF" localSheetId="1" hidden="1">'[5]T3 Page 1'!#REF!</definedName>
    <definedName name="__123Graph_CLBF" localSheetId="0" hidden="1">'[5]T3 Page 1'!#REF!</definedName>
    <definedName name="__123Graph_CLBF" hidden="1">'[5]T3 Page 1'!#REF!</definedName>
    <definedName name="__123Graph_CPIC" localSheetId="2" hidden="1">'[5]T3 Page 1'!#REF!</definedName>
    <definedName name="__123Graph_CPIC" localSheetId="1" hidden="1">'[5]T3 Page 1'!#REF!</definedName>
    <definedName name="__123Graph_CPIC" localSheetId="0" hidden="1">'[5]T3 Page 1'!#REF!</definedName>
    <definedName name="__123Graph_CPIC" hidden="1">'[5]T3 Page 1'!#REF!</definedName>
    <definedName name="__123Graph_DACT13BUD" localSheetId="2" hidden="1">'[5]FC Page 1'!#REF!</definedName>
    <definedName name="__123Graph_DACT13BUD" localSheetId="1" hidden="1">'[5]FC Page 1'!#REF!</definedName>
    <definedName name="__123Graph_DACT13BUD" localSheetId="0" hidden="1">'[5]FC Page 1'!#REF!</definedName>
    <definedName name="__123Graph_DACT13BUD" hidden="1">'[5]FC Page 1'!#REF!</definedName>
    <definedName name="__123Graph_DCFSINDIV" localSheetId="2" hidden="1">[3]Data!#REF!</definedName>
    <definedName name="__123Graph_DCFSINDIV" localSheetId="1" hidden="1">[3]Data!#REF!</definedName>
    <definedName name="__123Graph_DCFSINDIV" localSheetId="0" hidden="1">[3]Data!#REF!</definedName>
    <definedName name="__123Graph_DCFSINDIV" hidden="1">[3]Data!#REF!</definedName>
    <definedName name="__123Graph_DCFSUK" localSheetId="2" hidden="1">[3]Data!#REF!</definedName>
    <definedName name="__123Graph_DCFSUK" localSheetId="1" hidden="1">[3]Data!#REF!</definedName>
    <definedName name="__123Graph_DCFSUK" hidden="1">[3]Data!#REF!</definedName>
    <definedName name="__123Graph_DEFF" localSheetId="2" hidden="1">'[5]T3 Page 1'!#REF!</definedName>
    <definedName name="__123Graph_DEFF" localSheetId="1" hidden="1">'[5]T3 Page 1'!#REF!</definedName>
    <definedName name="__123Graph_DEFF" hidden="1">'[5]T3 Page 1'!#REF!</definedName>
    <definedName name="__123Graph_DGR14PBF1" hidden="1">'[6]HIS19FIN(A)'!$AH$70:$AH$81</definedName>
    <definedName name="__123Graph_DLBF" localSheetId="2" hidden="1">'[5]T3 Page 1'!#REF!</definedName>
    <definedName name="__123Graph_DLBF" localSheetId="1" hidden="1">'[5]T3 Page 1'!#REF!</definedName>
    <definedName name="__123Graph_DLBF" localSheetId="0" hidden="1">'[5]T3 Page 1'!#REF!</definedName>
    <definedName name="__123Graph_DLBF" hidden="1">'[5]T3 Page 1'!#REF!</definedName>
    <definedName name="__123Graph_DPIC" localSheetId="2" hidden="1">'[5]T3 Page 1'!#REF!</definedName>
    <definedName name="__123Graph_DPIC" localSheetId="1" hidden="1">'[5]T3 Page 1'!#REF!</definedName>
    <definedName name="__123Graph_DPIC" localSheetId="0" hidden="1">'[5]T3 Page 1'!#REF!</definedName>
    <definedName name="__123Graph_DPIC" hidden="1">'[5]T3 Page 1'!#REF!</definedName>
    <definedName name="__123Graph_EACT13BUD" localSheetId="2" hidden="1">'[5]FC Page 1'!#REF!</definedName>
    <definedName name="__123Graph_EACT13BUD" localSheetId="1" hidden="1">'[5]FC Page 1'!#REF!</definedName>
    <definedName name="__123Graph_EACT13BUD" localSheetId="0" hidden="1">'[5]FC Page 1'!#REF!</definedName>
    <definedName name="__123Graph_EACT13BUD" hidden="1">'[5]FC Page 1'!#REF!</definedName>
    <definedName name="__123Graph_ECFSINDIV" localSheetId="2" hidden="1">[3]Data!#REF!</definedName>
    <definedName name="__123Graph_ECFSINDIV" localSheetId="1" hidden="1">[3]Data!#REF!</definedName>
    <definedName name="__123Graph_ECFSINDIV" localSheetId="0" hidden="1">[3]Data!#REF!</definedName>
    <definedName name="__123Graph_ECFSINDIV" hidden="1">[3]Data!#REF!</definedName>
    <definedName name="__123Graph_ECFSUK" localSheetId="2" hidden="1">[3]Data!#REF!</definedName>
    <definedName name="__123Graph_ECFSUK" localSheetId="1" hidden="1">[3]Data!#REF!</definedName>
    <definedName name="__123Graph_ECFSUK" hidden="1">[3]Data!#REF!</definedName>
    <definedName name="__123Graph_EEFF" localSheetId="2" hidden="1">'[5]T3 Page 1'!#REF!</definedName>
    <definedName name="__123Graph_EEFF" localSheetId="1" hidden="1">'[5]T3 Page 1'!#REF!</definedName>
    <definedName name="__123Graph_EEFF" hidden="1">'[5]T3 Page 1'!#REF!</definedName>
    <definedName name="__123Graph_EEFFHIC" localSheetId="2" hidden="1">'[5]FC Page 1'!#REF!</definedName>
    <definedName name="__123Graph_EEFFHIC" localSheetId="1" hidden="1">'[5]FC Page 1'!#REF!</definedName>
    <definedName name="__123Graph_EEFFHIC" hidden="1">'[5]FC Page 1'!#REF!</definedName>
    <definedName name="__123Graph_EGR14PBF1" hidden="1">'[6]HIS19FIN(A)'!$AG$67:$AG$67</definedName>
    <definedName name="__123Graph_ELBF" localSheetId="2" hidden="1">'[5]T3 Page 1'!#REF!</definedName>
    <definedName name="__123Graph_ELBF" localSheetId="1" hidden="1">'[5]T3 Page 1'!#REF!</definedName>
    <definedName name="__123Graph_ELBF" localSheetId="0" hidden="1">'[5]T3 Page 1'!#REF!</definedName>
    <definedName name="__123Graph_ELBF" hidden="1">'[5]T3 Page 1'!#REF!</definedName>
    <definedName name="__123Graph_EPIC" localSheetId="2" hidden="1">'[5]T3 Page 1'!#REF!</definedName>
    <definedName name="__123Graph_EPIC" localSheetId="1" hidden="1">'[5]T3 Page 1'!#REF!</definedName>
    <definedName name="__123Graph_EPIC" localSheetId="0" hidden="1">'[5]T3 Page 1'!#REF!</definedName>
    <definedName name="__123Graph_EPIC" hidden="1">'[5]T3 Page 1'!#REF!</definedName>
    <definedName name="__123Graph_FACT13BUD" localSheetId="2" hidden="1">'[5]FC Page 1'!#REF!</definedName>
    <definedName name="__123Graph_FACT13BUD" localSheetId="1" hidden="1">'[5]FC Page 1'!#REF!</definedName>
    <definedName name="__123Graph_FACT13BUD" localSheetId="0" hidden="1">'[5]FC Page 1'!#REF!</definedName>
    <definedName name="__123Graph_FACT13BUD" hidden="1">'[5]FC Page 1'!#REF!</definedName>
    <definedName name="__123Graph_FCFSUK" localSheetId="2" hidden="1">[3]Data!#REF!</definedName>
    <definedName name="__123Graph_FCFSUK" localSheetId="1" hidden="1">[3]Data!#REF!</definedName>
    <definedName name="__123Graph_FCFSUK" localSheetId="0" hidden="1">[3]Data!#REF!</definedName>
    <definedName name="__123Graph_FCFSUK" hidden="1">[3]Data!#REF!</definedName>
    <definedName name="__123Graph_FEFF" localSheetId="2" hidden="1">'[5]T3 Page 1'!#REF!</definedName>
    <definedName name="__123Graph_FEFF" localSheetId="1" hidden="1">'[5]T3 Page 1'!#REF!</definedName>
    <definedName name="__123Graph_FEFF" hidden="1">'[5]T3 Page 1'!#REF!</definedName>
    <definedName name="__123Graph_FEFFHIC" localSheetId="2" hidden="1">'[5]FC Page 1'!#REF!</definedName>
    <definedName name="__123Graph_FEFFHIC" localSheetId="1" hidden="1">'[5]FC Page 1'!#REF!</definedName>
    <definedName name="__123Graph_FEFFHIC" hidden="1">'[5]FC Page 1'!#REF!</definedName>
    <definedName name="__123Graph_FGR14PBF1" hidden="1">'[6]HIS19FIN(A)'!$AH$67:$AH$67</definedName>
    <definedName name="__123Graph_FLBF" localSheetId="2" hidden="1">'[5]T3 Page 1'!#REF!</definedName>
    <definedName name="__123Graph_FLBF" localSheetId="1" hidden="1">'[5]T3 Page 1'!#REF!</definedName>
    <definedName name="__123Graph_FLBF" localSheetId="0" hidden="1">'[5]T3 Page 1'!#REF!</definedName>
    <definedName name="__123Graph_FLBF" hidden="1">'[5]T3 Page 1'!#REF!</definedName>
    <definedName name="__123Graph_FPIC" localSheetId="2" hidden="1">'[5]T3 Page 1'!#REF!</definedName>
    <definedName name="__123Graph_FPIC" localSheetId="1" hidden="1">'[5]T3 Page 1'!#REF!</definedName>
    <definedName name="__123Graph_FPIC" localSheetId="0" hidden="1">'[5]T3 Page 1'!#REF!</definedName>
    <definedName name="__123Graph_FPIC" hidden="1">'[5]T3 Page 1'!#REF!</definedName>
    <definedName name="__123Graph_LBL_ARESID" hidden="1">'[6]HIS19FIN(A)'!$R$3:$W$3</definedName>
    <definedName name="__123Graph_LBL_BRESID" hidden="1">'[6]HIS19FIN(A)'!$R$3:$W$3</definedName>
    <definedName name="__123Graph_X" localSheetId="2" hidden="1">'[2]Forecast data'!#REF!</definedName>
    <definedName name="__123Graph_X" localSheetId="1" hidden="1">'[2]Forecast data'!#REF!</definedName>
    <definedName name="__123Graph_X" localSheetId="0" hidden="1">'[2]Forecast data'!#REF!</definedName>
    <definedName name="__123Graph_X" hidden="1">'[2]Forecast data'!#REF!</definedName>
    <definedName name="__123Graph_XACTHIC" localSheetId="2" hidden="1">'[5]FC Page 1'!#REF!</definedName>
    <definedName name="__123Graph_XACTHIC" localSheetId="1" hidden="1">'[5]FC Page 1'!#REF!</definedName>
    <definedName name="__123Graph_XACTHIC" localSheetId="0" hidden="1">'[5]FC Page 1'!#REF!</definedName>
    <definedName name="__123Graph_XACTHIC" hidden="1">'[5]FC Page 1'!#REF!</definedName>
    <definedName name="__123Graph_XALLTAX" localSheetId="2" hidden="1">'[2]Forecast data'!#REF!</definedName>
    <definedName name="__123Graph_XALLTAX" localSheetId="1" hidden="1">'[2]Forecast data'!#REF!</definedName>
    <definedName name="__123Graph_XALLTAX" localSheetId="0" hidden="1">'[2]Forecast data'!#REF!</definedName>
    <definedName name="__123Graph_XALLTAX" hidden="1">'[2]Forecast data'!#REF!</definedName>
    <definedName name="__123Graph_XCHGSPD1" hidden="1">[4]CHGSPD19.FIN!$A$10:$A$25</definedName>
    <definedName name="__123Graph_XCHGSPD2" hidden="1">[4]CHGSPD19.FIN!$A$11:$A$25</definedName>
    <definedName name="__123Graph_XEFF" localSheetId="2" hidden="1">'[5]T3 Page 1'!#REF!</definedName>
    <definedName name="__123Graph_XEFF" localSheetId="1" hidden="1">'[5]T3 Page 1'!#REF!</definedName>
    <definedName name="__123Graph_XEFF" localSheetId="0" hidden="1">'[5]T3 Page 1'!#REF!</definedName>
    <definedName name="__123Graph_XEFF" hidden="1">'[5]T3 Page 1'!#REF!</definedName>
    <definedName name="__123Graph_XGR14PBF1" hidden="1">'[6]HIS19FIN(A)'!$AL$70:$AL$81</definedName>
    <definedName name="__123Graph_XHOMEVAT" localSheetId="2" hidden="1">'[2]Forecast data'!#REF!</definedName>
    <definedName name="__123Graph_XHOMEVAT" localSheetId="1" hidden="1">'[2]Forecast data'!#REF!</definedName>
    <definedName name="__123Graph_XHOMEVAT" localSheetId="0" hidden="1">'[2]Forecast data'!#REF!</definedName>
    <definedName name="__123Graph_XHOMEVAT" hidden="1">'[2]Forecast data'!#REF!</definedName>
    <definedName name="__123Graph_XIMPORT" localSheetId="2" hidden="1">'[2]Forecast data'!#REF!</definedName>
    <definedName name="__123Graph_XIMPORT" localSheetId="1" hidden="1">'[2]Forecast data'!#REF!</definedName>
    <definedName name="__123Graph_XIMPORT" localSheetId="0" hidden="1">'[2]Forecast data'!#REF!</definedName>
    <definedName name="__123Graph_XIMPORT" hidden="1">'[2]Forecast data'!#REF!</definedName>
    <definedName name="__123Graph_XLBF" localSheetId="2" hidden="1">'[5]T3 Page 1'!#REF!</definedName>
    <definedName name="__123Graph_XLBF" localSheetId="1" hidden="1">'[5]T3 Page 1'!#REF!</definedName>
    <definedName name="__123Graph_XLBF" localSheetId="0" hidden="1">'[5]T3 Page 1'!#REF!</definedName>
    <definedName name="__123Graph_XLBF" hidden="1">'[5]T3 Page 1'!#REF!</definedName>
    <definedName name="__123Graph_XLBFFIN2" hidden="1">'[6]HIS19FIN(A)'!$K$61:$Q$61</definedName>
    <definedName name="__123Graph_XLBFHIC" hidden="1">'[6]HIS19FIN(A)'!$D$61:$J$61</definedName>
    <definedName name="__123Graph_XLBFHIC2" hidden="1">'[6]HIS19FIN(A)'!$D$61:$J$61</definedName>
    <definedName name="__123Graph_XLCB" hidden="1">'[6]HIS19FIN(A)'!$D$79:$I$79</definedName>
    <definedName name="__123Graph_XNACFIN" hidden="1">'[6]HIS19FIN(A)'!$K$95:$Q$95</definedName>
    <definedName name="__123Graph_XNACHIC" hidden="1">'[6]HIS19FIN(A)'!$D$95:$J$95</definedName>
    <definedName name="__123Graph_XPDNUMBERS" hidden="1">'[7]SUMMARY TABLE'!$Q$6:$Q$49</definedName>
    <definedName name="__123Graph_XPDTRENDS" hidden="1">'[7]SUMMARY TABLE'!$P$23:$P$46</definedName>
    <definedName name="__123Graph_XPIC" localSheetId="2" hidden="1">'[5]T3 Page 1'!#REF!</definedName>
    <definedName name="__123Graph_XPIC" localSheetId="1" hidden="1">'[5]T3 Page 1'!#REF!</definedName>
    <definedName name="__123Graph_XPIC" localSheetId="0" hidden="1">'[5]T3 Page 1'!#REF!</definedName>
    <definedName name="__123Graph_XPIC" hidden="1">'[5]T3 Page 1'!#REF!</definedName>
    <definedName name="__123Graph_XSTAG2ALL" localSheetId="2" hidden="1">'[2]Forecast data'!#REF!</definedName>
    <definedName name="__123Graph_XSTAG2ALL" localSheetId="1" hidden="1">'[2]Forecast data'!#REF!</definedName>
    <definedName name="__123Graph_XSTAG2ALL" localSheetId="0" hidden="1">'[2]Forecast data'!#REF!</definedName>
    <definedName name="__123Graph_XSTAG2ALL" hidden="1">'[2]Forecast data'!#REF!</definedName>
    <definedName name="__123Graph_XSTAG2EC" localSheetId="2" hidden="1">'[2]Forecast data'!#REF!</definedName>
    <definedName name="__123Graph_XSTAG2EC" localSheetId="1" hidden="1">'[2]Forecast data'!#REF!</definedName>
    <definedName name="__123Graph_XSTAG2EC" localSheetId="0" hidden="1">'[2]Forecast data'!#REF!</definedName>
    <definedName name="__123Graph_XSTAG2EC" hidden="1">'[2]Forecast data'!#REF!</definedName>
    <definedName name="__123Graph_XTOBREV" localSheetId="2" hidden="1">'[2]Forecast data'!#REF!</definedName>
    <definedName name="__123Graph_XTOBREV" localSheetId="1" hidden="1">'[2]Forecast data'!#REF!</definedName>
    <definedName name="__123Graph_XTOBREV" localSheetId="0" hidden="1">'[2]Forecast data'!#REF!</definedName>
    <definedName name="__123Graph_XTOBREV" hidden="1">'[2]Forecast data'!#REF!</definedName>
    <definedName name="__123Graph_XTOTAL" localSheetId="2" hidden="1">'[2]Forecast data'!#REF!</definedName>
    <definedName name="__123Graph_XTOTAL" localSheetId="1" hidden="1">'[2]Forecast data'!#REF!</definedName>
    <definedName name="__123Graph_XTOTAL" hidden="1">'[2]Forecast data'!#REF!</definedName>
    <definedName name="_1__123Graph_ACHART_15" hidden="1">[8]USGC!$B$34:$B$53</definedName>
    <definedName name="_10__123Graph_XCHART_15" hidden="1">[8]USGC!$A$34:$A$53</definedName>
    <definedName name="_2__123Graph_BCHART_10" hidden="1">[8]USGC!$L$34:$L$53</definedName>
    <definedName name="_3__123Graph_BCHART_13" hidden="1">[8]USGC!$R$34:$R$53</definedName>
    <definedName name="_4__123Graph_BCHART_15" hidden="1">[8]USGC!$C$34:$C$53</definedName>
    <definedName name="_5__123Graph_CCHART_10" hidden="1">[8]USGC!$F$34:$F$53</definedName>
    <definedName name="_6__123Graph_CCHART_13" hidden="1">[8]USGC!$O$34:$O$53</definedName>
    <definedName name="_7__123Graph_CCHART_15" hidden="1">[8]USGC!$D$34:$D$53</definedName>
    <definedName name="_8__123Graph_XCHART_10" hidden="1">[8]USGC!$A$34:$A$53</definedName>
    <definedName name="_9__123Graph_XCHART_13" hidden="1">[8]USGC!$A$34:$A$53</definedName>
    <definedName name="_Fill" localSheetId="2" hidden="1">'[2]Forecast data'!#REF!</definedName>
    <definedName name="_Fill" localSheetId="1" hidden="1">'[2]Forecast data'!#REF!</definedName>
    <definedName name="_Fill" localSheetId="0" hidden="1">'[2]Forecast data'!#REF!</definedName>
    <definedName name="_Fill" hidden="1">'[2]Forecast data'!#REF!</definedName>
    <definedName name="_xlnm._FilterDatabase" localSheetId="2" hidden="1">'2018_VFM_Metrics_Consolidated'!$A$3:$BU$233</definedName>
    <definedName name="_xlnm._FilterDatabase" localSheetId="1" hidden="1">'2018_VFM_Metrics_Entity'!$A$3:$BU$292</definedName>
    <definedName name="_Key1" localSheetId="2" hidden="1">#REF!</definedName>
    <definedName name="_Key1" localSheetId="1" hidden="1">#REF!</definedName>
    <definedName name="_Key1" localSheetId="0" hidden="1">#REF!</definedName>
    <definedName name="_Key1" hidden="1">#REF!</definedName>
    <definedName name="_Order1" hidden="1">255</definedName>
    <definedName name="_Order2" hidden="1">255</definedName>
    <definedName name="_Regression_Out" localSheetId="2" hidden="1">#REF!</definedName>
    <definedName name="_Regression_Out" localSheetId="1" hidden="1">#REF!</definedName>
    <definedName name="_Regression_Out" localSheetId="0" hidden="1">#REF!</definedName>
    <definedName name="_Regression_Out" hidden="1">#REF!</definedName>
    <definedName name="_Regression_X" localSheetId="2" hidden="1">#REF!</definedName>
    <definedName name="_Regression_X" localSheetId="1" hidden="1">#REF!</definedName>
    <definedName name="_Regression_X" localSheetId="0" hidden="1">#REF!</definedName>
    <definedName name="_Regression_X" hidden="1">#REF!</definedName>
    <definedName name="_Regression_Y" localSheetId="2" hidden="1">#REF!</definedName>
    <definedName name="_Regression_Y" localSheetId="1" hidden="1">#REF!</definedName>
    <definedName name="_Regression_Y" localSheetId="0" hidden="1">#REF!</definedName>
    <definedName name="_Regression_Y" hidden="1">#REF!</definedName>
    <definedName name="asdas" localSheetId="1" hidden="1">{#N/A,#N/A,FALSE,"TMCOMP96";#N/A,#N/A,FALSE,"MAT96";#N/A,#N/A,FALSE,"FANDA96";#N/A,#N/A,FALSE,"INTRAN96";#N/A,#N/A,FALSE,"NAA9697";#N/A,#N/A,FALSE,"ECWEBB";#N/A,#N/A,FALSE,"MFT96";#N/A,#N/A,FALSE,"CTrecon"}</definedName>
    <definedName name="asdas" localSheetId="0" hidden="1">{#N/A,#N/A,FALSE,"TMCOMP96";#N/A,#N/A,FALSE,"MAT96";#N/A,#N/A,FALSE,"FANDA96";#N/A,#N/A,FALSE,"INTRAN96";#N/A,#N/A,FALSE,"NAA9697";#N/A,#N/A,FALSE,"ECWEBB";#N/A,#N/A,FALSE,"MFT96";#N/A,#N/A,FALSE,"CTrecon"}</definedName>
    <definedName name="asdas" hidden="1">{#N/A,#N/A,FALSE,"TMCOMP96";#N/A,#N/A,FALSE,"MAT96";#N/A,#N/A,FALSE,"FANDA96";#N/A,#N/A,FALSE,"INTRAN96";#N/A,#N/A,FALSE,"NAA9697";#N/A,#N/A,FALSE,"ECWEBB";#N/A,#N/A,FALSE,"MFT96";#N/A,#N/A,FALSE,"CTrecon"}</definedName>
    <definedName name="ASDASFD" localSheetId="1" hidden="1">{#N/A,#N/A,FALSE,"TMCOMP96";#N/A,#N/A,FALSE,"MAT96";#N/A,#N/A,FALSE,"FANDA96";#N/A,#N/A,FALSE,"INTRAN96";#N/A,#N/A,FALSE,"NAA9697";#N/A,#N/A,FALSE,"ECWEBB";#N/A,#N/A,FALSE,"MFT96";#N/A,#N/A,FALSE,"CTrecon"}</definedName>
    <definedName name="ASDASFD" localSheetId="0"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asx" localSheetId="1" hidden="1">{#N/A,#N/A,FALSE,"TMCOMP96";#N/A,#N/A,FALSE,"MAT96";#N/A,#N/A,FALSE,"FANDA96";#N/A,#N/A,FALSE,"INTRAN96";#N/A,#N/A,FALSE,"NAA9697";#N/A,#N/A,FALSE,"ECWEBB";#N/A,#N/A,FALSE,"MFT96";#N/A,#N/A,FALSE,"CTrecon"}</definedName>
    <definedName name="asdasx" localSheetId="0" hidden="1">{#N/A,#N/A,FALSE,"TMCOMP96";#N/A,#N/A,FALSE,"MAT96";#N/A,#N/A,FALSE,"FANDA96";#N/A,#N/A,FALSE,"INTRAN96";#N/A,#N/A,FALSE,"NAA9697";#N/A,#N/A,FALSE,"ECWEBB";#N/A,#N/A,FALSE,"MFT96";#N/A,#N/A,FALSE,"CTrecon"}</definedName>
    <definedName name="asdasx" hidden="1">{#N/A,#N/A,FALSE,"TMCOMP96";#N/A,#N/A,FALSE,"MAT96";#N/A,#N/A,FALSE,"FANDA96";#N/A,#N/A,FALSE,"INTRAN96";#N/A,#N/A,FALSE,"NAA9697";#N/A,#N/A,FALSE,"ECWEBB";#N/A,#N/A,FALSE,"MFT96";#N/A,#N/A,FALSE,"CTrecon"}</definedName>
    <definedName name="ASDF" localSheetId="1" hidden="1">{#N/A,#N/A,FALSE,"TMCOMP96";#N/A,#N/A,FALSE,"MAT96";#N/A,#N/A,FALSE,"FANDA96";#N/A,#N/A,FALSE,"INTRAN96";#N/A,#N/A,FALSE,"NAA9697";#N/A,#N/A,FALSE,"ECWEBB";#N/A,#N/A,FALSE,"MFT96";#N/A,#N/A,FALSE,"CTrecon"}</definedName>
    <definedName name="ASDF" localSheetId="0"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localSheetId="1" hidden="1">{#N/A,#N/A,FALSE,"TMCOMP96";#N/A,#N/A,FALSE,"MAT96";#N/A,#N/A,FALSE,"FANDA96";#N/A,#N/A,FALSE,"INTRAN96";#N/A,#N/A,FALSE,"NAA9697";#N/A,#N/A,FALSE,"ECWEBB";#N/A,#N/A,FALSE,"MFT96";#N/A,#N/A,FALSE,"CTrecon"}</definedName>
    <definedName name="ASDFA" localSheetId="0"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localSheetId="1" hidden="1">{#N/A,#N/A,FALSE,"TMCOMP96";#N/A,#N/A,FALSE,"MAT96";#N/A,#N/A,FALSE,"FANDA96";#N/A,#N/A,FALSE,"INTRAN96";#N/A,#N/A,FALSE,"NAA9697";#N/A,#N/A,FALSE,"ECWEBB";#N/A,#N/A,FALSE,"MFT96";#N/A,#N/A,FALSE,"CTrecon"}</definedName>
    <definedName name="ASFD" localSheetId="0"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'[9]4.6 ten year bonds'!$A$4</definedName>
    <definedName name="BLPH2" hidden="1">'[9]4.6 ten year bonds'!$D$4</definedName>
    <definedName name="BLPH3" hidden="1">'[9]4.6 ten year bonds'!$G$4</definedName>
    <definedName name="BLPH4" hidden="1">'[9]4.6 ten year bonds'!$J$4</definedName>
    <definedName name="BLPH5" hidden="1">'[9]4.6 ten year bonds'!$M$4</definedName>
    <definedName name="dgsgf" localSheetId="1" hidden="1">{#N/A,#N/A,FALSE,"TMCOMP96";#N/A,#N/A,FALSE,"MAT96";#N/A,#N/A,FALSE,"FANDA96";#N/A,#N/A,FALSE,"INTRAN96";#N/A,#N/A,FALSE,"NAA9697";#N/A,#N/A,FALSE,"ECWEBB";#N/A,#N/A,FALSE,"MFT96";#N/A,#N/A,FALSE,"CTrecon"}</definedName>
    <definedName name="dgsgf" localSheetId="0" hidden="1">{#N/A,#N/A,FALSE,"TMCOMP96";#N/A,#N/A,FALSE,"MAT96";#N/A,#N/A,FALSE,"FANDA96";#N/A,#N/A,FALSE,"INTRAN96";#N/A,#N/A,FALSE,"NAA9697";#N/A,#N/A,FALSE,"ECWEBB";#N/A,#N/A,FALSE,"MFT96";#N/A,#N/A,FALSE,"CTrecon"}</definedName>
    <definedName name="dgsgf" hidden="1">{#N/A,#N/A,FALSE,"TMCOMP96";#N/A,#N/A,FALSE,"MAT96";#N/A,#N/A,FALSE,"FANDA96";#N/A,#N/A,FALSE,"INTRAN96";#N/A,#N/A,FALSE,"NAA9697";#N/A,#N/A,FALSE,"ECWEBB";#N/A,#N/A,FALSE,"MFT96";#N/A,#N/A,FALSE,"CTrecon"}</definedName>
    <definedName name="Distribution" localSheetId="2" hidden="1">#REF!</definedName>
    <definedName name="Distribution" localSheetId="1" hidden="1">#REF!</definedName>
    <definedName name="Distribution" localSheetId="0" hidden="1">#REF!</definedName>
    <definedName name="Distribution" hidden="1">#REF!</definedName>
    <definedName name="EFO" localSheetId="2" hidden="1">'[2]Forecast data'!#REF!</definedName>
    <definedName name="EFO" localSheetId="1" hidden="1">'[2]Forecast data'!#REF!</definedName>
    <definedName name="EFO" localSheetId="0" hidden="1">'[2]Forecast data'!#REF!</definedName>
    <definedName name="EFO" hidden="1">'[2]Forecast data'!#REF!</definedName>
    <definedName name="ExtraProfiles" localSheetId="2" hidden="1">#REF!</definedName>
    <definedName name="ExtraProfiles" localSheetId="1" hidden="1">#REF!</definedName>
    <definedName name="ExtraProfiles" localSheetId="0" hidden="1">#REF!</definedName>
    <definedName name="ExtraProfiles" hidden="1">#REF!</definedName>
    <definedName name="FDDD" localSheetId="1" hidden="1">{#N/A,#N/A,FALSE,"TMCOMP96";#N/A,#N/A,FALSE,"MAT96";#N/A,#N/A,FALSE,"FANDA96";#N/A,#N/A,FALSE,"INTRAN96";#N/A,#N/A,FALSE,"NAA9697";#N/A,#N/A,FALSE,"ECWEBB";#N/A,#N/A,FALSE,"MFT96";#N/A,#N/A,FALSE,"CTrecon"}</definedName>
    <definedName name="FDDD" localSheetId="0" hidden="1">{#N/A,#N/A,FALSE,"TMCOMP96";#N/A,#N/A,FALSE,"MAT96";#N/A,#N/A,FALSE,"FANDA96";#N/A,#N/A,FALSE,"INTRAN96";#N/A,#N/A,FALSE,"NAA9697";#N/A,#N/A,FALSE,"ECWEBB";#N/A,#N/A,FALSE,"MFT96";#N/A,#N/A,FALSE,"CTrecon"}</definedName>
    <definedName name="FDDD" hidden="1">{#N/A,#N/A,FALSE,"TMCOMP96";#N/A,#N/A,FALSE,"MAT96";#N/A,#N/A,FALSE,"FANDA96";#N/A,#N/A,FALSE,"INTRAN96";#N/A,#N/A,FALSE,"NAA9697";#N/A,#N/A,FALSE,"ECWEBB";#N/A,#N/A,FALSE,"MFT96";#N/A,#N/A,FALSE,"CTrecon"}</definedName>
    <definedName name="fg" localSheetId="1" hidden="1">{#N/A,#N/A,FALSE,"TMCOMP96";#N/A,#N/A,FALSE,"MAT96";#N/A,#N/A,FALSE,"FANDA96";#N/A,#N/A,FALSE,"INTRAN96";#N/A,#N/A,FALSE,"NAA9697";#N/A,#N/A,FALSE,"ECWEBB";#N/A,#N/A,FALSE,"MFT96";#N/A,#N/A,FALSE,"CTrecon"}</definedName>
    <definedName name="fg" localSheetId="0" hidden="1">{#N/A,#N/A,FALSE,"TMCOMP96";#N/A,#N/A,FALSE,"MAT96";#N/A,#N/A,FALSE,"FANDA96";#N/A,#N/A,FALSE,"INTRAN96";#N/A,#N/A,FALSE,"NAA9697";#N/A,#N/A,FALSE,"ECWEBB";#N/A,#N/A,FALSE,"MFT96";#N/A,#N/A,FALSE,"CTrecon"}</definedName>
    <definedName name="fg" hidden="1">{#N/A,#N/A,FALSE,"TMCOMP96";#N/A,#N/A,FALSE,"MAT96";#N/A,#N/A,FALSE,"FANDA96";#N/A,#N/A,FALSE,"INTRAN96";#N/A,#N/A,FALSE,"NAA9697";#N/A,#N/A,FALSE,"ECWEBB";#N/A,#N/A,FALSE,"MFT96";#N/A,#N/A,FALSE,"CTrecon"}</definedName>
    <definedName name="fgfd" localSheetId="1" hidden="1">{#N/A,#N/A,FALSE,"TMCOMP96";#N/A,#N/A,FALSE,"MAT96";#N/A,#N/A,FALSE,"FANDA96";#N/A,#N/A,FALSE,"INTRAN96";#N/A,#N/A,FALSE,"NAA9697";#N/A,#N/A,FALSE,"ECWEBB";#N/A,#N/A,FALSE,"MFT96";#N/A,#N/A,FALSE,"CTrecon"}</definedName>
    <definedName name="fgfd" localSheetId="0"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fghfgh" localSheetId="1" hidden="1">{#N/A,#N/A,FALSE,"TMCOMP96";#N/A,#N/A,FALSE,"MAT96";#N/A,#N/A,FALSE,"FANDA96";#N/A,#N/A,FALSE,"INTRAN96";#N/A,#N/A,FALSE,"NAA9697";#N/A,#N/A,FALSE,"ECWEBB";#N/A,#N/A,FALSE,"MFT96";#N/A,#N/A,FALSE,"CTrecon"}</definedName>
    <definedName name="fghfgh" localSheetId="0" hidden="1">{#N/A,#N/A,FALSE,"TMCOMP96";#N/A,#N/A,FALSE,"MAT96";#N/A,#N/A,FALSE,"FANDA96";#N/A,#N/A,FALSE,"INTRAN96";#N/A,#N/A,FALSE,"NAA9697";#N/A,#N/A,FALSE,"ECWEBB";#N/A,#N/A,FALSE,"MFT96";#N/A,#N/A,FALSE,"CTrecon"}</definedName>
    <definedName name="fghfgh" hidden="1">{#N/A,#N/A,FALSE,"TMCOMP96";#N/A,#N/A,FALSE,"MAT96";#N/A,#N/A,FALSE,"FANDA96";#N/A,#N/A,FALSE,"INTRAN96";#N/A,#N/A,FALSE,"NAA9697";#N/A,#N/A,FALSE,"ECWEBB";#N/A,#N/A,FALSE,"MFT96";#N/A,#N/A,FALSE,"CTrecon"}</definedName>
    <definedName name="fyu" localSheetId="2" hidden="1">'[2]Forecast data'!#REF!</definedName>
    <definedName name="fyu" localSheetId="1" hidden="1">'[2]Forecast data'!#REF!</definedName>
    <definedName name="fyu" hidden="1">'[2]Forecast data'!#REF!</definedName>
    <definedName name="ghj" localSheetId="1" hidden="1">{#N/A,#N/A,FALSE,"TMCOMP96";#N/A,#N/A,FALSE,"MAT96";#N/A,#N/A,FALSE,"FANDA96";#N/A,#N/A,FALSE,"INTRAN96";#N/A,#N/A,FALSE,"NAA9697";#N/A,#N/A,FALSE,"ECWEBB";#N/A,#N/A,FALSE,"MFT96";#N/A,#N/A,FALSE,"CTrecon"}</definedName>
    <definedName name="ghj" localSheetId="0"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HTML_CodePage" hidden="1">1</definedName>
    <definedName name="HTML_Control" localSheetId="1" hidden="1">{"'Claimants'!$B$2:$E$38"}</definedName>
    <definedName name="HTML_Control" localSheetId="0" hidden="1">{"'Claimants'!$B$2:$E$38"}</definedName>
    <definedName name="HTML_Control" hidden="1">{"'Claimants'!$B$2:$E$38"}</definedName>
    <definedName name="HTML_Description" hidden="1">"Recipients of Attendance Allowance 1971-2000"</definedName>
    <definedName name="HTML_Email" hidden="1">""</definedName>
    <definedName name="HTML_Header" hidden="1">""</definedName>
    <definedName name="HTML_LastUpdate" hidden="1">"22/08/2000"</definedName>
    <definedName name="HTML_LineAfter" hidden="1">TRUE</definedName>
    <definedName name="HTML_LineBefore" hidden="1">TRUE</definedName>
    <definedName name="HTML_Name" hidden="1">""</definedName>
    <definedName name="HTML_OBDlg2" hidden="1">TRUE</definedName>
    <definedName name="HTML_OBDlg4" hidden="1">TRUE</definedName>
    <definedName name="HTML_OS" hidden="1">0</definedName>
    <definedName name="HTML_PathFile" hidden="1">"I:\users\personal\shared\Andrew Leicester\Web\aa.htm"</definedName>
    <definedName name="HTML_Title" hidden="1">"Fiscal Facts: Attendance Allowance"</definedName>
    <definedName name="jhkgh" localSheetId="1" hidden="1">{#N/A,#N/A,FALSE,"TMCOMP96";#N/A,#N/A,FALSE,"MAT96";#N/A,#N/A,FALSE,"FANDA96";#N/A,#N/A,FALSE,"INTRAN96";#N/A,#N/A,FALSE,"NAA9697";#N/A,#N/A,FALSE,"ECWEBB";#N/A,#N/A,FALSE,"MFT96";#N/A,#N/A,FALSE,"CTrecon"}</definedName>
    <definedName name="jhkgh" localSheetId="0"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localSheetId="1" hidden="1">{#N/A,#N/A,FALSE,"TMCOMP96";#N/A,#N/A,FALSE,"MAT96";#N/A,#N/A,FALSE,"FANDA96";#N/A,#N/A,FALSE,"INTRAN96";#N/A,#N/A,FALSE,"NAA9697";#N/A,#N/A,FALSE,"ECWEBB";#N/A,#N/A,FALSE,"MFT96";#N/A,#N/A,FALSE,"CTrecon"}</definedName>
    <definedName name="jhkgh2" localSheetId="0"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n" localSheetId="1" hidden="1">{#N/A,#N/A,FALSE,"TMCOMP96";#N/A,#N/A,FALSE,"MAT96";#N/A,#N/A,FALSE,"FANDA96";#N/A,#N/A,FALSE,"INTRAN96";#N/A,#N/A,FALSE,"NAA9697";#N/A,#N/A,FALSE,"ECWEBB";#N/A,#N/A,FALSE,"MFT96";#N/A,#N/A,FALSE,"CTrecon"}</definedName>
    <definedName name="n" localSheetId="0" hidden="1">{#N/A,#N/A,FALSE,"TMCOMP96";#N/A,#N/A,FALSE,"MAT96";#N/A,#N/A,FALSE,"FANDA96";#N/A,#N/A,FALSE,"INTRAN96";#N/A,#N/A,FALSE,"NAA9697";#N/A,#N/A,FALSE,"ECWEBB";#N/A,#N/A,FALSE,"MFT96";#N/A,#N/A,FALSE,"CTrecon"}</definedName>
    <definedName name="n" hidden="1">{#N/A,#N/A,FALSE,"TMCOMP96";#N/A,#N/A,FALSE,"MAT96";#N/A,#N/A,FALSE,"FANDA96";#N/A,#N/A,FALSE,"INTRAN96";#N/A,#N/A,FALSE,"NAA9697";#N/A,#N/A,FALSE,"ECWEBB";#N/A,#N/A,FALSE,"MFT96";#N/A,#N/A,FALSE,"CTrecon"}</definedName>
    <definedName name="NOCONFLICT" localSheetId="1" hidden="1">{#N/A,#N/A,FALSE,"TMCOMP96";#N/A,#N/A,FALSE,"MAT96";#N/A,#N/A,FALSE,"FANDA96";#N/A,#N/A,FALSE,"INTRAN96";#N/A,#N/A,FALSE,"NAA9697";#N/A,#N/A,FALSE,"ECWEBB";#N/A,#N/A,FALSE,"MFT96";#N/A,#N/A,FALSE,"CTrecon"}</definedName>
    <definedName name="NOCONFLICT" localSheetId="0" hidden="1">{#N/A,#N/A,FALSE,"TMCOMP96";#N/A,#N/A,FALSE,"MAT96";#N/A,#N/A,FALSE,"FANDA96";#N/A,#N/A,FALSE,"INTRAN96";#N/A,#N/A,FALSE,"NAA9697";#N/A,#N/A,FALSE,"ECWEBB";#N/A,#N/A,FALSE,"MFT96";#N/A,#N/A,FALSE,"CTrecon"}</definedName>
    <definedName name="NOCONFLICT" hidden="1">{#N/A,#N/A,FALSE,"TMCOMP96";#N/A,#N/A,FALSE,"MAT96";#N/A,#N/A,FALSE,"FANDA96";#N/A,#N/A,FALSE,"INTRAN96";#N/A,#N/A,FALSE,"NAA9697";#N/A,#N/A,FALSE,"ECWEBB";#N/A,#N/A,FALSE,"MFT96";#N/A,#N/A,FALSE,"CTrecon"}</definedName>
    <definedName name="Option2" localSheetId="1" hidden="1">{#N/A,#N/A,FALSE,"TMCOMP96";#N/A,#N/A,FALSE,"MAT96";#N/A,#N/A,FALSE,"FANDA96";#N/A,#N/A,FALSE,"INTRAN96";#N/A,#N/A,FALSE,"NAA9697";#N/A,#N/A,FALSE,"ECWEBB";#N/A,#N/A,FALSE,"MFT96";#N/A,#N/A,FALSE,"CTrecon"}</definedName>
    <definedName name="Option2" localSheetId="0"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op" localSheetId="2" hidden="1">[10]Population!#REF!</definedName>
    <definedName name="Pop" localSheetId="1" hidden="1">[10]Population!#REF!</definedName>
    <definedName name="Pop" hidden="1">[10]Population!#REF!</definedName>
    <definedName name="Population" localSheetId="2" hidden="1">#REF!</definedName>
    <definedName name="Population" localSheetId="1" hidden="1">#REF!</definedName>
    <definedName name="Population" localSheetId="0" hidden="1">#REF!</definedName>
    <definedName name="Population" hidden="1">#REF!</definedName>
    <definedName name="_xlnm.Print_Titles" localSheetId="2">'2018_VFM_Metrics_Consolidated'!$A:$B,'2018_VFM_Metrics_Consolidated'!$2:$3</definedName>
    <definedName name="_xlnm.Print_Titles" localSheetId="1">'2018_VFM_Metrics_Entity'!$A:$B,'2018_VFM_Metrics_Entity'!$2:$3</definedName>
    <definedName name="Profiles" localSheetId="2" hidden="1">#REF!</definedName>
    <definedName name="Profiles" localSheetId="1" hidden="1">#REF!</definedName>
    <definedName name="Profiles" localSheetId="0" hidden="1">#REF!</definedName>
    <definedName name="Profiles" hidden="1">#REF!</definedName>
    <definedName name="Projections" localSheetId="2" hidden="1">#REF!</definedName>
    <definedName name="Projections" localSheetId="1" hidden="1">#REF!</definedName>
    <definedName name="Projections" localSheetId="0" hidden="1">#REF!</definedName>
    <definedName name="Projections" hidden="1">#REF!</definedName>
    <definedName name="Results" hidden="1">[11]UK99!$A$1:$A$1</definedName>
    <definedName name="sdf" localSheetId="1" hidden="1">{#N/A,#N/A,FALSE,"TMCOMP96";#N/A,#N/A,FALSE,"MAT96";#N/A,#N/A,FALSE,"FANDA96";#N/A,#N/A,FALSE,"INTRAN96";#N/A,#N/A,FALSE,"NAA9697";#N/A,#N/A,FALSE,"ECWEBB";#N/A,#N/A,FALSE,"MFT96";#N/A,#N/A,FALSE,"CTrecon"}</definedName>
    <definedName name="sdf" localSheetId="0" hidden="1">{#N/A,#N/A,FALSE,"TMCOMP96";#N/A,#N/A,FALSE,"MAT96";#N/A,#N/A,FALSE,"FANDA96";#N/A,#N/A,FALSE,"INTRAN96";#N/A,#N/A,FALSE,"NAA9697";#N/A,#N/A,FALSE,"ECWEBB";#N/A,#N/A,FALSE,"MFT96";#N/A,#N/A,FALSE,"CTrecon"}</definedName>
    <definedName name="sdf" hidden="1">{#N/A,#N/A,FALSE,"TMCOMP96";#N/A,#N/A,FALSE,"MAT96";#N/A,#N/A,FALSE,"FANDA96";#N/A,#N/A,FALSE,"INTRAN96";#N/A,#N/A,FALSE,"NAA9697";#N/A,#N/A,FALSE,"ECWEBB";#N/A,#N/A,FALSE,"MFT96";#N/A,#N/A,FALSE,"CTrecon"}</definedName>
    <definedName name="sdff" localSheetId="1" hidden="1">{#N/A,#N/A,FALSE,"TMCOMP96";#N/A,#N/A,FALSE,"MAT96";#N/A,#N/A,FALSE,"FANDA96";#N/A,#N/A,FALSE,"INTRAN96";#N/A,#N/A,FALSE,"NAA9697";#N/A,#N/A,FALSE,"ECWEBB";#N/A,#N/A,FALSE,"MFT96";#N/A,#N/A,FALSE,"CTrecon"}</definedName>
    <definedName name="sdff" localSheetId="0"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fad" localSheetId="1" hidden="1">{#N/A,#N/A,FALSE,"TMCOMP96";#N/A,#N/A,FALSE,"MAT96";#N/A,#N/A,FALSE,"FANDA96";#N/A,#N/A,FALSE,"INTRAN96";#N/A,#N/A,FALSE,"NAA9697";#N/A,#N/A,FALSE,"ECWEBB";#N/A,#N/A,FALSE,"MFT96";#N/A,#N/A,FALSE,"CTrecon"}</definedName>
    <definedName name="sfad" localSheetId="0" hidden="1">{#N/A,#N/A,FALSE,"TMCOMP96";#N/A,#N/A,FALSE,"MAT96";#N/A,#N/A,FALSE,"FANDA96";#N/A,#N/A,FALSE,"INTRAN96";#N/A,#N/A,FALSE,"NAA9697";#N/A,#N/A,FALSE,"ECWEBB";#N/A,#N/A,FALSE,"MFT96";#N/A,#N/A,FALSE,"CTrecon"}</definedName>
    <definedName name="sfad" hidden="1">{#N/A,#N/A,FALSE,"TMCOMP96";#N/A,#N/A,FALSE,"MAT96";#N/A,#N/A,FALSE,"FANDA96";#N/A,#N/A,FALSE,"INTRAN96";#N/A,#N/A,FALSE,"NAA9697";#N/A,#N/A,FALSE,"ECWEBB";#N/A,#N/A,FALSE,"MFT96";#N/A,#N/A,FALSE,"CTrecon"}</definedName>
    <definedName name="T4.9i" localSheetId="1" hidden="1">{#N/A,#N/A,FALSE,"TMCOMP96";#N/A,#N/A,FALSE,"MAT96";#N/A,#N/A,FALSE,"FANDA96";#N/A,#N/A,FALSE,"INTRAN96";#N/A,#N/A,FALSE,"NAA9697";#N/A,#N/A,FALSE,"ECWEBB";#N/A,#N/A,FALSE,"MFT96";#N/A,#N/A,FALSE,"CTrecon"}</definedName>
    <definedName name="T4.9i" localSheetId="0" hidden="1">{#N/A,#N/A,FALSE,"TMCOMP96";#N/A,#N/A,FALSE,"MAT96";#N/A,#N/A,FALSE,"FANDA96";#N/A,#N/A,FALSE,"INTRAN96";#N/A,#N/A,FALSE,"NAA9697";#N/A,#N/A,FALSE,"ECWEBB";#N/A,#N/A,FALSE,"MFT96";#N/A,#N/A,FALSE,"CTrecon"}</definedName>
    <definedName name="T4.9i" hidden="1">{#N/A,#N/A,FALSE,"TMCOMP96";#N/A,#N/A,FALSE,"MAT96";#N/A,#N/A,FALSE,"FANDA96";#N/A,#N/A,FALSE,"INTRAN96";#N/A,#N/A,FALSE,"NAA9697";#N/A,#N/A,FALSE,"ECWEBB";#N/A,#N/A,FALSE,"MFT96";#N/A,#N/A,FALSE,"CTrecon"}</definedName>
    <definedName name="T4.9j" localSheetId="1" hidden="1">{#N/A,#N/A,FALSE,"TMCOMP96";#N/A,#N/A,FALSE,"MAT96";#N/A,#N/A,FALSE,"FANDA96";#N/A,#N/A,FALSE,"INTRAN96";#N/A,#N/A,FALSE,"NAA9697";#N/A,#N/A,FALSE,"ECWEBB";#N/A,#N/A,FALSE,"MFT96";#N/A,#N/A,FALSE,"CTrecon"}</definedName>
    <definedName name="T4.9j" localSheetId="0" hidden="1">{#N/A,#N/A,FALSE,"TMCOMP96";#N/A,#N/A,FALSE,"MAT96";#N/A,#N/A,FALSE,"FANDA96";#N/A,#N/A,FALSE,"INTRAN96";#N/A,#N/A,FALSE,"NAA9697";#N/A,#N/A,FALSE,"ECWEBB";#N/A,#N/A,FALSE,"MFT96";#N/A,#N/A,FALSE,"CTrecon"}</definedName>
    <definedName name="T4.9j" hidden="1">{#N/A,#N/A,FALSE,"TMCOMP96";#N/A,#N/A,FALSE,"MAT96";#N/A,#N/A,FALSE,"FANDA96";#N/A,#N/A,FALSE,"INTRAN96";#N/A,#N/A,FALSE,"NAA9697";#N/A,#N/A,FALSE,"ECWEBB";#N/A,#N/A,FALSE,"MFT96";#N/A,#N/A,FALSE,"CTrecon"}</definedName>
    <definedName name="trggh" localSheetId="1" hidden="1">{#N/A,#N/A,FALSE,"TMCOMP96";#N/A,#N/A,FALSE,"MAT96";#N/A,#N/A,FALSE,"FANDA96";#N/A,#N/A,FALSE,"INTRAN96";#N/A,#N/A,FALSE,"NAA9697";#N/A,#N/A,FALSE,"ECWEBB";#N/A,#N/A,FALSE,"MFT96";#N/A,#N/A,FALSE,"CTrecon"}</definedName>
    <definedName name="trggh" localSheetId="0" hidden="1">{#N/A,#N/A,FALSE,"TMCOMP96";#N/A,#N/A,FALSE,"MAT96";#N/A,#N/A,FALSE,"FANDA96";#N/A,#N/A,FALSE,"INTRAN96";#N/A,#N/A,FALSE,"NAA9697";#N/A,#N/A,FALSE,"ECWEBB";#N/A,#N/A,FALSE,"MFT96";#N/A,#N/A,FALSE,"CTrecon"}</definedName>
    <definedName name="trggh" hidden="1">{#N/A,#N/A,FALSE,"TMCOMP96";#N/A,#N/A,FALSE,"MAT96";#N/A,#N/A,FALSE,"FANDA96";#N/A,#N/A,FALSE,"INTRAN96";#N/A,#N/A,FALSE,"NAA9697";#N/A,#N/A,FALSE,"ECWEBB";#N/A,#N/A,FALSE,"MFT96";#N/A,#N/A,FALSE,"CTrecon"}</definedName>
    <definedName name="wrn.table1." localSheetId="1" hidden="1">{#N/A,#N/A,FALSE,"CGBR95C"}</definedName>
    <definedName name="wrn.table1." localSheetId="0" hidden="1">{#N/A,#N/A,FALSE,"CGBR95C"}</definedName>
    <definedName name="wrn.table1." hidden="1">{#N/A,#N/A,FALSE,"CGBR95C"}</definedName>
    <definedName name="wrn.table2." localSheetId="1" hidden="1">{#N/A,#N/A,FALSE,"CGBR95C"}</definedName>
    <definedName name="wrn.table2." localSheetId="0" hidden="1">{#N/A,#N/A,FALSE,"CGBR95C"}</definedName>
    <definedName name="wrn.table2." hidden="1">{#N/A,#N/A,FALSE,"CGBR95C"}</definedName>
    <definedName name="wrn.tablea." localSheetId="1" hidden="1">{#N/A,#N/A,FALSE,"CGBR95C"}</definedName>
    <definedName name="wrn.tablea." localSheetId="0" hidden="1">{#N/A,#N/A,FALSE,"CGBR95C"}</definedName>
    <definedName name="wrn.tablea." hidden="1">{#N/A,#N/A,FALSE,"CGBR95C"}</definedName>
    <definedName name="wrn.tableb." localSheetId="1" hidden="1">{#N/A,#N/A,FALSE,"CGBR95C"}</definedName>
    <definedName name="wrn.tableb." localSheetId="0" hidden="1">{#N/A,#N/A,FALSE,"CGBR95C"}</definedName>
    <definedName name="wrn.tableb." hidden="1">{#N/A,#N/A,FALSE,"CGBR95C"}</definedName>
    <definedName name="wrn.tableq." localSheetId="1" hidden="1">{#N/A,#N/A,FALSE,"CGBR95C"}</definedName>
    <definedName name="wrn.tableq." localSheetId="0" hidden="1">{#N/A,#N/A,FALSE,"CGBR95C"}</definedName>
    <definedName name="wrn.tableq." hidden="1">{#N/A,#N/A,FALSE,"CGBR95C"}</definedName>
    <definedName name="wrn.TMCOMP." localSheetId="1" hidden="1">{#N/A,#N/A,FALSE,"TMCOMP96";#N/A,#N/A,FALSE,"MAT96";#N/A,#N/A,FALSE,"FANDA96";#N/A,#N/A,FALSE,"INTRAN96";#N/A,#N/A,FALSE,"NAA9697";#N/A,#N/A,FALSE,"ECWEBB";#N/A,#N/A,FALSE,"MFT96";#N/A,#N/A,FALSE,"CTrecon"}</definedName>
    <definedName name="wrn.TMCOMP." localSheetId="0" hidden="1">{#N/A,#N/A,FALSE,"TMCOMP96";#N/A,#N/A,FALSE,"MAT96";#N/A,#N/A,FALSE,"FANDA96";#N/A,#N/A,FALSE,"INTRAN96";#N/A,#N/A,FALSE,"NAA9697";#N/A,#N/A,FALSE,"ECWEBB";#N/A,#N/A,FALSE,"MFT96";#N/A,#N/A,FALSE,"CTrecon"}</definedName>
    <definedName name="wrn.TMCOMP." hidden="1">{#N/A,#N/A,FALSE,"TMCOMP96";#N/A,#N/A,FALSE,"MAT96";#N/A,#N/A,FALSE,"FANDA96";#N/A,#N/A,FALSE,"INTRAN96";#N/A,#N/A,FALSE,"NAA9697";#N/A,#N/A,FALSE,"ECWEBB";#N/A,#N/A,FALSE,"MFT96";#N/A,#N/A,FALSE,"CTrecon"}</definedName>
  </definedNames>
  <calcPr calcId="145621"/>
</workbook>
</file>

<file path=xl/calcChain.xml><?xml version="1.0" encoding="utf-8"?>
<calcChain xmlns="http://schemas.openxmlformats.org/spreadsheetml/2006/main">
  <c r="D4" i="2" l="1"/>
  <c r="BK292" i="2" l="1"/>
  <c r="BG292" i="2"/>
  <c r="BD292" i="2"/>
  <c r="AQ292" i="2"/>
  <c r="AG292" i="2"/>
  <c r="Y292" i="2"/>
  <c r="Q292" i="2"/>
  <c r="L292" i="2"/>
  <c r="D292" i="2"/>
  <c r="BK291" i="2"/>
  <c r="BG291" i="2"/>
  <c r="BD291" i="2"/>
  <c r="AQ291" i="2"/>
  <c r="AG291" i="2"/>
  <c r="Y291" i="2"/>
  <c r="Q291" i="2"/>
  <c r="L291" i="2"/>
  <c r="D291" i="2"/>
  <c r="BK290" i="2"/>
  <c r="BG290" i="2"/>
  <c r="BD290" i="2"/>
  <c r="AQ290" i="2"/>
  <c r="AG290" i="2"/>
  <c r="Y290" i="2"/>
  <c r="Q290" i="2"/>
  <c r="L290" i="2"/>
  <c r="D290" i="2"/>
  <c r="BK289" i="2"/>
  <c r="BG289" i="2"/>
  <c r="BD289" i="2"/>
  <c r="AQ289" i="2"/>
  <c r="AG289" i="2"/>
  <c r="Y289" i="2"/>
  <c r="Q289" i="2"/>
  <c r="L289" i="2"/>
  <c r="D289" i="2"/>
  <c r="BK288" i="2"/>
  <c r="BG288" i="2"/>
  <c r="BD288" i="2"/>
  <c r="AQ288" i="2"/>
  <c r="AG288" i="2"/>
  <c r="Y288" i="2"/>
  <c r="Q288" i="2"/>
  <c r="L288" i="2"/>
  <c r="D288" i="2"/>
  <c r="BK287" i="2"/>
  <c r="BG287" i="2"/>
  <c r="BD287" i="2"/>
  <c r="AQ287" i="2"/>
  <c r="AG287" i="2"/>
  <c r="Y287" i="2"/>
  <c r="Q287" i="2"/>
  <c r="L287" i="2"/>
  <c r="D287" i="2"/>
  <c r="BK286" i="2"/>
  <c r="BG286" i="2"/>
  <c r="BD286" i="2"/>
  <c r="AQ286" i="2"/>
  <c r="AG286" i="2"/>
  <c r="Y286" i="2"/>
  <c r="Q286" i="2"/>
  <c r="L286" i="2"/>
  <c r="D286" i="2"/>
  <c r="BK285" i="2"/>
  <c r="BG285" i="2"/>
  <c r="BD285" i="2"/>
  <c r="AQ285" i="2"/>
  <c r="AG285" i="2"/>
  <c r="Y285" i="2"/>
  <c r="Q285" i="2"/>
  <c r="L285" i="2"/>
  <c r="D285" i="2"/>
  <c r="BK284" i="2"/>
  <c r="BG284" i="2"/>
  <c r="BD284" i="2"/>
  <c r="AQ284" i="2"/>
  <c r="AG284" i="2"/>
  <c r="Y284" i="2"/>
  <c r="Q284" i="2"/>
  <c r="L284" i="2"/>
  <c r="D284" i="2"/>
  <c r="BK283" i="2"/>
  <c r="BG283" i="2"/>
  <c r="BD283" i="2"/>
  <c r="AQ283" i="2"/>
  <c r="AG283" i="2"/>
  <c r="Y283" i="2"/>
  <c r="Q283" i="2"/>
  <c r="L283" i="2"/>
  <c r="D283" i="2"/>
  <c r="BK282" i="2"/>
  <c r="BG282" i="2"/>
  <c r="BD282" i="2"/>
  <c r="AQ282" i="2"/>
  <c r="AG282" i="2"/>
  <c r="Y282" i="2"/>
  <c r="Q282" i="2"/>
  <c r="L282" i="2"/>
  <c r="D282" i="2"/>
  <c r="BK281" i="2"/>
  <c r="BG281" i="2"/>
  <c r="BD281" i="2"/>
  <c r="AQ281" i="2"/>
  <c r="AG281" i="2"/>
  <c r="Y281" i="2"/>
  <c r="Q281" i="2"/>
  <c r="L281" i="2"/>
  <c r="D281" i="2"/>
  <c r="BK280" i="2"/>
  <c r="BG280" i="2"/>
  <c r="BD280" i="2"/>
  <c r="AQ280" i="2"/>
  <c r="AG280" i="2"/>
  <c r="Y280" i="2"/>
  <c r="Q280" i="2"/>
  <c r="L280" i="2"/>
  <c r="D280" i="2"/>
  <c r="BK279" i="2"/>
  <c r="BG279" i="2"/>
  <c r="BD279" i="2"/>
  <c r="AQ279" i="2"/>
  <c r="AG279" i="2"/>
  <c r="Y279" i="2"/>
  <c r="Q279" i="2"/>
  <c r="L279" i="2"/>
  <c r="D279" i="2"/>
  <c r="BK278" i="2"/>
  <c r="BG278" i="2"/>
  <c r="BD278" i="2"/>
  <c r="AQ278" i="2"/>
  <c r="AG278" i="2"/>
  <c r="Y278" i="2"/>
  <c r="Q278" i="2"/>
  <c r="L278" i="2"/>
  <c r="D278" i="2"/>
  <c r="BK277" i="2"/>
  <c r="BG277" i="2"/>
  <c r="BD277" i="2"/>
  <c r="AQ277" i="2"/>
  <c r="AG277" i="2"/>
  <c r="Y277" i="2"/>
  <c r="Q277" i="2"/>
  <c r="L277" i="2"/>
  <c r="D277" i="2"/>
  <c r="BK276" i="2"/>
  <c r="BG276" i="2"/>
  <c r="BD276" i="2"/>
  <c r="AQ276" i="2"/>
  <c r="AG276" i="2"/>
  <c r="Y276" i="2"/>
  <c r="Q276" i="2"/>
  <c r="L276" i="2"/>
  <c r="D276" i="2"/>
  <c r="BK275" i="2"/>
  <c r="BG275" i="2"/>
  <c r="BD275" i="2"/>
  <c r="AQ275" i="2"/>
  <c r="AG275" i="2"/>
  <c r="Y275" i="2"/>
  <c r="Q275" i="2"/>
  <c r="L275" i="2"/>
  <c r="D275" i="2"/>
  <c r="BK274" i="2"/>
  <c r="BG274" i="2"/>
  <c r="BD274" i="2"/>
  <c r="AQ274" i="2"/>
  <c r="AG274" i="2"/>
  <c r="Y274" i="2"/>
  <c r="Q274" i="2"/>
  <c r="L274" i="2"/>
  <c r="D274" i="2"/>
  <c r="BK273" i="2"/>
  <c r="BG273" i="2"/>
  <c r="BD273" i="2"/>
  <c r="AQ273" i="2"/>
  <c r="AG273" i="2"/>
  <c r="Y273" i="2"/>
  <c r="Q273" i="2"/>
  <c r="L273" i="2"/>
  <c r="D273" i="2"/>
  <c r="BK272" i="2"/>
  <c r="BG272" i="2"/>
  <c r="BD272" i="2"/>
  <c r="AQ272" i="2"/>
  <c r="AG272" i="2"/>
  <c r="Y272" i="2"/>
  <c r="Q272" i="2"/>
  <c r="L272" i="2"/>
  <c r="D272" i="2"/>
  <c r="BK271" i="2"/>
  <c r="BG271" i="2"/>
  <c r="BD271" i="2"/>
  <c r="AQ271" i="2"/>
  <c r="AG271" i="2"/>
  <c r="Y271" i="2"/>
  <c r="Q271" i="2"/>
  <c r="L271" i="2"/>
  <c r="D271" i="2"/>
  <c r="BK270" i="2"/>
  <c r="BG270" i="2"/>
  <c r="BD270" i="2"/>
  <c r="AQ270" i="2"/>
  <c r="AG270" i="2"/>
  <c r="Y270" i="2"/>
  <c r="Q270" i="2"/>
  <c r="L270" i="2"/>
  <c r="D270" i="2"/>
  <c r="BK269" i="2"/>
  <c r="BG269" i="2"/>
  <c r="BD269" i="2"/>
  <c r="AQ269" i="2"/>
  <c r="AG269" i="2"/>
  <c r="Y269" i="2"/>
  <c r="Q269" i="2"/>
  <c r="L269" i="2"/>
  <c r="D269" i="2"/>
  <c r="BK268" i="2"/>
  <c r="BG268" i="2"/>
  <c r="BD268" i="2"/>
  <c r="AQ268" i="2"/>
  <c r="AG268" i="2"/>
  <c r="Y268" i="2"/>
  <c r="Q268" i="2"/>
  <c r="L268" i="2"/>
  <c r="D268" i="2"/>
  <c r="BK267" i="2"/>
  <c r="BG267" i="2"/>
  <c r="BD267" i="2"/>
  <c r="AQ267" i="2"/>
  <c r="AG267" i="2"/>
  <c r="Y267" i="2"/>
  <c r="Q267" i="2"/>
  <c r="L267" i="2"/>
  <c r="D267" i="2"/>
  <c r="BK266" i="2"/>
  <c r="BG266" i="2"/>
  <c r="BD266" i="2"/>
  <c r="AQ266" i="2"/>
  <c r="AG266" i="2"/>
  <c r="Y266" i="2"/>
  <c r="Q266" i="2"/>
  <c r="L266" i="2"/>
  <c r="D266" i="2"/>
  <c r="BK265" i="2"/>
  <c r="BG265" i="2"/>
  <c r="BD265" i="2"/>
  <c r="AQ265" i="2"/>
  <c r="AG265" i="2"/>
  <c r="Y265" i="2"/>
  <c r="Q265" i="2"/>
  <c r="L265" i="2"/>
  <c r="D265" i="2"/>
  <c r="BK264" i="2"/>
  <c r="BG264" i="2"/>
  <c r="BD264" i="2"/>
  <c r="AQ264" i="2"/>
  <c r="AG264" i="2"/>
  <c r="Y264" i="2"/>
  <c r="Q264" i="2"/>
  <c r="L264" i="2"/>
  <c r="D264" i="2"/>
  <c r="BK263" i="2"/>
  <c r="BG263" i="2"/>
  <c r="BD263" i="2"/>
  <c r="AQ263" i="2"/>
  <c r="AG263" i="2"/>
  <c r="Y263" i="2"/>
  <c r="Q263" i="2"/>
  <c r="L263" i="2"/>
  <c r="D263" i="2"/>
  <c r="BK262" i="2"/>
  <c r="BG262" i="2"/>
  <c r="BD262" i="2"/>
  <c r="AQ262" i="2"/>
  <c r="AG262" i="2"/>
  <c r="Y262" i="2"/>
  <c r="Q262" i="2"/>
  <c r="L262" i="2"/>
  <c r="D262" i="2"/>
  <c r="BK261" i="2"/>
  <c r="BG261" i="2"/>
  <c r="BD261" i="2"/>
  <c r="AQ261" i="2"/>
  <c r="AG261" i="2"/>
  <c r="Y261" i="2"/>
  <c r="Q261" i="2"/>
  <c r="L261" i="2"/>
  <c r="D261" i="2"/>
  <c r="BK260" i="2"/>
  <c r="BG260" i="2"/>
  <c r="BD260" i="2"/>
  <c r="AQ260" i="2"/>
  <c r="AG260" i="2"/>
  <c r="Y260" i="2"/>
  <c r="Q260" i="2"/>
  <c r="L260" i="2"/>
  <c r="D260" i="2"/>
  <c r="BK259" i="2"/>
  <c r="BG259" i="2"/>
  <c r="BD259" i="2"/>
  <c r="AQ259" i="2"/>
  <c r="AG259" i="2"/>
  <c r="Y259" i="2"/>
  <c r="Q259" i="2"/>
  <c r="L259" i="2"/>
  <c r="D259" i="2"/>
  <c r="BK258" i="2"/>
  <c r="BG258" i="2"/>
  <c r="BD258" i="2"/>
  <c r="AQ258" i="2"/>
  <c r="AG258" i="2"/>
  <c r="Y258" i="2"/>
  <c r="Q258" i="2"/>
  <c r="L258" i="2"/>
  <c r="D258" i="2"/>
  <c r="BK257" i="2"/>
  <c r="BG257" i="2"/>
  <c r="BD257" i="2"/>
  <c r="AQ257" i="2"/>
  <c r="AG257" i="2"/>
  <c r="Y257" i="2"/>
  <c r="Q257" i="2"/>
  <c r="L257" i="2"/>
  <c r="D257" i="2"/>
  <c r="BK256" i="2"/>
  <c r="BG256" i="2"/>
  <c r="BD256" i="2"/>
  <c r="AQ256" i="2"/>
  <c r="AG256" i="2"/>
  <c r="Y256" i="2"/>
  <c r="Q256" i="2"/>
  <c r="L256" i="2"/>
  <c r="D256" i="2"/>
  <c r="BK255" i="2"/>
  <c r="BG255" i="2"/>
  <c r="BD255" i="2"/>
  <c r="AQ255" i="2"/>
  <c r="AG255" i="2"/>
  <c r="Y255" i="2"/>
  <c r="Q255" i="2"/>
  <c r="L255" i="2"/>
  <c r="D255" i="2"/>
  <c r="BK254" i="2"/>
  <c r="BG254" i="2"/>
  <c r="BD254" i="2"/>
  <c r="AQ254" i="2"/>
  <c r="AG254" i="2"/>
  <c r="Y254" i="2"/>
  <c r="Q254" i="2"/>
  <c r="L254" i="2"/>
  <c r="D254" i="2"/>
  <c r="BK253" i="2"/>
  <c r="BG253" i="2"/>
  <c r="BD253" i="2"/>
  <c r="AQ253" i="2"/>
  <c r="AG253" i="2"/>
  <c r="Y253" i="2"/>
  <c r="Q253" i="2"/>
  <c r="L253" i="2"/>
  <c r="D253" i="2"/>
  <c r="BK252" i="2"/>
  <c r="BG252" i="2"/>
  <c r="BD252" i="2"/>
  <c r="AQ252" i="2"/>
  <c r="AG252" i="2"/>
  <c r="Y252" i="2"/>
  <c r="Q252" i="2"/>
  <c r="L252" i="2"/>
  <c r="D252" i="2"/>
  <c r="BK251" i="2"/>
  <c r="BG251" i="2"/>
  <c r="BD251" i="2"/>
  <c r="AQ251" i="2"/>
  <c r="AG251" i="2"/>
  <c r="Y251" i="2"/>
  <c r="Q251" i="2"/>
  <c r="L251" i="2"/>
  <c r="D251" i="2"/>
  <c r="BK250" i="2"/>
  <c r="BG250" i="2"/>
  <c r="BD250" i="2"/>
  <c r="AQ250" i="2"/>
  <c r="AG250" i="2"/>
  <c r="Y250" i="2"/>
  <c r="Q250" i="2"/>
  <c r="L250" i="2"/>
  <c r="D250" i="2"/>
  <c r="BK249" i="2"/>
  <c r="BG249" i="2"/>
  <c r="BD249" i="2"/>
  <c r="AQ249" i="2"/>
  <c r="AG249" i="2"/>
  <c r="Y249" i="2"/>
  <c r="Q249" i="2"/>
  <c r="L249" i="2"/>
  <c r="D249" i="2"/>
  <c r="BK248" i="2"/>
  <c r="BG248" i="2"/>
  <c r="BD248" i="2"/>
  <c r="AQ248" i="2"/>
  <c r="AG248" i="2"/>
  <c r="Y248" i="2"/>
  <c r="Q248" i="2"/>
  <c r="L248" i="2"/>
  <c r="D248" i="2"/>
  <c r="BK247" i="2"/>
  <c r="BG247" i="2"/>
  <c r="BD247" i="2"/>
  <c r="AQ247" i="2"/>
  <c r="AG247" i="2"/>
  <c r="Y247" i="2"/>
  <c r="Q247" i="2"/>
  <c r="L247" i="2"/>
  <c r="D247" i="2"/>
  <c r="BK246" i="2"/>
  <c r="BG246" i="2"/>
  <c r="BD246" i="2"/>
  <c r="AQ246" i="2"/>
  <c r="AG246" i="2"/>
  <c r="Y246" i="2"/>
  <c r="Q246" i="2"/>
  <c r="L246" i="2"/>
  <c r="D246" i="2"/>
  <c r="BK245" i="2"/>
  <c r="BG245" i="2"/>
  <c r="BD245" i="2"/>
  <c r="AQ245" i="2"/>
  <c r="AG245" i="2"/>
  <c r="Y245" i="2"/>
  <c r="Q245" i="2"/>
  <c r="L245" i="2"/>
  <c r="D245" i="2"/>
  <c r="BK244" i="2"/>
  <c r="BG244" i="2"/>
  <c r="BD244" i="2"/>
  <c r="AQ244" i="2"/>
  <c r="AG244" i="2"/>
  <c r="Y244" i="2"/>
  <c r="Q244" i="2"/>
  <c r="L244" i="2"/>
  <c r="D244" i="2"/>
  <c r="BK243" i="2"/>
  <c r="BG243" i="2"/>
  <c r="BD243" i="2"/>
  <c r="AQ243" i="2"/>
  <c r="AG243" i="2"/>
  <c r="Y243" i="2"/>
  <c r="Q243" i="2"/>
  <c r="L243" i="2"/>
  <c r="D243" i="2"/>
  <c r="BK242" i="2"/>
  <c r="BG242" i="2"/>
  <c r="BD242" i="2"/>
  <c r="AQ242" i="2"/>
  <c r="AG242" i="2"/>
  <c r="Y242" i="2"/>
  <c r="Q242" i="2"/>
  <c r="L242" i="2"/>
  <c r="D242" i="2"/>
  <c r="BK241" i="2"/>
  <c r="BG241" i="2"/>
  <c r="BD241" i="2"/>
  <c r="AQ241" i="2"/>
  <c r="AG241" i="2"/>
  <c r="Y241" i="2"/>
  <c r="Q241" i="2"/>
  <c r="L241" i="2"/>
  <c r="D241" i="2"/>
  <c r="BK240" i="2"/>
  <c r="BG240" i="2"/>
  <c r="BD240" i="2"/>
  <c r="AQ240" i="2"/>
  <c r="AG240" i="2"/>
  <c r="Y240" i="2"/>
  <c r="Q240" i="2"/>
  <c r="L240" i="2"/>
  <c r="D240" i="2"/>
  <c r="BK239" i="2"/>
  <c r="BG239" i="2"/>
  <c r="BD239" i="2"/>
  <c r="AQ239" i="2"/>
  <c r="AG239" i="2"/>
  <c r="Y239" i="2"/>
  <c r="Q239" i="2"/>
  <c r="L239" i="2"/>
  <c r="D239" i="2"/>
  <c r="BK238" i="2"/>
  <c r="BG238" i="2"/>
  <c r="BD238" i="2"/>
  <c r="AQ238" i="2"/>
  <c r="AG238" i="2"/>
  <c r="Y238" i="2"/>
  <c r="Q238" i="2"/>
  <c r="L238" i="2"/>
  <c r="D238" i="2"/>
  <c r="BK237" i="2"/>
  <c r="BG237" i="2"/>
  <c r="BD237" i="2"/>
  <c r="AQ237" i="2"/>
  <c r="AG237" i="2"/>
  <c r="Y237" i="2"/>
  <c r="Q237" i="2"/>
  <c r="L237" i="2"/>
  <c r="D237" i="2"/>
  <c r="BK236" i="2"/>
  <c r="BG236" i="2"/>
  <c r="BD236" i="2"/>
  <c r="AQ236" i="2"/>
  <c r="AG236" i="2"/>
  <c r="Y236" i="2"/>
  <c r="Q236" i="2"/>
  <c r="L236" i="2"/>
  <c r="D236" i="2"/>
  <c r="BK235" i="2"/>
  <c r="BG235" i="2"/>
  <c r="BD235" i="2"/>
  <c r="AQ235" i="2"/>
  <c r="AG235" i="2"/>
  <c r="Y235" i="2"/>
  <c r="Q235" i="2"/>
  <c r="L235" i="2"/>
  <c r="D235" i="2"/>
  <c r="BK234" i="2"/>
  <c r="BG234" i="2"/>
  <c r="BD234" i="2"/>
  <c r="AQ234" i="2"/>
  <c r="AG234" i="2"/>
  <c r="Y234" i="2"/>
  <c r="Q234" i="2"/>
  <c r="L234" i="2"/>
  <c r="D234" i="2"/>
  <c r="BK233" i="2"/>
  <c r="BG233" i="2"/>
  <c r="BD233" i="2"/>
  <c r="AQ233" i="2"/>
  <c r="AG233" i="2"/>
  <c r="Y233" i="2"/>
  <c r="Q233" i="2"/>
  <c r="L233" i="2"/>
  <c r="D233" i="2"/>
  <c r="BK232" i="2"/>
  <c r="BG232" i="2"/>
  <c r="BD232" i="2"/>
  <c r="AQ232" i="2"/>
  <c r="AG232" i="2"/>
  <c r="Y232" i="2"/>
  <c r="Q232" i="2"/>
  <c r="L232" i="2"/>
  <c r="D232" i="2"/>
  <c r="BK231" i="2"/>
  <c r="BG231" i="2"/>
  <c r="BD231" i="2"/>
  <c r="AQ231" i="2"/>
  <c r="AG231" i="2"/>
  <c r="Y231" i="2"/>
  <c r="Q231" i="2"/>
  <c r="L231" i="2"/>
  <c r="D231" i="2"/>
  <c r="BK230" i="2"/>
  <c r="BG230" i="2"/>
  <c r="BD230" i="2"/>
  <c r="AQ230" i="2"/>
  <c r="AG230" i="2"/>
  <c r="Y230" i="2"/>
  <c r="Q230" i="2"/>
  <c r="L230" i="2"/>
  <c r="D230" i="2"/>
  <c r="BK229" i="2"/>
  <c r="BG229" i="2"/>
  <c r="BD229" i="2"/>
  <c r="AQ229" i="2"/>
  <c r="AG229" i="2"/>
  <c r="Y229" i="2"/>
  <c r="Q229" i="2"/>
  <c r="L229" i="2"/>
  <c r="D229" i="2"/>
  <c r="BK228" i="2"/>
  <c r="BG228" i="2"/>
  <c r="BD228" i="2"/>
  <c r="AQ228" i="2"/>
  <c r="AG228" i="2"/>
  <c r="Y228" i="2"/>
  <c r="Q228" i="2"/>
  <c r="L228" i="2"/>
  <c r="D228" i="2"/>
  <c r="BK227" i="2"/>
  <c r="BG227" i="2"/>
  <c r="BD227" i="2"/>
  <c r="AQ227" i="2"/>
  <c r="AG227" i="2"/>
  <c r="Y227" i="2"/>
  <c r="Q227" i="2"/>
  <c r="L227" i="2"/>
  <c r="D227" i="2"/>
  <c r="BK226" i="2"/>
  <c r="BG226" i="2"/>
  <c r="BD226" i="2"/>
  <c r="AQ226" i="2"/>
  <c r="AG226" i="2"/>
  <c r="Y226" i="2"/>
  <c r="Q226" i="2"/>
  <c r="L226" i="2"/>
  <c r="D226" i="2"/>
  <c r="BK225" i="2"/>
  <c r="BG225" i="2"/>
  <c r="BD225" i="2"/>
  <c r="AQ225" i="2"/>
  <c r="AG225" i="2"/>
  <c r="Y225" i="2"/>
  <c r="Q225" i="2"/>
  <c r="L225" i="2"/>
  <c r="D225" i="2"/>
  <c r="BK224" i="2"/>
  <c r="BG224" i="2"/>
  <c r="BD224" i="2"/>
  <c r="AQ224" i="2"/>
  <c r="AG224" i="2"/>
  <c r="Y224" i="2"/>
  <c r="Q224" i="2"/>
  <c r="L224" i="2"/>
  <c r="D224" i="2"/>
  <c r="BK223" i="2"/>
  <c r="BG223" i="2"/>
  <c r="BD223" i="2"/>
  <c r="AQ223" i="2"/>
  <c r="AG223" i="2"/>
  <c r="Y223" i="2"/>
  <c r="Q223" i="2"/>
  <c r="L223" i="2"/>
  <c r="D223" i="2"/>
  <c r="BK222" i="2"/>
  <c r="BG222" i="2"/>
  <c r="BD222" i="2"/>
  <c r="AQ222" i="2"/>
  <c r="AG222" i="2"/>
  <c r="Y222" i="2"/>
  <c r="Q222" i="2"/>
  <c r="L222" i="2"/>
  <c r="D222" i="2"/>
  <c r="BK221" i="2"/>
  <c r="BG221" i="2"/>
  <c r="BD221" i="2"/>
  <c r="AQ221" i="2"/>
  <c r="AG221" i="2"/>
  <c r="Y221" i="2"/>
  <c r="Q221" i="2"/>
  <c r="L221" i="2"/>
  <c r="D221" i="2"/>
  <c r="BK220" i="2"/>
  <c r="BG220" i="2"/>
  <c r="BD220" i="2"/>
  <c r="AQ220" i="2"/>
  <c r="AG220" i="2"/>
  <c r="Y220" i="2"/>
  <c r="Q220" i="2"/>
  <c r="L220" i="2"/>
  <c r="D220" i="2"/>
  <c r="BK219" i="2"/>
  <c r="BG219" i="2"/>
  <c r="BD219" i="2"/>
  <c r="AQ219" i="2"/>
  <c r="AG219" i="2"/>
  <c r="Y219" i="2"/>
  <c r="Q219" i="2"/>
  <c r="L219" i="2"/>
  <c r="D219" i="2"/>
  <c r="BK218" i="2"/>
  <c r="BG218" i="2"/>
  <c r="BD218" i="2"/>
  <c r="AQ218" i="2"/>
  <c r="AG218" i="2"/>
  <c r="Y218" i="2"/>
  <c r="Q218" i="2"/>
  <c r="L218" i="2"/>
  <c r="D218" i="2"/>
  <c r="BK217" i="2"/>
  <c r="BG217" i="2"/>
  <c r="BD217" i="2"/>
  <c r="AQ217" i="2"/>
  <c r="AG217" i="2"/>
  <c r="Y217" i="2"/>
  <c r="Q217" i="2"/>
  <c r="L217" i="2"/>
  <c r="D217" i="2"/>
  <c r="BK216" i="2"/>
  <c r="BG216" i="2"/>
  <c r="BD216" i="2"/>
  <c r="AQ216" i="2"/>
  <c r="AG216" i="2"/>
  <c r="Y216" i="2"/>
  <c r="Q216" i="2"/>
  <c r="L216" i="2"/>
  <c r="D216" i="2"/>
  <c r="BK215" i="2"/>
  <c r="BG215" i="2"/>
  <c r="BD215" i="2"/>
  <c r="AQ215" i="2"/>
  <c r="AG215" i="2"/>
  <c r="Y215" i="2"/>
  <c r="Q215" i="2"/>
  <c r="L215" i="2"/>
  <c r="D215" i="2"/>
  <c r="BK214" i="2"/>
  <c r="BG214" i="2"/>
  <c r="BD214" i="2"/>
  <c r="AQ214" i="2"/>
  <c r="AG214" i="2"/>
  <c r="Y214" i="2"/>
  <c r="Q214" i="2"/>
  <c r="L214" i="2"/>
  <c r="D214" i="2"/>
  <c r="BK213" i="2"/>
  <c r="BG213" i="2"/>
  <c r="BD213" i="2"/>
  <c r="AQ213" i="2"/>
  <c r="AG213" i="2"/>
  <c r="Y213" i="2"/>
  <c r="Q213" i="2"/>
  <c r="L213" i="2"/>
  <c r="D213" i="2"/>
  <c r="BK212" i="2"/>
  <c r="BG212" i="2"/>
  <c r="BD212" i="2"/>
  <c r="AQ212" i="2"/>
  <c r="AG212" i="2"/>
  <c r="Y212" i="2"/>
  <c r="Q212" i="2"/>
  <c r="L212" i="2"/>
  <c r="D212" i="2"/>
  <c r="BK211" i="2"/>
  <c r="BG211" i="2"/>
  <c r="BD211" i="2"/>
  <c r="AQ211" i="2"/>
  <c r="AG211" i="2"/>
  <c r="Y211" i="2"/>
  <c r="Q211" i="2"/>
  <c r="L211" i="2"/>
  <c r="D211" i="2"/>
  <c r="BK210" i="2"/>
  <c r="BG210" i="2"/>
  <c r="BD210" i="2"/>
  <c r="AQ210" i="2"/>
  <c r="AG210" i="2"/>
  <c r="Y210" i="2"/>
  <c r="Q210" i="2"/>
  <c r="L210" i="2"/>
  <c r="D210" i="2"/>
  <c r="BK209" i="2"/>
  <c r="BG209" i="2"/>
  <c r="BD209" i="2"/>
  <c r="AQ209" i="2"/>
  <c r="AG209" i="2"/>
  <c r="Y209" i="2"/>
  <c r="Q209" i="2"/>
  <c r="L209" i="2"/>
  <c r="D209" i="2"/>
  <c r="BK208" i="2"/>
  <c r="BG208" i="2"/>
  <c r="BD208" i="2"/>
  <c r="AQ208" i="2"/>
  <c r="AG208" i="2"/>
  <c r="Y208" i="2"/>
  <c r="Q208" i="2"/>
  <c r="L208" i="2"/>
  <c r="D208" i="2"/>
  <c r="BK207" i="2"/>
  <c r="BG207" i="2"/>
  <c r="BD207" i="2"/>
  <c r="AQ207" i="2"/>
  <c r="AG207" i="2"/>
  <c r="Y207" i="2"/>
  <c r="Q207" i="2"/>
  <c r="L207" i="2"/>
  <c r="D207" i="2"/>
  <c r="BK206" i="2"/>
  <c r="BG206" i="2"/>
  <c r="BD206" i="2"/>
  <c r="AQ206" i="2"/>
  <c r="AG206" i="2"/>
  <c r="Y206" i="2"/>
  <c r="Q206" i="2"/>
  <c r="L206" i="2"/>
  <c r="D206" i="2"/>
  <c r="BK205" i="2"/>
  <c r="BG205" i="2"/>
  <c r="BD205" i="2"/>
  <c r="AQ205" i="2"/>
  <c r="AG205" i="2"/>
  <c r="Y205" i="2"/>
  <c r="Q205" i="2"/>
  <c r="L205" i="2"/>
  <c r="D205" i="2"/>
  <c r="BK204" i="2"/>
  <c r="BG204" i="2"/>
  <c r="BD204" i="2"/>
  <c r="AQ204" i="2"/>
  <c r="AG204" i="2"/>
  <c r="Y204" i="2"/>
  <c r="Q204" i="2"/>
  <c r="L204" i="2"/>
  <c r="D204" i="2"/>
  <c r="BK203" i="2"/>
  <c r="BG203" i="2"/>
  <c r="BD203" i="2"/>
  <c r="AQ203" i="2"/>
  <c r="AG203" i="2"/>
  <c r="Y203" i="2"/>
  <c r="Q203" i="2"/>
  <c r="L203" i="2"/>
  <c r="D203" i="2"/>
  <c r="BK202" i="2"/>
  <c r="BG202" i="2"/>
  <c r="BD202" i="2"/>
  <c r="AQ202" i="2"/>
  <c r="AG202" i="2"/>
  <c r="Y202" i="2"/>
  <c r="Q202" i="2"/>
  <c r="L202" i="2"/>
  <c r="D202" i="2"/>
  <c r="BK201" i="2"/>
  <c r="BG201" i="2"/>
  <c r="BD201" i="2"/>
  <c r="AQ201" i="2"/>
  <c r="AG201" i="2"/>
  <c r="Y201" i="2"/>
  <c r="Q201" i="2"/>
  <c r="L201" i="2"/>
  <c r="D201" i="2"/>
  <c r="BK200" i="2"/>
  <c r="BG200" i="2"/>
  <c r="BD200" i="2"/>
  <c r="AQ200" i="2"/>
  <c r="AG200" i="2"/>
  <c r="Y200" i="2"/>
  <c r="Q200" i="2"/>
  <c r="L200" i="2"/>
  <c r="D200" i="2"/>
  <c r="BK199" i="2"/>
  <c r="BG199" i="2"/>
  <c r="BD199" i="2"/>
  <c r="AQ199" i="2"/>
  <c r="AG199" i="2"/>
  <c r="Y199" i="2"/>
  <c r="Q199" i="2"/>
  <c r="L199" i="2"/>
  <c r="D199" i="2"/>
  <c r="BK198" i="2"/>
  <c r="BG198" i="2"/>
  <c r="BD198" i="2"/>
  <c r="AQ198" i="2"/>
  <c r="AG198" i="2"/>
  <c r="Y198" i="2"/>
  <c r="Q198" i="2"/>
  <c r="L198" i="2"/>
  <c r="D198" i="2"/>
  <c r="BK197" i="2"/>
  <c r="BG197" i="2"/>
  <c r="BD197" i="2"/>
  <c r="AQ197" i="2"/>
  <c r="AG197" i="2"/>
  <c r="Y197" i="2"/>
  <c r="Q197" i="2"/>
  <c r="L197" i="2"/>
  <c r="D197" i="2"/>
  <c r="BK196" i="2"/>
  <c r="BG196" i="2"/>
  <c r="BD196" i="2"/>
  <c r="AQ196" i="2"/>
  <c r="AG196" i="2"/>
  <c r="Y196" i="2"/>
  <c r="Q196" i="2"/>
  <c r="L196" i="2"/>
  <c r="D196" i="2"/>
  <c r="BK195" i="2"/>
  <c r="BG195" i="2"/>
  <c r="BD195" i="2"/>
  <c r="AQ195" i="2"/>
  <c r="AG195" i="2"/>
  <c r="Y195" i="2"/>
  <c r="Q195" i="2"/>
  <c r="L195" i="2"/>
  <c r="D195" i="2"/>
  <c r="BK194" i="2"/>
  <c r="BG194" i="2"/>
  <c r="BD194" i="2"/>
  <c r="AQ194" i="2"/>
  <c r="AG194" i="2"/>
  <c r="Y194" i="2"/>
  <c r="Q194" i="2"/>
  <c r="L194" i="2"/>
  <c r="D194" i="2"/>
  <c r="BK193" i="2"/>
  <c r="BG193" i="2"/>
  <c r="BD193" i="2"/>
  <c r="AQ193" i="2"/>
  <c r="AG193" i="2"/>
  <c r="Y193" i="2"/>
  <c r="Q193" i="2"/>
  <c r="L193" i="2"/>
  <c r="D193" i="2"/>
  <c r="BK192" i="2"/>
  <c r="BG192" i="2"/>
  <c r="BD192" i="2"/>
  <c r="AQ192" i="2"/>
  <c r="AG192" i="2"/>
  <c r="Y192" i="2"/>
  <c r="Q192" i="2"/>
  <c r="L192" i="2"/>
  <c r="D192" i="2"/>
  <c r="BK191" i="2"/>
  <c r="BG191" i="2"/>
  <c r="BD191" i="2"/>
  <c r="AQ191" i="2"/>
  <c r="AG191" i="2"/>
  <c r="Y191" i="2"/>
  <c r="Q191" i="2"/>
  <c r="L191" i="2"/>
  <c r="D191" i="2"/>
  <c r="BK190" i="2"/>
  <c r="BG190" i="2"/>
  <c r="BD190" i="2"/>
  <c r="AQ190" i="2"/>
  <c r="AG190" i="2"/>
  <c r="Y190" i="2"/>
  <c r="Q190" i="2"/>
  <c r="L190" i="2"/>
  <c r="D190" i="2"/>
  <c r="BK189" i="2"/>
  <c r="BG189" i="2"/>
  <c r="BD189" i="2"/>
  <c r="AQ189" i="2"/>
  <c r="AG189" i="2"/>
  <c r="Y189" i="2"/>
  <c r="Q189" i="2"/>
  <c r="L189" i="2"/>
  <c r="D189" i="2"/>
  <c r="BK188" i="2"/>
  <c r="BG188" i="2"/>
  <c r="BD188" i="2"/>
  <c r="AQ188" i="2"/>
  <c r="AG188" i="2"/>
  <c r="Y188" i="2"/>
  <c r="Q188" i="2"/>
  <c r="L188" i="2"/>
  <c r="D188" i="2"/>
  <c r="BK187" i="2"/>
  <c r="BG187" i="2"/>
  <c r="BD187" i="2"/>
  <c r="AQ187" i="2"/>
  <c r="AG187" i="2"/>
  <c r="Y187" i="2"/>
  <c r="Q187" i="2"/>
  <c r="L187" i="2"/>
  <c r="D187" i="2"/>
  <c r="BK186" i="2"/>
  <c r="BG186" i="2"/>
  <c r="BD186" i="2"/>
  <c r="AQ186" i="2"/>
  <c r="AG186" i="2"/>
  <c r="Y186" i="2"/>
  <c r="Q186" i="2"/>
  <c r="L186" i="2"/>
  <c r="D186" i="2"/>
  <c r="BK185" i="2"/>
  <c r="BG185" i="2"/>
  <c r="BD185" i="2"/>
  <c r="AQ185" i="2"/>
  <c r="AG185" i="2"/>
  <c r="Y185" i="2"/>
  <c r="Q185" i="2"/>
  <c r="L185" i="2"/>
  <c r="D185" i="2"/>
  <c r="BK184" i="2"/>
  <c r="BG184" i="2"/>
  <c r="BD184" i="2"/>
  <c r="AQ184" i="2"/>
  <c r="AG184" i="2"/>
  <c r="Y184" i="2"/>
  <c r="Q184" i="2"/>
  <c r="L184" i="2"/>
  <c r="D184" i="2"/>
  <c r="BK183" i="2"/>
  <c r="BG183" i="2"/>
  <c r="BD183" i="2"/>
  <c r="AQ183" i="2"/>
  <c r="AG183" i="2"/>
  <c r="Y183" i="2"/>
  <c r="Q183" i="2"/>
  <c r="L183" i="2"/>
  <c r="D183" i="2"/>
  <c r="BK182" i="2"/>
  <c r="BG182" i="2"/>
  <c r="BD182" i="2"/>
  <c r="AQ182" i="2"/>
  <c r="AG182" i="2"/>
  <c r="Y182" i="2"/>
  <c r="Q182" i="2"/>
  <c r="L182" i="2"/>
  <c r="D182" i="2"/>
  <c r="BK181" i="2"/>
  <c r="BG181" i="2"/>
  <c r="BD181" i="2"/>
  <c r="AQ181" i="2"/>
  <c r="AG181" i="2"/>
  <c r="Y181" i="2"/>
  <c r="Q181" i="2"/>
  <c r="L181" i="2"/>
  <c r="D181" i="2"/>
  <c r="BK180" i="2"/>
  <c r="BG180" i="2"/>
  <c r="BD180" i="2"/>
  <c r="AQ180" i="2"/>
  <c r="AG180" i="2"/>
  <c r="Y180" i="2"/>
  <c r="Q180" i="2"/>
  <c r="L180" i="2"/>
  <c r="D180" i="2"/>
  <c r="BK179" i="2"/>
  <c r="BG179" i="2"/>
  <c r="BD179" i="2"/>
  <c r="AQ179" i="2"/>
  <c r="AG179" i="2"/>
  <c r="Y179" i="2"/>
  <c r="Q179" i="2"/>
  <c r="L179" i="2"/>
  <c r="D179" i="2"/>
  <c r="BK178" i="2"/>
  <c r="BG178" i="2"/>
  <c r="BD178" i="2"/>
  <c r="AQ178" i="2"/>
  <c r="AG178" i="2"/>
  <c r="Y178" i="2"/>
  <c r="Q178" i="2"/>
  <c r="L178" i="2"/>
  <c r="D178" i="2"/>
  <c r="BK177" i="2"/>
  <c r="BG177" i="2"/>
  <c r="BD177" i="2"/>
  <c r="AQ177" i="2"/>
  <c r="AG177" i="2"/>
  <c r="Y177" i="2"/>
  <c r="Q177" i="2"/>
  <c r="L177" i="2"/>
  <c r="D177" i="2"/>
  <c r="BK176" i="2"/>
  <c r="BG176" i="2"/>
  <c r="BD176" i="2"/>
  <c r="AQ176" i="2"/>
  <c r="AG176" i="2"/>
  <c r="Y176" i="2"/>
  <c r="Q176" i="2"/>
  <c r="L176" i="2"/>
  <c r="D176" i="2"/>
  <c r="BK175" i="2"/>
  <c r="BG175" i="2"/>
  <c r="BD175" i="2"/>
  <c r="AQ175" i="2"/>
  <c r="AG175" i="2"/>
  <c r="Y175" i="2"/>
  <c r="Q175" i="2"/>
  <c r="L175" i="2"/>
  <c r="D175" i="2"/>
  <c r="BK174" i="2"/>
  <c r="BG174" i="2"/>
  <c r="BD174" i="2"/>
  <c r="AQ174" i="2"/>
  <c r="AG174" i="2"/>
  <c r="Y174" i="2"/>
  <c r="Q174" i="2"/>
  <c r="L174" i="2"/>
  <c r="D174" i="2"/>
  <c r="BK173" i="2"/>
  <c r="BG173" i="2"/>
  <c r="BD173" i="2"/>
  <c r="AQ173" i="2"/>
  <c r="AG173" i="2"/>
  <c r="Y173" i="2"/>
  <c r="Q173" i="2"/>
  <c r="L173" i="2"/>
  <c r="D173" i="2"/>
  <c r="BK172" i="2"/>
  <c r="BG172" i="2"/>
  <c r="BD172" i="2"/>
  <c r="AQ172" i="2"/>
  <c r="AG172" i="2"/>
  <c r="Y172" i="2"/>
  <c r="Q172" i="2"/>
  <c r="L172" i="2"/>
  <c r="D172" i="2"/>
  <c r="BK171" i="2"/>
  <c r="BG171" i="2"/>
  <c r="BD171" i="2"/>
  <c r="AQ171" i="2"/>
  <c r="AG171" i="2"/>
  <c r="Y171" i="2"/>
  <c r="Q171" i="2"/>
  <c r="L171" i="2"/>
  <c r="D171" i="2"/>
  <c r="BK170" i="2"/>
  <c r="BG170" i="2"/>
  <c r="BD170" i="2"/>
  <c r="AQ170" i="2"/>
  <c r="AG170" i="2"/>
  <c r="Y170" i="2"/>
  <c r="Q170" i="2"/>
  <c r="L170" i="2"/>
  <c r="D170" i="2"/>
  <c r="BK169" i="2"/>
  <c r="BG169" i="2"/>
  <c r="BD169" i="2"/>
  <c r="AQ169" i="2"/>
  <c r="AG169" i="2"/>
  <c r="Y169" i="2"/>
  <c r="Q169" i="2"/>
  <c r="L169" i="2"/>
  <c r="D169" i="2"/>
  <c r="BK168" i="2"/>
  <c r="BG168" i="2"/>
  <c r="BD168" i="2"/>
  <c r="AQ168" i="2"/>
  <c r="AG168" i="2"/>
  <c r="Y168" i="2"/>
  <c r="Q168" i="2"/>
  <c r="L168" i="2"/>
  <c r="D168" i="2"/>
  <c r="BK167" i="2"/>
  <c r="BG167" i="2"/>
  <c r="BD167" i="2"/>
  <c r="AQ167" i="2"/>
  <c r="AG167" i="2"/>
  <c r="Y167" i="2"/>
  <c r="Q167" i="2"/>
  <c r="L167" i="2"/>
  <c r="D167" i="2"/>
  <c r="BK166" i="2"/>
  <c r="BG166" i="2"/>
  <c r="BD166" i="2"/>
  <c r="AQ166" i="2"/>
  <c r="AG166" i="2"/>
  <c r="Y166" i="2"/>
  <c r="Q166" i="2"/>
  <c r="L166" i="2"/>
  <c r="D166" i="2"/>
  <c r="BK165" i="2"/>
  <c r="BG165" i="2"/>
  <c r="BD165" i="2"/>
  <c r="AQ165" i="2"/>
  <c r="AG165" i="2"/>
  <c r="Y165" i="2"/>
  <c r="Q165" i="2"/>
  <c r="L165" i="2"/>
  <c r="D165" i="2"/>
  <c r="BK164" i="2"/>
  <c r="BG164" i="2"/>
  <c r="BD164" i="2"/>
  <c r="AQ164" i="2"/>
  <c r="AG164" i="2"/>
  <c r="Y164" i="2"/>
  <c r="Q164" i="2"/>
  <c r="L164" i="2"/>
  <c r="D164" i="2"/>
  <c r="BK163" i="2"/>
  <c r="BG163" i="2"/>
  <c r="BD163" i="2"/>
  <c r="AQ163" i="2"/>
  <c r="AG163" i="2"/>
  <c r="Y163" i="2"/>
  <c r="Q163" i="2"/>
  <c r="L163" i="2"/>
  <c r="D163" i="2"/>
  <c r="BK162" i="2"/>
  <c r="BG162" i="2"/>
  <c r="BD162" i="2"/>
  <c r="AQ162" i="2"/>
  <c r="AG162" i="2"/>
  <c r="Y162" i="2"/>
  <c r="Q162" i="2"/>
  <c r="L162" i="2"/>
  <c r="D162" i="2"/>
  <c r="BK161" i="2"/>
  <c r="BG161" i="2"/>
  <c r="BD161" i="2"/>
  <c r="AQ161" i="2"/>
  <c r="AG161" i="2"/>
  <c r="Y161" i="2"/>
  <c r="Q161" i="2"/>
  <c r="L161" i="2"/>
  <c r="D161" i="2"/>
  <c r="BK160" i="2"/>
  <c r="BG160" i="2"/>
  <c r="BD160" i="2"/>
  <c r="AQ160" i="2"/>
  <c r="AG160" i="2"/>
  <c r="Y160" i="2"/>
  <c r="Q160" i="2"/>
  <c r="L160" i="2"/>
  <c r="D160" i="2"/>
  <c r="BK159" i="2"/>
  <c r="BG159" i="2"/>
  <c r="BD159" i="2"/>
  <c r="AQ159" i="2"/>
  <c r="AG159" i="2"/>
  <c r="Y159" i="2"/>
  <c r="Q159" i="2"/>
  <c r="L159" i="2"/>
  <c r="D159" i="2"/>
  <c r="BK158" i="2"/>
  <c r="BG158" i="2"/>
  <c r="BD158" i="2"/>
  <c r="AQ158" i="2"/>
  <c r="AG158" i="2"/>
  <c r="Y158" i="2"/>
  <c r="Q158" i="2"/>
  <c r="L158" i="2"/>
  <c r="D158" i="2"/>
  <c r="BK157" i="2"/>
  <c r="BG157" i="2"/>
  <c r="BD157" i="2"/>
  <c r="AQ157" i="2"/>
  <c r="AG157" i="2"/>
  <c r="Y157" i="2"/>
  <c r="Q157" i="2"/>
  <c r="L157" i="2"/>
  <c r="D157" i="2"/>
  <c r="BK156" i="2"/>
  <c r="BG156" i="2"/>
  <c r="BD156" i="2"/>
  <c r="AQ156" i="2"/>
  <c r="AG156" i="2"/>
  <c r="Y156" i="2"/>
  <c r="Q156" i="2"/>
  <c r="L156" i="2"/>
  <c r="D156" i="2"/>
  <c r="BK155" i="2"/>
  <c r="BG155" i="2"/>
  <c r="BD155" i="2"/>
  <c r="AQ155" i="2"/>
  <c r="AG155" i="2"/>
  <c r="Y155" i="2"/>
  <c r="Q155" i="2"/>
  <c r="L155" i="2"/>
  <c r="D155" i="2"/>
  <c r="BK154" i="2"/>
  <c r="BG154" i="2"/>
  <c r="BD154" i="2"/>
  <c r="AQ154" i="2"/>
  <c r="AG154" i="2"/>
  <c r="Y154" i="2"/>
  <c r="Q154" i="2"/>
  <c r="L154" i="2"/>
  <c r="D154" i="2"/>
  <c r="BK153" i="2"/>
  <c r="BG153" i="2"/>
  <c r="BD153" i="2"/>
  <c r="AQ153" i="2"/>
  <c r="AG153" i="2"/>
  <c r="Y153" i="2"/>
  <c r="Q153" i="2"/>
  <c r="L153" i="2"/>
  <c r="D153" i="2"/>
  <c r="BK152" i="2"/>
  <c r="BG152" i="2"/>
  <c r="BD152" i="2"/>
  <c r="AQ152" i="2"/>
  <c r="AG152" i="2"/>
  <c r="Y152" i="2"/>
  <c r="Q152" i="2"/>
  <c r="L152" i="2"/>
  <c r="D152" i="2"/>
  <c r="BK151" i="2"/>
  <c r="BG151" i="2"/>
  <c r="BD151" i="2"/>
  <c r="AQ151" i="2"/>
  <c r="AG151" i="2"/>
  <c r="Y151" i="2"/>
  <c r="Q151" i="2"/>
  <c r="L151" i="2"/>
  <c r="D151" i="2"/>
  <c r="BK150" i="2"/>
  <c r="BG150" i="2"/>
  <c r="BD150" i="2"/>
  <c r="AQ150" i="2"/>
  <c r="AG150" i="2"/>
  <c r="Y150" i="2"/>
  <c r="Q150" i="2"/>
  <c r="L150" i="2"/>
  <c r="D150" i="2"/>
  <c r="BK149" i="2"/>
  <c r="BG149" i="2"/>
  <c r="BD149" i="2"/>
  <c r="AQ149" i="2"/>
  <c r="AG149" i="2"/>
  <c r="Y149" i="2"/>
  <c r="Q149" i="2"/>
  <c r="L149" i="2"/>
  <c r="D149" i="2"/>
  <c r="BK148" i="2"/>
  <c r="BG148" i="2"/>
  <c r="BD148" i="2"/>
  <c r="AQ148" i="2"/>
  <c r="AG148" i="2"/>
  <c r="Y148" i="2"/>
  <c r="Q148" i="2"/>
  <c r="L148" i="2"/>
  <c r="D148" i="2"/>
  <c r="BK147" i="2"/>
  <c r="BG147" i="2"/>
  <c r="BD147" i="2"/>
  <c r="AQ147" i="2"/>
  <c r="AG147" i="2"/>
  <c r="Y147" i="2"/>
  <c r="Q147" i="2"/>
  <c r="L147" i="2"/>
  <c r="D147" i="2"/>
  <c r="BK146" i="2"/>
  <c r="BG146" i="2"/>
  <c r="BD146" i="2"/>
  <c r="AQ146" i="2"/>
  <c r="AG146" i="2"/>
  <c r="Y146" i="2"/>
  <c r="Q146" i="2"/>
  <c r="L146" i="2"/>
  <c r="D146" i="2"/>
  <c r="BK145" i="2"/>
  <c r="BG145" i="2"/>
  <c r="BD145" i="2"/>
  <c r="AQ145" i="2"/>
  <c r="AG145" i="2"/>
  <c r="Y145" i="2"/>
  <c r="Q145" i="2"/>
  <c r="L145" i="2"/>
  <c r="D145" i="2"/>
  <c r="BK144" i="2"/>
  <c r="BG144" i="2"/>
  <c r="BD144" i="2"/>
  <c r="AQ144" i="2"/>
  <c r="AG144" i="2"/>
  <c r="Y144" i="2"/>
  <c r="Q144" i="2"/>
  <c r="L144" i="2"/>
  <c r="D144" i="2"/>
  <c r="BK143" i="2"/>
  <c r="BG143" i="2"/>
  <c r="BD143" i="2"/>
  <c r="AQ143" i="2"/>
  <c r="AG143" i="2"/>
  <c r="Y143" i="2"/>
  <c r="Q143" i="2"/>
  <c r="L143" i="2"/>
  <c r="D143" i="2"/>
  <c r="BK142" i="2"/>
  <c r="BG142" i="2"/>
  <c r="BD142" i="2"/>
  <c r="AQ142" i="2"/>
  <c r="AG142" i="2"/>
  <c r="Y142" i="2"/>
  <c r="Q142" i="2"/>
  <c r="L142" i="2"/>
  <c r="D142" i="2"/>
  <c r="BK141" i="2"/>
  <c r="BG141" i="2"/>
  <c r="BD141" i="2"/>
  <c r="AQ141" i="2"/>
  <c r="AG141" i="2"/>
  <c r="Y141" i="2"/>
  <c r="Q141" i="2"/>
  <c r="L141" i="2"/>
  <c r="D141" i="2"/>
  <c r="BK140" i="2"/>
  <c r="BG140" i="2"/>
  <c r="BD140" i="2"/>
  <c r="AQ140" i="2"/>
  <c r="AG140" i="2"/>
  <c r="Y140" i="2"/>
  <c r="Q140" i="2"/>
  <c r="L140" i="2"/>
  <c r="D140" i="2"/>
  <c r="BK139" i="2"/>
  <c r="BG139" i="2"/>
  <c r="BD139" i="2"/>
  <c r="AQ139" i="2"/>
  <c r="AG139" i="2"/>
  <c r="Y139" i="2"/>
  <c r="Q139" i="2"/>
  <c r="L139" i="2"/>
  <c r="D139" i="2"/>
  <c r="BK138" i="2"/>
  <c r="BG138" i="2"/>
  <c r="BD138" i="2"/>
  <c r="AQ138" i="2"/>
  <c r="AG138" i="2"/>
  <c r="Y138" i="2"/>
  <c r="Q138" i="2"/>
  <c r="L138" i="2"/>
  <c r="D138" i="2"/>
  <c r="BK137" i="2"/>
  <c r="BG137" i="2"/>
  <c r="BD137" i="2"/>
  <c r="AQ137" i="2"/>
  <c r="AG137" i="2"/>
  <c r="Y137" i="2"/>
  <c r="Q137" i="2"/>
  <c r="L137" i="2"/>
  <c r="D137" i="2"/>
  <c r="BK136" i="2"/>
  <c r="BG136" i="2"/>
  <c r="BD136" i="2"/>
  <c r="AQ136" i="2"/>
  <c r="AG136" i="2"/>
  <c r="Y136" i="2"/>
  <c r="Q136" i="2"/>
  <c r="L136" i="2"/>
  <c r="D136" i="2"/>
  <c r="BK135" i="2"/>
  <c r="BG135" i="2"/>
  <c r="BD135" i="2"/>
  <c r="AQ135" i="2"/>
  <c r="AG135" i="2"/>
  <c r="Y135" i="2"/>
  <c r="Q135" i="2"/>
  <c r="L135" i="2"/>
  <c r="D135" i="2"/>
  <c r="BK134" i="2"/>
  <c r="BG134" i="2"/>
  <c r="BD134" i="2"/>
  <c r="AQ134" i="2"/>
  <c r="AG134" i="2"/>
  <c r="Y134" i="2"/>
  <c r="Q134" i="2"/>
  <c r="L134" i="2"/>
  <c r="D134" i="2"/>
  <c r="BK133" i="2"/>
  <c r="BG133" i="2"/>
  <c r="BD133" i="2"/>
  <c r="AQ133" i="2"/>
  <c r="AG133" i="2"/>
  <c r="Y133" i="2"/>
  <c r="Q133" i="2"/>
  <c r="L133" i="2"/>
  <c r="D133" i="2"/>
  <c r="BK132" i="2"/>
  <c r="BG132" i="2"/>
  <c r="BD132" i="2"/>
  <c r="AQ132" i="2"/>
  <c r="AG132" i="2"/>
  <c r="Y132" i="2"/>
  <c r="Q132" i="2"/>
  <c r="L132" i="2"/>
  <c r="D132" i="2"/>
  <c r="BK131" i="2"/>
  <c r="BG131" i="2"/>
  <c r="BD131" i="2"/>
  <c r="AQ131" i="2"/>
  <c r="AG131" i="2"/>
  <c r="Y131" i="2"/>
  <c r="Q131" i="2"/>
  <c r="L131" i="2"/>
  <c r="D131" i="2"/>
  <c r="BK130" i="2"/>
  <c r="BG130" i="2"/>
  <c r="BD130" i="2"/>
  <c r="AQ130" i="2"/>
  <c r="AG130" i="2"/>
  <c r="Y130" i="2"/>
  <c r="Q130" i="2"/>
  <c r="L130" i="2"/>
  <c r="D130" i="2"/>
  <c r="BK129" i="2"/>
  <c r="BG129" i="2"/>
  <c r="BD129" i="2"/>
  <c r="AQ129" i="2"/>
  <c r="AG129" i="2"/>
  <c r="Y129" i="2"/>
  <c r="Q129" i="2"/>
  <c r="L129" i="2"/>
  <c r="D129" i="2"/>
  <c r="BK128" i="2"/>
  <c r="BG128" i="2"/>
  <c r="BD128" i="2"/>
  <c r="AQ128" i="2"/>
  <c r="AG128" i="2"/>
  <c r="Y128" i="2"/>
  <c r="Q128" i="2"/>
  <c r="L128" i="2"/>
  <c r="D128" i="2"/>
  <c r="BK127" i="2"/>
  <c r="BG127" i="2"/>
  <c r="BD127" i="2"/>
  <c r="AQ127" i="2"/>
  <c r="AG127" i="2"/>
  <c r="Y127" i="2"/>
  <c r="Q127" i="2"/>
  <c r="L127" i="2"/>
  <c r="D127" i="2"/>
  <c r="BK126" i="2"/>
  <c r="BG126" i="2"/>
  <c r="BD126" i="2"/>
  <c r="AQ126" i="2"/>
  <c r="AG126" i="2"/>
  <c r="Y126" i="2"/>
  <c r="Q126" i="2"/>
  <c r="L126" i="2"/>
  <c r="D126" i="2"/>
  <c r="BK125" i="2"/>
  <c r="BG125" i="2"/>
  <c r="BD125" i="2"/>
  <c r="AQ125" i="2"/>
  <c r="AG125" i="2"/>
  <c r="Y125" i="2"/>
  <c r="Q125" i="2"/>
  <c r="L125" i="2"/>
  <c r="D125" i="2"/>
  <c r="BK124" i="2"/>
  <c r="BG124" i="2"/>
  <c r="BD124" i="2"/>
  <c r="AQ124" i="2"/>
  <c r="AG124" i="2"/>
  <c r="Y124" i="2"/>
  <c r="Q124" i="2"/>
  <c r="L124" i="2"/>
  <c r="D124" i="2"/>
  <c r="BK123" i="2"/>
  <c r="BG123" i="2"/>
  <c r="BD123" i="2"/>
  <c r="AQ123" i="2"/>
  <c r="AG123" i="2"/>
  <c r="Y123" i="2"/>
  <c r="Q123" i="2"/>
  <c r="L123" i="2"/>
  <c r="D123" i="2"/>
  <c r="BK122" i="2"/>
  <c r="BG122" i="2"/>
  <c r="BD122" i="2"/>
  <c r="AQ122" i="2"/>
  <c r="AG122" i="2"/>
  <c r="Y122" i="2"/>
  <c r="Q122" i="2"/>
  <c r="L122" i="2"/>
  <c r="D122" i="2"/>
  <c r="BK121" i="2"/>
  <c r="BG121" i="2"/>
  <c r="BD121" i="2"/>
  <c r="AQ121" i="2"/>
  <c r="AG121" i="2"/>
  <c r="Y121" i="2"/>
  <c r="Q121" i="2"/>
  <c r="L121" i="2"/>
  <c r="D121" i="2"/>
  <c r="BK120" i="2"/>
  <c r="BG120" i="2"/>
  <c r="BD120" i="2"/>
  <c r="AQ120" i="2"/>
  <c r="AG120" i="2"/>
  <c r="Y120" i="2"/>
  <c r="Q120" i="2"/>
  <c r="L120" i="2"/>
  <c r="D120" i="2"/>
  <c r="BK119" i="2"/>
  <c r="BG119" i="2"/>
  <c r="BD119" i="2"/>
  <c r="AQ119" i="2"/>
  <c r="AG119" i="2"/>
  <c r="Y119" i="2"/>
  <c r="Q119" i="2"/>
  <c r="L119" i="2"/>
  <c r="D119" i="2"/>
  <c r="BK118" i="2"/>
  <c r="BG118" i="2"/>
  <c r="BD118" i="2"/>
  <c r="AQ118" i="2"/>
  <c r="AG118" i="2"/>
  <c r="Y118" i="2"/>
  <c r="Q118" i="2"/>
  <c r="L118" i="2"/>
  <c r="D118" i="2"/>
  <c r="BK117" i="2"/>
  <c r="BG117" i="2"/>
  <c r="BD117" i="2"/>
  <c r="AQ117" i="2"/>
  <c r="AG117" i="2"/>
  <c r="Y117" i="2"/>
  <c r="Q117" i="2"/>
  <c r="L117" i="2"/>
  <c r="D117" i="2"/>
  <c r="BK116" i="2"/>
  <c r="BG116" i="2"/>
  <c r="BD116" i="2"/>
  <c r="AQ116" i="2"/>
  <c r="AG116" i="2"/>
  <c r="Y116" i="2"/>
  <c r="Q116" i="2"/>
  <c r="L116" i="2"/>
  <c r="D116" i="2"/>
  <c r="BK115" i="2"/>
  <c r="BG115" i="2"/>
  <c r="BD115" i="2"/>
  <c r="AQ115" i="2"/>
  <c r="AG115" i="2"/>
  <c r="Y115" i="2"/>
  <c r="Q115" i="2"/>
  <c r="L115" i="2"/>
  <c r="D115" i="2"/>
  <c r="BK114" i="2"/>
  <c r="BG114" i="2"/>
  <c r="BD114" i="2"/>
  <c r="AQ114" i="2"/>
  <c r="AG114" i="2"/>
  <c r="Y114" i="2"/>
  <c r="Q114" i="2"/>
  <c r="L114" i="2"/>
  <c r="D114" i="2"/>
  <c r="BK113" i="2"/>
  <c r="BG113" i="2"/>
  <c r="BD113" i="2"/>
  <c r="AQ113" i="2"/>
  <c r="AG113" i="2"/>
  <c r="Y113" i="2"/>
  <c r="Q113" i="2"/>
  <c r="L113" i="2"/>
  <c r="D113" i="2"/>
  <c r="BK112" i="2"/>
  <c r="BG112" i="2"/>
  <c r="BD112" i="2"/>
  <c r="AQ112" i="2"/>
  <c r="AG112" i="2"/>
  <c r="Y112" i="2"/>
  <c r="Q112" i="2"/>
  <c r="L112" i="2"/>
  <c r="D112" i="2"/>
  <c r="BK111" i="2"/>
  <c r="BG111" i="2"/>
  <c r="BD111" i="2"/>
  <c r="AQ111" i="2"/>
  <c r="AG111" i="2"/>
  <c r="Y111" i="2"/>
  <c r="Q111" i="2"/>
  <c r="L111" i="2"/>
  <c r="D111" i="2"/>
  <c r="BK110" i="2"/>
  <c r="BG110" i="2"/>
  <c r="BD110" i="2"/>
  <c r="AQ110" i="2"/>
  <c r="AG110" i="2"/>
  <c r="Y110" i="2"/>
  <c r="Q110" i="2"/>
  <c r="L110" i="2"/>
  <c r="D110" i="2"/>
  <c r="BK109" i="2"/>
  <c r="BG109" i="2"/>
  <c r="BD109" i="2"/>
  <c r="AQ109" i="2"/>
  <c r="AG109" i="2"/>
  <c r="Y109" i="2"/>
  <c r="Q109" i="2"/>
  <c r="L109" i="2"/>
  <c r="D109" i="2"/>
  <c r="BK108" i="2"/>
  <c r="BG108" i="2"/>
  <c r="BD108" i="2"/>
  <c r="AQ108" i="2"/>
  <c r="AG108" i="2"/>
  <c r="Y108" i="2"/>
  <c r="Q108" i="2"/>
  <c r="L108" i="2"/>
  <c r="D108" i="2"/>
  <c r="BK107" i="2"/>
  <c r="BG107" i="2"/>
  <c r="BD107" i="2"/>
  <c r="AQ107" i="2"/>
  <c r="AG107" i="2"/>
  <c r="Y107" i="2"/>
  <c r="Q107" i="2"/>
  <c r="L107" i="2"/>
  <c r="D107" i="2"/>
  <c r="BK106" i="2"/>
  <c r="BG106" i="2"/>
  <c r="BD106" i="2"/>
  <c r="AQ106" i="2"/>
  <c r="AG106" i="2"/>
  <c r="Y106" i="2"/>
  <c r="Q106" i="2"/>
  <c r="L106" i="2"/>
  <c r="D106" i="2"/>
  <c r="BK105" i="2"/>
  <c r="BG105" i="2"/>
  <c r="BD105" i="2"/>
  <c r="AQ105" i="2"/>
  <c r="AG105" i="2"/>
  <c r="Y105" i="2"/>
  <c r="Q105" i="2"/>
  <c r="L105" i="2"/>
  <c r="D105" i="2"/>
  <c r="BK104" i="2"/>
  <c r="BG104" i="2"/>
  <c r="BD104" i="2"/>
  <c r="AQ104" i="2"/>
  <c r="AG104" i="2"/>
  <c r="Y104" i="2"/>
  <c r="Q104" i="2"/>
  <c r="L104" i="2"/>
  <c r="D104" i="2"/>
  <c r="BK103" i="2"/>
  <c r="BG103" i="2"/>
  <c r="BD103" i="2"/>
  <c r="AQ103" i="2"/>
  <c r="AG103" i="2"/>
  <c r="Y103" i="2"/>
  <c r="Q103" i="2"/>
  <c r="L103" i="2"/>
  <c r="D103" i="2"/>
  <c r="BK102" i="2"/>
  <c r="BG102" i="2"/>
  <c r="BD102" i="2"/>
  <c r="AQ102" i="2"/>
  <c r="AG102" i="2"/>
  <c r="Y102" i="2"/>
  <c r="Q102" i="2"/>
  <c r="L102" i="2"/>
  <c r="D102" i="2"/>
  <c r="BK101" i="2"/>
  <c r="BG101" i="2"/>
  <c r="BD101" i="2"/>
  <c r="AQ101" i="2"/>
  <c r="AG101" i="2"/>
  <c r="Y101" i="2"/>
  <c r="Q101" i="2"/>
  <c r="L101" i="2"/>
  <c r="D101" i="2"/>
  <c r="BK100" i="2"/>
  <c r="BG100" i="2"/>
  <c r="BD100" i="2"/>
  <c r="AQ100" i="2"/>
  <c r="AG100" i="2"/>
  <c r="Y100" i="2"/>
  <c r="Q100" i="2"/>
  <c r="L100" i="2"/>
  <c r="D100" i="2"/>
  <c r="BK99" i="2"/>
  <c r="BG99" i="2"/>
  <c r="BD99" i="2"/>
  <c r="AQ99" i="2"/>
  <c r="AG99" i="2"/>
  <c r="Y99" i="2"/>
  <c r="Q99" i="2"/>
  <c r="L99" i="2"/>
  <c r="D99" i="2"/>
  <c r="BK98" i="2"/>
  <c r="BG98" i="2"/>
  <c r="BD98" i="2"/>
  <c r="AQ98" i="2"/>
  <c r="AG98" i="2"/>
  <c r="Y98" i="2"/>
  <c r="Q98" i="2"/>
  <c r="L98" i="2"/>
  <c r="D98" i="2"/>
  <c r="BK97" i="2"/>
  <c r="BG97" i="2"/>
  <c r="BD97" i="2"/>
  <c r="AQ97" i="2"/>
  <c r="AG97" i="2"/>
  <c r="Y97" i="2"/>
  <c r="Q97" i="2"/>
  <c r="L97" i="2"/>
  <c r="D97" i="2"/>
  <c r="BK96" i="2"/>
  <c r="BG96" i="2"/>
  <c r="BD96" i="2"/>
  <c r="AQ96" i="2"/>
  <c r="AG96" i="2"/>
  <c r="Y96" i="2"/>
  <c r="Q96" i="2"/>
  <c r="L96" i="2"/>
  <c r="D96" i="2"/>
  <c r="BK95" i="2"/>
  <c r="BG95" i="2"/>
  <c r="BD95" i="2"/>
  <c r="AQ95" i="2"/>
  <c r="AG95" i="2"/>
  <c r="Y95" i="2"/>
  <c r="Q95" i="2"/>
  <c r="L95" i="2"/>
  <c r="D95" i="2"/>
  <c r="BK94" i="2"/>
  <c r="BG94" i="2"/>
  <c r="BD94" i="2"/>
  <c r="AQ94" i="2"/>
  <c r="AG94" i="2"/>
  <c r="Y94" i="2"/>
  <c r="Q94" i="2"/>
  <c r="L94" i="2"/>
  <c r="D94" i="2"/>
  <c r="BK93" i="2"/>
  <c r="BG93" i="2"/>
  <c r="BD93" i="2"/>
  <c r="AQ93" i="2"/>
  <c r="AG93" i="2"/>
  <c r="Y93" i="2"/>
  <c r="Q93" i="2"/>
  <c r="L93" i="2"/>
  <c r="D93" i="2"/>
  <c r="BK92" i="2"/>
  <c r="BG92" i="2"/>
  <c r="BD92" i="2"/>
  <c r="AQ92" i="2"/>
  <c r="AG92" i="2"/>
  <c r="Y92" i="2"/>
  <c r="Q92" i="2"/>
  <c r="L92" i="2"/>
  <c r="D92" i="2"/>
  <c r="BK91" i="2"/>
  <c r="BG91" i="2"/>
  <c r="BD91" i="2"/>
  <c r="AQ91" i="2"/>
  <c r="AG91" i="2"/>
  <c r="Y91" i="2"/>
  <c r="Q91" i="2"/>
  <c r="L91" i="2"/>
  <c r="D91" i="2"/>
  <c r="BK90" i="2"/>
  <c r="BG90" i="2"/>
  <c r="BD90" i="2"/>
  <c r="AQ90" i="2"/>
  <c r="AG90" i="2"/>
  <c r="Y90" i="2"/>
  <c r="Q90" i="2"/>
  <c r="L90" i="2"/>
  <c r="D90" i="2"/>
  <c r="BK89" i="2"/>
  <c r="BG89" i="2"/>
  <c r="BD89" i="2"/>
  <c r="AQ89" i="2"/>
  <c r="AG89" i="2"/>
  <c r="Y89" i="2"/>
  <c r="Q89" i="2"/>
  <c r="L89" i="2"/>
  <c r="D89" i="2"/>
  <c r="BK88" i="2"/>
  <c r="BG88" i="2"/>
  <c r="BD88" i="2"/>
  <c r="AQ88" i="2"/>
  <c r="AG88" i="2"/>
  <c r="Y88" i="2"/>
  <c r="Q88" i="2"/>
  <c r="L88" i="2"/>
  <c r="D88" i="2"/>
  <c r="BK87" i="2"/>
  <c r="BG87" i="2"/>
  <c r="BD87" i="2"/>
  <c r="AQ87" i="2"/>
  <c r="AG87" i="2"/>
  <c r="Y87" i="2"/>
  <c r="Q87" i="2"/>
  <c r="L87" i="2"/>
  <c r="D87" i="2"/>
  <c r="BK86" i="2"/>
  <c r="BG86" i="2"/>
  <c r="BD86" i="2"/>
  <c r="AQ86" i="2"/>
  <c r="AG86" i="2"/>
  <c r="Y86" i="2"/>
  <c r="Q86" i="2"/>
  <c r="L86" i="2"/>
  <c r="D86" i="2"/>
  <c r="BK85" i="2"/>
  <c r="BG85" i="2"/>
  <c r="BD85" i="2"/>
  <c r="AQ85" i="2"/>
  <c r="AG85" i="2"/>
  <c r="Y85" i="2"/>
  <c r="Q85" i="2"/>
  <c r="L85" i="2"/>
  <c r="D85" i="2"/>
  <c r="BK84" i="2"/>
  <c r="BG84" i="2"/>
  <c r="BD84" i="2"/>
  <c r="AQ84" i="2"/>
  <c r="AG84" i="2"/>
  <c r="Y84" i="2"/>
  <c r="Q84" i="2"/>
  <c r="L84" i="2"/>
  <c r="D84" i="2"/>
  <c r="BK83" i="2"/>
  <c r="BG83" i="2"/>
  <c r="BD83" i="2"/>
  <c r="AQ83" i="2"/>
  <c r="AG83" i="2"/>
  <c r="Y83" i="2"/>
  <c r="Q83" i="2"/>
  <c r="L83" i="2"/>
  <c r="D83" i="2"/>
  <c r="BK82" i="2"/>
  <c r="BG82" i="2"/>
  <c r="BD82" i="2"/>
  <c r="AQ82" i="2"/>
  <c r="AG82" i="2"/>
  <c r="Y82" i="2"/>
  <c r="Q82" i="2"/>
  <c r="L82" i="2"/>
  <c r="D82" i="2"/>
  <c r="BK81" i="2"/>
  <c r="BG81" i="2"/>
  <c r="BD81" i="2"/>
  <c r="AQ81" i="2"/>
  <c r="AG81" i="2"/>
  <c r="Y81" i="2"/>
  <c r="Q81" i="2"/>
  <c r="L81" i="2"/>
  <c r="D81" i="2"/>
  <c r="BK80" i="2"/>
  <c r="BG80" i="2"/>
  <c r="BD80" i="2"/>
  <c r="AQ80" i="2"/>
  <c r="AG80" i="2"/>
  <c r="Y80" i="2"/>
  <c r="Q80" i="2"/>
  <c r="L80" i="2"/>
  <c r="D80" i="2"/>
  <c r="BK79" i="2"/>
  <c r="BG79" i="2"/>
  <c r="BD79" i="2"/>
  <c r="AQ79" i="2"/>
  <c r="AG79" i="2"/>
  <c r="Y79" i="2"/>
  <c r="Q79" i="2"/>
  <c r="L79" i="2"/>
  <c r="D79" i="2"/>
  <c r="BK78" i="2"/>
  <c r="BG78" i="2"/>
  <c r="BD78" i="2"/>
  <c r="AQ78" i="2"/>
  <c r="AG78" i="2"/>
  <c r="Y78" i="2"/>
  <c r="Q78" i="2"/>
  <c r="L78" i="2"/>
  <c r="D78" i="2"/>
  <c r="BK77" i="2"/>
  <c r="BG77" i="2"/>
  <c r="BD77" i="2"/>
  <c r="AQ77" i="2"/>
  <c r="AG77" i="2"/>
  <c r="Y77" i="2"/>
  <c r="Q77" i="2"/>
  <c r="L77" i="2"/>
  <c r="D77" i="2"/>
  <c r="BK76" i="2"/>
  <c r="BG76" i="2"/>
  <c r="BD76" i="2"/>
  <c r="AQ76" i="2"/>
  <c r="AG76" i="2"/>
  <c r="Y76" i="2"/>
  <c r="Q76" i="2"/>
  <c r="L76" i="2"/>
  <c r="D76" i="2"/>
  <c r="BK75" i="2"/>
  <c r="BG75" i="2"/>
  <c r="BD75" i="2"/>
  <c r="AQ75" i="2"/>
  <c r="AG75" i="2"/>
  <c r="Y75" i="2"/>
  <c r="Q75" i="2"/>
  <c r="L75" i="2"/>
  <c r="D75" i="2"/>
  <c r="BK74" i="2"/>
  <c r="BG74" i="2"/>
  <c r="BD74" i="2"/>
  <c r="AQ74" i="2"/>
  <c r="AG74" i="2"/>
  <c r="Y74" i="2"/>
  <c r="Q74" i="2"/>
  <c r="L74" i="2"/>
  <c r="D74" i="2"/>
  <c r="BK73" i="2"/>
  <c r="BG73" i="2"/>
  <c r="BD73" i="2"/>
  <c r="AQ73" i="2"/>
  <c r="AG73" i="2"/>
  <c r="Y73" i="2"/>
  <c r="Q73" i="2"/>
  <c r="L73" i="2"/>
  <c r="D73" i="2"/>
  <c r="BK72" i="2"/>
  <c r="BG72" i="2"/>
  <c r="BD72" i="2"/>
  <c r="AQ72" i="2"/>
  <c r="AG72" i="2"/>
  <c r="Y72" i="2"/>
  <c r="Q72" i="2"/>
  <c r="L72" i="2"/>
  <c r="D72" i="2"/>
  <c r="BK71" i="2"/>
  <c r="BG71" i="2"/>
  <c r="BD71" i="2"/>
  <c r="AQ71" i="2"/>
  <c r="AG71" i="2"/>
  <c r="Y71" i="2"/>
  <c r="Q71" i="2"/>
  <c r="L71" i="2"/>
  <c r="D71" i="2"/>
  <c r="BK70" i="2"/>
  <c r="BG70" i="2"/>
  <c r="BD70" i="2"/>
  <c r="AQ70" i="2"/>
  <c r="AG70" i="2"/>
  <c r="Y70" i="2"/>
  <c r="Q70" i="2"/>
  <c r="L70" i="2"/>
  <c r="D70" i="2"/>
  <c r="BK69" i="2"/>
  <c r="BG69" i="2"/>
  <c r="BD69" i="2"/>
  <c r="AQ69" i="2"/>
  <c r="AG69" i="2"/>
  <c r="Y69" i="2"/>
  <c r="Q69" i="2"/>
  <c r="L69" i="2"/>
  <c r="D69" i="2"/>
  <c r="BK68" i="2"/>
  <c r="BG68" i="2"/>
  <c r="BD68" i="2"/>
  <c r="AQ68" i="2"/>
  <c r="AG68" i="2"/>
  <c r="Y68" i="2"/>
  <c r="Q68" i="2"/>
  <c r="L68" i="2"/>
  <c r="D68" i="2"/>
  <c r="BK67" i="2"/>
  <c r="BG67" i="2"/>
  <c r="BD67" i="2"/>
  <c r="AQ67" i="2"/>
  <c r="AG67" i="2"/>
  <c r="Y67" i="2"/>
  <c r="Q67" i="2"/>
  <c r="L67" i="2"/>
  <c r="D67" i="2"/>
  <c r="BK66" i="2"/>
  <c r="BG66" i="2"/>
  <c r="BD66" i="2"/>
  <c r="AQ66" i="2"/>
  <c r="AG66" i="2"/>
  <c r="Y66" i="2"/>
  <c r="Q66" i="2"/>
  <c r="L66" i="2"/>
  <c r="D66" i="2"/>
  <c r="BK65" i="2"/>
  <c r="BG65" i="2"/>
  <c r="BD65" i="2"/>
  <c r="AQ65" i="2"/>
  <c r="AG65" i="2"/>
  <c r="Y65" i="2"/>
  <c r="Q65" i="2"/>
  <c r="L65" i="2"/>
  <c r="D65" i="2"/>
  <c r="BK64" i="2"/>
  <c r="BG64" i="2"/>
  <c r="BD64" i="2"/>
  <c r="AQ64" i="2"/>
  <c r="AG64" i="2"/>
  <c r="Y64" i="2"/>
  <c r="Q64" i="2"/>
  <c r="L64" i="2"/>
  <c r="D64" i="2"/>
  <c r="BK63" i="2"/>
  <c r="BG63" i="2"/>
  <c r="BD63" i="2"/>
  <c r="AQ63" i="2"/>
  <c r="AG63" i="2"/>
  <c r="Y63" i="2"/>
  <c r="Q63" i="2"/>
  <c r="L63" i="2"/>
  <c r="D63" i="2"/>
  <c r="BK62" i="2"/>
  <c r="BG62" i="2"/>
  <c r="BD62" i="2"/>
  <c r="AQ62" i="2"/>
  <c r="AG62" i="2"/>
  <c r="Y62" i="2"/>
  <c r="Q62" i="2"/>
  <c r="L62" i="2"/>
  <c r="D62" i="2"/>
  <c r="BK61" i="2"/>
  <c r="BG61" i="2"/>
  <c r="BD61" i="2"/>
  <c r="AQ61" i="2"/>
  <c r="AG61" i="2"/>
  <c r="Y61" i="2"/>
  <c r="Q61" i="2"/>
  <c r="L61" i="2"/>
  <c r="D61" i="2"/>
  <c r="BK60" i="2"/>
  <c r="BG60" i="2"/>
  <c r="BD60" i="2"/>
  <c r="AQ60" i="2"/>
  <c r="AG60" i="2"/>
  <c r="Y60" i="2"/>
  <c r="Q60" i="2"/>
  <c r="L60" i="2"/>
  <c r="D60" i="2"/>
  <c r="BK59" i="2"/>
  <c r="BG59" i="2"/>
  <c r="BD59" i="2"/>
  <c r="AQ59" i="2"/>
  <c r="AG59" i="2"/>
  <c r="Y59" i="2"/>
  <c r="Q59" i="2"/>
  <c r="L59" i="2"/>
  <c r="D59" i="2"/>
  <c r="BK58" i="2"/>
  <c r="BG58" i="2"/>
  <c r="BD58" i="2"/>
  <c r="AQ58" i="2"/>
  <c r="AG58" i="2"/>
  <c r="Y58" i="2"/>
  <c r="Q58" i="2"/>
  <c r="L58" i="2"/>
  <c r="D58" i="2"/>
  <c r="BK57" i="2"/>
  <c r="BG57" i="2"/>
  <c r="BD57" i="2"/>
  <c r="AQ57" i="2"/>
  <c r="AG57" i="2"/>
  <c r="Y57" i="2"/>
  <c r="Q57" i="2"/>
  <c r="L57" i="2"/>
  <c r="D57" i="2"/>
  <c r="BK56" i="2"/>
  <c r="BG56" i="2"/>
  <c r="BD56" i="2"/>
  <c r="AQ56" i="2"/>
  <c r="AG56" i="2"/>
  <c r="Y56" i="2"/>
  <c r="Q56" i="2"/>
  <c r="L56" i="2"/>
  <c r="D56" i="2"/>
  <c r="BK55" i="2"/>
  <c r="BG55" i="2"/>
  <c r="BD55" i="2"/>
  <c r="AQ55" i="2"/>
  <c r="AG55" i="2"/>
  <c r="Y55" i="2"/>
  <c r="Q55" i="2"/>
  <c r="L55" i="2"/>
  <c r="D55" i="2"/>
  <c r="BK54" i="2"/>
  <c r="BG54" i="2"/>
  <c r="BD54" i="2"/>
  <c r="AQ54" i="2"/>
  <c r="AG54" i="2"/>
  <c r="Y54" i="2"/>
  <c r="Q54" i="2"/>
  <c r="L54" i="2"/>
  <c r="D54" i="2"/>
  <c r="BK53" i="2"/>
  <c r="BG53" i="2"/>
  <c r="BD53" i="2"/>
  <c r="AQ53" i="2"/>
  <c r="AG53" i="2"/>
  <c r="Y53" i="2"/>
  <c r="Q53" i="2"/>
  <c r="L53" i="2"/>
  <c r="D53" i="2"/>
  <c r="BK52" i="2"/>
  <c r="BG52" i="2"/>
  <c r="BD52" i="2"/>
  <c r="AQ52" i="2"/>
  <c r="AG52" i="2"/>
  <c r="Y52" i="2"/>
  <c r="Q52" i="2"/>
  <c r="L52" i="2"/>
  <c r="D52" i="2"/>
  <c r="BK51" i="2"/>
  <c r="BG51" i="2"/>
  <c r="BD51" i="2"/>
  <c r="AQ51" i="2"/>
  <c r="AG51" i="2"/>
  <c r="Y51" i="2"/>
  <c r="Q51" i="2"/>
  <c r="L51" i="2"/>
  <c r="D51" i="2"/>
  <c r="BK50" i="2"/>
  <c r="BG50" i="2"/>
  <c r="BD50" i="2"/>
  <c r="AQ50" i="2"/>
  <c r="AG50" i="2"/>
  <c r="Y50" i="2"/>
  <c r="Q50" i="2"/>
  <c r="L50" i="2"/>
  <c r="D50" i="2"/>
  <c r="BK49" i="2"/>
  <c r="BG49" i="2"/>
  <c r="BD49" i="2"/>
  <c r="AQ49" i="2"/>
  <c r="AG49" i="2"/>
  <c r="Y49" i="2"/>
  <c r="Q49" i="2"/>
  <c r="L49" i="2"/>
  <c r="D49" i="2"/>
  <c r="BK48" i="2"/>
  <c r="BG48" i="2"/>
  <c r="BD48" i="2"/>
  <c r="AQ48" i="2"/>
  <c r="AG48" i="2"/>
  <c r="Y48" i="2"/>
  <c r="Q48" i="2"/>
  <c r="L48" i="2"/>
  <c r="D48" i="2"/>
  <c r="BK47" i="2"/>
  <c r="BG47" i="2"/>
  <c r="BD47" i="2"/>
  <c r="AQ47" i="2"/>
  <c r="AG47" i="2"/>
  <c r="Y47" i="2"/>
  <c r="Q47" i="2"/>
  <c r="L47" i="2"/>
  <c r="D47" i="2"/>
  <c r="BK46" i="2"/>
  <c r="BG46" i="2"/>
  <c r="BD46" i="2"/>
  <c r="AQ46" i="2"/>
  <c r="AG46" i="2"/>
  <c r="Y46" i="2"/>
  <c r="Q46" i="2"/>
  <c r="L46" i="2"/>
  <c r="D46" i="2"/>
  <c r="BK45" i="2"/>
  <c r="BG45" i="2"/>
  <c r="BD45" i="2"/>
  <c r="AQ45" i="2"/>
  <c r="AG45" i="2"/>
  <c r="Y45" i="2"/>
  <c r="Q45" i="2"/>
  <c r="L45" i="2"/>
  <c r="D45" i="2"/>
  <c r="BK44" i="2"/>
  <c r="BG44" i="2"/>
  <c r="BD44" i="2"/>
  <c r="AQ44" i="2"/>
  <c r="AG44" i="2"/>
  <c r="Y44" i="2"/>
  <c r="Q44" i="2"/>
  <c r="L44" i="2"/>
  <c r="D44" i="2"/>
  <c r="BK43" i="2"/>
  <c r="BG43" i="2"/>
  <c r="BD43" i="2"/>
  <c r="AQ43" i="2"/>
  <c r="AG43" i="2"/>
  <c r="Y43" i="2"/>
  <c r="Q43" i="2"/>
  <c r="L43" i="2"/>
  <c r="D43" i="2"/>
  <c r="BK42" i="2"/>
  <c r="BG42" i="2"/>
  <c r="BD42" i="2"/>
  <c r="AQ42" i="2"/>
  <c r="AG42" i="2"/>
  <c r="Y42" i="2"/>
  <c r="Q42" i="2"/>
  <c r="L42" i="2"/>
  <c r="D42" i="2"/>
  <c r="BK41" i="2"/>
  <c r="BG41" i="2"/>
  <c r="BD41" i="2"/>
  <c r="AQ41" i="2"/>
  <c r="AG41" i="2"/>
  <c r="Y41" i="2"/>
  <c r="Q41" i="2"/>
  <c r="L41" i="2"/>
  <c r="D41" i="2"/>
  <c r="BK40" i="2"/>
  <c r="BG40" i="2"/>
  <c r="BD40" i="2"/>
  <c r="AQ40" i="2"/>
  <c r="AG40" i="2"/>
  <c r="Y40" i="2"/>
  <c r="Q40" i="2"/>
  <c r="L40" i="2"/>
  <c r="D40" i="2"/>
  <c r="BK39" i="2"/>
  <c r="BG39" i="2"/>
  <c r="BD39" i="2"/>
  <c r="AQ39" i="2"/>
  <c r="AG39" i="2"/>
  <c r="Y39" i="2"/>
  <c r="Q39" i="2"/>
  <c r="L39" i="2"/>
  <c r="D39" i="2"/>
  <c r="BK38" i="2"/>
  <c r="BG38" i="2"/>
  <c r="BD38" i="2"/>
  <c r="AQ38" i="2"/>
  <c r="AG38" i="2"/>
  <c r="Y38" i="2"/>
  <c r="Q38" i="2"/>
  <c r="L38" i="2"/>
  <c r="D38" i="2"/>
  <c r="BK37" i="2"/>
  <c r="BG37" i="2"/>
  <c r="BD37" i="2"/>
  <c r="AQ37" i="2"/>
  <c r="AG37" i="2"/>
  <c r="Y37" i="2"/>
  <c r="Q37" i="2"/>
  <c r="L37" i="2"/>
  <c r="D37" i="2"/>
  <c r="BK36" i="2"/>
  <c r="BG36" i="2"/>
  <c r="BD36" i="2"/>
  <c r="AQ36" i="2"/>
  <c r="AG36" i="2"/>
  <c r="Y36" i="2"/>
  <c r="Q36" i="2"/>
  <c r="L36" i="2"/>
  <c r="D36" i="2"/>
  <c r="BK35" i="2"/>
  <c r="BG35" i="2"/>
  <c r="BD35" i="2"/>
  <c r="AQ35" i="2"/>
  <c r="AG35" i="2"/>
  <c r="Y35" i="2"/>
  <c r="Q35" i="2"/>
  <c r="L35" i="2"/>
  <c r="D35" i="2"/>
  <c r="BK34" i="2"/>
  <c r="BG34" i="2"/>
  <c r="BD34" i="2"/>
  <c r="AQ34" i="2"/>
  <c r="AG34" i="2"/>
  <c r="Y34" i="2"/>
  <c r="Q34" i="2"/>
  <c r="L34" i="2"/>
  <c r="D34" i="2"/>
  <c r="BK33" i="2"/>
  <c r="BG33" i="2"/>
  <c r="BD33" i="2"/>
  <c r="AQ33" i="2"/>
  <c r="AG33" i="2"/>
  <c r="Y33" i="2"/>
  <c r="Q33" i="2"/>
  <c r="L33" i="2"/>
  <c r="D33" i="2"/>
  <c r="BK32" i="2"/>
  <c r="BG32" i="2"/>
  <c r="BD32" i="2"/>
  <c r="AQ32" i="2"/>
  <c r="AG32" i="2"/>
  <c r="Y32" i="2"/>
  <c r="Q32" i="2"/>
  <c r="L32" i="2"/>
  <c r="D32" i="2"/>
  <c r="BK31" i="2"/>
  <c r="BG31" i="2"/>
  <c r="BD31" i="2"/>
  <c r="AQ31" i="2"/>
  <c r="AG31" i="2"/>
  <c r="Y31" i="2"/>
  <c r="Q31" i="2"/>
  <c r="L31" i="2"/>
  <c r="D31" i="2"/>
  <c r="BK30" i="2"/>
  <c r="BG30" i="2"/>
  <c r="BD30" i="2"/>
  <c r="AQ30" i="2"/>
  <c r="AG30" i="2"/>
  <c r="Y30" i="2"/>
  <c r="Q30" i="2"/>
  <c r="L30" i="2"/>
  <c r="D30" i="2"/>
  <c r="BK29" i="2"/>
  <c r="BG29" i="2"/>
  <c r="BD29" i="2"/>
  <c r="AQ29" i="2"/>
  <c r="AG29" i="2"/>
  <c r="Y29" i="2"/>
  <c r="Q29" i="2"/>
  <c r="L29" i="2"/>
  <c r="D29" i="2"/>
  <c r="BK28" i="2"/>
  <c r="BG28" i="2"/>
  <c r="BD28" i="2"/>
  <c r="AQ28" i="2"/>
  <c r="AG28" i="2"/>
  <c r="Y28" i="2"/>
  <c r="Q28" i="2"/>
  <c r="L28" i="2"/>
  <c r="D28" i="2"/>
  <c r="BK27" i="2"/>
  <c r="BG27" i="2"/>
  <c r="BD27" i="2"/>
  <c r="AQ27" i="2"/>
  <c r="AG27" i="2"/>
  <c r="Y27" i="2"/>
  <c r="Q27" i="2"/>
  <c r="L27" i="2"/>
  <c r="D27" i="2"/>
  <c r="BK26" i="2"/>
  <c r="BG26" i="2"/>
  <c r="BD26" i="2"/>
  <c r="AQ26" i="2"/>
  <c r="AG26" i="2"/>
  <c r="Y26" i="2"/>
  <c r="Q26" i="2"/>
  <c r="L26" i="2"/>
  <c r="D26" i="2"/>
  <c r="BK25" i="2"/>
  <c r="BG25" i="2"/>
  <c r="BD25" i="2"/>
  <c r="AQ25" i="2"/>
  <c r="AG25" i="2"/>
  <c r="Y25" i="2"/>
  <c r="Q25" i="2"/>
  <c r="L25" i="2"/>
  <c r="D25" i="2"/>
  <c r="BK24" i="2"/>
  <c r="BG24" i="2"/>
  <c r="BD24" i="2"/>
  <c r="AQ24" i="2"/>
  <c r="AG24" i="2"/>
  <c r="Y24" i="2"/>
  <c r="Q24" i="2"/>
  <c r="L24" i="2"/>
  <c r="D24" i="2"/>
  <c r="BK23" i="2"/>
  <c r="BG23" i="2"/>
  <c r="BD23" i="2"/>
  <c r="AQ23" i="2"/>
  <c r="AG23" i="2"/>
  <c r="Y23" i="2"/>
  <c r="Q23" i="2"/>
  <c r="L23" i="2"/>
  <c r="D23" i="2"/>
  <c r="BK22" i="2"/>
  <c r="BG22" i="2"/>
  <c r="BD22" i="2"/>
  <c r="AQ22" i="2"/>
  <c r="AG22" i="2"/>
  <c r="Y22" i="2"/>
  <c r="Q22" i="2"/>
  <c r="L22" i="2"/>
  <c r="D22" i="2"/>
  <c r="BK21" i="2"/>
  <c r="BG21" i="2"/>
  <c r="BD21" i="2"/>
  <c r="AQ21" i="2"/>
  <c r="AG21" i="2"/>
  <c r="Y21" i="2"/>
  <c r="Q21" i="2"/>
  <c r="L21" i="2"/>
  <c r="D21" i="2"/>
  <c r="BK20" i="2"/>
  <c r="BG20" i="2"/>
  <c r="BD20" i="2"/>
  <c r="AQ20" i="2"/>
  <c r="AG20" i="2"/>
  <c r="Y20" i="2"/>
  <c r="Q20" i="2"/>
  <c r="L20" i="2"/>
  <c r="D20" i="2"/>
  <c r="BK19" i="2"/>
  <c r="BG19" i="2"/>
  <c r="BD19" i="2"/>
  <c r="AQ19" i="2"/>
  <c r="AG19" i="2"/>
  <c r="Y19" i="2"/>
  <c r="Q19" i="2"/>
  <c r="L19" i="2"/>
  <c r="D19" i="2"/>
  <c r="BK18" i="2"/>
  <c r="BG18" i="2"/>
  <c r="BD18" i="2"/>
  <c r="AQ18" i="2"/>
  <c r="AG18" i="2"/>
  <c r="Y18" i="2"/>
  <c r="Q18" i="2"/>
  <c r="L18" i="2"/>
  <c r="D18" i="2"/>
  <c r="BK17" i="2"/>
  <c r="BG17" i="2"/>
  <c r="BD17" i="2"/>
  <c r="AQ17" i="2"/>
  <c r="AG17" i="2"/>
  <c r="Y17" i="2"/>
  <c r="Q17" i="2"/>
  <c r="L17" i="2"/>
  <c r="D17" i="2"/>
  <c r="BK16" i="2"/>
  <c r="BG16" i="2"/>
  <c r="BD16" i="2"/>
  <c r="AQ16" i="2"/>
  <c r="AG16" i="2"/>
  <c r="Y16" i="2"/>
  <c r="Q16" i="2"/>
  <c r="L16" i="2"/>
  <c r="D16" i="2"/>
  <c r="BK15" i="2"/>
  <c r="BG15" i="2"/>
  <c r="BD15" i="2"/>
  <c r="AQ15" i="2"/>
  <c r="AG15" i="2"/>
  <c r="Y15" i="2"/>
  <c r="Q15" i="2"/>
  <c r="L15" i="2"/>
  <c r="D15" i="2"/>
  <c r="BK14" i="2"/>
  <c r="BG14" i="2"/>
  <c r="BD14" i="2"/>
  <c r="AQ14" i="2"/>
  <c r="AG14" i="2"/>
  <c r="Y14" i="2"/>
  <c r="Q14" i="2"/>
  <c r="L14" i="2"/>
  <c r="D14" i="2"/>
  <c r="BK13" i="2"/>
  <c r="BG13" i="2"/>
  <c r="BD13" i="2"/>
  <c r="AQ13" i="2"/>
  <c r="AG13" i="2"/>
  <c r="Y13" i="2"/>
  <c r="Q13" i="2"/>
  <c r="L13" i="2"/>
  <c r="D13" i="2"/>
  <c r="BK12" i="2"/>
  <c r="BG12" i="2"/>
  <c r="BD12" i="2"/>
  <c r="AQ12" i="2"/>
  <c r="AG12" i="2"/>
  <c r="Y12" i="2"/>
  <c r="Q12" i="2"/>
  <c r="L12" i="2"/>
  <c r="D12" i="2"/>
  <c r="BK11" i="2"/>
  <c r="BG11" i="2"/>
  <c r="BD11" i="2"/>
  <c r="AQ11" i="2"/>
  <c r="AG11" i="2"/>
  <c r="Y11" i="2"/>
  <c r="Q11" i="2"/>
  <c r="L11" i="2"/>
  <c r="D11" i="2"/>
  <c r="BK10" i="2"/>
  <c r="BG10" i="2"/>
  <c r="BD10" i="2"/>
  <c r="AQ10" i="2"/>
  <c r="AG10" i="2"/>
  <c r="Y10" i="2"/>
  <c r="Q10" i="2"/>
  <c r="L10" i="2"/>
  <c r="D10" i="2"/>
  <c r="BK9" i="2"/>
  <c r="BG9" i="2"/>
  <c r="BD9" i="2"/>
  <c r="AQ9" i="2"/>
  <c r="AG9" i="2"/>
  <c r="Y9" i="2"/>
  <c r="Q9" i="2"/>
  <c r="L9" i="2"/>
  <c r="D9" i="2"/>
  <c r="BK8" i="2"/>
  <c r="BG8" i="2"/>
  <c r="BD8" i="2"/>
  <c r="AQ8" i="2"/>
  <c r="AG8" i="2"/>
  <c r="Y8" i="2"/>
  <c r="Q8" i="2"/>
  <c r="L8" i="2"/>
  <c r="D8" i="2"/>
  <c r="BK7" i="2"/>
  <c r="BG7" i="2"/>
  <c r="BD7" i="2"/>
  <c r="AQ7" i="2"/>
  <c r="AG7" i="2"/>
  <c r="Y7" i="2"/>
  <c r="Q7" i="2"/>
  <c r="L7" i="2"/>
  <c r="D7" i="2"/>
  <c r="BK6" i="2"/>
  <c r="BG6" i="2"/>
  <c r="BD6" i="2"/>
  <c r="AQ6" i="2"/>
  <c r="AG6" i="2"/>
  <c r="Y6" i="2"/>
  <c r="Q6" i="2"/>
  <c r="L6" i="2"/>
  <c r="D6" i="2"/>
  <c r="BK5" i="2"/>
  <c r="BG5" i="2"/>
  <c r="BD5" i="2"/>
  <c r="AQ5" i="2"/>
  <c r="AG5" i="2"/>
  <c r="Y5" i="2"/>
  <c r="Q5" i="2"/>
  <c r="L5" i="2"/>
  <c r="D5" i="2"/>
  <c r="BK4" i="2"/>
  <c r="BG4" i="2"/>
  <c r="BD4" i="2"/>
  <c r="AQ4" i="2"/>
  <c r="AQ295" i="2" s="1"/>
  <c r="AG4" i="2"/>
  <c r="Y4" i="2"/>
  <c r="Q4" i="2"/>
  <c r="L4" i="2"/>
  <c r="L295" i="2" s="1"/>
  <c r="BK233" i="1"/>
  <c r="BG233" i="1"/>
  <c r="BD233" i="1"/>
  <c r="AQ233" i="1"/>
  <c r="AG233" i="1"/>
  <c r="Y233" i="1"/>
  <c r="Q233" i="1"/>
  <c r="L233" i="1"/>
  <c r="D233" i="1"/>
  <c r="BK232" i="1"/>
  <c r="BG232" i="1"/>
  <c r="BD232" i="1"/>
  <c r="AQ232" i="1"/>
  <c r="AG232" i="1"/>
  <c r="Y232" i="1"/>
  <c r="Q232" i="1"/>
  <c r="L232" i="1"/>
  <c r="D232" i="1"/>
  <c r="BK231" i="1"/>
  <c r="BG231" i="1"/>
  <c r="BD231" i="1"/>
  <c r="AQ231" i="1"/>
  <c r="AG231" i="1"/>
  <c r="Y231" i="1"/>
  <c r="Q231" i="1"/>
  <c r="L231" i="1"/>
  <c r="D231" i="1"/>
  <c r="BK230" i="1"/>
  <c r="BG230" i="1"/>
  <c r="BD230" i="1"/>
  <c r="AQ230" i="1"/>
  <c r="AG230" i="1"/>
  <c r="Y230" i="1"/>
  <c r="Q230" i="1"/>
  <c r="L230" i="1"/>
  <c r="D230" i="1"/>
  <c r="BK229" i="1"/>
  <c r="BG229" i="1"/>
  <c r="BD229" i="1"/>
  <c r="AQ229" i="1"/>
  <c r="AG229" i="1"/>
  <c r="Y229" i="1"/>
  <c r="Q229" i="1"/>
  <c r="L229" i="1"/>
  <c r="D229" i="1"/>
  <c r="BK228" i="1"/>
  <c r="BG228" i="1"/>
  <c r="BD228" i="1"/>
  <c r="AQ228" i="1"/>
  <c r="AG228" i="1"/>
  <c r="Y228" i="1"/>
  <c r="Q228" i="1"/>
  <c r="L228" i="1"/>
  <c r="D228" i="1"/>
  <c r="BK227" i="1"/>
  <c r="BG227" i="1"/>
  <c r="BD227" i="1"/>
  <c r="AQ227" i="1"/>
  <c r="AG227" i="1"/>
  <c r="Y227" i="1"/>
  <c r="Q227" i="1"/>
  <c r="L227" i="1"/>
  <c r="D227" i="1"/>
  <c r="BK226" i="1"/>
  <c r="BG226" i="1"/>
  <c r="BD226" i="1"/>
  <c r="AQ226" i="1"/>
  <c r="AG226" i="1"/>
  <c r="Y226" i="1"/>
  <c r="Q226" i="1"/>
  <c r="L226" i="1"/>
  <c r="D226" i="1"/>
  <c r="BK225" i="1"/>
  <c r="BG225" i="1"/>
  <c r="BD225" i="1"/>
  <c r="AQ225" i="1"/>
  <c r="AG225" i="1"/>
  <c r="Y225" i="1"/>
  <c r="Q225" i="1"/>
  <c r="L225" i="1"/>
  <c r="D225" i="1"/>
  <c r="BK224" i="1"/>
  <c r="BG224" i="1"/>
  <c r="BD224" i="1"/>
  <c r="AQ224" i="1"/>
  <c r="AG224" i="1"/>
  <c r="Y224" i="1"/>
  <c r="Q224" i="1"/>
  <c r="L224" i="1"/>
  <c r="D224" i="1"/>
  <c r="BK223" i="1"/>
  <c r="BG223" i="1"/>
  <c r="BD223" i="1"/>
  <c r="AQ223" i="1"/>
  <c r="AG223" i="1"/>
  <c r="Y223" i="1"/>
  <c r="Q223" i="1"/>
  <c r="L223" i="1"/>
  <c r="D223" i="1"/>
  <c r="BK222" i="1"/>
  <c r="BG222" i="1"/>
  <c r="BD222" i="1"/>
  <c r="AQ222" i="1"/>
  <c r="AG222" i="1"/>
  <c r="Y222" i="1"/>
  <c r="Q222" i="1"/>
  <c r="L222" i="1"/>
  <c r="D222" i="1"/>
  <c r="BK221" i="1"/>
  <c r="BG221" i="1"/>
  <c r="BD221" i="1"/>
  <c r="AQ221" i="1"/>
  <c r="AG221" i="1"/>
  <c r="Y221" i="1"/>
  <c r="Q221" i="1"/>
  <c r="L221" i="1"/>
  <c r="D221" i="1"/>
  <c r="BK220" i="1"/>
  <c r="BG220" i="1"/>
  <c r="BD220" i="1"/>
  <c r="AQ220" i="1"/>
  <c r="AG220" i="1"/>
  <c r="Y220" i="1"/>
  <c r="Q220" i="1"/>
  <c r="L220" i="1"/>
  <c r="D220" i="1"/>
  <c r="BK219" i="1"/>
  <c r="BG219" i="1"/>
  <c r="BD219" i="1"/>
  <c r="AQ219" i="1"/>
  <c r="AG219" i="1"/>
  <c r="Y219" i="1"/>
  <c r="Q219" i="1"/>
  <c r="L219" i="1"/>
  <c r="D219" i="1"/>
  <c r="BK218" i="1"/>
  <c r="BG218" i="1"/>
  <c r="BD218" i="1"/>
  <c r="AQ218" i="1"/>
  <c r="AG218" i="1"/>
  <c r="Y218" i="1"/>
  <c r="Q218" i="1"/>
  <c r="L218" i="1"/>
  <c r="D218" i="1"/>
  <c r="BK217" i="1"/>
  <c r="BG217" i="1"/>
  <c r="BD217" i="1"/>
  <c r="AQ217" i="1"/>
  <c r="AG217" i="1"/>
  <c r="Y217" i="1"/>
  <c r="Q217" i="1"/>
  <c r="L217" i="1"/>
  <c r="D217" i="1"/>
  <c r="BK216" i="1"/>
  <c r="BG216" i="1"/>
  <c r="BD216" i="1"/>
  <c r="AQ216" i="1"/>
  <c r="AG216" i="1"/>
  <c r="Y216" i="1"/>
  <c r="Q216" i="1"/>
  <c r="L216" i="1"/>
  <c r="D216" i="1"/>
  <c r="BK215" i="1"/>
  <c r="BG215" i="1"/>
  <c r="BD215" i="1"/>
  <c r="AQ215" i="1"/>
  <c r="AG215" i="1"/>
  <c r="Y215" i="1"/>
  <c r="Q215" i="1"/>
  <c r="L215" i="1"/>
  <c r="D215" i="1"/>
  <c r="BK214" i="1"/>
  <c r="BG214" i="1"/>
  <c r="BD214" i="1"/>
  <c r="AQ214" i="1"/>
  <c r="AG214" i="1"/>
  <c r="Y214" i="1"/>
  <c r="Q214" i="1"/>
  <c r="L214" i="1"/>
  <c r="D214" i="1"/>
  <c r="BK213" i="1"/>
  <c r="BG213" i="1"/>
  <c r="BD213" i="1"/>
  <c r="AQ213" i="1"/>
  <c r="AG213" i="1"/>
  <c r="Y213" i="1"/>
  <c r="Q213" i="1"/>
  <c r="L213" i="1"/>
  <c r="D213" i="1"/>
  <c r="BK212" i="1"/>
  <c r="BG212" i="1"/>
  <c r="BD212" i="1"/>
  <c r="AQ212" i="1"/>
  <c r="AG212" i="1"/>
  <c r="Y212" i="1"/>
  <c r="Q212" i="1"/>
  <c r="L212" i="1"/>
  <c r="D212" i="1"/>
  <c r="BK211" i="1"/>
  <c r="BG211" i="1"/>
  <c r="BD211" i="1"/>
  <c r="AQ211" i="1"/>
  <c r="AG211" i="1"/>
  <c r="Y211" i="1"/>
  <c r="Q211" i="1"/>
  <c r="L211" i="1"/>
  <c r="D211" i="1"/>
  <c r="BK210" i="1"/>
  <c r="BG210" i="1"/>
  <c r="BD210" i="1"/>
  <c r="AQ210" i="1"/>
  <c r="AG210" i="1"/>
  <c r="Y210" i="1"/>
  <c r="Q210" i="1"/>
  <c r="L210" i="1"/>
  <c r="D210" i="1"/>
  <c r="BK209" i="1"/>
  <c r="BG209" i="1"/>
  <c r="BD209" i="1"/>
  <c r="AQ209" i="1"/>
  <c r="AG209" i="1"/>
  <c r="Y209" i="1"/>
  <c r="Q209" i="1"/>
  <c r="L209" i="1"/>
  <c r="D209" i="1"/>
  <c r="BK208" i="1"/>
  <c r="BG208" i="1"/>
  <c r="BD208" i="1"/>
  <c r="AQ208" i="1"/>
  <c r="AG208" i="1"/>
  <c r="Y208" i="1"/>
  <c r="Q208" i="1"/>
  <c r="L208" i="1"/>
  <c r="D208" i="1"/>
  <c r="BK207" i="1"/>
  <c r="BG207" i="1"/>
  <c r="BD207" i="1"/>
  <c r="AQ207" i="1"/>
  <c r="AG207" i="1"/>
  <c r="Y207" i="1"/>
  <c r="Q207" i="1"/>
  <c r="L207" i="1"/>
  <c r="D207" i="1"/>
  <c r="BK206" i="1"/>
  <c r="BG206" i="1"/>
  <c r="BD206" i="1"/>
  <c r="AQ206" i="1"/>
  <c r="AG206" i="1"/>
  <c r="Y206" i="1"/>
  <c r="Q206" i="1"/>
  <c r="L206" i="1"/>
  <c r="D206" i="1"/>
  <c r="BK205" i="1"/>
  <c r="BG205" i="1"/>
  <c r="BD205" i="1"/>
  <c r="AQ205" i="1"/>
  <c r="AG205" i="1"/>
  <c r="Y205" i="1"/>
  <c r="Q205" i="1"/>
  <c r="L205" i="1"/>
  <c r="D205" i="1"/>
  <c r="BK204" i="1"/>
  <c r="BG204" i="1"/>
  <c r="BD204" i="1"/>
  <c r="AQ204" i="1"/>
  <c r="AG204" i="1"/>
  <c r="Y204" i="1"/>
  <c r="Q204" i="1"/>
  <c r="L204" i="1"/>
  <c r="D204" i="1"/>
  <c r="BK203" i="1"/>
  <c r="BG203" i="1"/>
  <c r="BD203" i="1"/>
  <c r="AQ203" i="1"/>
  <c r="AG203" i="1"/>
  <c r="Y203" i="1"/>
  <c r="Q203" i="1"/>
  <c r="L203" i="1"/>
  <c r="D203" i="1"/>
  <c r="BK202" i="1"/>
  <c r="BG202" i="1"/>
  <c r="BD202" i="1"/>
  <c r="AQ202" i="1"/>
  <c r="AG202" i="1"/>
  <c r="Y202" i="1"/>
  <c r="Q202" i="1"/>
  <c r="L202" i="1"/>
  <c r="D202" i="1"/>
  <c r="BK201" i="1"/>
  <c r="BG201" i="1"/>
  <c r="BD201" i="1"/>
  <c r="AQ201" i="1"/>
  <c r="AG201" i="1"/>
  <c r="Y201" i="1"/>
  <c r="Q201" i="1"/>
  <c r="L201" i="1"/>
  <c r="D201" i="1"/>
  <c r="BK200" i="1"/>
  <c r="BG200" i="1"/>
  <c r="BD200" i="1"/>
  <c r="AQ200" i="1"/>
  <c r="AG200" i="1"/>
  <c r="Y200" i="1"/>
  <c r="Q200" i="1"/>
  <c r="L200" i="1"/>
  <c r="D200" i="1"/>
  <c r="BK199" i="1"/>
  <c r="BG199" i="1"/>
  <c r="BD199" i="1"/>
  <c r="AQ199" i="1"/>
  <c r="AG199" i="1"/>
  <c r="Y199" i="1"/>
  <c r="Q199" i="1"/>
  <c r="L199" i="1"/>
  <c r="D199" i="1"/>
  <c r="BK198" i="1"/>
  <c r="BG198" i="1"/>
  <c r="BD198" i="1"/>
  <c r="AQ198" i="1"/>
  <c r="AG198" i="1"/>
  <c r="Y198" i="1"/>
  <c r="Q198" i="1"/>
  <c r="L198" i="1"/>
  <c r="D198" i="1"/>
  <c r="BK197" i="1"/>
  <c r="BG197" i="1"/>
  <c r="BD197" i="1"/>
  <c r="AQ197" i="1"/>
  <c r="AG197" i="1"/>
  <c r="Y197" i="1"/>
  <c r="Q197" i="1"/>
  <c r="L197" i="1"/>
  <c r="D197" i="1"/>
  <c r="BK196" i="1"/>
  <c r="BG196" i="1"/>
  <c r="BD196" i="1"/>
  <c r="AQ196" i="1"/>
  <c r="AG196" i="1"/>
  <c r="Y196" i="1"/>
  <c r="Q196" i="1"/>
  <c r="L196" i="1"/>
  <c r="D196" i="1"/>
  <c r="BK195" i="1"/>
  <c r="BG195" i="1"/>
  <c r="BD195" i="1"/>
  <c r="AQ195" i="1"/>
  <c r="AG195" i="1"/>
  <c r="Y195" i="1"/>
  <c r="Q195" i="1"/>
  <c r="L195" i="1"/>
  <c r="D195" i="1"/>
  <c r="BK194" i="1"/>
  <c r="BG194" i="1"/>
  <c r="BD194" i="1"/>
  <c r="AQ194" i="1"/>
  <c r="AG194" i="1"/>
  <c r="Y194" i="1"/>
  <c r="Q194" i="1"/>
  <c r="L194" i="1"/>
  <c r="D194" i="1"/>
  <c r="BK193" i="1"/>
  <c r="BG193" i="1"/>
  <c r="BD193" i="1"/>
  <c r="AQ193" i="1"/>
  <c r="AG193" i="1"/>
  <c r="Y193" i="1"/>
  <c r="Q193" i="1"/>
  <c r="L193" i="1"/>
  <c r="D193" i="1"/>
  <c r="BK192" i="1"/>
  <c r="BG192" i="1"/>
  <c r="BD192" i="1"/>
  <c r="AQ192" i="1"/>
  <c r="AG192" i="1"/>
  <c r="Y192" i="1"/>
  <c r="Q192" i="1"/>
  <c r="L192" i="1"/>
  <c r="D192" i="1"/>
  <c r="BK191" i="1"/>
  <c r="BG191" i="1"/>
  <c r="BD191" i="1"/>
  <c r="AQ191" i="1"/>
  <c r="AG191" i="1"/>
  <c r="Y191" i="1"/>
  <c r="Q191" i="1"/>
  <c r="L191" i="1"/>
  <c r="D191" i="1"/>
  <c r="BK190" i="1"/>
  <c r="BG190" i="1"/>
  <c r="BD190" i="1"/>
  <c r="AQ190" i="1"/>
  <c r="AG190" i="1"/>
  <c r="Y190" i="1"/>
  <c r="Q190" i="1"/>
  <c r="L190" i="1"/>
  <c r="D190" i="1"/>
  <c r="BK189" i="1"/>
  <c r="BG189" i="1"/>
  <c r="BD189" i="1"/>
  <c r="AQ189" i="1"/>
  <c r="AG189" i="1"/>
  <c r="Y189" i="1"/>
  <c r="Q189" i="1"/>
  <c r="L189" i="1"/>
  <c r="D189" i="1"/>
  <c r="BK188" i="1"/>
  <c r="BG188" i="1"/>
  <c r="BD188" i="1"/>
  <c r="AQ188" i="1"/>
  <c r="AG188" i="1"/>
  <c r="Y188" i="1"/>
  <c r="Q188" i="1"/>
  <c r="L188" i="1"/>
  <c r="D188" i="1"/>
  <c r="BK187" i="1"/>
  <c r="BG187" i="1"/>
  <c r="BD187" i="1"/>
  <c r="AQ187" i="1"/>
  <c r="AG187" i="1"/>
  <c r="Y187" i="1"/>
  <c r="Q187" i="1"/>
  <c r="L187" i="1"/>
  <c r="D187" i="1"/>
  <c r="BK186" i="1"/>
  <c r="BG186" i="1"/>
  <c r="BD186" i="1"/>
  <c r="AQ186" i="1"/>
  <c r="AG186" i="1"/>
  <c r="Y186" i="1"/>
  <c r="Q186" i="1"/>
  <c r="L186" i="1"/>
  <c r="D186" i="1"/>
  <c r="BK185" i="1"/>
  <c r="BG185" i="1"/>
  <c r="BD185" i="1"/>
  <c r="AQ185" i="1"/>
  <c r="AG185" i="1"/>
  <c r="Y185" i="1"/>
  <c r="Q185" i="1"/>
  <c r="L185" i="1"/>
  <c r="D185" i="1"/>
  <c r="BK184" i="1"/>
  <c r="BG184" i="1"/>
  <c r="BD184" i="1"/>
  <c r="AQ184" i="1"/>
  <c r="AG184" i="1"/>
  <c r="Y184" i="1"/>
  <c r="Q184" i="1"/>
  <c r="L184" i="1"/>
  <c r="D184" i="1"/>
  <c r="BK183" i="1"/>
  <c r="BG183" i="1"/>
  <c r="BD183" i="1"/>
  <c r="AQ183" i="1"/>
  <c r="AG183" i="1"/>
  <c r="Y183" i="1"/>
  <c r="Q183" i="1"/>
  <c r="L183" i="1"/>
  <c r="D183" i="1"/>
  <c r="BK182" i="1"/>
  <c r="BG182" i="1"/>
  <c r="BD182" i="1"/>
  <c r="AQ182" i="1"/>
  <c r="AG182" i="1"/>
  <c r="Y182" i="1"/>
  <c r="Q182" i="1"/>
  <c r="L182" i="1"/>
  <c r="D182" i="1"/>
  <c r="BK181" i="1"/>
  <c r="BG181" i="1"/>
  <c r="BD181" i="1"/>
  <c r="AQ181" i="1"/>
  <c r="AG181" i="1"/>
  <c r="Y181" i="1"/>
  <c r="Q181" i="1"/>
  <c r="L181" i="1"/>
  <c r="D181" i="1"/>
  <c r="BK180" i="1"/>
  <c r="BG180" i="1"/>
  <c r="BD180" i="1"/>
  <c r="AQ180" i="1"/>
  <c r="AG180" i="1"/>
  <c r="Y180" i="1"/>
  <c r="Q180" i="1"/>
  <c r="L180" i="1"/>
  <c r="D180" i="1"/>
  <c r="BK179" i="1"/>
  <c r="BG179" i="1"/>
  <c r="BD179" i="1"/>
  <c r="AQ179" i="1"/>
  <c r="AG179" i="1"/>
  <c r="Y179" i="1"/>
  <c r="Q179" i="1"/>
  <c r="L179" i="1"/>
  <c r="D179" i="1"/>
  <c r="BK178" i="1"/>
  <c r="BG178" i="1"/>
  <c r="BD178" i="1"/>
  <c r="AQ178" i="1"/>
  <c r="AG178" i="1"/>
  <c r="Y178" i="1"/>
  <c r="Q178" i="1"/>
  <c r="L178" i="1"/>
  <c r="D178" i="1"/>
  <c r="BK177" i="1"/>
  <c r="BG177" i="1"/>
  <c r="BD177" i="1"/>
  <c r="AQ177" i="1"/>
  <c r="AG177" i="1"/>
  <c r="Y177" i="1"/>
  <c r="Q177" i="1"/>
  <c r="L177" i="1"/>
  <c r="D177" i="1"/>
  <c r="BK176" i="1"/>
  <c r="BG176" i="1"/>
  <c r="BD176" i="1"/>
  <c r="AQ176" i="1"/>
  <c r="AG176" i="1"/>
  <c r="Y176" i="1"/>
  <c r="Q176" i="1"/>
  <c r="L176" i="1"/>
  <c r="D176" i="1"/>
  <c r="BK175" i="1"/>
  <c r="BG175" i="1"/>
  <c r="BD175" i="1"/>
  <c r="AQ175" i="1"/>
  <c r="AG175" i="1"/>
  <c r="Y175" i="1"/>
  <c r="Q175" i="1"/>
  <c r="L175" i="1"/>
  <c r="D175" i="1"/>
  <c r="BK174" i="1"/>
  <c r="BG174" i="1"/>
  <c r="BD174" i="1"/>
  <c r="AQ174" i="1"/>
  <c r="AG174" i="1"/>
  <c r="Y174" i="1"/>
  <c r="Q174" i="1"/>
  <c r="L174" i="1"/>
  <c r="D174" i="1"/>
  <c r="BK173" i="1"/>
  <c r="BG173" i="1"/>
  <c r="BD173" i="1"/>
  <c r="AQ173" i="1"/>
  <c r="AG173" i="1"/>
  <c r="Y173" i="1"/>
  <c r="Q173" i="1"/>
  <c r="L173" i="1"/>
  <c r="D173" i="1"/>
  <c r="BK172" i="1"/>
  <c r="BG172" i="1"/>
  <c r="BD172" i="1"/>
  <c r="AQ172" i="1"/>
  <c r="AG172" i="1"/>
  <c r="Y172" i="1"/>
  <c r="Q172" i="1"/>
  <c r="L172" i="1"/>
  <c r="D172" i="1"/>
  <c r="BK171" i="1"/>
  <c r="BG171" i="1"/>
  <c r="BD171" i="1"/>
  <c r="AQ171" i="1"/>
  <c r="AG171" i="1"/>
  <c r="Y171" i="1"/>
  <c r="Q171" i="1"/>
  <c r="L171" i="1"/>
  <c r="D171" i="1"/>
  <c r="BK170" i="1"/>
  <c r="BG170" i="1"/>
  <c r="BD170" i="1"/>
  <c r="AQ170" i="1"/>
  <c r="AG170" i="1"/>
  <c r="Y170" i="1"/>
  <c r="Q170" i="1"/>
  <c r="L170" i="1"/>
  <c r="D170" i="1"/>
  <c r="BK169" i="1"/>
  <c r="BG169" i="1"/>
  <c r="BD169" i="1"/>
  <c r="AQ169" i="1"/>
  <c r="AG169" i="1"/>
  <c r="Y169" i="1"/>
  <c r="Q169" i="1"/>
  <c r="L169" i="1"/>
  <c r="D169" i="1"/>
  <c r="BK168" i="1"/>
  <c r="BG168" i="1"/>
  <c r="BD168" i="1"/>
  <c r="AQ168" i="1"/>
  <c r="AG168" i="1"/>
  <c r="Y168" i="1"/>
  <c r="Q168" i="1"/>
  <c r="L168" i="1"/>
  <c r="D168" i="1"/>
  <c r="BK167" i="1"/>
  <c r="BG167" i="1"/>
  <c r="BD167" i="1"/>
  <c r="AQ167" i="1"/>
  <c r="AG167" i="1"/>
  <c r="Y167" i="1"/>
  <c r="Q167" i="1"/>
  <c r="L167" i="1"/>
  <c r="D167" i="1"/>
  <c r="BK166" i="1"/>
  <c r="BG166" i="1"/>
  <c r="BD166" i="1"/>
  <c r="AQ166" i="1"/>
  <c r="AG166" i="1"/>
  <c r="Y166" i="1"/>
  <c r="Q166" i="1"/>
  <c r="L166" i="1"/>
  <c r="D166" i="1"/>
  <c r="BK165" i="1"/>
  <c r="BG165" i="1"/>
  <c r="BD165" i="1"/>
  <c r="AQ165" i="1"/>
  <c r="AG165" i="1"/>
  <c r="Y165" i="1"/>
  <c r="Q165" i="1"/>
  <c r="L165" i="1"/>
  <c r="D165" i="1"/>
  <c r="BK164" i="1"/>
  <c r="BG164" i="1"/>
  <c r="BD164" i="1"/>
  <c r="AQ164" i="1"/>
  <c r="AG164" i="1"/>
  <c r="Y164" i="1"/>
  <c r="Q164" i="1"/>
  <c r="L164" i="1"/>
  <c r="D164" i="1"/>
  <c r="BK163" i="1"/>
  <c r="BG163" i="1"/>
  <c r="BD163" i="1"/>
  <c r="AQ163" i="1"/>
  <c r="AG163" i="1"/>
  <c r="Y163" i="1"/>
  <c r="Q163" i="1"/>
  <c r="L163" i="1"/>
  <c r="D163" i="1"/>
  <c r="BK162" i="1"/>
  <c r="BG162" i="1"/>
  <c r="BD162" i="1"/>
  <c r="AQ162" i="1"/>
  <c r="AG162" i="1"/>
  <c r="Y162" i="1"/>
  <c r="Q162" i="1"/>
  <c r="L162" i="1"/>
  <c r="D162" i="1"/>
  <c r="BK161" i="1"/>
  <c r="BG161" i="1"/>
  <c r="BD161" i="1"/>
  <c r="AQ161" i="1"/>
  <c r="AG161" i="1"/>
  <c r="Y161" i="1"/>
  <c r="Q161" i="1"/>
  <c r="L161" i="1"/>
  <c r="D161" i="1"/>
  <c r="BK160" i="1"/>
  <c r="BG160" i="1"/>
  <c r="BD160" i="1"/>
  <c r="AQ160" i="1"/>
  <c r="AG160" i="1"/>
  <c r="Y160" i="1"/>
  <c r="Q160" i="1"/>
  <c r="L160" i="1"/>
  <c r="D160" i="1"/>
  <c r="BK159" i="1"/>
  <c r="BG159" i="1"/>
  <c r="BD159" i="1"/>
  <c r="AQ159" i="1"/>
  <c r="AG159" i="1"/>
  <c r="Y159" i="1"/>
  <c r="Q159" i="1"/>
  <c r="L159" i="1"/>
  <c r="D159" i="1"/>
  <c r="BK158" i="1"/>
  <c r="BG158" i="1"/>
  <c r="BD158" i="1"/>
  <c r="AQ158" i="1"/>
  <c r="AG158" i="1"/>
  <c r="Y158" i="1"/>
  <c r="Q158" i="1"/>
  <c r="L158" i="1"/>
  <c r="D158" i="1"/>
  <c r="BK157" i="1"/>
  <c r="BG157" i="1"/>
  <c r="BD157" i="1"/>
  <c r="AQ157" i="1"/>
  <c r="AG157" i="1"/>
  <c r="Y157" i="1"/>
  <c r="Q157" i="1"/>
  <c r="L157" i="1"/>
  <c r="D157" i="1"/>
  <c r="BK156" i="1"/>
  <c r="BG156" i="1"/>
  <c r="BD156" i="1"/>
  <c r="AQ156" i="1"/>
  <c r="AG156" i="1"/>
  <c r="Y156" i="1"/>
  <c r="Q156" i="1"/>
  <c r="L156" i="1"/>
  <c r="D156" i="1"/>
  <c r="BK155" i="1"/>
  <c r="BG155" i="1"/>
  <c r="BD155" i="1"/>
  <c r="AQ155" i="1"/>
  <c r="AG155" i="1"/>
  <c r="Y155" i="1"/>
  <c r="Q155" i="1"/>
  <c r="L155" i="1"/>
  <c r="D155" i="1"/>
  <c r="BK154" i="1"/>
  <c r="BG154" i="1"/>
  <c r="BD154" i="1"/>
  <c r="AQ154" i="1"/>
  <c r="AG154" i="1"/>
  <c r="Y154" i="1"/>
  <c r="Q154" i="1"/>
  <c r="L154" i="1"/>
  <c r="D154" i="1"/>
  <c r="BK153" i="1"/>
  <c r="BG153" i="1"/>
  <c r="BD153" i="1"/>
  <c r="AQ153" i="1"/>
  <c r="AG153" i="1"/>
  <c r="Y153" i="1"/>
  <c r="Q153" i="1"/>
  <c r="L153" i="1"/>
  <c r="D153" i="1"/>
  <c r="BK152" i="1"/>
  <c r="BG152" i="1"/>
  <c r="BD152" i="1"/>
  <c r="AQ152" i="1"/>
  <c r="AG152" i="1"/>
  <c r="Y152" i="1"/>
  <c r="Q152" i="1"/>
  <c r="L152" i="1"/>
  <c r="D152" i="1"/>
  <c r="BK151" i="1"/>
  <c r="BG151" i="1"/>
  <c r="BD151" i="1"/>
  <c r="AQ151" i="1"/>
  <c r="AG151" i="1"/>
  <c r="Y151" i="1"/>
  <c r="Q151" i="1"/>
  <c r="L151" i="1"/>
  <c r="D151" i="1"/>
  <c r="BK150" i="1"/>
  <c r="BG150" i="1"/>
  <c r="BD150" i="1"/>
  <c r="AQ150" i="1"/>
  <c r="AG150" i="1"/>
  <c r="Y150" i="1"/>
  <c r="Q150" i="1"/>
  <c r="L150" i="1"/>
  <c r="D150" i="1"/>
  <c r="BK149" i="1"/>
  <c r="BG149" i="1"/>
  <c r="BD149" i="1"/>
  <c r="AQ149" i="1"/>
  <c r="AG149" i="1"/>
  <c r="Y149" i="1"/>
  <c r="Q149" i="1"/>
  <c r="L149" i="1"/>
  <c r="D149" i="1"/>
  <c r="BK148" i="1"/>
  <c r="BG148" i="1"/>
  <c r="BD148" i="1"/>
  <c r="AQ148" i="1"/>
  <c r="AG148" i="1"/>
  <c r="Y148" i="1"/>
  <c r="Q148" i="1"/>
  <c r="L148" i="1"/>
  <c r="D148" i="1"/>
  <c r="BK147" i="1"/>
  <c r="BG147" i="1"/>
  <c r="BD147" i="1"/>
  <c r="AQ147" i="1"/>
  <c r="AG147" i="1"/>
  <c r="Y147" i="1"/>
  <c r="Q147" i="1"/>
  <c r="L147" i="1"/>
  <c r="D147" i="1"/>
  <c r="BK146" i="1"/>
  <c r="BG146" i="1"/>
  <c r="BD146" i="1"/>
  <c r="AQ146" i="1"/>
  <c r="AG146" i="1"/>
  <c r="Y146" i="1"/>
  <c r="Q146" i="1"/>
  <c r="L146" i="1"/>
  <c r="D146" i="1"/>
  <c r="BK145" i="1"/>
  <c r="BG145" i="1"/>
  <c r="BD145" i="1"/>
  <c r="AQ145" i="1"/>
  <c r="AG145" i="1"/>
  <c r="Y145" i="1"/>
  <c r="Q145" i="1"/>
  <c r="L145" i="1"/>
  <c r="D145" i="1"/>
  <c r="BK144" i="1"/>
  <c r="BG144" i="1"/>
  <c r="BD144" i="1"/>
  <c r="AQ144" i="1"/>
  <c r="AG144" i="1"/>
  <c r="Y144" i="1"/>
  <c r="Q144" i="1"/>
  <c r="L144" i="1"/>
  <c r="D144" i="1"/>
  <c r="BK143" i="1"/>
  <c r="BG143" i="1"/>
  <c r="BD143" i="1"/>
  <c r="AQ143" i="1"/>
  <c r="AG143" i="1"/>
  <c r="Y143" i="1"/>
  <c r="Q143" i="1"/>
  <c r="L143" i="1"/>
  <c r="D143" i="1"/>
  <c r="BK142" i="1"/>
  <c r="BG142" i="1"/>
  <c r="BD142" i="1"/>
  <c r="AQ142" i="1"/>
  <c r="AG142" i="1"/>
  <c r="Y142" i="1"/>
  <c r="Q142" i="1"/>
  <c r="L142" i="1"/>
  <c r="D142" i="1"/>
  <c r="BK141" i="1"/>
  <c r="BG141" i="1"/>
  <c r="BD141" i="1"/>
  <c r="AQ141" i="1"/>
  <c r="AG141" i="1"/>
  <c r="Y141" i="1"/>
  <c r="Q141" i="1"/>
  <c r="L141" i="1"/>
  <c r="D141" i="1"/>
  <c r="BK140" i="1"/>
  <c r="BG140" i="1"/>
  <c r="BD140" i="1"/>
  <c r="AQ140" i="1"/>
  <c r="AG140" i="1"/>
  <c r="Y140" i="1"/>
  <c r="Q140" i="1"/>
  <c r="L140" i="1"/>
  <c r="D140" i="1"/>
  <c r="BK139" i="1"/>
  <c r="BG139" i="1"/>
  <c r="BD139" i="1"/>
  <c r="AQ139" i="1"/>
  <c r="AG139" i="1"/>
  <c r="Y139" i="1"/>
  <c r="Q139" i="1"/>
  <c r="L139" i="1"/>
  <c r="D139" i="1"/>
  <c r="BK138" i="1"/>
  <c r="BG138" i="1"/>
  <c r="BD138" i="1"/>
  <c r="AQ138" i="1"/>
  <c r="AG138" i="1"/>
  <c r="Y138" i="1"/>
  <c r="Q138" i="1"/>
  <c r="L138" i="1"/>
  <c r="D138" i="1"/>
  <c r="BK137" i="1"/>
  <c r="BG137" i="1"/>
  <c r="BD137" i="1"/>
  <c r="AQ137" i="1"/>
  <c r="AG137" i="1"/>
  <c r="Y137" i="1"/>
  <c r="Q137" i="1"/>
  <c r="L137" i="1"/>
  <c r="D137" i="1"/>
  <c r="BK136" i="1"/>
  <c r="BG136" i="1"/>
  <c r="BD136" i="1"/>
  <c r="AQ136" i="1"/>
  <c r="AG136" i="1"/>
  <c r="Y136" i="1"/>
  <c r="Q136" i="1"/>
  <c r="L136" i="1"/>
  <c r="D136" i="1"/>
  <c r="BK135" i="1"/>
  <c r="BG135" i="1"/>
  <c r="BD135" i="1"/>
  <c r="AQ135" i="1"/>
  <c r="AG135" i="1"/>
  <c r="Y135" i="1"/>
  <c r="Q135" i="1"/>
  <c r="L135" i="1"/>
  <c r="D135" i="1"/>
  <c r="BK134" i="1"/>
  <c r="BG134" i="1"/>
  <c r="BD134" i="1"/>
  <c r="AQ134" i="1"/>
  <c r="AG134" i="1"/>
  <c r="Y134" i="1"/>
  <c r="Q134" i="1"/>
  <c r="L134" i="1"/>
  <c r="D134" i="1"/>
  <c r="BK133" i="1"/>
  <c r="BG133" i="1"/>
  <c r="BD133" i="1"/>
  <c r="AQ133" i="1"/>
  <c r="AG133" i="1"/>
  <c r="Y133" i="1"/>
  <c r="Q133" i="1"/>
  <c r="L133" i="1"/>
  <c r="D133" i="1"/>
  <c r="BK132" i="1"/>
  <c r="BG132" i="1"/>
  <c r="BD132" i="1"/>
  <c r="AQ132" i="1"/>
  <c r="AG132" i="1"/>
  <c r="Y132" i="1"/>
  <c r="Q132" i="1"/>
  <c r="L132" i="1"/>
  <c r="D132" i="1"/>
  <c r="BK131" i="1"/>
  <c r="BG131" i="1"/>
  <c r="BD131" i="1"/>
  <c r="AQ131" i="1"/>
  <c r="AG131" i="1"/>
  <c r="Y131" i="1"/>
  <c r="Q131" i="1"/>
  <c r="L131" i="1"/>
  <c r="D131" i="1"/>
  <c r="BK130" i="1"/>
  <c r="BG130" i="1"/>
  <c r="BD130" i="1"/>
  <c r="AQ130" i="1"/>
  <c r="AG130" i="1"/>
  <c r="Y130" i="1"/>
  <c r="Q130" i="1"/>
  <c r="L130" i="1"/>
  <c r="D130" i="1"/>
  <c r="BK129" i="1"/>
  <c r="BG129" i="1"/>
  <c r="BD129" i="1"/>
  <c r="AQ129" i="1"/>
  <c r="AG129" i="1"/>
  <c r="Y129" i="1"/>
  <c r="Q129" i="1"/>
  <c r="L129" i="1"/>
  <c r="D129" i="1"/>
  <c r="BK128" i="1"/>
  <c r="BG128" i="1"/>
  <c r="BD128" i="1"/>
  <c r="AQ128" i="1"/>
  <c r="AG128" i="1"/>
  <c r="Y128" i="1"/>
  <c r="Q128" i="1"/>
  <c r="L128" i="1"/>
  <c r="D128" i="1"/>
  <c r="BK127" i="1"/>
  <c r="BG127" i="1"/>
  <c r="BD127" i="1"/>
  <c r="AQ127" i="1"/>
  <c r="AG127" i="1"/>
  <c r="Y127" i="1"/>
  <c r="Q127" i="1"/>
  <c r="L127" i="1"/>
  <c r="D127" i="1"/>
  <c r="BK126" i="1"/>
  <c r="BG126" i="1"/>
  <c r="BD126" i="1"/>
  <c r="AQ126" i="1"/>
  <c r="AG126" i="1"/>
  <c r="Y126" i="1"/>
  <c r="Q126" i="1"/>
  <c r="L126" i="1"/>
  <c r="D126" i="1"/>
  <c r="BK125" i="1"/>
  <c r="BG125" i="1"/>
  <c r="BD125" i="1"/>
  <c r="AQ125" i="1"/>
  <c r="AG125" i="1"/>
  <c r="Y125" i="1"/>
  <c r="Q125" i="1"/>
  <c r="L125" i="1"/>
  <c r="D125" i="1"/>
  <c r="BK124" i="1"/>
  <c r="BG124" i="1"/>
  <c r="BD124" i="1"/>
  <c r="AQ124" i="1"/>
  <c r="AG124" i="1"/>
  <c r="Y124" i="1"/>
  <c r="Q124" i="1"/>
  <c r="L124" i="1"/>
  <c r="D124" i="1"/>
  <c r="BK123" i="1"/>
  <c r="BG123" i="1"/>
  <c r="BD123" i="1"/>
  <c r="AQ123" i="1"/>
  <c r="AG123" i="1"/>
  <c r="Y123" i="1"/>
  <c r="Q123" i="1"/>
  <c r="L123" i="1"/>
  <c r="D123" i="1"/>
  <c r="BK122" i="1"/>
  <c r="BG122" i="1"/>
  <c r="BD122" i="1"/>
  <c r="AQ122" i="1"/>
  <c r="AG122" i="1"/>
  <c r="Y122" i="1"/>
  <c r="Q122" i="1"/>
  <c r="L122" i="1"/>
  <c r="D122" i="1"/>
  <c r="BK121" i="1"/>
  <c r="BG121" i="1"/>
  <c r="BD121" i="1"/>
  <c r="AQ121" i="1"/>
  <c r="AG121" i="1"/>
  <c r="Y121" i="1"/>
  <c r="Q121" i="1"/>
  <c r="L121" i="1"/>
  <c r="D121" i="1"/>
  <c r="BK120" i="1"/>
  <c r="BG120" i="1"/>
  <c r="BD120" i="1"/>
  <c r="AQ120" i="1"/>
  <c r="AG120" i="1"/>
  <c r="Y120" i="1"/>
  <c r="Q120" i="1"/>
  <c r="L120" i="1"/>
  <c r="D120" i="1"/>
  <c r="BK119" i="1"/>
  <c r="BG119" i="1"/>
  <c r="BD119" i="1"/>
  <c r="AQ119" i="1"/>
  <c r="AG119" i="1"/>
  <c r="Y119" i="1"/>
  <c r="Q119" i="1"/>
  <c r="L119" i="1"/>
  <c r="D119" i="1"/>
  <c r="BK118" i="1"/>
  <c r="BG118" i="1"/>
  <c r="BD118" i="1"/>
  <c r="AQ118" i="1"/>
  <c r="AG118" i="1"/>
  <c r="Y118" i="1"/>
  <c r="Q118" i="1"/>
  <c r="L118" i="1"/>
  <c r="D118" i="1"/>
  <c r="BK117" i="1"/>
  <c r="BG117" i="1"/>
  <c r="BD117" i="1"/>
  <c r="AQ117" i="1"/>
  <c r="AG117" i="1"/>
  <c r="Y117" i="1"/>
  <c r="Q117" i="1"/>
  <c r="L117" i="1"/>
  <c r="D117" i="1"/>
  <c r="BK116" i="1"/>
  <c r="BG116" i="1"/>
  <c r="BD116" i="1"/>
  <c r="AQ116" i="1"/>
  <c r="AG116" i="1"/>
  <c r="Y116" i="1"/>
  <c r="Q116" i="1"/>
  <c r="L116" i="1"/>
  <c r="D116" i="1"/>
  <c r="BK115" i="1"/>
  <c r="BG115" i="1"/>
  <c r="BD115" i="1"/>
  <c r="AQ115" i="1"/>
  <c r="AG115" i="1"/>
  <c r="Y115" i="1"/>
  <c r="Q115" i="1"/>
  <c r="L115" i="1"/>
  <c r="D115" i="1"/>
  <c r="BK114" i="1"/>
  <c r="BG114" i="1"/>
  <c r="BD114" i="1"/>
  <c r="AQ114" i="1"/>
  <c r="AG114" i="1"/>
  <c r="Y114" i="1"/>
  <c r="Q114" i="1"/>
  <c r="L114" i="1"/>
  <c r="D114" i="1"/>
  <c r="BK113" i="1"/>
  <c r="BG113" i="1"/>
  <c r="BD113" i="1"/>
  <c r="AQ113" i="1"/>
  <c r="AG113" i="1"/>
  <c r="Y113" i="1"/>
  <c r="Q113" i="1"/>
  <c r="L113" i="1"/>
  <c r="D113" i="1"/>
  <c r="BK112" i="1"/>
  <c r="BG112" i="1"/>
  <c r="BD112" i="1"/>
  <c r="AQ112" i="1"/>
  <c r="AG112" i="1"/>
  <c r="Y112" i="1"/>
  <c r="Q112" i="1"/>
  <c r="L112" i="1"/>
  <c r="D112" i="1"/>
  <c r="BK111" i="1"/>
  <c r="BG111" i="1"/>
  <c r="BD111" i="1"/>
  <c r="AQ111" i="1"/>
  <c r="AG111" i="1"/>
  <c r="Y111" i="1"/>
  <c r="Q111" i="1"/>
  <c r="L111" i="1"/>
  <c r="D111" i="1"/>
  <c r="BK110" i="1"/>
  <c r="BG110" i="1"/>
  <c r="BD110" i="1"/>
  <c r="AQ110" i="1"/>
  <c r="AG110" i="1"/>
  <c r="Y110" i="1"/>
  <c r="Q110" i="1"/>
  <c r="L110" i="1"/>
  <c r="D110" i="1"/>
  <c r="BK109" i="1"/>
  <c r="BG109" i="1"/>
  <c r="BD109" i="1"/>
  <c r="AQ109" i="1"/>
  <c r="AG109" i="1"/>
  <c r="Y109" i="1"/>
  <c r="Q109" i="1"/>
  <c r="L109" i="1"/>
  <c r="D109" i="1"/>
  <c r="BK108" i="1"/>
  <c r="BG108" i="1"/>
  <c r="BD108" i="1"/>
  <c r="AQ108" i="1"/>
  <c r="AG108" i="1"/>
  <c r="Y108" i="1"/>
  <c r="Q108" i="1"/>
  <c r="L108" i="1"/>
  <c r="D108" i="1"/>
  <c r="BK107" i="1"/>
  <c r="BG107" i="1"/>
  <c r="BD107" i="1"/>
  <c r="AQ107" i="1"/>
  <c r="AG107" i="1"/>
  <c r="Y107" i="1"/>
  <c r="Q107" i="1"/>
  <c r="L107" i="1"/>
  <c r="D107" i="1"/>
  <c r="BK106" i="1"/>
  <c r="BG106" i="1"/>
  <c r="BD106" i="1"/>
  <c r="AQ106" i="1"/>
  <c r="AG106" i="1"/>
  <c r="Y106" i="1"/>
  <c r="Q106" i="1"/>
  <c r="L106" i="1"/>
  <c r="D106" i="1"/>
  <c r="BK105" i="1"/>
  <c r="BG105" i="1"/>
  <c r="BD105" i="1"/>
  <c r="AQ105" i="1"/>
  <c r="AG105" i="1"/>
  <c r="Y105" i="1"/>
  <c r="Q105" i="1"/>
  <c r="L105" i="1"/>
  <c r="D105" i="1"/>
  <c r="BK104" i="1"/>
  <c r="BG104" i="1"/>
  <c r="BD104" i="1"/>
  <c r="AQ104" i="1"/>
  <c r="AG104" i="1"/>
  <c r="Y104" i="1"/>
  <c r="Q104" i="1"/>
  <c r="L104" i="1"/>
  <c r="D104" i="1"/>
  <c r="BK103" i="1"/>
  <c r="BG103" i="1"/>
  <c r="BD103" i="1"/>
  <c r="AQ103" i="1"/>
  <c r="AG103" i="1"/>
  <c r="Y103" i="1"/>
  <c r="Q103" i="1"/>
  <c r="L103" i="1"/>
  <c r="D103" i="1"/>
  <c r="BK102" i="1"/>
  <c r="BG102" i="1"/>
  <c r="BD102" i="1"/>
  <c r="AQ102" i="1"/>
  <c r="AG102" i="1"/>
  <c r="Y102" i="1"/>
  <c r="Q102" i="1"/>
  <c r="L102" i="1"/>
  <c r="D102" i="1"/>
  <c r="BK101" i="1"/>
  <c r="BG101" i="1"/>
  <c r="BD101" i="1"/>
  <c r="AQ101" i="1"/>
  <c r="AG101" i="1"/>
  <c r="Y101" i="1"/>
  <c r="Q101" i="1"/>
  <c r="L101" i="1"/>
  <c r="D101" i="1"/>
  <c r="BK100" i="1"/>
  <c r="BG100" i="1"/>
  <c r="BD100" i="1"/>
  <c r="AQ100" i="1"/>
  <c r="AG100" i="1"/>
  <c r="Y100" i="1"/>
  <c r="Q100" i="1"/>
  <c r="L100" i="1"/>
  <c r="D100" i="1"/>
  <c r="BK99" i="1"/>
  <c r="BG99" i="1"/>
  <c r="BD99" i="1"/>
  <c r="AQ99" i="1"/>
  <c r="AG99" i="1"/>
  <c r="Y99" i="1"/>
  <c r="Q99" i="1"/>
  <c r="L99" i="1"/>
  <c r="D99" i="1"/>
  <c r="BK98" i="1"/>
  <c r="BG98" i="1"/>
  <c r="BD98" i="1"/>
  <c r="AQ98" i="1"/>
  <c r="AG98" i="1"/>
  <c r="Y98" i="1"/>
  <c r="Q98" i="1"/>
  <c r="L98" i="1"/>
  <c r="D98" i="1"/>
  <c r="BK97" i="1"/>
  <c r="BG97" i="1"/>
  <c r="BD97" i="1"/>
  <c r="AQ97" i="1"/>
  <c r="AG97" i="1"/>
  <c r="Y97" i="1"/>
  <c r="Q97" i="1"/>
  <c r="L97" i="1"/>
  <c r="D97" i="1"/>
  <c r="BK96" i="1"/>
  <c r="BG96" i="1"/>
  <c r="BD96" i="1"/>
  <c r="AQ96" i="1"/>
  <c r="AG96" i="1"/>
  <c r="Y96" i="1"/>
  <c r="Q96" i="1"/>
  <c r="L96" i="1"/>
  <c r="D96" i="1"/>
  <c r="BK95" i="1"/>
  <c r="BG95" i="1"/>
  <c r="BD95" i="1"/>
  <c r="AQ95" i="1"/>
  <c r="AG95" i="1"/>
  <c r="Y95" i="1"/>
  <c r="Q95" i="1"/>
  <c r="L95" i="1"/>
  <c r="D95" i="1"/>
  <c r="BK94" i="1"/>
  <c r="BG94" i="1"/>
  <c r="BD94" i="1"/>
  <c r="AQ94" i="1"/>
  <c r="AG94" i="1"/>
  <c r="Y94" i="1"/>
  <c r="Q94" i="1"/>
  <c r="L94" i="1"/>
  <c r="D94" i="1"/>
  <c r="BK93" i="1"/>
  <c r="BG93" i="1"/>
  <c r="BD93" i="1"/>
  <c r="AQ93" i="1"/>
  <c r="AG93" i="1"/>
  <c r="Y93" i="1"/>
  <c r="Q93" i="1"/>
  <c r="L93" i="1"/>
  <c r="D93" i="1"/>
  <c r="BK92" i="1"/>
  <c r="BG92" i="1"/>
  <c r="BD92" i="1"/>
  <c r="AQ92" i="1"/>
  <c r="AG92" i="1"/>
  <c r="Y92" i="1"/>
  <c r="Q92" i="1"/>
  <c r="L92" i="1"/>
  <c r="D92" i="1"/>
  <c r="BK91" i="1"/>
  <c r="BG91" i="1"/>
  <c r="BD91" i="1"/>
  <c r="AQ91" i="1"/>
  <c r="AG91" i="1"/>
  <c r="Y91" i="1"/>
  <c r="Q91" i="1"/>
  <c r="L91" i="1"/>
  <c r="D91" i="1"/>
  <c r="BK90" i="1"/>
  <c r="BG90" i="1"/>
  <c r="BD90" i="1"/>
  <c r="AQ90" i="1"/>
  <c r="AG90" i="1"/>
  <c r="Y90" i="1"/>
  <c r="Q90" i="1"/>
  <c r="L90" i="1"/>
  <c r="D90" i="1"/>
  <c r="BK89" i="1"/>
  <c r="BG89" i="1"/>
  <c r="BD89" i="1"/>
  <c r="AQ89" i="1"/>
  <c r="AG89" i="1"/>
  <c r="Y89" i="1"/>
  <c r="Q89" i="1"/>
  <c r="L89" i="1"/>
  <c r="D89" i="1"/>
  <c r="BK88" i="1"/>
  <c r="BG88" i="1"/>
  <c r="BD88" i="1"/>
  <c r="AQ88" i="1"/>
  <c r="AG88" i="1"/>
  <c r="Y88" i="1"/>
  <c r="Q88" i="1"/>
  <c r="L88" i="1"/>
  <c r="D88" i="1"/>
  <c r="BK87" i="1"/>
  <c r="BG87" i="1"/>
  <c r="BD87" i="1"/>
  <c r="AQ87" i="1"/>
  <c r="AG87" i="1"/>
  <c r="Y87" i="1"/>
  <c r="Q87" i="1"/>
  <c r="L87" i="1"/>
  <c r="D87" i="1"/>
  <c r="BK86" i="1"/>
  <c r="BG86" i="1"/>
  <c r="BD86" i="1"/>
  <c r="AQ86" i="1"/>
  <c r="AG86" i="1"/>
  <c r="Y86" i="1"/>
  <c r="Q86" i="1"/>
  <c r="L86" i="1"/>
  <c r="D86" i="1"/>
  <c r="BK85" i="1"/>
  <c r="BG85" i="1"/>
  <c r="BD85" i="1"/>
  <c r="AQ85" i="1"/>
  <c r="AG85" i="1"/>
  <c r="Y85" i="1"/>
  <c r="Q85" i="1"/>
  <c r="L85" i="1"/>
  <c r="D85" i="1"/>
  <c r="BK84" i="1"/>
  <c r="BG84" i="1"/>
  <c r="BD84" i="1"/>
  <c r="AQ84" i="1"/>
  <c r="AG84" i="1"/>
  <c r="Y84" i="1"/>
  <c r="Q84" i="1"/>
  <c r="L84" i="1"/>
  <c r="D84" i="1"/>
  <c r="BK83" i="1"/>
  <c r="BG83" i="1"/>
  <c r="BD83" i="1"/>
  <c r="AQ83" i="1"/>
  <c r="AG83" i="1"/>
  <c r="Y83" i="1"/>
  <c r="Q83" i="1"/>
  <c r="L83" i="1"/>
  <c r="D83" i="1"/>
  <c r="BK82" i="1"/>
  <c r="BG82" i="1"/>
  <c r="BD82" i="1"/>
  <c r="AQ82" i="1"/>
  <c r="AG82" i="1"/>
  <c r="Y82" i="1"/>
  <c r="Q82" i="1"/>
  <c r="L82" i="1"/>
  <c r="D82" i="1"/>
  <c r="BK81" i="1"/>
  <c r="BG81" i="1"/>
  <c r="BD81" i="1"/>
  <c r="AQ81" i="1"/>
  <c r="AG81" i="1"/>
  <c r="Y81" i="1"/>
  <c r="Q81" i="1"/>
  <c r="L81" i="1"/>
  <c r="D81" i="1"/>
  <c r="BK80" i="1"/>
  <c r="BG80" i="1"/>
  <c r="BD80" i="1"/>
  <c r="AQ80" i="1"/>
  <c r="AG80" i="1"/>
  <c r="Y80" i="1"/>
  <c r="Q80" i="1"/>
  <c r="L80" i="1"/>
  <c r="D80" i="1"/>
  <c r="BK79" i="1"/>
  <c r="BG79" i="1"/>
  <c r="BD79" i="1"/>
  <c r="AQ79" i="1"/>
  <c r="AG79" i="1"/>
  <c r="Y79" i="1"/>
  <c r="Q79" i="1"/>
  <c r="L79" i="1"/>
  <c r="D79" i="1"/>
  <c r="BK78" i="1"/>
  <c r="BG78" i="1"/>
  <c r="BD78" i="1"/>
  <c r="AQ78" i="1"/>
  <c r="AG78" i="1"/>
  <c r="Y78" i="1"/>
  <c r="Q78" i="1"/>
  <c r="L78" i="1"/>
  <c r="D78" i="1"/>
  <c r="BK77" i="1"/>
  <c r="BG77" i="1"/>
  <c r="BD77" i="1"/>
  <c r="AQ77" i="1"/>
  <c r="AG77" i="1"/>
  <c r="Y77" i="1"/>
  <c r="Q77" i="1"/>
  <c r="L77" i="1"/>
  <c r="D77" i="1"/>
  <c r="BK76" i="1"/>
  <c r="BG76" i="1"/>
  <c r="BD76" i="1"/>
  <c r="AQ76" i="1"/>
  <c r="AG76" i="1"/>
  <c r="Y76" i="1"/>
  <c r="Q76" i="1"/>
  <c r="L76" i="1"/>
  <c r="D76" i="1"/>
  <c r="BK75" i="1"/>
  <c r="BG75" i="1"/>
  <c r="BD75" i="1"/>
  <c r="AQ75" i="1"/>
  <c r="AG75" i="1"/>
  <c r="Y75" i="1"/>
  <c r="Q75" i="1"/>
  <c r="L75" i="1"/>
  <c r="D75" i="1"/>
  <c r="BK74" i="1"/>
  <c r="BG74" i="1"/>
  <c r="BD74" i="1"/>
  <c r="AQ74" i="1"/>
  <c r="AG74" i="1"/>
  <c r="Y74" i="1"/>
  <c r="Q74" i="1"/>
  <c r="L74" i="1"/>
  <c r="D74" i="1"/>
  <c r="BK73" i="1"/>
  <c r="BG73" i="1"/>
  <c r="BD73" i="1"/>
  <c r="AQ73" i="1"/>
  <c r="AG73" i="1"/>
  <c r="Y73" i="1"/>
  <c r="Q73" i="1"/>
  <c r="L73" i="1"/>
  <c r="D73" i="1"/>
  <c r="BK72" i="1"/>
  <c r="BG72" i="1"/>
  <c r="BD72" i="1"/>
  <c r="AQ72" i="1"/>
  <c r="AG72" i="1"/>
  <c r="Y72" i="1"/>
  <c r="Q72" i="1"/>
  <c r="L72" i="1"/>
  <c r="D72" i="1"/>
  <c r="BK71" i="1"/>
  <c r="BG71" i="1"/>
  <c r="BD71" i="1"/>
  <c r="AQ71" i="1"/>
  <c r="AG71" i="1"/>
  <c r="Y71" i="1"/>
  <c r="Q71" i="1"/>
  <c r="L71" i="1"/>
  <c r="D71" i="1"/>
  <c r="BK70" i="1"/>
  <c r="BG70" i="1"/>
  <c r="BD70" i="1"/>
  <c r="AQ70" i="1"/>
  <c r="AG70" i="1"/>
  <c r="Y70" i="1"/>
  <c r="Q70" i="1"/>
  <c r="L70" i="1"/>
  <c r="D70" i="1"/>
  <c r="BK69" i="1"/>
  <c r="BG69" i="1"/>
  <c r="BD69" i="1"/>
  <c r="AQ69" i="1"/>
  <c r="AG69" i="1"/>
  <c r="Y69" i="1"/>
  <c r="Q69" i="1"/>
  <c r="L69" i="1"/>
  <c r="D69" i="1"/>
  <c r="BK68" i="1"/>
  <c r="BG68" i="1"/>
  <c r="BD68" i="1"/>
  <c r="AQ68" i="1"/>
  <c r="AG68" i="1"/>
  <c r="Y68" i="1"/>
  <c r="Q68" i="1"/>
  <c r="L68" i="1"/>
  <c r="D68" i="1"/>
  <c r="BK67" i="1"/>
  <c r="BG67" i="1"/>
  <c r="BD67" i="1"/>
  <c r="AQ67" i="1"/>
  <c r="AG67" i="1"/>
  <c r="Y67" i="1"/>
  <c r="Q67" i="1"/>
  <c r="L67" i="1"/>
  <c r="D67" i="1"/>
  <c r="BK66" i="1"/>
  <c r="BG66" i="1"/>
  <c r="BD66" i="1"/>
  <c r="AQ66" i="1"/>
  <c r="AG66" i="1"/>
  <c r="Y66" i="1"/>
  <c r="Q66" i="1"/>
  <c r="L66" i="1"/>
  <c r="D66" i="1"/>
  <c r="BK65" i="1"/>
  <c r="BG65" i="1"/>
  <c r="BD65" i="1"/>
  <c r="AQ65" i="1"/>
  <c r="AG65" i="1"/>
  <c r="Y65" i="1"/>
  <c r="Q65" i="1"/>
  <c r="L65" i="1"/>
  <c r="D65" i="1"/>
  <c r="BK64" i="1"/>
  <c r="BG64" i="1"/>
  <c r="BD64" i="1"/>
  <c r="AQ64" i="1"/>
  <c r="AG64" i="1"/>
  <c r="Y64" i="1"/>
  <c r="Q64" i="1"/>
  <c r="L64" i="1"/>
  <c r="D64" i="1"/>
  <c r="BK63" i="1"/>
  <c r="BG63" i="1"/>
  <c r="BD63" i="1"/>
  <c r="AQ63" i="1"/>
  <c r="AG63" i="1"/>
  <c r="Y63" i="1"/>
  <c r="Q63" i="1"/>
  <c r="L63" i="1"/>
  <c r="D63" i="1"/>
  <c r="BK62" i="1"/>
  <c r="BG62" i="1"/>
  <c r="BD62" i="1"/>
  <c r="AQ62" i="1"/>
  <c r="AG62" i="1"/>
  <c r="Y62" i="1"/>
  <c r="Q62" i="1"/>
  <c r="L62" i="1"/>
  <c r="D62" i="1"/>
  <c r="BK61" i="1"/>
  <c r="BG61" i="1"/>
  <c r="BD61" i="1"/>
  <c r="AQ61" i="1"/>
  <c r="AG61" i="1"/>
  <c r="Y61" i="1"/>
  <c r="Q61" i="1"/>
  <c r="L61" i="1"/>
  <c r="D61" i="1"/>
  <c r="BK60" i="1"/>
  <c r="BG60" i="1"/>
  <c r="BD60" i="1"/>
  <c r="AQ60" i="1"/>
  <c r="AG60" i="1"/>
  <c r="Y60" i="1"/>
  <c r="Q60" i="1"/>
  <c r="L60" i="1"/>
  <c r="D60" i="1"/>
  <c r="BK59" i="1"/>
  <c r="BG59" i="1"/>
  <c r="BD59" i="1"/>
  <c r="AQ59" i="1"/>
  <c r="AG59" i="1"/>
  <c r="Y59" i="1"/>
  <c r="Q59" i="1"/>
  <c r="L59" i="1"/>
  <c r="D59" i="1"/>
  <c r="BK58" i="1"/>
  <c r="BG58" i="1"/>
  <c r="BD58" i="1"/>
  <c r="AQ58" i="1"/>
  <c r="AG58" i="1"/>
  <c r="Y58" i="1"/>
  <c r="Q58" i="1"/>
  <c r="L58" i="1"/>
  <c r="D58" i="1"/>
  <c r="BK57" i="1"/>
  <c r="BG57" i="1"/>
  <c r="BD57" i="1"/>
  <c r="AQ57" i="1"/>
  <c r="AG57" i="1"/>
  <c r="Y57" i="1"/>
  <c r="Q57" i="1"/>
  <c r="L57" i="1"/>
  <c r="D57" i="1"/>
  <c r="BK56" i="1"/>
  <c r="BG56" i="1"/>
  <c r="BD56" i="1"/>
  <c r="AQ56" i="1"/>
  <c r="AG56" i="1"/>
  <c r="Y56" i="1"/>
  <c r="Q56" i="1"/>
  <c r="L56" i="1"/>
  <c r="D56" i="1"/>
  <c r="BK55" i="1"/>
  <c r="BG55" i="1"/>
  <c r="BD55" i="1"/>
  <c r="AQ55" i="1"/>
  <c r="AG55" i="1"/>
  <c r="Y55" i="1"/>
  <c r="Q55" i="1"/>
  <c r="L55" i="1"/>
  <c r="D55" i="1"/>
  <c r="BK54" i="1"/>
  <c r="BG54" i="1"/>
  <c r="BD54" i="1"/>
  <c r="AQ54" i="1"/>
  <c r="AG54" i="1"/>
  <c r="Y54" i="1"/>
  <c r="Q54" i="1"/>
  <c r="L54" i="1"/>
  <c r="D54" i="1"/>
  <c r="BK53" i="1"/>
  <c r="BG53" i="1"/>
  <c r="BD53" i="1"/>
  <c r="AQ53" i="1"/>
  <c r="AG53" i="1"/>
  <c r="Y53" i="1"/>
  <c r="Q53" i="1"/>
  <c r="L53" i="1"/>
  <c r="D53" i="1"/>
  <c r="BK52" i="1"/>
  <c r="BG52" i="1"/>
  <c r="BD52" i="1"/>
  <c r="AQ52" i="1"/>
  <c r="AG52" i="1"/>
  <c r="Y52" i="1"/>
  <c r="Q52" i="1"/>
  <c r="L52" i="1"/>
  <c r="D52" i="1"/>
  <c r="BK51" i="1"/>
  <c r="BG51" i="1"/>
  <c r="BD51" i="1"/>
  <c r="AQ51" i="1"/>
  <c r="AG51" i="1"/>
  <c r="Y51" i="1"/>
  <c r="Q51" i="1"/>
  <c r="L51" i="1"/>
  <c r="D51" i="1"/>
  <c r="BK50" i="1"/>
  <c r="BG50" i="1"/>
  <c r="BD50" i="1"/>
  <c r="AQ50" i="1"/>
  <c r="AG50" i="1"/>
  <c r="Y50" i="1"/>
  <c r="Q50" i="1"/>
  <c r="L50" i="1"/>
  <c r="D50" i="1"/>
  <c r="BK49" i="1"/>
  <c r="BG49" i="1"/>
  <c r="BD49" i="1"/>
  <c r="AQ49" i="1"/>
  <c r="AG49" i="1"/>
  <c r="Y49" i="1"/>
  <c r="Q49" i="1"/>
  <c r="L49" i="1"/>
  <c r="D49" i="1"/>
  <c r="BK48" i="1"/>
  <c r="BG48" i="1"/>
  <c r="BD48" i="1"/>
  <c r="AQ48" i="1"/>
  <c r="AG48" i="1"/>
  <c r="Y48" i="1"/>
  <c r="Q48" i="1"/>
  <c r="L48" i="1"/>
  <c r="D48" i="1"/>
  <c r="BK47" i="1"/>
  <c r="BG47" i="1"/>
  <c r="BD47" i="1"/>
  <c r="AQ47" i="1"/>
  <c r="AG47" i="1"/>
  <c r="Y47" i="1"/>
  <c r="Q47" i="1"/>
  <c r="L47" i="1"/>
  <c r="D47" i="1"/>
  <c r="BK46" i="1"/>
  <c r="BG46" i="1"/>
  <c r="BD46" i="1"/>
  <c r="AQ46" i="1"/>
  <c r="AG46" i="1"/>
  <c r="Y46" i="1"/>
  <c r="Q46" i="1"/>
  <c r="L46" i="1"/>
  <c r="D46" i="1"/>
  <c r="BK45" i="1"/>
  <c r="BG45" i="1"/>
  <c r="BD45" i="1"/>
  <c r="AQ45" i="1"/>
  <c r="AG45" i="1"/>
  <c r="Y45" i="1"/>
  <c r="Q45" i="1"/>
  <c r="L45" i="1"/>
  <c r="D45" i="1"/>
  <c r="BK44" i="1"/>
  <c r="BG44" i="1"/>
  <c r="BD44" i="1"/>
  <c r="AQ44" i="1"/>
  <c r="AG44" i="1"/>
  <c r="Y44" i="1"/>
  <c r="Q44" i="1"/>
  <c r="L44" i="1"/>
  <c r="D44" i="1"/>
  <c r="BK43" i="1"/>
  <c r="BG43" i="1"/>
  <c r="BD43" i="1"/>
  <c r="AQ43" i="1"/>
  <c r="AG43" i="1"/>
  <c r="Y43" i="1"/>
  <c r="Q43" i="1"/>
  <c r="L43" i="1"/>
  <c r="D43" i="1"/>
  <c r="BK42" i="1"/>
  <c r="BG42" i="1"/>
  <c r="BD42" i="1"/>
  <c r="AQ42" i="1"/>
  <c r="AG42" i="1"/>
  <c r="Y42" i="1"/>
  <c r="Q42" i="1"/>
  <c r="L42" i="1"/>
  <c r="D42" i="1"/>
  <c r="BK41" i="1"/>
  <c r="BG41" i="1"/>
  <c r="BD41" i="1"/>
  <c r="AQ41" i="1"/>
  <c r="AG41" i="1"/>
  <c r="Y41" i="1"/>
  <c r="Q41" i="1"/>
  <c r="L41" i="1"/>
  <c r="D41" i="1"/>
  <c r="BK40" i="1"/>
  <c r="BG40" i="1"/>
  <c r="BD40" i="1"/>
  <c r="AQ40" i="1"/>
  <c r="AG40" i="1"/>
  <c r="Y40" i="1"/>
  <c r="Q40" i="1"/>
  <c r="L40" i="1"/>
  <c r="D40" i="1"/>
  <c r="BK39" i="1"/>
  <c r="BG39" i="1"/>
  <c r="BD39" i="1"/>
  <c r="AQ39" i="1"/>
  <c r="AG39" i="1"/>
  <c r="Y39" i="1"/>
  <c r="Q39" i="1"/>
  <c r="L39" i="1"/>
  <c r="D39" i="1"/>
  <c r="BK38" i="1"/>
  <c r="BG38" i="1"/>
  <c r="BD38" i="1"/>
  <c r="AQ38" i="1"/>
  <c r="AG38" i="1"/>
  <c r="Y38" i="1"/>
  <c r="Q38" i="1"/>
  <c r="L38" i="1"/>
  <c r="D38" i="1"/>
  <c r="BK37" i="1"/>
  <c r="BG37" i="1"/>
  <c r="BD37" i="1"/>
  <c r="AQ37" i="1"/>
  <c r="AG37" i="1"/>
  <c r="Y37" i="1"/>
  <c r="Q37" i="1"/>
  <c r="L37" i="1"/>
  <c r="D37" i="1"/>
  <c r="BK36" i="1"/>
  <c r="BG36" i="1"/>
  <c r="BD36" i="1"/>
  <c r="AQ36" i="1"/>
  <c r="AG36" i="1"/>
  <c r="Y36" i="1"/>
  <c r="Q36" i="1"/>
  <c r="L36" i="1"/>
  <c r="D36" i="1"/>
  <c r="BK35" i="1"/>
  <c r="BG35" i="1"/>
  <c r="BD35" i="1"/>
  <c r="AQ35" i="1"/>
  <c r="AG35" i="1"/>
  <c r="Y35" i="1"/>
  <c r="Q35" i="1"/>
  <c r="L35" i="1"/>
  <c r="D35" i="1"/>
  <c r="BK34" i="1"/>
  <c r="BG34" i="1"/>
  <c r="BD34" i="1"/>
  <c r="AQ34" i="1"/>
  <c r="AG34" i="1"/>
  <c r="Y34" i="1"/>
  <c r="Q34" i="1"/>
  <c r="L34" i="1"/>
  <c r="D34" i="1"/>
  <c r="BK33" i="1"/>
  <c r="BG33" i="1"/>
  <c r="BD33" i="1"/>
  <c r="AQ33" i="1"/>
  <c r="AG33" i="1"/>
  <c r="Y33" i="1"/>
  <c r="Q33" i="1"/>
  <c r="L33" i="1"/>
  <c r="D33" i="1"/>
  <c r="BK32" i="1"/>
  <c r="BG32" i="1"/>
  <c r="BD32" i="1"/>
  <c r="AQ32" i="1"/>
  <c r="AG32" i="1"/>
  <c r="Y32" i="1"/>
  <c r="Q32" i="1"/>
  <c r="L32" i="1"/>
  <c r="D32" i="1"/>
  <c r="BK31" i="1"/>
  <c r="BG31" i="1"/>
  <c r="BD31" i="1"/>
  <c r="AQ31" i="1"/>
  <c r="AG31" i="1"/>
  <c r="Y31" i="1"/>
  <c r="Q31" i="1"/>
  <c r="L31" i="1"/>
  <c r="D31" i="1"/>
  <c r="BK30" i="1"/>
  <c r="BG30" i="1"/>
  <c r="BD30" i="1"/>
  <c r="AQ30" i="1"/>
  <c r="AG30" i="1"/>
  <c r="Y30" i="1"/>
  <c r="Q30" i="1"/>
  <c r="L30" i="1"/>
  <c r="D30" i="1"/>
  <c r="BK29" i="1"/>
  <c r="BG29" i="1"/>
  <c r="BD29" i="1"/>
  <c r="AQ29" i="1"/>
  <c r="AG29" i="1"/>
  <c r="Y29" i="1"/>
  <c r="Q29" i="1"/>
  <c r="L29" i="1"/>
  <c r="D29" i="1"/>
  <c r="BK28" i="1"/>
  <c r="BG28" i="1"/>
  <c r="BD28" i="1"/>
  <c r="AQ28" i="1"/>
  <c r="AG28" i="1"/>
  <c r="Y28" i="1"/>
  <c r="Q28" i="1"/>
  <c r="L28" i="1"/>
  <c r="D28" i="1"/>
  <c r="BK27" i="1"/>
  <c r="BG27" i="1"/>
  <c r="BD27" i="1"/>
  <c r="AQ27" i="1"/>
  <c r="AG27" i="1"/>
  <c r="Y27" i="1"/>
  <c r="Q27" i="1"/>
  <c r="L27" i="1"/>
  <c r="D27" i="1"/>
  <c r="BK26" i="1"/>
  <c r="BG26" i="1"/>
  <c r="BD26" i="1"/>
  <c r="AQ26" i="1"/>
  <c r="AG26" i="1"/>
  <c r="Y26" i="1"/>
  <c r="Q26" i="1"/>
  <c r="L26" i="1"/>
  <c r="D26" i="1"/>
  <c r="BK25" i="1"/>
  <c r="BG25" i="1"/>
  <c r="BD25" i="1"/>
  <c r="AQ25" i="1"/>
  <c r="AG25" i="1"/>
  <c r="Y25" i="1"/>
  <c r="Q25" i="1"/>
  <c r="L25" i="1"/>
  <c r="D25" i="1"/>
  <c r="BK24" i="1"/>
  <c r="BG24" i="1"/>
  <c r="BD24" i="1"/>
  <c r="AQ24" i="1"/>
  <c r="AG24" i="1"/>
  <c r="Y24" i="1"/>
  <c r="Q24" i="1"/>
  <c r="L24" i="1"/>
  <c r="D24" i="1"/>
  <c r="BK23" i="1"/>
  <c r="BG23" i="1"/>
  <c r="BD23" i="1"/>
  <c r="AQ23" i="1"/>
  <c r="AG23" i="1"/>
  <c r="Y23" i="1"/>
  <c r="Q23" i="1"/>
  <c r="L23" i="1"/>
  <c r="D23" i="1"/>
  <c r="BK22" i="1"/>
  <c r="BG22" i="1"/>
  <c r="BD22" i="1"/>
  <c r="AQ22" i="1"/>
  <c r="AG22" i="1"/>
  <c r="Y22" i="1"/>
  <c r="Q22" i="1"/>
  <c r="L22" i="1"/>
  <c r="D22" i="1"/>
  <c r="BK21" i="1"/>
  <c r="BG21" i="1"/>
  <c r="BD21" i="1"/>
  <c r="AQ21" i="1"/>
  <c r="AG21" i="1"/>
  <c r="Y21" i="1"/>
  <c r="Q21" i="1"/>
  <c r="L21" i="1"/>
  <c r="D21" i="1"/>
  <c r="BK20" i="1"/>
  <c r="BG20" i="1"/>
  <c r="BD20" i="1"/>
  <c r="AQ20" i="1"/>
  <c r="AG20" i="1"/>
  <c r="Y20" i="1"/>
  <c r="Q20" i="1"/>
  <c r="L20" i="1"/>
  <c r="D20" i="1"/>
  <c r="BK19" i="1"/>
  <c r="BG19" i="1"/>
  <c r="BD19" i="1"/>
  <c r="AQ19" i="1"/>
  <c r="AG19" i="1"/>
  <c r="Y19" i="1"/>
  <c r="Q19" i="1"/>
  <c r="L19" i="1"/>
  <c r="D19" i="1"/>
  <c r="BK18" i="1"/>
  <c r="BG18" i="1"/>
  <c r="BD18" i="1"/>
  <c r="AQ18" i="1"/>
  <c r="AG18" i="1"/>
  <c r="Y18" i="1"/>
  <c r="Q18" i="1"/>
  <c r="L18" i="1"/>
  <c r="D18" i="1"/>
  <c r="BK17" i="1"/>
  <c r="BG17" i="1"/>
  <c r="BD17" i="1"/>
  <c r="AQ17" i="1"/>
  <c r="AG17" i="1"/>
  <c r="Y17" i="1"/>
  <c r="Q17" i="1"/>
  <c r="L17" i="1"/>
  <c r="D17" i="1"/>
  <c r="BK16" i="1"/>
  <c r="BG16" i="1"/>
  <c r="BD16" i="1"/>
  <c r="AQ16" i="1"/>
  <c r="AG16" i="1"/>
  <c r="Y16" i="1"/>
  <c r="Q16" i="1"/>
  <c r="L16" i="1"/>
  <c r="D16" i="1"/>
  <c r="BK15" i="1"/>
  <c r="BG15" i="1"/>
  <c r="BD15" i="1"/>
  <c r="AQ15" i="1"/>
  <c r="AG15" i="1"/>
  <c r="Y15" i="1"/>
  <c r="Q15" i="1"/>
  <c r="L15" i="1"/>
  <c r="D15" i="1"/>
  <c r="BK14" i="1"/>
  <c r="BG14" i="1"/>
  <c r="BD14" i="1"/>
  <c r="AQ14" i="1"/>
  <c r="AG14" i="1"/>
  <c r="Y14" i="1"/>
  <c r="Q14" i="1"/>
  <c r="L14" i="1"/>
  <c r="D14" i="1"/>
  <c r="BK13" i="1"/>
  <c r="BG13" i="1"/>
  <c r="BD13" i="1"/>
  <c r="AQ13" i="1"/>
  <c r="AG13" i="1"/>
  <c r="Y13" i="1"/>
  <c r="Q13" i="1"/>
  <c r="L13" i="1"/>
  <c r="D13" i="1"/>
  <c r="BK12" i="1"/>
  <c r="BG12" i="1"/>
  <c r="BD12" i="1"/>
  <c r="AQ12" i="1"/>
  <c r="AG12" i="1"/>
  <c r="Y12" i="1"/>
  <c r="Q12" i="1"/>
  <c r="L12" i="1"/>
  <c r="D12" i="1"/>
  <c r="BK11" i="1"/>
  <c r="BG11" i="1"/>
  <c r="BD11" i="1"/>
  <c r="AQ11" i="1"/>
  <c r="AG11" i="1"/>
  <c r="Y11" i="1"/>
  <c r="Q11" i="1"/>
  <c r="L11" i="1"/>
  <c r="D11" i="1"/>
  <c r="BK10" i="1"/>
  <c r="BG10" i="1"/>
  <c r="BD10" i="1"/>
  <c r="AQ10" i="1"/>
  <c r="AG10" i="1"/>
  <c r="Y10" i="1"/>
  <c r="Q10" i="1"/>
  <c r="L10" i="1"/>
  <c r="D10" i="1"/>
  <c r="BK9" i="1"/>
  <c r="BG9" i="1"/>
  <c r="BD9" i="1"/>
  <c r="AQ9" i="1"/>
  <c r="AG9" i="1"/>
  <c r="Y9" i="1"/>
  <c r="Q9" i="1"/>
  <c r="L9" i="1"/>
  <c r="D9" i="1"/>
  <c r="BK8" i="1"/>
  <c r="BG8" i="1"/>
  <c r="BD8" i="1"/>
  <c r="AQ8" i="1"/>
  <c r="AG8" i="1"/>
  <c r="Y8" i="1"/>
  <c r="Q8" i="1"/>
  <c r="L8" i="1"/>
  <c r="D8" i="1"/>
  <c r="BK7" i="1"/>
  <c r="BG7" i="1"/>
  <c r="BD7" i="1"/>
  <c r="AQ7" i="1"/>
  <c r="AG7" i="1"/>
  <c r="Y7" i="1"/>
  <c r="Q7" i="1"/>
  <c r="L7" i="1"/>
  <c r="D7" i="1"/>
  <c r="BK6" i="1"/>
  <c r="BG6" i="1"/>
  <c r="BD6" i="1"/>
  <c r="AQ6" i="1"/>
  <c r="AG6" i="1"/>
  <c r="Y6" i="1"/>
  <c r="Q6" i="1"/>
  <c r="L6" i="1"/>
  <c r="D6" i="1"/>
  <c r="BK5" i="1"/>
  <c r="BG5" i="1"/>
  <c r="BD5" i="1"/>
  <c r="AQ5" i="1"/>
  <c r="AG5" i="1"/>
  <c r="Y5" i="1"/>
  <c r="Q5" i="1"/>
  <c r="L5" i="1"/>
  <c r="D5" i="1"/>
  <c r="BK4" i="1"/>
  <c r="BG4" i="1"/>
  <c r="BG237" i="1" s="1"/>
  <c r="BD4" i="1"/>
  <c r="AQ4" i="1"/>
  <c r="AG4" i="1"/>
  <c r="Y4" i="1"/>
  <c r="Y237" i="1" s="1"/>
  <c r="Q4" i="1"/>
  <c r="L4" i="1"/>
  <c r="L236" i="1" s="1"/>
  <c r="D4" i="1"/>
  <c r="BK296" i="2" l="1"/>
  <c r="BG296" i="2"/>
  <c r="BD294" i="2"/>
  <c r="AG296" i="2"/>
  <c r="Y296" i="2"/>
  <c r="Q294" i="2"/>
  <c r="D296" i="2"/>
  <c r="BK237" i="1"/>
  <c r="BK235" i="1"/>
  <c r="BG236" i="1"/>
  <c r="BD236" i="1"/>
  <c r="BD235" i="1"/>
  <c r="AQ236" i="1"/>
  <c r="AG237" i="1"/>
  <c r="AG235" i="1"/>
  <c r="Y235" i="1"/>
  <c r="Q236" i="1"/>
  <c r="Q235" i="1"/>
  <c r="D237" i="1"/>
  <c r="D235" i="1"/>
  <c r="Y294" i="2"/>
  <c r="BG294" i="2"/>
  <c r="Q295" i="2"/>
  <c r="BD295" i="2"/>
  <c r="L296" i="2"/>
  <c r="AQ296" i="2"/>
  <c r="D294" i="2"/>
  <c r="AG294" i="2"/>
  <c r="BK294" i="2"/>
  <c r="Y295" i="2"/>
  <c r="BG295" i="2"/>
  <c r="Q296" i="2"/>
  <c r="BD296" i="2"/>
  <c r="BG235" i="1"/>
  <c r="AQ237" i="1"/>
  <c r="Y236" i="1"/>
  <c r="Q237" i="1"/>
  <c r="L235" i="1"/>
  <c r="AQ235" i="1"/>
  <c r="D236" i="1"/>
  <c r="AG236" i="1"/>
  <c r="BK236" i="1"/>
  <c r="L294" i="2"/>
  <c r="AQ294" i="2"/>
  <c r="D295" i="2"/>
  <c r="AG295" i="2"/>
  <c r="BK295" i="2"/>
  <c r="L237" i="1"/>
  <c r="BD237" i="1"/>
</calcChain>
</file>

<file path=xl/sharedStrings.xml><?xml version="1.0" encoding="utf-8"?>
<sst xmlns="http://schemas.openxmlformats.org/spreadsheetml/2006/main" count="4095" uniqueCount="946">
  <si>
    <t>Global Accounts 2018</t>
  </si>
  <si>
    <t>The raw data taken from the Global Accounts Consolidated Group Data tab is contained in columns with light purple headers below. To view the raw cost data either select the '+' signs above or select "2" in the top left hand corner (above cell A1), to hide the raw data select the minus signs or "1" in the top left hand corner.</t>
  </si>
  <si>
    <t>Value for Money metrics</t>
  </si>
  <si>
    <t>% social housing owned or managed by type (SDR)</t>
  </si>
  <si>
    <t>Provider type</t>
  </si>
  <si>
    <t>Region of operation (SDR)</t>
  </si>
  <si>
    <t>RP_Code</t>
  </si>
  <si>
    <t>RP_Name</t>
  </si>
  <si>
    <t>FYE</t>
  </si>
  <si>
    <t>Reinvestment</t>
  </si>
  <si>
    <t>Development of new properties (Total housing properties)</t>
  </si>
  <si>
    <t>Newly built properties acquired (Total housing properties)</t>
  </si>
  <si>
    <t xml:space="preserve"> Works to Existing (Total housing properties)</t>
  </si>
  <si>
    <t>Capitalised Interest (Total housing properties)</t>
  </si>
  <si>
    <t>Schemes completed (Total housing properties)</t>
  </si>
  <si>
    <t>Tangible fixed assets: Housing properties at cost (Current period)</t>
  </si>
  <si>
    <t>Tangible fixed assets Housing properties at valuation (Current period)</t>
  </si>
  <si>
    <t>New Supply (Social)</t>
  </si>
  <si>
    <t>Total social units developed or newly built units acquired in-year (owned)</t>
  </si>
  <si>
    <t>Total social leasehold units developed or newly built units acquired in-year (owned)</t>
  </si>
  <si>
    <t>Total social housing units owned (Period end)</t>
  </si>
  <si>
    <t>Total social leasehold units owned (Period end)</t>
  </si>
  <si>
    <t>New Supply (Non-Social)</t>
  </si>
  <si>
    <t>Total non-social units developed or newly built units acquired in-year (owned)</t>
  </si>
  <si>
    <t>Total non-social leasehold units developed or newly built units acquired in-year (owned)</t>
  </si>
  <si>
    <t>New outright sale units developed or acquired (owned)</t>
  </si>
  <si>
    <t>Total social housing units owned (Period end)2</t>
  </si>
  <si>
    <t>Total non-social rental housing units owned (Period end)</t>
  </si>
  <si>
    <t>Total social leasehold units owned (Period end)2</t>
  </si>
  <si>
    <t>Total non-social leasehold units owned (Period end)</t>
  </si>
  <si>
    <t>Gearing</t>
  </si>
  <si>
    <t>Short-term loans</t>
  </si>
  <si>
    <t>Long-term loans</t>
  </si>
  <si>
    <t xml:space="preserve">Cash and cash equivalents </t>
  </si>
  <si>
    <t>Amounts owed to group undertakings</t>
  </si>
  <si>
    <t>Finance lease obligations</t>
  </si>
  <si>
    <t>Tangible fixed assets: Housing properties at cost (Current period)2</t>
  </si>
  <si>
    <t>Tangible fixed assets Housing properties at valuation (Current period)2</t>
  </si>
  <si>
    <t>EBITDA MRI Interest Rate Cover</t>
  </si>
  <si>
    <t>Operating surplus/(deficit) (overall)</t>
  </si>
  <si>
    <t>Gain/(loss) on disposal of fixed assets (housing properties)</t>
  </si>
  <si>
    <t>Amortised government grant</t>
  </si>
  <si>
    <t>Government grants taken to income</t>
  </si>
  <si>
    <t>Interest receivable</t>
  </si>
  <si>
    <t>Capitalised major repairs expenditure for period</t>
  </si>
  <si>
    <t>Total depreciation charge for period</t>
  </si>
  <si>
    <t>Interest capitalised</t>
  </si>
  <si>
    <t>Interest payable and financing costs</t>
  </si>
  <si>
    <t>Headline Social Housing Cost per unit</t>
  </si>
  <si>
    <t>Management costs</t>
  </si>
  <si>
    <t>Service charge costs</t>
  </si>
  <si>
    <t>Routine maintenance costs</t>
  </si>
  <si>
    <t>Planned maintenance costs</t>
  </si>
  <si>
    <t>Major repairs expenditure</t>
  </si>
  <si>
    <t>Capitalised major repairs expenditure for period2</t>
  </si>
  <si>
    <t>Other (social housing letting) costs</t>
  </si>
  <si>
    <t>Development services</t>
  </si>
  <si>
    <t>Community/neighbourhood services</t>
  </si>
  <si>
    <t>Other social housing activities: Other</t>
  </si>
  <si>
    <t>Other social housing activities: charges for support services</t>
  </si>
  <si>
    <t>Total social housing units owned and/or managed at period end</t>
  </si>
  <si>
    <t>Operating Margin (SHL)</t>
  </si>
  <si>
    <t>Operating surplus/(deficit) (social housing lettings)</t>
  </si>
  <si>
    <t>Turnover from social housing lettings</t>
  </si>
  <si>
    <t>Operating Margin (Overall)</t>
  </si>
  <si>
    <t>Operating surplus/(deficit) (overall)2</t>
  </si>
  <si>
    <t>Gain/(loss) on disposal of fixed assets (housing properties)2</t>
  </si>
  <si>
    <t>Turnover (overall)</t>
  </si>
  <si>
    <t>ROCE</t>
  </si>
  <si>
    <t>Operating surplus/(deficit) (overall)3</t>
  </si>
  <si>
    <t>Share of operating surplus/(deficit) in joint ventures or associates</t>
  </si>
  <si>
    <t>Total assets less current liabilities</t>
  </si>
  <si>
    <t>% Supported housing (excl. HOP)</t>
  </si>
  <si>
    <t>% Housing for older people</t>
  </si>
  <si>
    <t xml:space="preserve">Type </t>
  </si>
  <si>
    <t>Date of largest transfer</t>
  </si>
  <si>
    <t>LSVT age</t>
  </si>
  <si>
    <t>Region with 50%+ of social stock owned</t>
  </si>
  <si>
    <t>ASHE regional wage index (England = 1)</t>
  </si>
  <si>
    <t>GL4240</t>
  </si>
  <si>
    <t>A2Dominion Housing Group Limited</t>
  </si>
  <si>
    <t>31/03/2018</t>
  </si>
  <si>
    <t>Traditional</t>
  </si>
  <si>
    <t/>
  </si>
  <si>
    <t>South East</t>
  </si>
  <si>
    <t>GL4511</t>
  </si>
  <si>
    <t>Accent Group Limited</t>
  </si>
  <si>
    <t>Mixed</t>
  </si>
  <si>
    <t>LH3902</t>
  </si>
  <si>
    <t>Accord Housing Association Limited</t>
  </si>
  <si>
    <t>West Midlands</t>
  </si>
  <si>
    <t>GL4229</t>
  </si>
  <si>
    <t>Acis Group Limited</t>
  </si>
  <si>
    <t>LSVT</t>
  </si>
  <si>
    <t>&gt;12 Years</t>
  </si>
  <si>
    <t>East Midlands</t>
  </si>
  <si>
    <t>LH0280</t>
  </si>
  <si>
    <t>Advance Housing and Support Limited</t>
  </si>
  <si>
    <t>GLH1682</t>
  </si>
  <si>
    <t>Aldwyck Housing Group Limited</t>
  </si>
  <si>
    <t>East of England</t>
  </si>
  <si>
    <t>GLH4095</t>
  </si>
  <si>
    <t>Anchor Trust</t>
  </si>
  <si>
    <t>L3713</t>
  </si>
  <si>
    <t>Arawak Walton Housing Association Limited</t>
  </si>
  <si>
    <t>North West</t>
  </si>
  <si>
    <t>LH0884</t>
  </si>
  <si>
    <t>Arches Housing Limited</t>
  </si>
  <si>
    <t>Yorkshire &amp; the Humber</t>
  </si>
  <si>
    <t>GL0249</t>
  </si>
  <si>
    <t>Arcon Housing Association Limited</t>
  </si>
  <si>
    <t>GL4238</t>
  </si>
  <si>
    <t>Aspire Housing Limited</t>
  </si>
  <si>
    <t>GL4393</t>
  </si>
  <si>
    <t>Aster Group Limited</t>
  </si>
  <si>
    <t>South West</t>
  </si>
  <si>
    <t>GL4455</t>
  </si>
  <si>
    <t>B3 Living Limited</t>
  </si>
  <si>
    <t>G4868</t>
  </si>
  <si>
    <t>Bernicia Group</t>
  </si>
  <si>
    <t>7-12 Years</t>
  </si>
  <si>
    <t>North East</t>
  </si>
  <si>
    <t>LH4401</t>
  </si>
  <si>
    <t>Beyond Housing Limited</t>
  </si>
  <si>
    <t>GL1668</t>
  </si>
  <si>
    <t>Black Country Housing Group Limited</t>
  </si>
  <si>
    <t>G4568</t>
  </si>
  <si>
    <t>Bolton at Home Limited</t>
  </si>
  <si>
    <t>GLH4237</t>
  </si>
  <si>
    <t>Boston Mayflower Limited</t>
  </si>
  <si>
    <t>GLH0155</t>
  </si>
  <si>
    <t>Bournemouth Churches Housing Association Limited</t>
  </si>
  <si>
    <t>GL0702</t>
  </si>
  <si>
    <t>Bournville Village Trust</t>
  </si>
  <si>
    <t>31/12/2017</t>
  </si>
  <si>
    <t>GLH3887</t>
  </si>
  <si>
    <t>bpha Limited</t>
  </si>
  <si>
    <t>GLH4014</t>
  </si>
  <si>
    <t>Broadacres Housing Association Limited</t>
  </si>
  <si>
    <t>GL0026</t>
  </si>
  <si>
    <t>Broadland Housing Association Limited</t>
  </si>
  <si>
    <t>GL4449</t>
  </si>
  <si>
    <t>Bromford Housing Group Limited</t>
  </si>
  <si>
    <t>LH4415</t>
  </si>
  <si>
    <t>Bromsgrove District Housing Trust Limited</t>
  </si>
  <si>
    <t>LH0269</t>
  </si>
  <si>
    <t>Brunelcare</t>
  </si>
  <si>
    <t>4714</t>
  </si>
  <si>
    <t>Byker Community Trust Limited</t>
  </si>
  <si>
    <t>&lt;7 Years</t>
  </si>
  <si>
    <t>L4254</t>
  </si>
  <si>
    <t>Calico Homes Limited</t>
  </si>
  <si>
    <t>G4858</t>
  </si>
  <si>
    <t>Castles &amp; Coasts Housing Association Limited</t>
  </si>
  <si>
    <t>GL0699</t>
  </si>
  <si>
    <t>Catalyst Housing Limited</t>
  </si>
  <si>
    <t>London</t>
  </si>
  <si>
    <t>GH1528</t>
  </si>
  <si>
    <t>Central and Cecil Housing Trust</t>
  </si>
  <si>
    <t>GL4331</t>
  </si>
  <si>
    <t>Chelmer Housing Partnership Limited</t>
  </si>
  <si>
    <t>L4472</t>
  </si>
  <si>
    <t>Cheshire Peaks &amp; Plains Housing Trust</t>
  </si>
  <si>
    <t>LH0676</t>
  </si>
  <si>
    <t>Christian Action (Enfield) Housing Association Limited</t>
  </si>
  <si>
    <t>GLH4087</t>
  </si>
  <si>
    <t>Clarion Housing Group Limited</t>
  </si>
  <si>
    <t>GL4342</t>
  </si>
  <si>
    <t>Coast &amp; Country Housing Limited</t>
  </si>
  <si>
    <t>GLH4165</t>
  </si>
  <si>
    <t>Coastline Housing Limited</t>
  </si>
  <si>
    <t>L4361</t>
  </si>
  <si>
    <t>Cobalt Housing Limited</t>
  </si>
  <si>
    <t>LH1651</t>
  </si>
  <si>
    <t>Colne Housing Society Limited</t>
  </si>
  <si>
    <t>L4457</t>
  </si>
  <si>
    <t>Community Gateway Association Limited</t>
  </si>
  <si>
    <t>L2285</t>
  </si>
  <si>
    <t>Connect Housing Association Limited</t>
  </si>
  <si>
    <t>GL4494</t>
  </si>
  <si>
    <t>Connexus Housing Limited</t>
  </si>
  <si>
    <t>GL4312</t>
  </si>
  <si>
    <t>Cottsway Housing Association Limited</t>
  </si>
  <si>
    <t>G4805</t>
  </si>
  <si>
    <t>County Durham Housing Group Limited</t>
  </si>
  <si>
    <t>GLH4428</t>
  </si>
  <si>
    <t>Cross Keys Homes Limited</t>
  </si>
  <si>
    <t>LH0495</t>
  </si>
  <si>
    <t>Croydon Churches Housing Association Limited</t>
  </si>
  <si>
    <t>GLH4336</t>
  </si>
  <si>
    <t>Curo Group (Albion) Limited</t>
  </si>
  <si>
    <t>A3213</t>
  </si>
  <si>
    <t>Durham Aged Mineworkers' Homes Association</t>
  </si>
  <si>
    <t>GL4434</t>
  </si>
  <si>
    <t>East End Homes Limited</t>
  </si>
  <si>
    <t>GL4530</t>
  </si>
  <si>
    <t>East Midlands Housing Group</t>
  </si>
  <si>
    <t>GL4140</t>
  </si>
  <si>
    <t>Eden Housing Association Limited</t>
  </si>
  <si>
    <t>L4167</t>
  </si>
  <si>
    <t>Empowering People Inspiring Communities Limited</t>
  </si>
  <si>
    <t>L4004</t>
  </si>
  <si>
    <t>English Rural Housing Association Limited</t>
  </si>
  <si>
    <t>GL1229</t>
  </si>
  <si>
    <t>Equity Housing Group Limited</t>
  </si>
  <si>
    <t>GL3535</t>
  </si>
  <si>
    <t>Estuary Housing Association Limited</t>
  </si>
  <si>
    <t>G4582</t>
  </si>
  <si>
    <t>First Choice Homes Oldham Limited</t>
  </si>
  <si>
    <t>G4651</t>
  </si>
  <si>
    <t>Flagship Housing Group Limited</t>
  </si>
  <si>
    <t>G4789</t>
  </si>
  <si>
    <t>Fortis Living Group</t>
  </si>
  <si>
    <t>G4820</t>
  </si>
  <si>
    <t>ForViva Group Limited</t>
  </si>
  <si>
    <t>LH4184</t>
  </si>
  <si>
    <t>Framework Housing Association</t>
  </si>
  <si>
    <t>L4463</t>
  </si>
  <si>
    <t>Freebridge Community Housing Limited</t>
  </si>
  <si>
    <t>GL4502</t>
  </si>
  <si>
    <t>Futures Housing Group Limited</t>
  </si>
  <si>
    <t>GL0517</t>
  </si>
  <si>
    <t>Gateway Housing Association Limited</t>
  </si>
  <si>
    <t>G4655</t>
  </si>
  <si>
    <t>Genesis Housing Association Limited</t>
  </si>
  <si>
    <t>GL4313</t>
  </si>
  <si>
    <t>Gentoo Group Limited</t>
  </si>
  <si>
    <t>4584</t>
  </si>
  <si>
    <t>Gloucester City Homes Limited</t>
  </si>
  <si>
    <t>4803</t>
  </si>
  <si>
    <t>Golden Lane Housing Ltd</t>
  </si>
  <si>
    <t>GLH4402</t>
  </si>
  <si>
    <t>Golding Homes Limited</t>
  </si>
  <si>
    <t>GL4465</t>
  </si>
  <si>
    <t>Great Places Housing Group Limited</t>
  </si>
  <si>
    <t>L4499</t>
  </si>
  <si>
    <t>Greenfields Community Housing Association</t>
  </si>
  <si>
    <t>G4833</t>
  </si>
  <si>
    <t>GreenSquare Group Limited</t>
  </si>
  <si>
    <t>GL4518</t>
  </si>
  <si>
    <t>GUHG 2018 Limited</t>
  </si>
  <si>
    <t>LH0459</t>
  </si>
  <si>
    <t>Habinteg Housing Association Limited</t>
  </si>
  <si>
    <t>GL4456</t>
  </si>
  <si>
    <t>Halton Housing Trust Limited</t>
  </si>
  <si>
    <t>GL0071</t>
  </si>
  <si>
    <t>Hanover Housing Association</t>
  </si>
  <si>
    <t>GL0018</t>
  </si>
  <si>
    <t>Hastoe Housing Association Limited</t>
  </si>
  <si>
    <t>GL1538</t>
  </si>
  <si>
    <t>Hexagon Housing Association Limited</t>
  </si>
  <si>
    <t>L2179</t>
  </si>
  <si>
    <t>Hightown Housing Association Limited</t>
  </si>
  <si>
    <t>GL3076</t>
  </si>
  <si>
    <t>Home Group Limited</t>
  </si>
  <si>
    <t>GL0055</t>
  </si>
  <si>
    <t>Housing &amp; Care 21</t>
  </si>
  <si>
    <t>GL4073</t>
  </si>
  <si>
    <t xml:space="preserve">Housing Solutions </t>
  </si>
  <si>
    <t>GL1312</t>
  </si>
  <si>
    <t>Howard Cottage Housing Association</t>
  </si>
  <si>
    <t>L0718</t>
  </si>
  <si>
    <t>Hundred Houses Society Limited</t>
  </si>
  <si>
    <t>GLH0032</t>
  </si>
  <si>
    <t>Hyde Housing Association Limited</t>
  </si>
  <si>
    <t>L0917</t>
  </si>
  <si>
    <t>Impact Housing Association Limited</t>
  </si>
  <si>
    <t>4662</t>
  </si>
  <si>
    <t>Inclusion Housing Community Interest Company</t>
  </si>
  <si>
    <t>GL4363</t>
  </si>
  <si>
    <t>Incommunities Group Limited</t>
  </si>
  <si>
    <t>LH3728</t>
  </si>
  <si>
    <t>Inquilab Housing Association Limited</t>
  </si>
  <si>
    <t>GL0061</t>
  </si>
  <si>
    <t>Irwell Valley Housing Association Limited</t>
  </si>
  <si>
    <t>GL0457</t>
  </si>
  <si>
    <t>Islington and Shoreditch Housing Association Limited</t>
  </si>
  <si>
    <t>GLH4345</t>
  </si>
  <si>
    <t>Jigsaw Homes Group Limited</t>
  </si>
  <si>
    <t>GL1231</t>
  </si>
  <si>
    <t>'Johnnie' Johnson Housing Trust Limited</t>
  </si>
  <si>
    <t>G4846</t>
  </si>
  <si>
    <t>Karbon Homes Limited</t>
  </si>
  <si>
    <t>GLH4343</t>
  </si>
  <si>
    <t>Knowsley Housing Trust</t>
  </si>
  <si>
    <t>GLH0704</t>
  </si>
  <si>
    <t>Leeds and Yorkshire Housing Association Limited</t>
  </si>
  <si>
    <t>GLH0989</t>
  </si>
  <si>
    <t>Leeds Federated Housing Association Limited</t>
  </si>
  <si>
    <t>GL4524</t>
  </si>
  <si>
    <t>Liverpool Mutual Homes Limited</t>
  </si>
  <si>
    <t>G4873</t>
  </si>
  <si>
    <t>LiveWest Homes Limited</t>
  </si>
  <si>
    <t>L4538</t>
  </si>
  <si>
    <t>Livin Housing Limited</t>
  </si>
  <si>
    <t>LH4454</t>
  </si>
  <si>
    <t>Local Space Limited</t>
  </si>
  <si>
    <t>GL4517</t>
  </si>
  <si>
    <t>London &amp; Quadrant Housing Trust</t>
  </si>
  <si>
    <t>GL4277</t>
  </si>
  <si>
    <t>Longhurst Group Limited</t>
  </si>
  <si>
    <t>GLH0013</t>
  </si>
  <si>
    <t>Look Ahead Care and Support Limited</t>
  </si>
  <si>
    <t>4844</t>
  </si>
  <si>
    <t>Magna Housing Limited</t>
  </si>
  <si>
    <t>GL3736</t>
  </si>
  <si>
    <t>Manningham Housing Association Limited</t>
  </si>
  <si>
    <t>GL4485</t>
  </si>
  <si>
    <t>Merlin Housing Society Limited</t>
  </si>
  <si>
    <t>GL0726</t>
  </si>
  <si>
    <t>Metropolitan Housing Trust Limited</t>
  </si>
  <si>
    <t>GL4466</t>
  </si>
  <si>
    <t>Midland Heart Limited</t>
  </si>
  <si>
    <t>GL0386</t>
  </si>
  <si>
    <t>Moat Homes Limited</t>
  </si>
  <si>
    <t>G4857</t>
  </si>
  <si>
    <t>Mosscare St. Vincent's Housing Group Limited</t>
  </si>
  <si>
    <t>L0042</t>
  </si>
  <si>
    <t>Mount Green Housing Association Limited</t>
  </si>
  <si>
    <t>GL2194</t>
  </si>
  <si>
    <t>Muir Group Housing Association Limited</t>
  </si>
  <si>
    <t>L3833</t>
  </si>
  <si>
    <t>Nehemiah United Churches Housing Association Limited</t>
  </si>
  <si>
    <t>G4825</t>
  </si>
  <si>
    <t>Network Homes Limited</t>
  </si>
  <si>
    <t>GLH4265</t>
  </si>
  <si>
    <t>New Charter Housing Trust Limited</t>
  </si>
  <si>
    <t>GL0006</t>
  </si>
  <si>
    <t>Newlon Housing Trust</t>
  </si>
  <si>
    <t>GLH4249</t>
  </si>
  <si>
    <t>North Devon Homes Limited</t>
  </si>
  <si>
    <t>GL4370</t>
  </si>
  <si>
    <t>North Hertfordshire Homes Limited</t>
  </si>
  <si>
    <t>GL4468</t>
  </si>
  <si>
    <t>North Star Housing Group Limited</t>
  </si>
  <si>
    <t>GL0035</t>
  </si>
  <si>
    <t>Notting Hill Housing Trust</t>
  </si>
  <si>
    <t>G4817</t>
  </si>
  <si>
    <t>Nottingham Community Housing Association Limited</t>
  </si>
  <si>
    <t>GL4459</t>
  </si>
  <si>
    <t>NSAH (Alliance Homes) Limited</t>
  </si>
  <si>
    <t>GL4422</t>
  </si>
  <si>
    <t>Ocean Housing Group Limited</t>
  </si>
  <si>
    <t>GL0717</t>
  </si>
  <si>
    <t>Octavia Housing</t>
  </si>
  <si>
    <t>4635</t>
  </si>
  <si>
    <t>Omega Housing Limited</t>
  </si>
  <si>
    <t>GLH0171</t>
  </si>
  <si>
    <t>One housing Group Limited</t>
  </si>
  <si>
    <t>G4808</t>
  </si>
  <si>
    <t>One Manchester Limited</t>
  </si>
  <si>
    <t>4804</t>
  </si>
  <si>
    <t>One Vision Housing Limited</t>
  </si>
  <si>
    <t>GL4486</t>
  </si>
  <si>
    <t>Ongo Homes Limited</t>
  </si>
  <si>
    <t>G4649</t>
  </si>
  <si>
    <t>Onward Group Limited</t>
  </si>
  <si>
    <t>G4851</t>
  </si>
  <si>
    <t>Optivo</t>
  </si>
  <si>
    <t>GL4123</t>
  </si>
  <si>
    <t>Orbit Group Limited</t>
  </si>
  <si>
    <t>GL0871</t>
  </si>
  <si>
    <t>Origin Housing Limited</t>
  </si>
  <si>
    <t>GL0028</t>
  </si>
  <si>
    <t>Orwell Housing Association Limited</t>
  </si>
  <si>
    <t>GL4215</t>
  </si>
  <si>
    <t>Paradigm Housing Group Limited</t>
  </si>
  <si>
    <t>G4849</t>
  </si>
  <si>
    <t>Paragon Asra Housing Limited</t>
  </si>
  <si>
    <t>G4878</t>
  </si>
  <si>
    <t>Peabody Trust</t>
  </si>
  <si>
    <t>GL4505</t>
  </si>
  <si>
    <t>Phoenix Community Housing Association (Bellingham and Downham) Limited</t>
  </si>
  <si>
    <t>A4020</t>
  </si>
  <si>
    <t>Pickering and Ferens Homes</t>
  </si>
  <si>
    <t>GL1001</t>
  </si>
  <si>
    <t>Pierhead Housing Association Limited</t>
  </si>
  <si>
    <t>GL4236</t>
  </si>
  <si>
    <t>Places for People Group Limited</t>
  </si>
  <si>
    <t>4757</t>
  </si>
  <si>
    <t>Plexus UK (First Project) Limited</t>
  </si>
  <si>
    <t>GL4556</t>
  </si>
  <si>
    <t>Plus Dane Housing Limited</t>
  </si>
  <si>
    <t>GL4543</t>
  </si>
  <si>
    <t>Plymouth Community Homes Limited</t>
  </si>
  <si>
    <t>GL4170</t>
  </si>
  <si>
    <t>Poplar Housing And Regeneration Community Limited</t>
  </si>
  <si>
    <t>GLH4189</t>
  </si>
  <si>
    <t>Progress Housing Group Limited</t>
  </si>
  <si>
    <t>4750</t>
  </si>
  <si>
    <t>Prospect Housing Limited</t>
  </si>
  <si>
    <t>GL4172</t>
  </si>
  <si>
    <t>Radian Group Limited</t>
  </si>
  <si>
    <t>A1855</t>
  </si>
  <si>
    <t>Railway Housing Association and Benefit Fund</t>
  </si>
  <si>
    <t>GL4334</t>
  </si>
  <si>
    <t>Raven Housing Trust Limited</t>
  </si>
  <si>
    <t>G4682</t>
  </si>
  <si>
    <t>Red Kite Community Housing Limited</t>
  </si>
  <si>
    <t>G4653</t>
  </si>
  <si>
    <t>Regenda Limited</t>
  </si>
  <si>
    <t>4745</t>
  </si>
  <si>
    <t>Reside Housing Association Limited</t>
  </si>
  <si>
    <t>GL4279</t>
  </si>
  <si>
    <t>Richmond Housing Partnership Limited</t>
  </si>
  <si>
    <t>G4607</t>
  </si>
  <si>
    <t>Rochdale Boroughwide Housing Limited</t>
  </si>
  <si>
    <t>GL4404</t>
  </si>
  <si>
    <t>Rooftop Housing Group Limited</t>
  </si>
  <si>
    <t>LH4026</t>
  </si>
  <si>
    <t>Rosebery Housing Association Limited</t>
  </si>
  <si>
    <t>GLH4412</t>
  </si>
  <si>
    <t>Saffron Housing Trust Limited</t>
  </si>
  <si>
    <t>G4609</t>
  </si>
  <si>
    <t>Salix Homes Limited</t>
  </si>
  <si>
    <t>LH2429</t>
  </si>
  <si>
    <t>Salvation Army Housing Association</t>
  </si>
  <si>
    <t>GL0247</t>
  </si>
  <si>
    <t>Sanctuary Housing Association</t>
  </si>
  <si>
    <t>GL4299</t>
  </si>
  <si>
    <t>Saxon Weald Homes Limited</t>
  </si>
  <si>
    <t>GLH4097</t>
  </si>
  <si>
    <t>Selwood Housing Society Limited</t>
  </si>
  <si>
    <t>GL4171</t>
  </si>
  <si>
    <t>Severn Vale Housing Society Limited</t>
  </si>
  <si>
    <t>GLH0050</t>
  </si>
  <si>
    <t>Shepherds Bush Housing Association Limited</t>
  </si>
  <si>
    <t>GL4442</t>
  </si>
  <si>
    <t>Shoreline Housing Partnership Ltd</t>
  </si>
  <si>
    <t>GL4513</t>
  </si>
  <si>
    <t>Silva Homes Limited</t>
  </si>
  <si>
    <t>GL4130</t>
  </si>
  <si>
    <t>Soha Housing Limited</t>
  </si>
  <si>
    <t>L0125</t>
  </si>
  <si>
    <t>Solon South West Housing Association Limited</t>
  </si>
  <si>
    <t>G4686</t>
  </si>
  <si>
    <t>South Lakes Housing</t>
  </si>
  <si>
    <t>GL4230</t>
  </si>
  <si>
    <t>South Liverpool Homes Limited</t>
  </si>
  <si>
    <t>GL0078</t>
  </si>
  <si>
    <t>South Yorkshire Housing Association Limited</t>
  </si>
  <si>
    <t>GL4628</t>
  </si>
  <si>
    <t>Southern Housing Group Limited</t>
  </si>
  <si>
    <t>GL4507</t>
  </si>
  <si>
    <t>Southway Housing Trust (Manchester) Limited</t>
  </si>
  <si>
    <t>G4837</t>
  </si>
  <si>
    <t>Sovereign Housing Association Limited</t>
  </si>
  <si>
    <t>GLH0279</t>
  </si>
  <si>
    <t>St Mungo Community Housing Association</t>
  </si>
  <si>
    <t>GL4458</t>
  </si>
  <si>
    <t>Stafford &amp; Rural Homes Limited</t>
  </si>
  <si>
    <t>GLH2162</t>
  </si>
  <si>
    <t>Staffordshire Housing Association Limited</t>
  </si>
  <si>
    <t>GL1556</t>
  </si>
  <si>
    <t>Stonewater Limited</t>
  </si>
  <si>
    <t>GL1659</t>
  </si>
  <si>
    <t>Suffolk Housing Society Limited</t>
  </si>
  <si>
    <t>4687</t>
  </si>
  <si>
    <t>Sustain (UK) Ltd</t>
  </si>
  <si>
    <t>GL4145</t>
  </si>
  <si>
    <t>Swan Housing Association Limited</t>
  </si>
  <si>
    <t>GLH4403</t>
  </si>
  <si>
    <t xml:space="preserve">Teign Housing </t>
  </si>
  <si>
    <t>GL0514</t>
  </si>
  <si>
    <t>Thames Valley Housing Association Limited</t>
  </si>
  <si>
    <t>GH1046</t>
  </si>
  <si>
    <t>The Abbeyfield Society</t>
  </si>
  <si>
    <t>GL0992</t>
  </si>
  <si>
    <t>The Cambridge Housing Society Limited</t>
  </si>
  <si>
    <t>GLH4264</t>
  </si>
  <si>
    <t>The Community Housing Group Limited</t>
  </si>
  <si>
    <t>G4729</t>
  </si>
  <si>
    <t>The Guinness Partnership Limited</t>
  </si>
  <si>
    <t>LH4339</t>
  </si>
  <si>
    <t>The Havebury Housing Partnership</t>
  </si>
  <si>
    <t>GL4491</t>
  </si>
  <si>
    <t>The Housing Plus Group Limited</t>
  </si>
  <si>
    <t>L0266</t>
  </si>
  <si>
    <t>The Industrial Dwellings Society (1885) Limited</t>
  </si>
  <si>
    <t>L0057</t>
  </si>
  <si>
    <t>The Joseph Rowntree Housing Trust</t>
  </si>
  <si>
    <t>GL4118</t>
  </si>
  <si>
    <t>The Pioneer Housing and Community Group Limited</t>
  </si>
  <si>
    <t>GL4552</t>
  </si>
  <si>
    <t>The Riverside Group Limited</t>
  </si>
  <si>
    <t>GL4424</t>
  </si>
  <si>
    <t>The Wrekin Housing Group Limited</t>
  </si>
  <si>
    <t>GL4522</t>
  </si>
  <si>
    <t>Thirteen Housing Group Limited</t>
  </si>
  <si>
    <t>GL4520</t>
  </si>
  <si>
    <t>Thrive Homes Limited</t>
  </si>
  <si>
    <t>GL4464</t>
  </si>
  <si>
    <t>Together Housing Group Limited</t>
  </si>
  <si>
    <t>G4802</t>
  </si>
  <si>
    <t>Torus62 Limited</t>
  </si>
  <si>
    <t>GL4260</t>
  </si>
  <si>
    <t xml:space="preserve">Tower Hamlets Community Housing </t>
  </si>
  <si>
    <t>GL4251</t>
  </si>
  <si>
    <t>Town and Country Housing Group</t>
  </si>
  <si>
    <t>GL4440</t>
  </si>
  <si>
    <t>Trafford Housing Trust Limited</t>
  </si>
  <si>
    <t>GL4311</t>
  </si>
  <si>
    <t>Trent &amp; Dove Housing Limited</t>
  </si>
  <si>
    <t>GL0979</t>
  </si>
  <si>
    <t>Trident Housing Association Limited</t>
  </si>
  <si>
    <t>GL3808</t>
  </si>
  <si>
    <t>Tuntum Housing Association Limited</t>
  </si>
  <si>
    <t>GL4385</t>
  </si>
  <si>
    <t>Two Rivers Housing</t>
  </si>
  <si>
    <t>GL3758</t>
  </si>
  <si>
    <t>United Communities Limited</t>
  </si>
  <si>
    <t>GLH3737</t>
  </si>
  <si>
    <t>Unity Housing Association Limited</t>
  </si>
  <si>
    <t>L4473</t>
  </si>
  <si>
    <t>Vale of Aylesbury Housing Trust</t>
  </si>
  <si>
    <t>L4460</t>
  </si>
  <si>
    <t>Victory Housing Trust</t>
  </si>
  <si>
    <t>G4850</t>
  </si>
  <si>
    <t>Vivid Housing Limited</t>
  </si>
  <si>
    <t>GL4441</t>
  </si>
  <si>
    <t>Wakefield And District Housing Limited</t>
  </si>
  <si>
    <t>GL4389</t>
  </si>
  <si>
    <t>Walsall Housing Group Limited</t>
  </si>
  <si>
    <t>GL0277</t>
  </si>
  <si>
    <t>Wandle Housing Association Limited</t>
  </si>
  <si>
    <t>GL0518</t>
  </si>
  <si>
    <t>Warrington Housing Association Limited</t>
  </si>
  <si>
    <t>G4879</t>
  </si>
  <si>
    <t>Waterloo Housing Group Limited</t>
  </si>
  <si>
    <t>GL4495</t>
  </si>
  <si>
    <t>Watford Community Housing Trust</t>
  </si>
  <si>
    <t>GL4383</t>
  </si>
  <si>
    <t>WATMOS Community Homes</t>
  </si>
  <si>
    <t>GL4341</t>
  </si>
  <si>
    <t>Weaver Vale Housing Trust Limited</t>
  </si>
  <si>
    <t>L4509</t>
  </si>
  <si>
    <t>Wellingborough Homes Limited</t>
  </si>
  <si>
    <t>GLH3827</t>
  </si>
  <si>
    <t>West Kent Housing Association</t>
  </si>
  <si>
    <t>G4826</t>
  </si>
  <si>
    <t>Westward Housing Group Limited</t>
  </si>
  <si>
    <t>GL4435</t>
  </si>
  <si>
    <t>Wirral Partnership Homes Limited</t>
  </si>
  <si>
    <t>GL4185</t>
  </si>
  <si>
    <t>WM Housing Group Limited</t>
  </si>
  <si>
    <t>LH4208</t>
  </si>
  <si>
    <t>Worthing Homes Limited</t>
  </si>
  <si>
    <t>G4755</t>
  </si>
  <si>
    <t>Wythenshawe Community Housing Group Limited</t>
  </si>
  <si>
    <t>GLH4200</t>
  </si>
  <si>
    <t>Yarlington Housing Group</t>
  </si>
  <si>
    <t>LH4078</t>
  </si>
  <si>
    <t>YMCA St Pauls Group</t>
  </si>
  <si>
    <t>GL4521</t>
  </si>
  <si>
    <t>Yorkshire Housing Limited</t>
  </si>
  <si>
    <t>GL4203</t>
  </si>
  <si>
    <t>Your Housing Group Limited</t>
  </si>
  <si>
    <t>Lower Quartile</t>
  </si>
  <si>
    <t>Median</t>
  </si>
  <si>
    <t>Upper Quartile</t>
  </si>
  <si>
    <t>The raw data taken from the Global Accounts Entity Data tab is contained in columns with light blue headers below. To view the raw cost data either select the '+' signs above or select "2" in the top left hand corner (above cell A1), to hide the raw data select the minus signs or "1" in the top left hand corner.</t>
  </si>
  <si>
    <t>Entity VFM Metrics</t>
  </si>
  <si>
    <t>Group reference (SDR)</t>
  </si>
  <si>
    <t>Other social housing activities: charges for support services]</t>
  </si>
  <si>
    <t>Group code</t>
  </si>
  <si>
    <t>Group name</t>
  </si>
  <si>
    <t>LH0391</t>
  </si>
  <si>
    <t>A2Dominion Homes Limited</t>
  </si>
  <si>
    <t>L4240</t>
  </si>
  <si>
    <t>LH4149</t>
  </si>
  <si>
    <t>A2Dominion South Limited</t>
  </si>
  <si>
    <t>LH1722</t>
  </si>
  <si>
    <t>Accent Housing Limited</t>
  </si>
  <si>
    <t>L4511</t>
  </si>
  <si>
    <t>L4229</t>
  </si>
  <si>
    <t>LH0131</t>
  </si>
  <si>
    <t>Adactus Housing Association Limited</t>
  </si>
  <si>
    <t>LH4345</t>
  </si>
  <si>
    <t>LH1682</t>
  </si>
  <si>
    <t>LH4095</t>
  </si>
  <si>
    <t>L4048</t>
  </si>
  <si>
    <t>Aragon Housing Association Limited</t>
  </si>
  <si>
    <t>L4518</t>
  </si>
  <si>
    <t>Grand Union Housing Group Limited</t>
  </si>
  <si>
    <t>L0249</t>
  </si>
  <si>
    <t>L4238</t>
  </si>
  <si>
    <t>Aster Communities</t>
  </si>
  <si>
    <t>L4393</t>
  </si>
  <si>
    <t>L0395</t>
  </si>
  <si>
    <t>Axiom Housing Association Limited</t>
  </si>
  <si>
    <t>L4277</t>
  </si>
  <si>
    <t>L4455</t>
  </si>
  <si>
    <t>SL3463</t>
  </si>
  <si>
    <t>Beech Housing Association Limited</t>
  </si>
  <si>
    <t>L1668</t>
  </si>
  <si>
    <t>LH4237</t>
  </si>
  <si>
    <t>LH0155</t>
  </si>
  <si>
    <t>L0702</t>
  </si>
  <si>
    <t>LH3887</t>
  </si>
  <si>
    <t>LH4014</t>
  </si>
  <si>
    <t>L0026</t>
  </si>
  <si>
    <t>L4450</t>
  </si>
  <si>
    <t>Bromford Home Ownership Limited</t>
  </si>
  <si>
    <t>L4449</t>
  </si>
  <si>
    <t>Bromford Housing Association Limited</t>
  </si>
  <si>
    <t>L0699</t>
  </si>
  <si>
    <t>H1528</t>
  </si>
  <si>
    <t>L4331</t>
  </si>
  <si>
    <t>L4487</t>
  </si>
  <si>
    <t>Chorley Community Housing Limited</t>
  </si>
  <si>
    <t>L4527</t>
  </si>
  <si>
    <t>City South Manchester Housing Trust</t>
  </si>
  <si>
    <t>L4528</t>
  </si>
  <si>
    <t>City West Housing Trust Limited</t>
  </si>
  <si>
    <t>Clarion Housing Association Limited</t>
  </si>
  <si>
    <t>LH4087</t>
  </si>
  <si>
    <t>L4342</t>
  </si>
  <si>
    <t>LH4165</t>
  </si>
  <si>
    <t>L3261</t>
  </si>
  <si>
    <t>Contour Homes Limited</t>
  </si>
  <si>
    <t>Onward Homes Limited</t>
  </si>
  <si>
    <t>L0284</t>
  </si>
  <si>
    <t>Cotman Housing Association Limited</t>
  </si>
  <si>
    <t>L4236</t>
  </si>
  <si>
    <t>L4312</t>
  </si>
  <si>
    <t>LH4428</t>
  </si>
  <si>
    <t>LH4209</t>
  </si>
  <si>
    <t>Curo Places Limited</t>
  </si>
  <si>
    <t>LH4336</t>
  </si>
  <si>
    <t>Dale &amp; Valley Homes Limited</t>
  </si>
  <si>
    <t>L0715</t>
  </si>
  <si>
    <t>Derwent Housing Association Limited</t>
  </si>
  <si>
    <t>LH4090</t>
  </si>
  <si>
    <t>Drum Housing Association Limited</t>
  </si>
  <si>
    <t>L4172</t>
  </si>
  <si>
    <t>Durham City Homes Limited</t>
  </si>
  <si>
    <t>East Durham Homes Limited</t>
  </si>
  <si>
    <t>L4434</t>
  </si>
  <si>
    <t>L4396</t>
  </si>
  <si>
    <t>Eastlands Homes Partnership Limited</t>
  </si>
  <si>
    <t>L4140</t>
  </si>
  <si>
    <t>EMH Housing and Regeneration Limited</t>
  </si>
  <si>
    <t>L4530</t>
  </si>
  <si>
    <t>LH0084</t>
  </si>
  <si>
    <t>Endeavour Housing Association Limited</t>
  </si>
  <si>
    <t>L4468</t>
  </si>
  <si>
    <t>L1229</t>
  </si>
  <si>
    <t>L3535</t>
  </si>
  <si>
    <t>LH0713</t>
  </si>
  <si>
    <t>Family Housing Association (Birmingham) Limited</t>
  </si>
  <si>
    <t>L4185</t>
  </si>
  <si>
    <t>Fortis Living Limited</t>
  </si>
  <si>
    <t>Friendship Care and Housing Limited</t>
  </si>
  <si>
    <t>L4204</t>
  </si>
  <si>
    <t>Frontis Homes Limited</t>
  </si>
  <si>
    <t>L4203</t>
  </si>
  <si>
    <t>L4372</t>
  </si>
  <si>
    <t>Futures Homescape Limited</t>
  </si>
  <si>
    <t>L4502</t>
  </si>
  <si>
    <t>L4498</t>
  </si>
  <si>
    <t>Futures Homeway Limited</t>
  </si>
  <si>
    <t>L0517</t>
  </si>
  <si>
    <t>L4532</t>
  </si>
  <si>
    <t>Gedling Homes</t>
  </si>
  <si>
    <t>LH4265</t>
  </si>
  <si>
    <t>L4313</t>
  </si>
  <si>
    <t>Golden Gates Housing Trust</t>
  </si>
  <si>
    <t>LH4402</t>
  </si>
  <si>
    <t>L1230</t>
  </si>
  <si>
    <t>Great Places Housing Association</t>
  </si>
  <si>
    <t>L4465</t>
  </si>
  <si>
    <t>L4497</t>
  </si>
  <si>
    <t>Guinness Care and Support Limited</t>
  </si>
  <si>
    <t>L2441</t>
  </si>
  <si>
    <t>Guinness Housing Association Limited</t>
  </si>
  <si>
    <t>L4456</t>
  </si>
  <si>
    <t xml:space="preserve">Halton Housing </t>
  </si>
  <si>
    <t>L0071</t>
  </si>
  <si>
    <t>L0018</t>
  </si>
  <si>
    <t>L4526</t>
  </si>
  <si>
    <t>Heart Of England Housing Association Limited</t>
  </si>
  <si>
    <t>L4123</t>
  </si>
  <si>
    <t>L4340</t>
  </si>
  <si>
    <t>Helena Partnerships Limited</t>
  </si>
  <si>
    <t>LH4353</t>
  </si>
  <si>
    <t>Herefordshire Housing Limited</t>
  </si>
  <si>
    <t>L4494</t>
  </si>
  <si>
    <t>L1538</t>
  </si>
  <si>
    <t>L4447</t>
  </si>
  <si>
    <t>Hillside Housing Trust Limited</t>
  </si>
  <si>
    <t>LH0032</t>
  </si>
  <si>
    <t>L3076</t>
  </si>
  <si>
    <t>L0055</t>
  </si>
  <si>
    <t>L4073</t>
  </si>
  <si>
    <t>L1312</t>
  </si>
  <si>
    <t>L4223</t>
  </si>
  <si>
    <t>Hyde Southbank Homes Limited</t>
  </si>
  <si>
    <t>L4461</t>
  </si>
  <si>
    <t>Hyndburn Homes Limited</t>
  </si>
  <si>
    <t>L4476</t>
  </si>
  <si>
    <t>Incommunities Limited</t>
  </si>
  <si>
    <t>L4363</t>
  </si>
  <si>
    <t>L0061</t>
  </si>
  <si>
    <t>L0457</t>
  </si>
  <si>
    <t>L1231</t>
  </si>
  <si>
    <t>LH4343</t>
  </si>
  <si>
    <t>LH0704</t>
  </si>
  <si>
    <t>LH0989</t>
  </si>
  <si>
    <t>L4524</t>
  </si>
  <si>
    <t>L4517</t>
  </si>
  <si>
    <t>L4542</t>
  </si>
  <si>
    <t>Longhurst &amp; Havelok Homes</t>
  </si>
  <si>
    <t>LH0013</t>
  </si>
  <si>
    <t>LH4253</t>
  </si>
  <si>
    <t>Luminus Homes Limited</t>
  </si>
  <si>
    <t>L3736</t>
  </si>
  <si>
    <t>L4303</t>
  </si>
  <si>
    <t>Martlet Homes Limited</t>
  </si>
  <si>
    <t>L4493</t>
  </si>
  <si>
    <t>Meres and Mosses Housing Association</t>
  </si>
  <si>
    <t>L4485</t>
  </si>
  <si>
    <t>L0726</t>
  </si>
  <si>
    <t>L4466</t>
  </si>
  <si>
    <t>L0386</t>
  </si>
  <si>
    <t>SL3447</t>
  </si>
  <si>
    <t>Mossbank Homes Limited</t>
  </si>
  <si>
    <t>L2194</t>
  </si>
  <si>
    <t>LH4266</t>
  </si>
  <si>
    <t>New Charter Homes Limited</t>
  </si>
  <si>
    <t>LH4284</t>
  </si>
  <si>
    <t>New Fylde Housing Limited</t>
  </si>
  <si>
    <t>LH4189</t>
  </si>
  <si>
    <t>L0006</t>
  </si>
  <si>
    <t>LH4249</t>
  </si>
  <si>
    <t>SL3119</t>
  </si>
  <si>
    <t>Notting Hill Home Ownership Limited</t>
  </si>
  <si>
    <t>L0035</t>
  </si>
  <si>
    <t>L4459</t>
  </si>
  <si>
    <t>LH4248</t>
  </si>
  <si>
    <t>Ocean Housing Limited</t>
  </si>
  <si>
    <t>L4422</t>
  </si>
  <si>
    <t>L0717</t>
  </si>
  <si>
    <t>LH0171</t>
  </si>
  <si>
    <t>One Housing Group Limited</t>
  </si>
  <si>
    <t>L4486</t>
  </si>
  <si>
    <t>LH0250</t>
  </si>
  <si>
    <t>L4228</t>
  </si>
  <si>
    <t>Optima Community Association</t>
  </si>
  <si>
    <t>L4060</t>
  </si>
  <si>
    <t>Orbit South Housing Association Limited</t>
  </si>
  <si>
    <t>L0871</t>
  </si>
  <si>
    <t>L0028</t>
  </si>
  <si>
    <t>LH4138</t>
  </si>
  <si>
    <t>Paradigm Homes Charitable Housing Association Limited</t>
  </si>
  <si>
    <t>L4215</t>
  </si>
  <si>
    <t>L4478</t>
  </si>
  <si>
    <t>Parkway Green Housing Trust</t>
  </si>
  <si>
    <t>Peabody South East Limited</t>
  </si>
  <si>
    <t>L4475</t>
  </si>
  <si>
    <t>Peak Valley Housing Association Limited</t>
  </si>
  <si>
    <t>L4505</t>
  </si>
  <si>
    <t>L1001</t>
  </si>
  <si>
    <t>L0659</t>
  </si>
  <si>
    <t>Places for People Homes Limited</t>
  </si>
  <si>
    <t>LH3926</t>
  </si>
  <si>
    <t>Places for People Living+ Limited</t>
  </si>
  <si>
    <t>SL3224</t>
  </si>
  <si>
    <t>Plumlife Homes Limited</t>
  </si>
  <si>
    <t>None Owned</t>
  </si>
  <si>
    <t>L4556</t>
  </si>
  <si>
    <t>L4543</t>
  </si>
  <si>
    <t>L4170</t>
  </si>
  <si>
    <t>Poplar Housing And Regeneration Community Association Limited</t>
  </si>
  <si>
    <t>LH4163</t>
  </si>
  <si>
    <t>Portal Housing Association Limited</t>
  </si>
  <si>
    <t>LH4188</t>
  </si>
  <si>
    <t>Progress Care Housing Association Limited</t>
  </si>
  <si>
    <t>LH4032</t>
  </si>
  <si>
    <t>Progress Housing Association Limited</t>
  </si>
  <si>
    <t>L4334</t>
  </si>
  <si>
    <t>L0877</t>
  </si>
  <si>
    <t>Redwing Living Limited</t>
  </si>
  <si>
    <t>L4525</t>
  </si>
  <si>
    <t>Ribble Valley Homes Limited</t>
  </si>
  <si>
    <t>L4279</t>
  </si>
  <si>
    <t>LH4050</t>
  </si>
  <si>
    <t>Rooftop Housing Association Limited</t>
  </si>
  <si>
    <t>L4404</t>
  </si>
  <si>
    <t>L3807</t>
  </si>
  <si>
    <t>Sadeh Lok Limited</t>
  </si>
  <si>
    <t>LH4412</t>
  </si>
  <si>
    <t>Sanctuary Affordable Housing Limited</t>
  </si>
  <si>
    <t>L0247</t>
  </si>
  <si>
    <t>L4299</t>
  </si>
  <si>
    <t>LH4097</t>
  </si>
  <si>
    <t>L4370</t>
  </si>
  <si>
    <t>Settle Group</t>
  </si>
  <si>
    <t>L4171</t>
  </si>
  <si>
    <t>LH4325</t>
  </si>
  <si>
    <t>Severnside Housing</t>
  </si>
  <si>
    <t>L4491</t>
  </si>
  <si>
    <t>LH0050</t>
  </si>
  <si>
    <t>L4442</t>
  </si>
  <si>
    <t>L4513</t>
  </si>
  <si>
    <t>L4130</t>
  </si>
  <si>
    <t>L4230</t>
  </si>
  <si>
    <t>L4519</t>
  </si>
  <si>
    <t>South Northants Homes Limited</t>
  </si>
  <si>
    <t>LH3943</t>
  </si>
  <si>
    <t>South Shropshire Housing Association</t>
  </si>
  <si>
    <t>LH4121</t>
  </si>
  <si>
    <t>South Staffordshire Housing Association Limited</t>
  </si>
  <si>
    <t>L0078</t>
  </si>
  <si>
    <t>LH1662</t>
  </si>
  <si>
    <t>Southern Home Ownership Limited</t>
  </si>
  <si>
    <t>30/09/2018</t>
  </si>
  <si>
    <t>L4628</t>
  </si>
  <si>
    <t>L4507</t>
  </si>
  <si>
    <t>LH4302</t>
  </si>
  <si>
    <t>Spire Homes (LG) Limited</t>
  </si>
  <si>
    <t>LH0279</t>
  </si>
  <si>
    <t xml:space="preserve">St Mungo Community Housing Association </t>
  </si>
  <si>
    <t>L4458</t>
  </si>
  <si>
    <t>Stafford and Rural Homes</t>
  </si>
  <si>
    <t>LH2162</t>
  </si>
  <si>
    <t>L0173</t>
  </si>
  <si>
    <t>Stonewater (2) Limited</t>
  </si>
  <si>
    <t>L1556</t>
  </si>
  <si>
    <t>L0288</t>
  </si>
  <si>
    <t>Stonewater (3) Limited</t>
  </si>
  <si>
    <t>LH4027</t>
  </si>
  <si>
    <t>Stonewater (4) Limited</t>
  </si>
  <si>
    <t>Stonewater (5) Limited</t>
  </si>
  <si>
    <t>L1659</t>
  </si>
  <si>
    <t>L4145</t>
  </si>
  <si>
    <t>Synergy Housing Limited</t>
  </si>
  <si>
    <t>L4469</t>
  </si>
  <si>
    <t>Teesdale Housing Association Limited</t>
  </si>
  <si>
    <t>LH4403</t>
  </si>
  <si>
    <t>Teign Housing</t>
  </si>
  <si>
    <t>LH3702</t>
  </si>
  <si>
    <t>Thames Valley Charitable Housing Association Limited</t>
  </si>
  <si>
    <t>L0514</t>
  </si>
  <si>
    <t>H1046</t>
  </si>
  <si>
    <t>L0992</t>
  </si>
  <si>
    <t>LH4264</t>
  </si>
  <si>
    <t>L4118</t>
  </si>
  <si>
    <t>L4552</t>
  </si>
  <si>
    <t>L0689</t>
  </si>
  <si>
    <t>The Swaythling Housing Society Limited</t>
  </si>
  <si>
    <t>L3417</t>
  </si>
  <si>
    <t>The Villages Housing Association Limited</t>
  </si>
  <si>
    <t>LH4220</t>
  </si>
  <si>
    <t>The Wrekin Housing Trust Limited</t>
  </si>
  <si>
    <t>L4424</t>
  </si>
  <si>
    <t>L4522</t>
  </si>
  <si>
    <t>L4520</t>
  </si>
  <si>
    <t>L4160</t>
  </si>
  <si>
    <t>Together Housing Association Limited</t>
  </si>
  <si>
    <t>L4464</t>
  </si>
  <si>
    <t>L4260</t>
  </si>
  <si>
    <t>L4251</t>
  </si>
  <si>
    <t>L4440</t>
  </si>
  <si>
    <t>L4311</t>
  </si>
  <si>
    <t>L0979</t>
  </si>
  <si>
    <t>L3808</t>
  </si>
  <si>
    <t>L4385</t>
  </si>
  <si>
    <t>L3758</t>
  </si>
  <si>
    <t>LH3737</t>
  </si>
  <si>
    <t>L4441</t>
  </si>
  <si>
    <t>L4389</t>
  </si>
  <si>
    <t>L0277</t>
  </si>
  <si>
    <t>L0518</t>
  </si>
  <si>
    <t>L4495</t>
  </si>
  <si>
    <t>L4383</t>
  </si>
  <si>
    <t>L4341</t>
  </si>
  <si>
    <t>LH3827</t>
  </si>
  <si>
    <t>West Mercia Homes Limited</t>
  </si>
  <si>
    <t>LH4083</t>
  </si>
  <si>
    <t>Westlea Housing Association Limited</t>
  </si>
  <si>
    <t>LH4471</t>
  </si>
  <si>
    <t>Whitefriars Housing Group Limited</t>
  </si>
  <si>
    <t>L4219</t>
  </si>
  <si>
    <t>Willow Park Housing Trust Limited</t>
  </si>
  <si>
    <t>L4072</t>
  </si>
  <si>
    <t>Windsor and District Housing Association Limited</t>
  </si>
  <si>
    <t>L4435</t>
  </si>
  <si>
    <t>LH4200</t>
  </si>
  <si>
    <t>L4521</t>
  </si>
  <si>
    <t>L1700</t>
  </si>
  <si>
    <t>Your Housing Limited</t>
  </si>
  <si>
    <t>Supplementary Information</t>
  </si>
  <si>
    <t>Supplementary information has been detailed in areas which have been shown to be key contextual factors.</t>
  </si>
  <si>
    <t>Tenure</t>
  </si>
  <si>
    <r>
      <rPr>
        <b/>
        <sz val="10"/>
        <color theme="1"/>
        <rFont val="Arial"/>
        <family val="2"/>
      </rPr>
      <t>% Supported Housing (Excl HOP)</t>
    </r>
    <r>
      <rPr>
        <sz val="11"/>
        <color theme="1"/>
        <rFont val="Calibri"/>
        <family val="2"/>
        <scheme val="minor"/>
      </rPr>
      <t>: Number of Supported Housing, excluding HOP, units owned or managed divided by the Total Number of Social Housing units owned or managed, as reported in the 2018 SDR.</t>
    </r>
  </si>
  <si>
    <r>
      <t xml:space="preserve">Type: </t>
    </r>
    <r>
      <rPr>
        <sz val="11"/>
        <color theme="1"/>
        <rFont val="Calibri"/>
        <family val="2"/>
        <scheme val="minor"/>
      </rPr>
      <t xml:space="preserve">A provider has been defined as an LSVT if the total number of units transferred into the entity accounts for over 50% of their current social stock; otherwise they have been defined as Traditional. </t>
    </r>
  </si>
  <si>
    <r>
      <rPr>
        <b/>
        <sz val="10"/>
        <color theme="1"/>
        <rFont val="Arial"/>
        <family val="2"/>
      </rPr>
      <t>Date of Largest Transfer</t>
    </r>
    <r>
      <rPr>
        <sz val="11"/>
        <color theme="1"/>
        <rFont val="Calibri"/>
        <family val="2"/>
        <scheme val="minor"/>
      </rPr>
      <t>: For providers defined as LSVT. Where there has been more than one transfer into an entity it gives the date of the largest transfer, by tenanted stock, following RSH records of stock transfers.</t>
    </r>
  </si>
  <si>
    <r>
      <rPr>
        <b/>
        <sz val="10"/>
        <color theme="1"/>
        <rFont val="Arial"/>
        <family val="2"/>
      </rPr>
      <t>LSVT Age</t>
    </r>
    <r>
      <rPr>
        <sz val="11"/>
        <color theme="1"/>
        <rFont val="Calibri"/>
        <family val="2"/>
        <scheme val="minor"/>
      </rPr>
      <t>: Uses the date of the largest transfer to band LSVT entities by age. The three bands used are &lt; 7 years, 7-12 years &amp; &gt; 12 years</t>
    </r>
  </si>
  <si>
    <t>Region</t>
  </si>
  <si>
    <r>
      <rPr>
        <b/>
        <sz val="10"/>
        <color theme="1"/>
        <rFont val="Arial"/>
        <family val="2"/>
      </rPr>
      <t>ASHE Regional Wage Index (England = 1)</t>
    </r>
    <r>
      <rPr>
        <sz val="11"/>
        <color theme="1"/>
        <rFont val="Calibri"/>
        <family val="2"/>
        <scheme val="minor"/>
      </rPr>
      <t xml:space="preserve">: An index calculated using data on relative regional administrative and construction sector earnings Annual Survey of Hours and Earnings (ASHE) for 2017 and information on Social Housing units owned by region as reported in the SDR. The England average is 1. </t>
    </r>
  </si>
  <si>
    <r>
      <rPr>
        <b/>
        <sz val="10"/>
        <color theme="1"/>
        <rFont val="Arial"/>
        <family val="2"/>
      </rPr>
      <t>% Housing for Older People (HOP):</t>
    </r>
    <r>
      <rPr>
        <sz val="11"/>
        <color theme="1"/>
        <rFont val="Calibri"/>
        <family val="2"/>
        <scheme val="minor"/>
      </rPr>
      <t xml:space="preserve"> Number of Housing for Older People, including Care Home, units owned or managed divided by the Total Number of Social Housing units owned or managed, as reported in the 2018 SDR.</t>
    </r>
  </si>
  <si>
    <r>
      <rPr>
        <b/>
        <sz val="10"/>
        <color theme="1"/>
        <rFont val="Arial"/>
        <family val="2"/>
      </rPr>
      <t>Region with 50%+ of social stock owned:</t>
    </r>
    <r>
      <rPr>
        <sz val="11"/>
        <color theme="1"/>
        <rFont val="Calibri"/>
        <family val="2"/>
        <scheme val="minor"/>
      </rPr>
      <t xml:space="preserve"> Defined as the region where the provider holds more than 50% of its owned Social Housing stock as reported in the 2018 SDR; if no such region exists then the provider is defined as "Mixed". </t>
    </r>
  </si>
  <si>
    <t>4691</t>
  </si>
  <si>
    <t>4868</t>
  </si>
  <si>
    <t>4568</t>
  </si>
  <si>
    <t>4819</t>
  </si>
  <si>
    <t>4858</t>
  </si>
  <si>
    <t>4865</t>
  </si>
  <si>
    <t>4575</t>
  </si>
  <si>
    <t>4806</t>
  </si>
  <si>
    <t>4578</t>
  </si>
  <si>
    <t>4775</t>
  </si>
  <si>
    <t>4582</t>
  </si>
  <si>
    <t>4651</t>
  </si>
  <si>
    <t>4845</t>
  </si>
  <si>
    <t>4654</t>
  </si>
  <si>
    <t>4655</t>
  </si>
  <si>
    <t>4631</t>
  </si>
  <si>
    <t>4833</t>
  </si>
  <si>
    <t>4846</t>
  </si>
  <si>
    <t>4873</t>
  </si>
  <si>
    <t>4857</t>
  </si>
  <si>
    <t>4825</t>
  </si>
  <si>
    <t>4817</t>
  </si>
  <si>
    <t>4851</t>
  </si>
  <si>
    <t>4849</t>
  </si>
  <si>
    <t>4869</t>
  </si>
  <si>
    <t>4878</t>
  </si>
  <si>
    <t>4682</t>
  </si>
  <si>
    <t>4653</t>
  </si>
  <si>
    <t>4607</t>
  </si>
  <si>
    <t>4609</t>
  </si>
  <si>
    <t>4684</t>
  </si>
  <si>
    <t>4686</t>
  </si>
  <si>
    <t>4837</t>
  </si>
  <si>
    <t>4717</t>
  </si>
  <si>
    <t>4680</t>
  </si>
  <si>
    <t>4729</t>
  </si>
  <si>
    <t>4850</t>
  </si>
  <si>
    <t>4879</t>
  </si>
  <si>
    <t>4746</t>
  </si>
  <si>
    <t>4826</t>
  </si>
  <si>
    <t>Sources &amp; notes on supplementary VfM metric data</t>
  </si>
  <si>
    <t>VfM metrics</t>
  </si>
  <si>
    <t>Consolidated Group VfM Metrics</t>
  </si>
  <si>
    <t>All the metrics have been derived using FVA data as per the VfM Metrics Technical Note (Annex 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</si>
</sst>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quot;£&quot;* #,##0.00_-;_-&quot;£&quot;* &quot;-&quot;??_-;_-@_-"/>
    <numFmt numFmtId="43" formatCode="_-* #,##0.00_-;\-* #,##0.00_-;_-* &quot;-&quot;??_-;_-@_-"/>
    <numFmt numFmtId="164" formatCode="0.0%"/>
    <numFmt numFmtId="165" formatCode="_(* #,##0.00_);_(* \(#,##0.00\);_(* &quot;-&quot;??_);_(@_)"/>
    <numFmt numFmtId="166" formatCode="_(&quot;£&quot;* #,##0.00_);_(&quot;£&quot;* \(#,##0.00\);_(&quot;£&quot;* &quot;-&quot;??_);_(@_)"/>
    <numFmt numFmtId="167" formatCode="#,##0;[Red]\(#,##0\)"/>
    <numFmt numFmtId="168" formatCode="#,##0.0%;[Red]\(#,##0.0%\)"/>
    <numFmt numFmtId="169" formatCode="#,##0.00%;[Red]\(#,##0.00%\)"/>
  </numFmts>
  <fonts count="38" x14ac:knownFonts="1">
    <font>
      <sz val="11"/>
      <color theme="1"/>
      <name val="Calibri"/>
      <family val="2"/>
      <scheme val="minor"/>
    </font>
    <font>
      <sz val="10"/>
      <color theme="1"/>
      <name val="Arial"/>
      <family val="2"/>
    </font>
    <font>
      <sz val="10"/>
      <color theme="1"/>
      <name val="Arial"/>
      <family val="2"/>
    </font>
    <font>
      <sz val="10"/>
      <color rgb="FF9C0006"/>
      <name val="Arial"/>
      <family val="2"/>
    </font>
    <font>
      <b/>
      <sz val="10"/>
      <color theme="0"/>
      <name val="Arial"/>
      <family val="2"/>
    </font>
    <font>
      <b/>
      <sz val="10"/>
      <color theme="1"/>
      <name val="Arial"/>
      <family val="2"/>
    </font>
    <font>
      <sz val="10"/>
      <color theme="0"/>
      <name val="Arial"/>
      <family val="2"/>
    </font>
    <font>
      <sz val="11"/>
      <color theme="1"/>
      <name val="Calibri"/>
      <family val="2"/>
      <scheme val="minor"/>
    </font>
    <font>
      <b/>
      <sz val="22"/>
      <color rgb="FF000000"/>
      <name val="Arial"/>
      <family val="2"/>
    </font>
    <font>
      <sz val="11"/>
      <color theme="1"/>
      <name val="Arial"/>
      <family val="2"/>
    </font>
    <font>
      <b/>
      <sz val="16"/>
      <color rgb="FF000000"/>
      <name val="Arial"/>
      <family val="2"/>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0"/>
      <name val="Verdana"/>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1"/>
      <color theme="10"/>
      <name val="Calibri"/>
      <family val="2"/>
      <scheme val="minor"/>
    </font>
    <font>
      <u/>
      <sz val="12"/>
      <color theme="10"/>
      <name val="Arial"/>
      <family val="2"/>
    </font>
    <font>
      <u/>
      <sz val="10"/>
      <color theme="10"/>
      <name val="Arial"/>
      <family val="2"/>
    </font>
    <font>
      <sz val="11"/>
      <color indexed="62"/>
      <name val="Calibri"/>
      <family val="2"/>
    </font>
    <font>
      <sz val="11"/>
      <color indexed="52"/>
      <name val="Calibri"/>
      <family val="2"/>
    </font>
    <font>
      <sz val="11"/>
      <color indexed="60"/>
      <name val="Calibri"/>
      <family val="2"/>
    </font>
    <font>
      <sz val="10"/>
      <name val="MS Sans Serif"/>
      <family val="2"/>
    </font>
    <font>
      <sz val="12"/>
      <color theme="1"/>
      <name val="Arial"/>
      <family val="2"/>
    </font>
    <font>
      <sz val="11"/>
      <color theme="1"/>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theme="1"/>
      <name val="Arial"/>
      <family val="2"/>
    </font>
    <font>
      <b/>
      <sz val="14"/>
      <color theme="1"/>
      <name val="Arial"/>
      <family val="2"/>
    </font>
    <font>
      <b/>
      <sz val="12"/>
      <color theme="1"/>
      <name val="Arial"/>
      <family val="2"/>
    </font>
  </fonts>
  <fills count="32">
    <fill>
      <patternFill patternType="none"/>
    </fill>
    <fill>
      <patternFill patternType="gray125"/>
    </fill>
    <fill>
      <patternFill patternType="solid">
        <fgColor rgb="FFFFC7CE"/>
      </patternFill>
    </fill>
    <fill>
      <patternFill patternType="solid">
        <fgColor rgb="FFFFFFCC"/>
      </patternFill>
    </fill>
    <fill>
      <patternFill patternType="solid">
        <fgColor theme="5"/>
      </patternFill>
    </fill>
    <fill>
      <patternFill patternType="solid">
        <fgColor theme="5" tint="0.79998168889431442"/>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rgb="FF59468D"/>
        <bgColor theme="4"/>
      </patternFill>
    </fill>
    <fill>
      <patternFill patternType="solid">
        <fgColor rgb="FFEEEDF4"/>
        <bgColor theme="7" tint="0.79995117038483843"/>
      </patternFill>
    </fill>
    <fill>
      <patternFill patternType="solid">
        <fgColor rgb="FF3C8A8A"/>
        <bgColor theme="4"/>
      </patternFill>
    </fill>
    <fill>
      <patternFill patternType="solid">
        <fgColor rgb="FFECF3F3"/>
        <bgColor theme="7" tint="0.79995117038483843"/>
      </patternFill>
    </fill>
    <fill>
      <patternFill patternType="solid">
        <fgColor rgb="FFACA3C6"/>
        <bgColor indexed="64"/>
      </patternFill>
    </fill>
    <fill>
      <patternFill patternType="solid">
        <fgColor rgb="FF77ADAD"/>
        <bgColor indexed="64"/>
      </patternFill>
    </fill>
  </fills>
  <borders count="20">
    <border>
      <left/>
      <right/>
      <top/>
      <bottom/>
      <diagonal/>
    </border>
    <border>
      <left style="thin">
        <color rgb="FFB2B2B2"/>
      </left>
      <right style="thin">
        <color rgb="FFB2B2B2"/>
      </right>
      <top style="thin">
        <color rgb="FFB2B2B2"/>
      </top>
      <bottom style="thin">
        <color rgb="FFB2B2B2"/>
      </bottom>
      <diagonal/>
    </border>
    <border>
      <left style="thin">
        <color indexed="64"/>
      </left>
      <right/>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bottom style="hair">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71">
    <xf numFmtId="0" fontId="0" fillId="0" borderId="0"/>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alignment horizontal="left" wrapText="1"/>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 fillId="6"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5" borderId="0" applyNumberFormat="0" applyBorder="0" applyAlignment="0" applyProtection="0"/>
    <xf numFmtId="0" fontId="13" fillId="16"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6" fillId="4" borderId="0" applyNumberFormat="0" applyBorder="0" applyAlignment="0" applyProtection="0"/>
    <xf numFmtId="0" fontId="13" fillId="21"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3" fillId="2" borderId="0" applyNumberFormat="0" applyBorder="0" applyAlignment="0" applyProtection="0"/>
    <xf numFmtId="0" fontId="14" fillId="23" borderId="8" applyNumberFormat="0" applyAlignment="0" applyProtection="0"/>
    <xf numFmtId="0" fontId="15" fillId="24" borderId="9" applyNumberFormat="0" applyAlignment="0" applyProtection="0"/>
    <xf numFmtId="43" fontId="11" fillId="0" borderId="0" applyFont="0" applyFill="0" applyBorder="0" applyAlignment="0" applyProtection="0"/>
    <xf numFmtId="165" fontId="12" fillId="0" borderId="0" applyFont="0" applyFill="0" applyBorder="0" applyAlignment="0" applyProtection="0"/>
    <xf numFmtId="43" fontId="7"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165" fontId="11" fillId="0" borderId="0" applyFont="0" applyFill="0" applyBorder="0" applyAlignment="0" applyProtection="0"/>
    <xf numFmtId="165" fontId="1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5" fontId="12"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12" fillId="0" borderId="0" applyFont="0" applyFill="0" applyBorder="0" applyAlignment="0" applyProtection="0"/>
    <xf numFmtId="44" fontId="11" fillId="0" borderId="0" applyFont="0" applyFill="0" applyBorder="0" applyAlignment="0" applyProtection="0"/>
    <xf numFmtId="166" fontId="12" fillId="0" borderId="0" applyFont="0" applyFill="0" applyBorder="0" applyAlignment="0" applyProtection="0"/>
    <xf numFmtId="0" fontId="17" fillId="0" borderId="0" applyNumberFormat="0" applyFill="0" applyBorder="0" applyAlignment="0" applyProtection="0"/>
    <xf numFmtId="0" fontId="18" fillId="8" borderId="0" applyNumberFormat="0" applyBorder="0" applyAlignment="0" applyProtection="0"/>
    <xf numFmtId="0" fontId="19" fillId="0" borderId="10" applyNumberFormat="0" applyFill="0" applyAlignment="0" applyProtection="0"/>
    <xf numFmtId="0" fontId="20" fillId="0" borderId="11" applyNumberFormat="0" applyFill="0" applyAlignment="0" applyProtection="0"/>
    <xf numFmtId="0" fontId="21" fillId="0" borderId="12"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11" borderId="8" applyNumberFormat="0" applyAlignment="0" applyProtection="0"/>
    <xf numFmtId="0" fontId="26" fillId="0" borderId="13" applyNumberFormat="0" applyFill="0" applyAlignment="0" applyProtection="0"/>
    <xf numFmtId="0" fontId="27" fillId="25" borderId="0" applyNumberFormat="0" applyBorder="0" applyAlignment="0" applyProtection="0"/>
    <xf numFmtId="0" fontId="2" fillId="0" borderId="0"/>
    <xf numFmtId="0" fontId="2" fillId="0" borderId="0"/>
    <xf numFmtId="0" fontId="11"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 fillId="0" borderId="0"/>
    <xf numFmtId="0" fontId="2" fillId="0" borderId="0"/>
    <xf numFmtId="0" fontId="2" fillId="0" borderId="0"/>
    <xf numFmtId="0" fontId="2" fillId="0" borderId="0"/>
    <xf numFmtId="0" fontId="2" fillId="0" borderId="0"/>
    <xf numFmtId="0" fontId="11" fillId="0" borderId="0"/>
    <xf numFmtId="0" fontId="7" fillId="0" borderId="0"/>
    <xf numFmtId="0" fontId="11" fillId="0" borderId="0"/>
    <xf numFmtId="0" fontId="16" fillId="0" borderId="0"/>
    <xf numFmtId="0" fontId="16" fillId="0" borderId="0"/>
    <xf numFmtId="0" fontId="11" fillId="0" borderId="0"/>
    <xf numFmtId="0" fontId="28" fillId="0" borderId="0"/>
    <xf numFmtId="0" fontId="28" fillId="0" borderId="0"/>
    <xf numFmtId="0" fontId="2" fillId="0" borderId="0"/>
    <xf numFmtId="0" fontId="7" fillId="0" borderId="0"/>
    <xf numFmtId="0" fontId="16" fillId="0" borderId="0"/>
    <xf numFmtId="0" fontId="16" fillId="0" borderId="0"/>
    <xf numFmtId="0" fontId="7" fillId="0" borderId="0"/>
    <xf numFmtId="0" fontId="16" fillId="0" borderId="0"/>
    <xf numFmtId="0" fontId="2" fillId="0" borderId="0"/>
    <xf numFmtId="0" fontId="11" fillId="0" borderId="0"/>
    <xf numFmtId="0" fontId="2" fillId="0" borderId="0"/>
    <xf numFmtId="0" fontId="2"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11" fillId="0" borderId="0"/>
    <xf numFmtId="0" fontId="2" fillId="0" borderId="0"/>
    <xf numFmtId="0" fontId="2" fillId="0" borderId="0"/>
    <xf numFmtId="0" fontId="16" fillId="0" borderId="0"/>
    <xf numFmtId="0" fontId="2" fillId="0" borderId="0"/>
    <xf numFmtId="0" fontId="2" fillId="0" borderId="0"/>
    <xf numFmtId="0" fontId="11" fillId="0" borderId="0"/>
    <xf numFmtId="0" fontId="16" fillId="0" borderId="0"/>
    <xf numFmtId="0" fontId="11" fillId="0" borderId="0"/>
    <xf numFmtId="0" fontId="11" fillId="0" borderId="0"/>
    <xf numFmtId="0" fontId="16" fillId="0" borderId="0"/>
    <xf numFmtId="0" fontId="28" fillId="0" borderId="0"/>
    <xf numFmtId="0" fontId="1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0" fillId="0" borderId="0"/>
    <xf numFmtId="0" fontId="11" fillId="0" borderId="0"/>
    <xf numFmtId="0" fontId="2" fillId="0" borderId="0"/>
    <xf numFmtId="0" fontId="2" fillId="0" borderId="0"/>
    <xf numFmtId="0" fontId="2" fillId="0" borderId="0"/>
    <xf numFmtId="0" fontId="11" fillId="0" borderId="0"/>
    <xf numFmtId="0" fontId="2" fillId="0" borderId="0"/>
    <xf numFmtId="0" fontId="2" fillId="0" borderId="0"/>
    <xf numFmtId="0" fontId="7" fillId="0" borderId="0"/>
    <xf numFmtId="0" fontId="2" fillId="0" borderId="0"/>
    <xf numFmtId="0" fontId="2" fillId="0" borderId="0"/>
    <xf numFmtId="0" fontId="2" fillId="0" borderId="0"/>
    <xf numFmtId="0" fontId="29" fillId="0" borderId="0"/>
    <xf numFmtId="0" fontId="29" fillId="0" borderId="0"/>
    <xf numFmtId="0" fontId="29" fillId="0" borderId="0"/>
    <xf numFmtId="0" fontId="29" fillId="0" borderId="0"/>
    <xf numFmtId="0" fontId="7" fillId="0" borderId="0"/>
    <xf numFmtId="0" fontId="2" fillId="0" borderId="0"/>
    <xf numFmtId="0" fontId="2" fillId="0" borderId="0"/>
    <xf numFmtId="0" fontId="29"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3" borderId="1" applyNumberFormat="0" applyFont="0" applyAlignment="0" applyProtection="0"/>
    <xf numFmtId="0" fontId="2" fillId="3" borderId="1" applyNumberFormat="0" applyFont="0" applyAlignment="0" applyProtection="0"/>
    <xf numFmtId="0" fontId="2" fillId="3" borderId="1" applyNumberFormat="0" applyFont="0" applyAlignment="0" applyProtection="0"/>
    <xf numFmtId="0" fontId="31" fillId="23" borderId="14"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7" fillId="0" borderId="0" applyFont="0" applyFill="0" applyBorder="0" applyAlignment="0" applyProtection="0"/>
    <xf numFmtId="9" fontId="11" fillId="0" borderId="0" applyFont="0" applyFill="0" applyBorder="0" applyAlignment="0" applyProtection="0"/>
    <xf numFmtId="9" fontId="1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1" fillId="0" borderId="0"/>
    <xf numFmtId="0" fontId="11" fillId="0" borderId="0"/>
    <xf numFmtId="0" fontId="32" fillId="0" borderId="0" applyNumberFormat="0" applyFill="0" applyBorder="0" applyAlignment="0" applyProtection="0"/>
    <xf numFmtId="0" fontId="33" fillId="0" borderId="15" applyNumberFormat="0" applyFill="0" applyAlignment="0" applyProtection="0"/>
    <xf numFmtId="0" fontId="34" fillId="0" borderId="0" applyNumberFormat="0" applyFill="0" applyBorder="0" applyAlignment="0" applyProtection="0"/>
  </cellStyleXfs>
  <cellXfs count="71">
    <xf numFmtId="0" fontId="0" fillId="0" borderId="0" xfId="0"/>
    <xf numFmtId="0" fontId="0" fillId="0" borderId="2" xfId="0" applyBorder="1"/>
    <xf numFmtId="0" fontId="0" fillId="0" borderId="0" xfId="0" applyAlignment="1">
      <alignment wrapText="1"/>
    </xf>
    <xf numFmtId="0" fontId="2" fillId="0" borderId="7" xfId="0" applyFont="1" applyBorder="1" applyAlignment="1">
      <alignment horizontal="center" vertical="center"/>
    </xf>
    <xf numFmtId="0" fontId="2" fillId="0" borderId="7" xfId="0" applyFont="1" applyBorder="1" applyAlignment="1">
      <alignment horizontal="left" vertical="center"/>
    </xf>
    <xf numFmtId="0" fontId="2" fillId="0" borderId="7" xfId="0" applyFont="1" applyBorder="1" applyAlignment="1">
      <alignment horizontal="center" vertical="center" wrapText="1"/>
    </xf>
    <xf numFmtId="0" fontId="2" fillId="0" borderId="7" xfId="0" applyFont="1" applyBorder="1" applyAlignment="1">
      <alignment horizontal="center"/>
    </xf>
    <xf numFmtId="0" fontId="2" fillId="0" borderId="7" xfId="0" applyFont="1" applyBorder="1"/>
    <xf numFmtId="2" fontId="2" fillId="0" borderId="7" xfId="0" applyNumberFormat="1" applyFont="1" applyBorder="1" applyAlignment="1">
      <alignment horizontal="center"/>
    </xf>
    <xf numFmtId="0" fontId="5" fillId="0" borderId="0" xfId="0" applyFont="1"/>
    <xf numFmtId="0" fontId="5" fillId="0" borderId="7" xfId="0" applyFont="1" applyBorder="1" applyAlignment="1">
      <alignment horizontal="center"/>
    </xf>
    <xf numFmtId="0" fontId="5" fillId="0" borderId="7" xfId="0" applyFont="1" applyBorder="1"/>
    <xf numFmtId="164" fontId="5" fillId="0" borderId="7" xfId="0" applyNumberFormat="1" applyFont="1" applyBorder="1" applyAlignment="1">
      <alignment horizontal="center"/>
    </xf>
    <xf numFmtId="10" fontId="5" fillId="0" borderId="7" xfId="0" applyNumberFormat="1" applyFont="1" applyBorder="1" applyAlignment="1">
      <alignment horizontal="center"/>
    </xf>
    <xf numFmtId="9" fontId="5" fillId="0" borderId="7" xfId="0" applyNumberFormat="1" applyFont="1" applyBorder="1" applyAlignment="1">
      <alignment horizontal="center"/>
    </xf>
    <xf numFmtId="2" fontId="5" fillId="0" borderId="7" xfId="0" applyNumberFormat="1" applyFont="1" applyBorder="1" applyAlignment="1">
      <alignment horizontal="center"/>
    </xf>
    <xf numFmtId="10" fontId="0" fillId="0" borderId="0" xfId="0" applyNumberFormat="1"/>
    <xf numFmtId="0" fontId="9" fillId="0" borderId="0" xfId="0" applyFont="1"/>
    <xf numFmtId="0" fontId="9" fillId="0" borderId="2" xfId="0" applyFont="1" applyBorder="1"/>
    <xf numFmtId="2" fontId="2" fillId="0" borderId="7" xfId="0" applyNumberFormat="1" applyFont="1" applyBorder="1" applyAlignment="1">
      <alignment horizontal="left"/>
    </xf>
    <xf numFmtId="0" fontId="35" fillId="0" borderId="17" xfId="0" applyFont="1" applyBorder="1" applyAlignment="1">
      <alignment horizontal="center" vertical="center"/>
    </xf>
    <xf numFmtId="0" fontId="36" fillId="0" borderId="17" xfId="0" applyFont="1" applyBorder="1" applyAlignment="1">
      <alignment horizontal="center" vertical="center" wrapText="1"/>
    </xf>
    <xf numFmtId="0" fontId="36" fillId="0" borderId="18" xfId="0" applyFont="1" applyBorder="1" applyAlignment="1">
      <alignment horizontal="center" vertical="center"/>
    </xf>
    <xf numFmtId="0" fontId="22" fillId="0" borderId="18" xfId="90" applyBorder="1" applyAlignment="1">
      <alignment horizontal="center" vertical="center" wrapText="1"/>
    </xf>
    <xf numFmtId="0" fontId="0" fillId="0" borderId="18" xfId="0" applyBorder="1" applyAlignment="1">
      <alignment horizontal="center" vertical="center"/>
    </xf>
    <xf numFmtId="0" fontId="36" fillId="0" borderId="17" xfId="0" applyFont="1" applyBorder="1" applyAlignment="1">
      <alignment horizontal="center" vertical="center"/>
    </xf>
    <xf numFmtId="0" fontId="37" fillId="0" borderId="18" xfId="0" applyFont="1" applyBorder="1" applyAlignment="1">
      <alignment horizontal="center" vertical="center"/>
    </xf>
    <xf numFmtId="0" fontId="0" fillId="0" borderId="18" xfId="0" applyBorder="1" applyAlignment="1">
      <alignment horizontal="center" vertical="center" wrapText="1"/>
    </xf>
    <xf numFmtId="0" fontId="5" fillId="0" borderId="18" xfId="92" applyFont="1" applyBorder="1" applyAlignment="1">
      <alignment horizontal="center" vertical="center" wrapText="1"/>
    </xf>
    <xf numFmtId="0" fontId="37" fillId="0" borderId="18" xfId="0" applyFont="1" applyBorder="1" applyAlignment="1">
      <alignment horizontal="center" vertical="center" wrapText="1"/>
    </xf>
    <xf numFmtId="0" fontId="0" fillId="0" borderId="19" xfId="0" applyBorder="1" applyAlignment="1">
      <alignment horizontal="center" vertical="center"/>
    </xf>
    <xf numFmtId="0" fontId="0" fillId="0" borderId="0" xfId="0" applyAlignment="1">
      <alignment vertical="center"/>
    </xf>
    <xf numFmtId="167" fontId="1" fillId="0" borderId="0" xfId="0" applyNumberFormat="1" applyFont="1" applyAlignment="1">
      <alignment horizontal="center" vertical="center"/>
    </xf>
    <xf numFmtId="0" fontId="2" fillId="0" borderId="7" xfId="0" applyFont="1" applyBorder="1" applyAlignment="1">
      <alignment horizontal="left"/>
    </xf>
    <xf numFmtId="168" fontId="2" fillId="0" borderId="7" xfId="0" applyNumberFormat="1" applyFont="1" applyBorder="1" applyAlignment="1">
      <alignment horizontal="center"/>
    </xf>
    <xf numFmtId="168" fontId="2" fillId="0" borderId="7" xfId="0" applyNumberFormat="1" applyFont="1" applyBorder="1" applyAlignment="1">
      <alignment horizontal="center" vertical="center" wrapText="1"/>
    </xf>
    <xf numFmtId="169" fontId="2" fillId="0" borderId="7" xfId="0" applyNumberFormat="1" applyFont="1" applyBorder="1" applyAlignment="1">
      <alignment horizontal="center"/>
    </xf>
    <xf numFmtId="49" fontId="2" fillId="0" borderId="7" xfId="0" applyNumberFormat="1" applyFont="1" applyBorder="1" applyAlignment="1">
      <alignment horizontal="left"/>
    </xf>
    <xf numFmtId="0" fontId="5" fillId="27" borderId="7" xfId="0" applyFont="1" applyFill="1" applyBorder="1" applyAlignment="1">
      <alignment horizontal="center"/>
    </xf>
    <xf numFmtId="0" fontId="5" fillId="27" borderId="7" xfId="0" applyFont="1" applyFill="1" applyBorder="1"/>
    <xf numFmtId="164" fontId="5" fillId="27" borderId="7" xfId="0" applyNumberFormat="1" applyFont="1" applyFill="1" applyBorder="1" applyAlignment="1">
      <alignment horizontal="center"/>
    </xf>
    <xf numFmtId="10" fontId="5" fillId="27" borderId="7" xfId="0" applyNumberFormat="1" applyFont="1" applyFill="1" applyBorder="1" applyAlignment="1">
      <alignment horizontal="center"/>
    </xf>
    <xf numFmtId="9" fontId="5" fillId="27" borderId="7" xfId="0" applyNumberFormat="1" applyFont="1" applyFill="1" applyBorder="1" applyAlignment="1">
      <alignment horizontal="center"/>
    </xf>
    <xf numFmtId="2" fontId="5" fillId="27" borderId="7" xfId="0" applyNumberFormat="1" applyFont="1" applyFill="1" applyBorder="1" applyAlignment="1">
      <alignment horizontal="center"/>
    </xf>
    <xf numFmtId="0" fontId="5" fillId="29" borderId="7" xfId="0" applyFont="1" applyFill="1" applyBorder="1" applyAlignment="1">
      <alignment horizontal="center"/>
    </xf>
    <xf numFmtId="0" fontId="5" fillId="29" borderId="7" xfId="0" applyFont="1" applyFill="1" applyBorder="1"/>
    <xf numFmtId="164" fontId="5" fillId="29" borderId="7" xfId="0" applyNumberFormat="1" applyFont="1" applyFill="1" applyBorder="1" applyAlignment="1">
      <alignment horizontal="center"/>
    </xf>
    <xf numFmtId="10" fontId="5" fillId="29" borderId="7" xfId="0" applyNumberFormat="1" applyFont="1" applyFill="1" applyBorder="1" applyAlignment="1">
      <alignment horizontal="center"/>
    </xf>
    <xf numFmtId="9" fontId="5" fillId="29" borderId="7" xfId="0" applyNumberFormat="1" applyFont="1" applyFill="1" applyBorder="1" applyAlignment="1">
      <alignment horizontal="center"/>
    </xf>
    <xf numFmtId="2" fontId="5" fillId="29" borderId="7" xfId="0" applyNumberFormat="1" applyFont="1" applyFill="1" applyBorder="1" applyAlignment="1">
      <alignment horizontal="center"/>
    </xf>
    <xf numFmtId="0" fontId="4" fillId="28" borderId="5" xfId="0" applyFont="1" applyFill="1" applyBorder="1" applyAlignment="1">
      <alignment vertical="center" wrapText="1"/>
    </xf>
    <xf numFmtId="0" fontId="4" fillId="28" borderId="6" xfId="0" applyFont="1" applyFill="1" applyBorder="1" applyAlignment="1">
      <alignment vertical="center" wrapText="1"/>
    </xf>
    <xf numFmtId="0" fontId="4" fillId="28" borderId="4" xfId="0" applyFont="1" applyFill="1" applyBorder="1" applyAlignment="1">
      <alignment horizontal="centerContinuous" vertical="center" wrapText="1"/>
    </xf>
    <xf numFmtId="0" fontId="4" fillId="28" borderId="5" xfId="0" applyFont="1" applyFill="1" applyBorder="1" applyAlignment="1">
      <alignment horizontal="centerContinuous" vertical="center" wrapText="1"/>
    </xf>
    <xf numFmtId="0" fontId="4" fillId="28" borderId="6" xfId="0" applyFont="1" applyFill="1" applyBorder="1" applyAlignment="1">
      <alignment horizontal="centerContinuous" vertical="center" wrapText="1"/>
    </xf>
    <xf numFmtId="0" fontId="4" fillId="26" borderId="5" xfId="0" applyFont="1" applyFill="1" applyBorder="1" applyAlignment="1">
      <alignment vertical="center" wrapText="1"/>
    </xf>
    <xf numFmtId="0" fontId="4" fillId="26" borderId="6" xfId="0" applyFont="1" applyFill="1" applyBorder="1" applyAlignment="1">
      <alignment vertical="center" wrapText="1"/>
    </xf>
    <xf numFmtId="0" fontId="4" fillId="26" borderId="4" xfId="0" applyFont="1" applyFill="1" applyBorder="1" applyAlignment="1">
      <alignment horizontal="centerContinuous" vertical="center" wrapText="1"/>
    </xf>
    <xf numFmtId="0" fontId="4" fillId="26" borderId="6" xfId="0" applyFont="1" applyFill="1" applyBorder="1" applyAlignment="1">
      <alignment horizontal="centerContinuous" vertical="center" wrapText="1"/>
    </xf>
    <xf numFmtId="0" fontId="4" fillId="26" borderId="5" xfId="0" applyFont="1" applyFill="1" applyBorder="1" applyAlignment="1">
      <alignment horizontal="centerContinuous" vertical="center" wrapText="1"/>
    </xf>
    <xf numFmtId="0" fontId="8" fillId="0" borderId="0" xfId="0" applyFont="1" applyFill="1" applyBorder="1" applyAlignment="1">
      <alignment vertical="center"/>
    </xf>
    <xf numFmtId="0" fontId="10" fillId="0" borderId="3" xfId="0" applyFont="1" applyFill="1" applyBorder="1" applyAlignment="1">
      <alignment vertical="top"/>
    </xf>
    <xf numFmtId="0" fontId="9" fillId="0" borderId="2" xfId="0" applyFont="1" applyBorder="1" applyAlignment="1">
      <alignment horizontal="centerContinuous" vertical="center" wrapText="1"/>
    </xf>
    <xf numFmtId="0" fontId="9" fillId="0" borderId="3" xfId="0" applyFont="1" applyBorder="1" applyAlignment="1">
      <alignment horizontal="centerContinuous" vertical="center" wrapText="1"/>
    </xf>
    <xf numFmtId="0" fontId="9" fillId="0" borderId="16" xfId="0" applyFont="1" applyBorder="1" applyAlignment="1">
      <alignment horizontal="centerContinuous" vertical="center" wrapText="1"/>
    </xf>
    <xf numFmtId="0" fontId="2" fillId="0" borderId="2" xfId="0" applyFont="1" applyBorder="1" applyAlignment="1">
      <alignment horizontal="centerContinuous" wrapText="1"/>
    </xf>
    <xf numFmtId="0" fontId="2" fillId="0" borderId="3" xfId="0" applyFont="1" applyBorder="1" applyAlignment="1">
      <alignment horizontal="centerContinuous" wrapText="1"/>
    </xf>
    <xf numFmtId="0" fontId="2" fillId="0" borderId="16" xfId="0" applyFont="1" applyBorder="1" applyAlignment="1">
      <alignment horizontal="centerContinuous" wrapText="1"/>
    </xf>
    <xf numFmtId="0" fontId="0" fillId="0" borderId="18" xfId="0" applyBorder="1" applyAlignment="1">
      <alignment horizontal="center" vertical="top" wrapText="1"/>
    </xf>
    <xf numFmtId="0" fontId="2" fillId="30" borderId="7" xfId="0" applyFont="1" applyFill="1" applyBorder="1" applyAlignment="1">
      <alignment horizontal="center" vertical="center" wrapText="1"/>
    </xf>
    <xf numFmtId="0" fontId="2" fillId="31" borderId="7" xfId="0" applyFont="1" applyFill="1" applyBorder="1" applyAlignment="1">
      <alignment horizontal="center" vertical="center" wrapText="1"/>
    </xf>
  </cellXfs>
  <cellStyles count="271">
    <cellStyle name=" 1" xfId="1"/>
    <cellStyle name=" 1 2" xfId="2"/>
    <cellStyle name=" 1 2 2" xfId="3"/>
    <cellStyle name=" 1 2 2 2" xfId="4"/>
    <cellStyle name=" 1 2 2 3" xfId="5"/>
    <cellStyle name=" 1 2 2 4" xfId="6"/>
    <cellStyle name=" 1 2 2 5" xfId="7"/>
    <cellStyle name=" 1 2 3" xfId="8"/>
    <cellStyle name=" 1 2 4" xfId="9"/>
    <cellStyle name=" 1 2 5" xfId="10"/>
    <cellStyle name=" 1 2 6" xfId="11"/>
    <cellStyle name=" 1 3" xfId="12"/>
    <cellStyle name=" 1 3 2" xfId="13"/>
    <cellStyle name=" 1 3 3" xfId="14"/>
    <cellStyle name=" 1 3 4" xfId="15"/>
    <cellStyle name=" 1 3 5" xfId="16"/>
    <cellStyle name=" 1 4" xfId="17"/>
    <cellStyle name=" 1 5" xfId="18"/>
    <cellStyle name=" 1 6" xfId="19"/>
    <cellStyle name=" 1 7" xfId="20"/>
    <cellStyle name=" Writer Import]_x000d__x000a_Display Dialog=No_x000d__x000a__x000d__x000a_[Horizontal Arrange]_x000d__x000a_Dimensions Interlocking=Yes_x000d__x000a_Sum Hierarchy=Yes_x000d__x000a_Generate" xfId="21"/>
    <cellStyle name=" Writer Import]_x000d__x000a_Display Dialog=No_x000d__x000a__x000d__x000a_[Horizontal Arrange]_x000d__x000a_Dimensions Interlocking=Yes_x000d__x000a_Sum Hierarchy=Yes_x000d__x000a_Generate 2" xfId="22"/>
    <cellStyle name=" Writer Import]_x000d__x000a_Display Dialog=No_x000d__x000a__x000d__x000a_[Horizontal Arrange]_x000d__x000a_Dimensions Interlocking=Yes_x000d__x000a_Sum Hierarchy=Yes_x000d__x000a_Generate 2 2" xfId="23"/>
    <cellStyle name=" Writer Import]_x000d__x000a_Display Dialog=No_x000d__x000a__x000d__x000a_[Horizontal Arrange]_x000d__x000a_Dimensions Interlocking=Yes_x000d__x000a_Sum Hierarchy=Yes_x000d__x000a_Generate 2 3" xfId="24"/>
    <cellStyle name=" Writer Import]_x000d__x000a_Display Dialog=No_x000d__x000a__x000d__x000a_[Horizontal Arrange]_x000d__x000a_Dimensions Interlocking=Yes_x000d__x000a_Sum Hierarchy=Yes_x000d__x000a_Generate 2 4" xfId="25"/>
    <cellStyle name=" Writer Import]_x000d__x000a_Display Dialog=No_x000d__x000a__x000d__x000a_[Horizontal Arrange]_x000d__x000a_Dimensions Interlocking=Yes_x000d__x000a_Sum Hierarchy=Yes_x000d__x000a_Generate 2 5" xfId="26"/>
    <cellStyle name=" Writer Import]_x000d__x000a_Display Dialog=No_x000d__x000a__x000d__x000a_[Horizontal Arrange]_x000d__x000a_Dimensions Interlocking=Yes_x000d__x000a_Sum Hierarchy=Yes_x000d__x000a_Generate 3" xfId="27"/>
    <cellStyle name=" Writer Import]_x000d__x000a_Display Dialog=No_x000d__x000a__x000d__x000a_[Horizontal Arrange]_x000d__x000a_Dimensions Interlocking=Yes_x000d__x000a_Sum Hierarchy=Yes_x000d__x000a_Generate 4" xfId="28"/>
    <cellStyle name=" Writer Import]_x000d__x000a_Display Dialog=No_x000d__x000a__x000d__x000a_[Horizontal Arrange]_x000d__x000a_Dimensions Interlocking=Yes_x000d__x000a_Sum Hierarchy=Yes_x000d__x000a_Generate 5" xfId="29"/>
    <cellStyle name=" Writer Import]_x000d__x000a_Display Dialog=No_x000d__x000a__x000d__x000a_[Horizontal Arrange]_x000d__x000a_Dimensions Interlocking=Yes_x000d__x000a_Sum Hierarchy=Yes_x000d__x000a_Generate 6" xfId="30"/>
    <cellStyle name="%" xfId="31"/>
    <cellStyle name="%_charts tables TP-formatted " xfId="32"/>
    <cellStyle name="20% - Accent1 2" xfId="33"/>
    <cellStyle name="20% - Accent2 2" xfId="34"/>
    <cellStyle name="20% - Accent2 2 2" xfId="35"/>
    <cellStyle name="20% - Accent2 2 3" xfId="36"/>
    <cellStyle name="20% - Accent3 2" xfId="37"/>
    <cellStyle name="20% - Accent4 2" xfId="38"/>
    <cellStyle name="20% - Accent5 2" xfId="39"/>
    <cellStyle name="20% - Accent6 2" xfId="40"/>
    <cellStyle name="40% - Accent1 2" xfId="41"/>
    <cellStyle name="40% - Accent2 2" xfId="42"/>
    <cellStyle name="40% - Accent3 2" xfId="43"/>
    <cellStyle name="40% - Accent4 2" xfId="44"/>
    <cellStyle name="40% - Accent5 2" xfId="45"/>
    <cellStyle name="40% - Accent6 2" xfId="46"/>
    <cellStyle name="60% - Accent1 2" xfId="47"/>
    <cellStyle name="60% - Accent2 2" xfId="48"/>
    <cellStyle name="60% - Accent3 2" xfId="49"/>
    <cellStyle name="60% - Accent4 2" xfId="50"/>
    <cellStyle name="60% - Accent5 2" xfId="51"/>
    <cellStyle name="60% - Accent6 2" xfId="52"/>
    <cellStyle name="Accent1 2" xfId="53"/>
    <cellStyle name="Accent2 2" xfId="54"/>
    <cellStyle name="Accent3 2" xfId="55"/>
    <cellStyle name="Accent4 2" xfId="56"/>
    <cellStyle name="Accent5 2" xfId="57"/>
    <cellStyle name="Accent6 2" xfId="58"/>
    <cellStyle name="Bad 2" xfId="59"/>
    <cellStyle name="Calculation 2" xfId="60"/>
    <cellStyle name="Check Cell 2" xfId="61"/>
    <cellStyle name="Comma 19" xfId="62"/>
    <cellStyle name="Comma 2" xfId="63"/>
    <cellStyle name="Comma 2 2" xfId="64"/>
    <cellStyle name="Comma 2 3" xfId="65"/>
    <cellStyle name="Comma 2 4" xfId="66"/>
    <cellStyle name="Comma 2 5" xfId="67"/>
    <cellStyle name="Comma 3" xfId="68"/>
    <cellStyle name="Comma 3 2" xfId="69"/>
    <cellStyle name="Comma 3 2 2" xfId="70"/>
    <cellStyle name="Comma 3 3" xfId="71"/>
    <cellStyle name="Comma 3 4" xfId="72"/>
    <cellStyle name="Comma 4" xfId="73"/>
    <cellStyle name="Comma 4 2" xfId="74"/>
    <cellStyle name="Comma 4 3" xfId="75"/>
    <cellStyle name="Comma 5" xfId="76"/>
    <cellStyle name="Comma 5 2" xfId="77"/>
    <cellStyle name="Comma 6" xfId="78"/>
    <cellStyle name="Comma 6 2" xfId="79"/>
    <cellStyle name="Comma 7" xfId="80"/>
    <cellStyle name="Currency 2" xfId="81"/>
    <cellStyle name="Currency 2 2" xfId="82"/>
    <cellStyle name="Currency 3" xfId="83"/>
    <cellStyle name="Explanatory Text 2" xfId="84"/>
    <cellStyle name="Good 2" xfId="85"/>
    <cellStyle name="Heading 1 2" xfId="86"/>
    <cellStyle name="Heading 2 2" xfId="87"/>
    <cellStyle name="Heading 3 2" xfId="88"/>
    <cellStyle name="Heading 4 2" xfId="89"/>
    <cellStyle name="Hyperlink 2" xfId="90"/>
    <cellStyle name="Hyperlink 3" xfId="91"/>
    <cellStyle name="Hyperlink 4" xfId="92"/>
    <cellStyle name="Input 2" xfId="93"/>
    <cellStyle name="Linked Cell 2" xfId="94"/>
    <cellStyle name="Neutral 2" xfId="95"/>
    <cellStyle name="Normal" xfId="0" builtinId="0"/>
    <cellStyle name="Normal 10" xfId="96"/>
    <cellStyle name="Normal 10 2" xfId="97"/>
    <cellStyle name="Normal 10 4" xfId="98"/>
    <cellStyle name="Normal 102" xfId="99"/>
    <cellStyle name="Normal 11" xfId="100"/>
    <cellStyle name="Normal 11 2" xfId="101"/>
    <cellStyle name="Normal 11 2 2" xfId="102"/>
    <cellStyle name="Normal 11 2 2 2" xfId="103"/>
    <cellStyle name="Normal 11 2 2 2 2" xfId="104"/>
    <cellStyle name="Normal 11 2 2 3" xfId="105"/>
    <cellStyle name="Normal 11 2 3" xfId="106"/>
    <cellStyle name="Normal 11 2 3 2" xfId="107"/>
    <cellStyle name="Normal 11 2 4" xfId="108"/>
    <cellStyle name="Normal 11 3" xfId="109"/>
    <cellStyle name="Normal 11 3 2" xfId="110"/>
    <cellStyle name="Normal 11 3 2 2" xfId="111"/>
    <cellStyle name="Normal 11 3 2 2 2" xfId="112"/>
    <cellStyle name="Normal 11 3 2 3" xfId="113"/>
    <cellStyle name="Normal 11 3 3" xfId="114"/>
    <cellStyle name="Normal 11 3 3 2" xfId="115"/>
    <cellStyle name="Normal 11 3 4" xfId="116"/>
    <cellStyle name="Normal 11 3 4 2" xfId="117"/>
    <cellStyle name="Normal 11 3 5" xfId="118"/>
    <cellStyle name="Normal 11 4" xfId="119"/>
    <cellStyle name="Normal 12" xfId="120"/>
    <cellStyle name="Normal 12 2" xfId="121"/>
    <cellStyle name="Normal 12 2 2" xfId="122"/>
    <cellStyle name="Normal 12 2 2 2" xfId="123"/>
    <cellStyle name="Normal 12 2 2 2 2" xfId="124"/>
    <cellStyle name="Normal 12 2 2 3" xfId="125"/>
    <cellStyle name="Normal 12 2 3" xfId="126"/>
    <cellStyle name="Normal 12 2 3 2" xfId="127"/>
    <cellStyle name="Normal 12 2 4" xfId="128"/>
    <cellStyle name="Normal 12 3" xfId="129"/>
    <cellStyle name="Normal 13" xfId="130"/>
    <cellStyle name="Normal 13 2" xfId="131"/>
    <cellStyle name="Normal 14" xfId="132"/>
    <cellStyle name="Normal 14 2" xfId="133"/>
    <cellStyle name="Normal 15" xfId="134"/>
    <cellStyle name="Normal 15 2" xfId="135"/>
    <cellStyle name="Normal 16" xfId="136"/>
    <cellStyle name="Normal 16 2" xfId="137"/>
    <cellStyle name="Normal 17" xfId="138"/>
    <cellStyle name="Normal 17 2" xfId="139"/>
    <cellStyle name="Normal 17 2 2" xfId="140"/>
    <cellStyle name="Normal 17 3" xfId="141"/>
    <cellStyle name="Normal 18" xfId="142"/>
    <cellStyle name="Normal 18 2" xfId="143"/>
    <cellStyle name="Normal 18 3" xfId="144"/>
    <cellStyle name="Normal 19" xfId="145"/>
    <cellStyle name="Normal 19 2" xfId="146"/>
    <cellStyle name="Normal 2" xfId="147"/>
    <cellStyle name="Normal 2 10" xfId="148"/>
    <cellStyle name="Normal 2 12" xfId="149"/>
    <cellStyle name="Normal 2 2" xfId="150"/>
    <cellStyle name="Normal 2 2 2" xfId="151"/>
    <cellStyle name="Normal 2 2 3" xfId="152"/>
    <cellStyle name="Normal 2 2 3 2" xfId="153"/>
    <cellStyle name="Normal 2 2 4" xfId="154"/>
    <cellStyle name="Normal 2 3" xfId="155"/>
    <cellStyle name="Normal 2 3 2" xfId="156"/>
    <cellStyle name="Normal 2 3 3" xfId="157"/>
    <cellStyle name="Normal 2 4" xfId="158"/>
    <cellStyle name="Normal 2 4 2" xfId="159"/>
    <cellStyle name="Normal 2 5" xfId="160"/>
    <cellStyle name="Normal 2 6" xfId="161"/>
    <cellStyle name="Normal 2_Economy Tables" xfId="162"/>
    <cellStyle name="Normal 20" xfId="163"/>
    <cellStyle name="Normal 20 2" xfId="164"/>
    <cellStyle name="Normal 21" xfId="165"/>
    <cellStyle name="Normal 21 2" xfId="166"/>
    <cellStyle name="Normal 21 2 2" xfId="167"/>
    <cellStyle name="Normal 22" xfId="168"/>
    <cellStyle name="Normal 22 2" xfId="169"/>
    <cellStyle name="Normal 23" xfId="170"/>
    <cellStyle name="Normal 23 2" xfId="171"/>
    <cellStyle name="Normal 23 2 2" xfId="172"/>
    <cellStyle name="Normal 23 3" xfId="173"/>
    <cellStyle name="Normal 24" xfId="174"/>
    <cellStyle name="Normal 24 2" xfId="175"/>
    <cellStyle name="Normal 25" xfId="176"/>
    <cellStyle name="Normal 26" xfId="177"/>
    <cellStyle name="Normal 26 2" xfId="178"/>
    <cellStyle name="Normal 26 2 2" xfId="179"/>
    <cellStyle name="Normal 26 3" xfId="180"/>
    <cellStyle name="Normal 27" xfId="181"/>
    <cellStyle name="Normal 27 2" xfId="182"/>
    <cellStyle name="Normal 28" xfId="183"/>
    <cellStyle name="Normal 28 2" xfId="184"/>
    <cellStyle name="Normal 29" xfId="185"/>
    <cellStyle name="Normal 29 2" xfId="186"/>
    <cellStyle name="Normal 29 3" xfId="187"/>
    <cellStyle name="Normal 3" xfId="188"/>
    <cellStyle name="Normal 3 2" xfId="189"/>
    <cellStyle name="Normal 3 2 2" xfId="190"/>
    <cellStyle name="Normal 3 2 3" xfId="191"/>
    <cellStyle name="Normal 3 3" xfId="192"/>
    <cellStyle name="Normal 3 3 2" xfId="193"/>
    <cellStyle name="Normal 3 4" xfId="194"/>
    <cellStyle name="Normal 30" xfId="195"/>
    <cellStyle name="Normal 30 2" xfId="196"/>
    <cellStyle name="Normal 31" xfId="197"/>
    <cellStyle name="Normal 31 2" xfId="198"/>
    <cellStyle name="Normal 31 2 2" xfId="199"/>
    <cellStyle name="Normal 31 3" xfId="200"/>
    <cellStyle name="Normal 31 4" xfId="201"/>
    <cellStyle name="Normal 31 4 2" xfId="202"/>
    <cellStyle name="Normal 31 5" xfId="203"/>
    <cellStyle name="Normal 31 6" xfId="204"/>
    <cellStyle name="Normal 31 6 3" xfId="205"/>
    <cellStyle name="Normal 32" xfId="206"/>
    <cellStyle name="Normal 32 2" xfId="207"/>
    <cellStyle name="Normal 32 3" xfId="208"/>
    <cellStyle name="Normal 33" xfId="209"/>
    <cellStyle name="Normal 33 2" xfId="210"/>
    <cellStyle name="Normal 33 2 2" xfId="211"/>
    <cellStyle name="Normal 34" xfId="212"/>
    <cellStyle name="Normal 35" xfId="213"/>
    <cellStyle name="Normal 36" xfId="214"/>
    <cellStyle name="Normal 37" xfId="215"/>
    <cellStyle name="Normal 37 2" xfId="216"/>
    <cellStyle name="Normal 38" xfId="217"/>
    <cellStyle name="Normal 39" xfId="218"/>
    <cellStyle name="Normal 4" xfId="219"/>
    <cellStyle name="Normal 4 2" xfId="220"/>
    <cellStyle name="Normal 40" xfId="221"/>
    <cellStyle name="Normal 41" xfId="222"/>
    <cellStyle name="Normal 42" xfId="223"/>
    <cellStyle name="Normal 43" xfId="224"/>
    <cellStyle name="Normal 44" xfId="225"/>
    <cellStyle name="Normal 46" xfId="226"/>
    <cellStyle name="Normal 47" xfId="227"/>
    <cellStyle name="Normal 48" xfId="228"/>
    <cellStyle name="Normal 49" xfId="229"/>
    <cellStyle name="Normal 5" xfId="230"/>
    <cellStyle name="Normal 5 2" xfId="231"/>
    <cellStyle name="Normal 5 3" xfId="232"/>
    <cellStyle name="Normal 50" xfId="233"/>
    <cellStyle name="Normal 6" xfId="234"/>
    <cellStyle name="Normal 6 2" xfId="235"/>
    <cellStyle name="Normal 6 2 2" xfId="236"/>
    <cellStyle name="Normal 6 3" xfId="237"/>
    <cellStyle name="Normal 6 4" xfId="238"/>
    <cellStyle name="Normal 7" xfId="239"/>
    <cellStyle name="Normal 8" xfId="240"/>
    <cellStyle name="Normal 9" xfId="241"/>
    <cellStyle name="Normal 9 2" xfId="242"/>
    <cellStyle name="Note 2" xfId="243"/>
    <cellStyle name="Note 2 2" xfId="244"/>
    <cellStyle name="Note 3" xfId="245"/>
    <cellStyle name="Output 2" xfId="246"/>
    <cellStyle name="Percent 10" xfId="247"/>
    <cellStyle name="Percent 10 2" xfId="248"/>
    <cellStyle name="Percent 2" xfId="249"/>
    <cellStyle name="Percent 2 2" xfId="250"/>
    <cellStyle name="Percent 2 3" xfId="251"/>
    <cellStyle name="Percent 3" xfId="252"/>
    <cellStyle name="Percent 3 2" xfId="253"/>
    <cellStyle name="Percent 3 3" xfId="254"/>
    <cellStyle name="Percent 4" xfId="255"/>
    <cellStyle name="Percent 4 2" xfId="256"/>
    <cellStyle name="Percent 5" xfId="257"/>
    <cellStyle name="Percent 6" xfId="258"/>
    <cellStyle name="Percent 6 2" xfId="259"/>
    <cellStyle name="Percent 7" xfId="260"/>
    <cellStyle name="Percent 7 2" xfId="261"/>
    <cellStyle name="Percent 8" xfId="262"/>
    <cellStyle name="Percent 8 2" xfId="263"/>
    <cellStyle name="Percent 9" xfId="264"/>
    <cellStyle name="Percent 9 2" xfId="265"/>
    <cellStyle name="Style 1" xfId="266"/>
    <cellStyle name="Style 1 2" xfId="267"/>
    <cellStyle name="Title 2" xfId="268"/>
    <cellStyle name="Total 2" xfId="269"/>
    <cellStyle name="Warning Text 2" xfId="270"/>
  </cellStyles>
  <dxfs count="166">
    <dxf>
      <font>
        <strike val="0"/>
        <outline val="0"/>
        <shadow val="0"/>
        <u val="none"/>
        <vertAlign val="baseline"/>
        <sz val="10"/>
        <color theme="1"/>
        <name val="Arial"/>
        <scheme val="none"/>
      </font>
      <numFmt numFmtId="2" formatCode="0.00"/>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2" formatCode="0.00"/>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indexed="64"/>
        </left>
        <right style="hair">
          <color auto="1"/>
        </right>
        <top style="hair">
          <color auto="1"/>
        </top>
        <bottom style="hair">
          <color auto="1"/>
        </bottom>
      </border>
    </dxf>
    <dxf>
      <font>
        <strike val="0"/>
        <outline val="0"/>
        <shadow val="0"/>
        <u val="none"/>
        <vertAlign val="baseline"/>
        <sz val="10"/>
        <color theme="1"/>
        <name val="Arial"/>
        <scheme val="none"/>
      </font>
      <numFmt numFmtId="169" formatCode="#,##0.00%;[Red]\(#,##0.00%\)"/>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indexed="64"/>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top style="hair">
          <color auto="1"/>
        </top>
        <bottom style="hair">
          <color auto="1"/>
        </bottom>
      </border>
    </dxf>
    <dxf>
      <font>
        <strike val="0"/>
        <outline val="0"/>
        <shadow val="0"/>
        <u val="none"/>
        <vertAlign val="baseline"/>
        <sz val="10"/>
        <color theme="1"/>
        <name val="Arial"/>
        <scheme val="none"/>
      </font>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color theme="1"/>
        <name val="Arial"/>
        <scheme val="none"/>
      </font>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color theme="1"/>
        <name val="Arial"/>
        <scheme val="none"/>
      </font>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center" vertical="center" textRotation="0" wrapText="1" indent="0" justifyLastLine="0" shrinkToFit="0" readingOrder="0"/>
    </dxf>
    <dxf>
      <font>
        <strike val="0"/>
        <outline val="0"/>
        <shadow val="0"/>
        <u val="none"/>
        <vertAlign val="baseline"/>
        <sz val="10"/>
        <color theme="1"/>
        <name val="Arial"/>
        <scheme val="none"/>
      </font>
      <alignment horizontal="left" vertical="bottom" textRotation="0" wrapText="0" indent="0" justifyLastLine="0" shrinkToFit="0" readingOrder="0"/>
      <border diagonalUp="0" diagonalDown="0" outline="0">
        <left style="hair">
          <color indexed="64"/>
        </left>
        <right style="hair">
          <color auto="1"/>
        </right>
        <top style="hair">
          <color auto="1"/>
        </top>
        <bottom style="hair">
          <color auto="1"/>
        </bottom>
      </border>
    </dxf>
    <dxf>
      <font>
        <strike val="0"/>
        <outline val="0"/>
        <shadow val="0"/>
        <u val="none"/>
        <vertAlign val="baseline"/>
        <sz val="10"/>
        <color theme="1"/>
        <name val="Arial"/>
        <scheme val="none"/>
      </font>
      <numFmt numFmtId="30" formatCode="@"/>
      <alignment horizontal="left"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2" formatCode="0.00"/>
      <alignment horizontal="center" vertical="bottom" textRotation="0" wrapText="0" indent="0" justifyLastLine="0" shrinkToFit="0" readingOrder="0"/>
      <border diagonalUp="0" diagonalDown="0" outline="0">
        <left style="hair">
          <color auto="1"/>
        </left>
        <right style="hair">
          <color indexed="64"/>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2" formatCode="0.00"/>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indexed="64"/>
        </left>
        <right style="hair">
          <color indexed="64"/>
        </right>
        <top style="hair">
          <color indexed="64"/>
        </top>
        <bottom style="hair">
          <color indexed="64"/>
        </bottom>
        <vertical/>
        <horizontal/>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indexed="64"/>
        </left>
        <right style="hair">
          <color auto="1"/>
        </right>
        <top style="hair">
          <color auto="1"/>
        </top>
        <bottom style="hair">
          <color auto="1"/>
        </bottom>
      </border>
    </dxf>
    <dxf>
      <font>
        <strike val="0"/>
        <outline val="0"/>
        <shadow val="0"/>
        <u val="none"/>
        <vertAlign val="baseline"/>
        <sz val="10"/>
        <color theme="1"/>
        <name val="Arial"/>
        <scheme val="none"/>
      </font>
      <numFmt numFmtId="169" formatCode="#,##0.00%;[Red]\(#,##0.00%\)"/>
      <alignment horizontal="center" vertical="bottom"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indexed="64"/>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7" formatCode="#,##0;[Red]\(#,##0\)"/>
      <alignment horizontal="center" vertical="center" textRotation="0" wrapText="0" indent="0" justifyLastLine="0" shrinkToFit="0" readingOrder="0"/>
      <border diagonalUp="0" diagonalDown="0" outline="0">
        <left style="hair">
          <color auto="1"/>
        </left>
        <right style="hair">
          <color auto="1"/>
        </right>
        <top style="hair">
          <color auto="1"/>
        </top>
        <bottom style="hair">
          <color auto="1"/>
        </bottom>
      </border>
    </dxf>
    <dxf>
      <font>
        <strike val="0"/>
        <outline val="0"/>
        <shadow val="0"/>
        <u val="none"/>
        <vertAlign val="baseline"/>
        <sz val="10"/>
        <color theme="1"/>
        <name val="Arial"/>
        <scheme val="none"/>
      </font>
      <numFmt numFmtId="168" formatCode="#,##0.0%;[Red]\(#,##0.0%\)"/>
      <alignment horizontal="center" vertical="bottom" textRotation="0" wrapText="0" indent="0" justifyLastLine="0" shrinkToFit="0" readingOrder="0"/>
      <border diagonalUp="0" diagonalDown="0">
        <left style="hair">
          <color auto="1"/>
        </left>
        <right style="hair">
          <color auto="1"/>
        </right>
        <top style="hair">
          <color auto="1"/>
        </top>
        <bottom style="hair">
          <color auto="1"/>
        </bottom>
      </border>
    </dxf>
    <dxf>
      <font>
        <strike val="0"/>
        <outline val="0"/>
        <shadow val="0"/>
        <u val="none"/>
        <vertAlign val="baseline"/>
        <sz val="10"/>
        <color theme="1"/>
        <name val="Arial"/>
        <scheme val="none"/>
      </font>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color theme="1"/>
        <name val="Arial"/>
        <scheme val="none"/>
      </font>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color theme="1"/>
        <name val="Arial"/>
        <scheme val="none"/>
      </font>
      <alignment horizontal="left" vertical="bottom" textRotation="0" wrapText="0" indent="0" justifyLastLine="0" shrinkToFit="0" readingOrder="0"/>
      <border diagonalUp="0" diagonalDown="0" outline="0">
        <left style="hair">
          <color indexed="64"/>
        </left>
        <right style="hair">
          <color indexed="64"/>
        </right>
        <top style="hair">
          <color indexed="64"/>
        </top>
        <bottom style="hair">
          <color indexed="64"/>
        </bottom>
      </border>
    </dxf>
    <dxf>
      <font>
        <strike val="0"/>
        <outline val="0"/>
        <shadow val="0"/>
        <u val="none"/>
        <vertAlign val="baseline"/>
        <sz val="10"/>
        <color theme="1"/>
        <name val="Arial"/>
        <scheme val="none"/>
      </font>
    </dxf>
    <dxf>
      <font>
        <strike val="0"/>
        <outline val="0"/>
        <shadow val="0"/>
        <u val="none"/>
        <vertAlign val="baseline"/>
        <sz val="10"/>
        <color theme="1"/>
        <name val="Arial"/>
        <scheme val="none"/>
      </font>
      <alignment horizontal="center" vertical="center" textRotation="0" wrapText="1" indent="0" justifyLastLine="0" shrinkToFit="0" readingOrder="0"/>
    </dxf>
    <dxf>
      <fill>
        <patternFill patternType="solid">
          <fgColor theme="7" tint="0.79998168889431442"/>
          <bgColor theme="7" tint="0.79998168889431442"/>
        </patternFill>
      </fill>
    </dxf>
    <dxf>
      <fill>
        <patternFill>
          <bgColor rgb="FFECF3F3"/>
        </patternFill>
      </fill>
    </dxf>
    <dxf>
      <font>
        <b/>
        <color theme="1"/>
      </font>
    </dxf>
    <dxf>
      <font>
        <b/>
        <color theme="1"/>
      </font>
    </dxf>
    <dxf>
      <font>
        <color theme="0"/>
      </font>
      <fill>
        <patternFill>
          <bgColor rgb="FF3C8A8A"/>
        </patternFill>
      </fill>
      <border>
        <top style="double">
          <color theme="7"/>
        </top>
      </border>
    </dxf>
    <dxf>
      <font>
        <b/>
        <color theme="0"/>
      </font>
      <fill>
        <patternFill patternType="solid">
          <fgColor theme="7"/>
          <bgColor rgb="FF3C8A8A"/>
        </patternFill>
      </fill>
    </dxf>
    <dxf>
      <font>
        <color theme="1"/>
      </font>
      <border>
        <left style="thin">
          <color theme="7" tint="0.39997558519241921"/>
        </left>
        <right style="thin">
          <color theme="7" tint="0.39997558519241921"/>
        </right>
        <top style="thin">
          <color theme="7" tint="0.39997558519241921"/>
        </top>
        <bottom style="thin">
          <color theme="7" tint="0.39997558519241921"/>
        </bottom>
        <horizontal style="thin">
          <color theme="7" tint="0.39997558519241921"/>
        </horizontal>
      </border>
    </dxf>
    <dxf>
      <fill>
        <patternFill patternType="solid">
          <fgColor theme="7" tint="0.79998168889431442"/>
          <bgColor theme="7" tint="0.79998168889431442"/>
        </patternFill>
      </fill>
    </dxf>
    <dxf>
      <fill>
        <patternFill>
          <bgColor rgb="FFEEEDF4"/>
        </patternFill>
      </fill>
    </dxf>
    <dxf>
      <font>
        <b/>
        <color theme="1"/>
      </font>
    </dxf>
    <dxf>
      <font>
        <b/>
        <color theme="1"/>
      </font>
    </dxf>
    <dxf>
      <font>
        <color theme="0"/>
      </font>
      <fill>
        <patternFill>
          <bgColor rgb="FF59468D"/>
        </patternFill>
      </fill>
      <border>
        <top style="double">
          <color theme="7"/>
        </top>
      </border>
    </dxf>
    <dxf>
      <font>
        <b/>
        <color theme="0"/>
      </font>
      <fill>
        <patternFill patternType="solid">
          <fgColor theme="7"/>
          <bgColor rgb="FF59468D"/>
        </patternFill>
      </fill>
    </dxf>
    <dxf>
      <font>
        <color theme="1"/>
      </font>
      <border>
        <left style="thin">
          <color theme="7" tint="0.39997558519241921"/>
        </left>
        <right style="thin">
          <color theme="7" tint="0.39997558519241921"/>
        </right>
        <top style="thin">
          <color theme="7" tint="0.39997558519241921"/>
        </top>
        <bottom style="thin">
          <color theme="7" tint="0.39997558519241921"/>
        </bottom>
        <horizontal style="thin">
          <color theme="7" tint="0.39997558519241921"/>
        </horizontal>
      </border>
    </dxf>
  </dxfs>
  <tableStyles count="2" defaultTableStyle="TableStyleMedium2" defaultPivotStyle="PivotStyleLight16">
    <tableStyle name="TableStyleMedium5 2" pivot="0" count="7">
      <tableStyleElement type="wholeTable" dxfId="165"/>
      <tableStyleElement type="headerRow" dxfId="164"/>
      <tableStyleElement type="totalRow" dxfId="163"/>
      <tableStyleElement type="firstColumn" dxfId="162"/>
      <tableStyleElement type="lastColumn" dxfId="161"/>
      <tableStyleElement type="secondRowStripe" dxfId="160"/>
      <tableStyleElement type="firstColumnStripe" dxfId="159"/>
    </tableStyle>
    <tableStyle name="TableStyleMedium5 2 2" pivot="0" count="7">
      <tableStyleElement type="wholeTable" dxfId="158"/>
      <tableStyleElement type="headerRow" dxfId="157"/>
      <tableStyleElement type="totalRow" dxfId="156"/>
      <tableStyleElement type="firstColumn" dxfId="155"/>
      <tableStyleElement type="lastColumn" dxfId="154"/>
      <tableStyleElement type="secondRowStripe" dxfId="153"/>
      <tableStyleElement type="firstColumnStripe" dxfId="152"/>
    </tableStyle>
  </tableStyles>
  <colors>
    <mruColors>
      <color rgb="FF77ADAD"/>
      <color rgb="FF9EC5C5"/>
      <color rgb="FFACA3C6"/>
      <color rgb="FFBDB5D1"/>
      <color rgb="FFBDC96D"/>
      <color rgb="FF3C8A8A"/>
      <color rgb="FF59468D"/>
      <color rgb="FFECF3F3"/>
      <color rgb="FFEEEDF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_rels/externalLink11.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windows\temp\PROF99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senevij\Local%20Settings\Temporary%20Internet%20Files\OLK6D\FertAssChar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forecast\hist20\CHSPD1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forecast\hist20\HIS19FI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WINDOWS\TEMP\PD\PD109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ecast data"/>
      <sheetName val="Intro - read first"/>
      <sheetName val="Imp VAT"/>
      <sheetName val="Home VAT"/>
      <sheetName val="VATgraph"/>
      <sheetName val="Tobacco"/>
      <sheetName val="Spirits"/>
      <sheetName val="Beer"/>
      <sheetName val="Wine"/>
      <sheetName val="Cider"/>
      <sheetName val="B&amp;G"/>
      <sheetName val="Customs"/>
      <sheetName val="APD"/>
      <sheetName val="IPT"/>
      <sheetName val="Landfill"/>
      <sheetName val="Reb oils"/>
      <sheetName val="Petrol"/>
      <sheetName val="Derv"/>
      <sheetName val="Oilgraph"/>
      <sheetName val="Tables 1 &amp; 2"/>
      <sheetName val="April"/>
      <sheetName val="Daily (2)"/>
      <sheetName val="Proportions"/>
      <sheetName val="Comparison"/>
      <sheetName val="CGBR table"/>
      <sheetName val="BIS table"/>
      <sheetName val="Tob accs"/>
      <sheetName val="Accruals"/>
      <sheetName val="Acc adj"/>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TABLE"/>
      <sheetName val="ET TABLE"/>
      <sheetName val="HMT"/>
      <sheetName val="QsYs"/>
    </sheetNames>
    <sheetDataSet>
      <sheetData sheetId="0" refreshError="1">
        <row r="17">
          <cell r="Q17">
            <v>1266</v>
          </cell>
        </row>
        <row r="23">
          <cell r="P23" t="str">
            <v>Number of PD forms NI only</v>
          </cell>
        </row>
        <row r="25">
          <cell r="P25" t="str">
            <v>Non-liab</v>
          </cell>
          <cell r="Q25" t="str">
            <v>Liab</v>
          </cell>
        </row>
        <row r="26">
          <cell r="P26">
            <v>1798</v>
          </cell>
          <cell r="Q26">
            <v>1221</v>
          </cell>
        </row>
        <row r="27">
          <cell r="P27">
            <v>1875</v>
          </cell>
          <cell r="Q27">
            <v>1352</v>
          </cell>
        </row>
        <row r="28">
          <cell r="P28">
            <v>1755</v>
          </cell>
          <cell r="Q28">
            <v>1296</v>
          </cell>
        </row>
        <row r="29">
          <cell r="P29">
            <v>1778</v>
          </cell>
          <cell r="Q29">
            <v>1175</v>
          </cell>
        </row>
        <row r="30">
          <cell r="P30">
            <v>2150</v>
          </cell>
          <cell r="Q30">
            <v>1155</v>
          </cell>
        </row>
        <row r="31">
          <cell r="P31">
            <v>2032</v>
          </cell>
          <cell r="Q31">
            <v>1366</v>
          </cell>
        </row>
        <row r="32">
          <cell r="P32">
            <v>2151</v>
          </cell>
          <cell r="Q32">
            <v>1364</v>
          </cell>
        </row>
        <row r="33">
          <cell r="P33">
            <v>1971</v>
          </cell>
          <cell r="Q33">
            <v>1265</v>
          </cell>
        </row>
        <row r="34">
          <cell r="P34">
            <v>1811</v>
          </cell>
          <cell r="Q34">
            <v>1039</v>
          </cell>
        </row>
        <row r="35">
          <cell r="P35">
            <v>1937</v>
          </cell>
          <cell r="Q35">
            <v>1221</v>
          </cell>
        </row>
        <row r="36">
          <cell r="P36">
            <v>1728</v>
          </cell>
          <cell r="Q36">
            <v>1087</v>
          </cell>
        </row>
        <row r="37">
          <cell r="P37">
            <v>1515</v>
          </cell>
          <cell r="Q37">
            <v>1035</v>
          </cell>
        </row>
        <row r="38">
          <cell r="P38" t="str">
            <v xml:space="preserve"> _________</v>
          </cell>
          <cell r="Q38" t="str">
            <v xml:space="preserve"> _______</v>
          </cell>
        </row>
        <row r="39">
          <cell r="P39">
            <v>18828</v>
          </cell>
          <cell r="Q39">
            <v>12003</v>
          </cell>
        </row>
        <row r="43">
          <cell r="P43" t="str">
            <v>Number of PD forms NI only</v>
          </cell>
        </row>
        <row r="45">
          <cell r="P45" t="str">
            <v>Non-liab</v>
          </cell>
          <cell r="Q45" t="str">
            <v>Liab</v>
          </cell>
        </row>
        <row r="46">
          <cell r="P46">
            <v>1867</v>
          </cell>
          <cell r="Q46">
            <v>1209</v>
          </cell>
        </row>
        <row r="47">
          <cell r="Q47">
            <v>1094</v>
          </cell>
        </row>
        <row r="48">
          <cell r="Q48">
            <v>1410</v>
          </cell>
        </row>
        <row r="49">
          <cell r="Q49">
            <v>1476</v>
          </cell>
        </row>
      </sheetData>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Set>
  </externalBook>
</externalLink>
</file>

<file path=xl/tables/table1.xml><?xml version="1.0" encoding="utf-8"?>
<table xmlns="http://schemas.openxmlformats.org/spreadsheetml/2006/main" id="2" name="Entity_Metrics" displayName="Entity_Metrics" ref="A3:BW292" totalsRowShown="0" headerRowDxfId="151" dataDxfId="150">
  <autoFilter ref="A3:BW292"/>
  <tableColumns count="75">
    <tableColumn id="1" name="RP_Code" dataDxfId="149"/>
    <tableColumn id="3" name="RP_Name" dataDxfId="148"/>
    <tableColumn id="5" name="FYE" dataDxfId="147"/>
    <tableColumn id="7" name="Reinvestment" dataDxfId="146">
      <calculatedColumnFormula>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calculatedColumnFormula>
    </tableColumn>
    <tableColumn id="8" name="Development of new properties (Total housing properties)" dataDxfId="145"/>
    <tableColumn id="9" name="Newly built properties acquired (Total housing properties)" dataDxfId="144"/>
    <tableColumn id="10" name=" Works to Existing (Total housing properties)" dataDxfId="143"/>
    <tableColumn id="11" name="Capitalised Interest (Total housing properties)" dataDxfId="142"/>
    <tableColumn id="12" name="Schemes completed (Total housing properties)" dataDxfId="141"/>
    <tableColumn id="13" name="Tangible fixed assets: Housing properties at cost (Current period)" dataDxfId="140"/>
    <tableColumn id="14" name="Tangible fixed assets Housing properties at valuation (Current period)" dataDxfId="139"/>
    <tableColumn id="15" name="New Supply (Social)" dataDxfId="138">
      <calculatedColumnFormula>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calculatedColumnFormula>
    </tableColumn>
    <tableColumn id="16" name="Total social units developed or newly built units acquired in-year (owned)" dataDxfId="137"/>
    <tableColumn id="17" name="Total social leasehold units developed or newly built units acquired in-year (owned)" dataDxfId="136"/>
    <tableColumn id="18" name="Total social housing units owned (Period end)" dataDxfId="135"/>
    <tableColumn id="19" name="Total social leasehold units owned (Period end)" dataDxfId="134"/>
    <tableColumn id="20" name="New Supply (Non-Social)" dataDxfId="133">
      <calculatedColumnFormula>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calculatedColumnFormula>
    </tableColumn>
    <tableColumn id="21" name="Total non-social units developed or newly built units acquired in-year (owned)" dataDxfId="132"/>
    <tableColumn id="22" name="Total non-social leasehold units developed or newly built units acquired in-year (owned)" dataDxfId="131"/>
    <tableColumn id="23" name="New outright sale units developed or acquired (owned)" dataDxfId="130"/>
    <tableColumn id="24" name="Total social housing units owned (Period end)2" dataDxfId="129"/>
    <tableColumn id="25" name="Total non-social rental housing units owned (Period end)" dataDxfId="128"/>
    <tableColumn id="26" name="Total social leasehold units owned (Period end)2" dataDxfId="127"/>
    <tableColumn id="27" name="Total non-social leasehold units owned (Period end)" dataDxfId="126"/>
    <tableColumn id="28" name="Gearing" dataDxfId="125">
      <calculatedColumnFormula>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calculatedColumnFormula>
    </tableColumn>
    <tableColumn id="29" name="Short-term loans" dataDxfId="124"/>
    <tableColumn id="30" name="Long-term loans" dataDxfId="123"/>
    <tableColumn id="31" name="Cash and cash equivalents " dataDxfId="122"/>
    <tableColumn id="32" name="Amounts owed to group undertakings" dataDxfId="121"/>
    <tableColumn id="33" name="Finance lease obligations" dataDxfId="120"/>
    <tableColumn id="34" name="Tangible fixed assets: Housing properties at cost (Current period)2" dataDxfId="119"/>
    <tableColumn id="35" name="Tangible fixed assets Housing properties at valuation (Current period)2" dataDxfId="118"/>
    <tableColumn id="36" name="EBITDA MRI Interest Rate Cover" dataDxfId="117">
      <calculatedColumnFormula>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calculatedColumnFormula>
    </tableColumn>
    <tableColumn id="37" name="Operating surplus/(deficit) (overall)" dataDxfId="116"/>
    <tableColumn id="38" name="Gain/(loss) on disposal of fixed assets (housing properties)" dataDxfId="115"/>
    <tableColumn id="39" name="Amortised government grant" dataDxfId="114"/>
    <tableColumn id="40" name="Government grants taken to income" dataDxfId="113"/>
    <tableColumn id="41" name="Interest receivable" dataDxfId="112"/>
    <tableColumn id="42" name="Capitalised major repairs expenditure for period" dataDxfId="111"/>
    <tableColumn id="43" name="Total depreciation charge for period" dataDxfId="110"/>
    <tableColumn id="44" name="Interest capitalised" dataDxfId="109"/>
    <tableColumn id="45" name="Interest payable and financing costs" dataDxfId="108"/>
    <tableColumn id="46" name="Headline Social Housing Cost per unit" dataDxfId="107">
      <calculatedColumnFormula>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calculatedColumnFormula>
    </tableColumn>
    <tableColumn id="47" name="Management costs" dataDxfId="106"/>
    <tableColumn id="48" name="Service charge costs" dataDxfId="105"/>
    <tableColumn id="49" name="Routine maintenance costs" dataDxfId="104"/>
    <tableColumn id="50" name="Planned maintenance costs" dataDxfId="103"/>
    <tableColumn id="51" name="Major repairs expenditure" dataDxfId="102"/>
    <tableColumn id="52" name="Capitalised major repairs expenditure for period2" dataDxfId="101"/>
    <tableColumn id="53" name="Other (social housing letting) costs" dataDxfId="100"/>
    <tableColumn id="54" name="Development services" dataDxfId="99"/>
    <tableColumn id="55" name="Community/neighbourhood services" dataDxfId="98"/>
    <tableColumn id="56" name="Other social housing activities: Other" dataDxfId="97"/>
    <tableColumn id="57" name="Other social housing activities: charges for support services]" dataDxfId="96"/>
    <tableColumn id="58" name="Total social housing units owned and/or managed at period end" dataDxfId="95"/>
    <tableColumn id="59" name="Operating Margin (SHL)" dataDxfId="94">
      <calculatedColumnFormula>IFERROR(SUM(Entity_Metrics[[#This Row],[Operating surplus/(deficit) (social housing lettings)]])/SUM(Entity_Metrics[[#This Row],[Turnover from social housing lettings]]),"")</calculatedColumnFormula>
    </tableColumn>
    <tableColumn id="60" name="Operating surplus/(deficit) (social housing lettings)" dataDxfId="93"/>
    <tableColumn id="61" name="Turnover from social housing lettings" dataDxfId="92"/>
    <tableColumn id="62" name="Operating Margin (Overall)" dataDxfId="91">
      <calculatedColumnFormula>IFERROR(SUM(Entity_Metrics[[#This Row],[Operating surplus/(deficit) (overall)2]],-Entity_Metrics[[#This Row],[Gain/(loss) on disposal of fixed assets (housing properties)2]])/SUM(Entity_Metrics[[#This Row],[Turnover (overall)]]),"")</calculatedColumnFormula>
    </tableColumn>
    <tableColumn id="63" name="Operating surplus/(deficit) (overall)2" dataDxfId="90"/>
    <tableColumn id="64" name="Gain/(loss) on disposal of fixed assets (housing properties)2" dataDxfId="89"/>
    <tableColumn id="65" name="Turnover (overall)" dataDxfId="88"/>
    <tableColumn id="66" name="ROCE" dataDxfId="87">
      <calculatedColumnFormula>IFERROR(SUM(Entity_Metrics[[#This Row],[Operating surplus/(deficit) (overall)3]],Entity_Metrics[[#This Row],[Share of operating surplus/(deficit) in joint ventures or associates]])/SUM(Entity_Metrics[[#This Row],[Total assets less current liabilities]]),"")</calculatedColumnFormula>
    </tableColumn>
    <tableColumn id="67" name="Operating surplus/(deficit) (overall)3" dataDxfId="86"/>
    <tableColumn id="68" name="Share of operating surplus/(deficit) in joint ventures or associates" dataDxfId="85"/>
    <tableColumn id="69" name="Total assets less current liabilities" dataDxfId="84"/>
    <tableColumn id="70" name="% Supported housing (excl. HOP)" dataDxfId="83"/>
    <tableColumn id="71" name="% Housing for older people" dataDxfId="82"/>
    <tableColumn id="72" name="Type " dataDxfId="81"/>
    <tableColumn id="73" name="Date of largest transfer" dataDxfId="80"/>
    <tableColumn id="74" name="LSVT age" dataDxfId="79"/>
    <tableColumn id="75" name="Region with 50%+ of social stock owned" dataDxfId="78"/>
    <tableColumn id="76" name="ASHE regional wage index (England = 1)" dataDxfId="77"/>
    <tableColumn id="77" name="Group code" dataDxfId="76"/>
    <tableColumn id="78" name="Group name" dataDxfId="75"/>
  </tableColumns>
  <tableStyleInfo name="TableStyleMedium5 2 2" showFirstColumn="0" showLastColumn="0" showRowStripes="1" showColumnStripes="0"/>
</table>
</file>

<file path=xl/tables/table2.xml><?xml version="1.0" encoding="utf-8"?>
<table xmlns="http://schemas.openxmlformats.org/spreadsheetml/2006/main" id="1" name="Cons_Metrics" displayName="Cons_Metrics" ref="A3:BU233" totalsRowShown="0" headerRowDxfId="74" dataDxfId="73">
  <autoFilter ref="A3:BU233"/>
  <tableColumns count="73">
    <tableColumn id="1" name="RP_Code" dataDxfId="72"/>
    <tableColumn id="3" name="RP_Name" dataDxfId="71"/>
    <tableColumn id="5" name="FYE" dataDxfId="70"/>
    <tableColumn id="7" name="Reinvestment" dataDxfId="69">
      <calculatedColumnFormula>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calculatedColumnFormula>
    </tableColumn>
    <tableColumn id="8" name="Development of new properties (Total housing properties)" dataDxfId="68"/>
    <tableColumn id="9" name="Newly built properties acquired (Total housing properties)" dataDxfId="67"/>
    <tableColumn id="10" name=" Works to Existing (Total housing properties)" dataDxfId="66"/>
    <tableColumn id="11" name="Capitalised Interest (Total housing properties)" dataDxfId="65"/>
    <tableColumn id="12" name="Schemes completed (Total housing properties)" dataDxfId="64"/>
    <tableColumn id="13" name="Tangible fixed assets: Housing properties at cost (Current period)" dataDxfId="63"/>
    <tableColumn id="14" name="Tangible fixed assets Housing properties at valuation (Current period)" dataDxfId="62"/>
    <tableColumn id="15" name="New Supply (Social)" dataDxfId="61">
      <calculatedColumnFormula>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calculatedColumnFormula>
    </tableColumn>
    <tableColumn id="16" name="Total social units developed or newly built units acquired in-year (owned)" dataDxfId="60"/>
    <tableColumn id="17" name="Total social leasehold units developed or newly built units acquired in-year (owned)" dataDxfId="59"/>
    <tableColumn id="18" name="Total social housing units owned (Period end)" dataDxfId="58"/>
    <tableColumn id="19" name="Total social leasehold units owned (Period end)" dataDxfId="57"/>
    <tableColumn id="20" name="New Supply (Non-Social)" dataDxfId="56">
      <calculatedColumnFormula>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calculatedColumnFormula>
    </tableColumn>
    <tableColumn id="21" name="Total non-social units developed or newly built units acquired in-year (owned)" dataDxfId="55"/>
    <tableColumn id="22" name="Total non-social leasehold units developed or newly built units acquired in-year (owned)" dataDxfId="54"/>
    <tableColumn id="23" name="New outright sale units developed or acquired (owned)" dataDxfId="53"/>
    <tableColumn id="24" name="Total social housing units owned (Period end)2" dataDxfId="52"/>
    <tableColumn id="25" name="Total non-social rental housing units owned (Period end)" dataDxfId="51"/>
    <tableColumn id="26" name="Total social leasehold units owned (Period end)2" dataDxfId="50"/>
    <tableColumn id="27" name="Total non-social leasehold units owned (Period end)" dataDxfId="49"/>
    <tableColumn id="28" name="Gearing" dataDxfId="48">
      <calculatedColumnFormula>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calculatedColumnFormula>
    </tableColumn>
    <tableColumn id="29" name="Short-term loans" dataDxfId="47"/>
    <tableColumn id="30" name="Long-term loans" dataDxfId="46"/>
    <tableColumn id="31" name="Cash and cash equivalents " dataDxfId="45"/>
    <tableColumn id="32" name="Amounts owed to group undertakings" dataDxfId="44"/>
    <tableColumn id="33" name="Finance lease obligations" dataDxfId="43"/>
    <tableColumn id="34" name="Tangible fixed assets: Housing properties at cost (Current period)2" dataDxfId="42"/>
    <tableColumn id="35" name="Tangible fixed assets Housing properties at valuation (Current period)2" dataDxfId="41"/>
    <tableColumn id="36" name="EBITDA MRI Interest Rate Cover" dataDxfId="40">
      <calculatedColumnFormula>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calculatedColumnFormula>
    </tableColumn>
    <tableColumn id="37" name="Operating surplus/(deficit) (overall)" dataDxfId="39"/>
    <tableColumn id="38" name="Gain/(loss) on disposal of fixed assets (housing properties)" dataDxfId="38"/>
    <tableColumn id="39" name="Amortised government grant" dataDxfId="37"/>
    <tableColumn id="40" name="Government grants taken to income" dataDxfId="36"/>
    <tableColumn id="41" name="Interest receivable" dataDxfId="35"/>
    <tableColumn id="42" name="Capitalised major repairs expenditure for period" dataDxfId="34"/>
    <tableColumn id="43" name="Total depreciation charge for period" dataDxfId="33"/>
    <tableColumn id="44" name="Interest capitalised" dataDxfId="32"/>
    <tableColumn id="45" name="Interest payable and financing costs" dataDxfId="31"/>
    <tableColumn id="46" name="Headline Social Housing Cost per unit" dataDxfId="30">
      <calculatedColumnFormula>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calculatedColumnFormula>
    </tableColumn>
    <tableColumn id="47" name="Management costs" dataDxfId="29"/>
    <tableColumn id="48" name="Service charge costs" dataDxfId="28"/>
    <tableColumn id="49" name="Routine maintenance costs" dataDxfId="27"/>
    <tableColumn id="50" name="Planned maintenance costs" dataDxfId="26"/>
    <tableColumn id="51" name="Major repairs expenditure" dataDxfId="25"/>
    <tableColumn id="52" name="Capitalised major repairs expenditure for period2" dataDxfId="24"/>
    <tableColumn id="53" name="Other (social housing letting) costs" dataDxfId="23"/>
    <tableColumn id="54" name="Development services" dataDxfId="22"/>
    <tableColumn id="55" name="Community/neighbourhood services" dataDxfId="21"/>
    <tableColumn id="56" name="Other social housing activities: Other" dataDxfId="20"/>
    <tableColumn id="57" name="Other social housing activities: charges for support services" dataDxfId="19"/>
    <tableColumn id="58" name="Total social housing units owned and/or managed at period end" dataDxfId="18"/>
    <tableColumn id="59" name="Operating Margin (SHL)" dataDxfId="17">
      <calculatedColumnFormula>IFERROR(SUM(Cons_Metrics[[#This Row],[Operating surplus/(deficit) (social housing lettings)]])/SUM(Cons_Metrics[[#This Row],[Turnover from social housing lettings]]),"")</calculatedColumnFormula>
    </tableColumn>
    <tableColumn id="60" name="Operating surplus/(deficit) (social housing lettings)" dataDxfId="16"/>
    <tableColumn id="61" name="Turnover from social housing lettings" dataDxfId="15"/>
    <tableColumn id="62" name="Operating Margin (Overall)" dataDxfId="14">
      <calculatedColumnFormula>IFERROR(SUM(Cons_Metrics[[#This Row],[Operating surplus/(deficit) (overall)2]],-Cons_Metrics[[#This Row],[Gain/(loss) on disposal of fixed assets (housing properties)2]])/SUM(Cons_Metrics[[#This Row],[Turnover (overall)]]),"")</calculatedColumnFormula>
    </tableColumn>
    <tableColumn id="63" name="Operating surplus/(deficit) (overall)2" dataDxfId="13"/>
    <tableColumn id="64" name="Gain/(loss) on disposal of fixed assets (housing properties)2" dataDxfId="12"/>
    <tableColumn id="65" name="Turnover (overall)" dataDxfId="11"/>
    <tableColumn id="66" name="ROCE" dataDxfId="10">
      <calculatedColumnFormula>IFERROR(SUM(Cons_Metrics[[#This Row],[Operating surplus/(deficit) (overall)3]],Cons_Metrics[[#This Row],[Share of operating surplus/(deficit) in joint ventures or associates]])/SUM(Cons_Metrics[[#This Row],[Total assets less current liabilities]]),"")</calculatedColumnFormula>
    </tableColumn>
    <tableColumn id="67" name="Operating surplus/(deficit) (overall)3" dataDxfId="9"/>
    <tableColumn id="68" name="Share of operating surplus/(deficit) in joint ventures or associates" dataDxfId="8"/>
    <tableColumn id="69" name="Total assets less current liabilities" dataDxfId="7"/>
    <tableColumn id="70" name="% Supported housing (excl. HOP)" dataDxfId="6"/>
    <tableColumn id="71" name="% Housing for older people" dataDxfId="5"/>
    <tableColumn id="72" name="Type " dataDxfId="4"/>
    <tableColumn id="73" name="Date of largest transfer" dataDxfId="3"/>
    <tableColumn id="74" name="LSVT age" dataDxfId="2"/>
    <tableColumn id="75" name="Region with 50%+ of social stock owned" dataDxfId="1"/>
    <tableColumn id="76" name="ASHE regional wage index (England = 1)" dataDxfId="0"/>
  </tableColumns>
  <tableStyleInfo name="TableStyleMedium5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gov.uk/government/publications/value-for-money-metrics-technical-note"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9"/>
  <sheetViews>
    <sheetView showGridLines="0" tabSelected="1" zoomScaleNormal="100" workbookViewId="0">
      <selection activeCell="B6" sqref="B6"/>
    </sheetView>
  </sheetViews>
  <sheetFormatPr defaultColWidth="0" defaultRowHeight="15" customHeight="1" zeroHeight="1" x14ac:dyDescent="0.25"/>
  <cols>
    <col min="1" max="1" width="4.7109375" customWidth="1"/>
    <col min="2" max="2" width="136.85546875" style="31" customWidth="1"/>
    <col min="3" max="3" width="4" customWidth="1"/>
    <col min="4" max="16384" width="10.28515625" hidden="1"/>
  </cols>
  <sheetData>
    <row r="1" spans="2:2" x14ac:dyDescent="0.25">
      <c r="B1"/>
    </row>
    <row r="2" spans="2:2" ht="15.75" thickBot="1" x14ac:dyDescent="0.3">
      <c r="B2"/>
    </row>
    <row r="3" spans="2:2" ht="24" thickBot="1" x14ac:dyDescent="0.3">
      <c r="B3" s="20" t="s">
        <v>942</v>
      </c>
    </row>
    <row r="4" spans="2:2" ht="18" x14ac:dyDescent="0.25">
      <c r="B4" s="21" t="s">
        <v>943</v>
      </c>
    </row>
    <row r="5" spans="2:2" ht="5.25" customHeight="1" x14ac:dyDescent="0.25">
      <c r="B5" s="22"/>
    </row>
    <row r="6" spans="2:2" x14ac:dyDescent="0.25">
      <c r="B6" s="23" t="s">
        <v>945</v>
      </c>
    </row>
    <row r="7" spans="2:2" ht="6.75" customHeight="1" thickBot="1" x14ac:dyDescent="0.3">
      <c r="B7" s="24"/>
    </row>
    <row r="8" spans="2:2" ht="18" x14ac:dyDescent="0.25">
      <c r="B8" s="25" t="s">
        <v>891</v>
      </c>
    </row>
    <row r="9" spans="2:2" ht="7.5" customHeight="1" x14ac:dyDescent="0.25">
      <c r="B9" s="22"/>
    </row>
    <row r="10" spans="2:2" x14ac:dyDescent="0.25">
      <c r="B10" s="24" t="s">
        <v>892</v>
      </c>
    </row>
    <row r="11" spans="2:2" ht="9" customHeight="1" x14ac:dyDescent="0.25">
      <c r="B11" s="24"/>
    </row>
    <row r="12" spans="2:2" ht="15.75" x14ac:dyDescent="0.25">
      <c r="B12" s="26" t="s">
        <v>893</v>
      </c>
    </row>
    <row r="13" spans="2:2" ht="30" x14ac:dyDescent="0.25">
      <c r="B13" s="27" t="s">
        <v>894</v>
      </c>
    </row>
    <row r="14" spans="2:2" ht="6.75" customHeight="1" x14ac:dyDescent="0.25">
      <c r="B14" s="27"/>
    </row>
    <row r="15" spans="2:2" ht="33" customHeight="1" x14ac:dyDescent="0.25">
      <c r="B15" s="68" t="s">
        <v>900</v>
      </c>
    </row>
    <row r="16" spans="2:2" ht="15.75" x14ac:dyDescent="0.25">
      <c r="B16" s="26" t="s">
        <v>93</v>
      </c>
    </row>
    <row r="17" spans="2:2" ht="34.5" customHeight="1" x14ac:dyDescent="0.25">
      <c r="B17" s="28" t="s">
        <v>895</v>
      </c>
    </row>
    <row r="18" spans="2:2" ht="33.75" customHeight="1" x14ac:dyDescent="0.25">
      <c r="B18" s="27" t="s">
        <v>896</v>
      </c>
    </row>
    <row r="19" spans="2:2" ht="36" customHeight="1" x14ac:dyDescent="0.25">
      <c r="B19" s="27" t="s">
        <v>897</v>
      </c>
    </row>
    <row r="20" spans="2:2" ht="6.75" customHeight="1" x14ac:dyDescent="0.25">
      <c r="B20" s="27"/>
    </row>
    <row r="21" spans="2:2" ht="15.75" x14ac:dyDescent="0.25">
      <c r="B21" s="29" t="s">
        <v>898</v>
      </c>
    </row>
    <row r="22" spans="2:2" ht="33" customHeight="1" x14ac:dyDescent="0.25">
      <c r="B22" s="27" t="s">
        <v>901</v>
      </c>
    </row>
    <row r="23" spans="2:2" ht="45" x14ac:dyDescent="0.25">
      <c r="B23" s="27" t="s">
        <v>899</v>
      </c>
    </row>
    <row r="24" spans="2:2" ht="9.75" customHeight="1" thickBot="1" x14ac:dyDescent="0.3">
      <c r="B24" s="30"/>
    </row>
    <row r="25" spans="2:2"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row r="38" hidden="1" x14ac:dyDescent="0.25"/>
    <row r="39" ht="15" customHeight="1" x14ac:dyDescent="0.25"/>
  </sheetData>
  <hyperlinks>
    <hyperlink ref="B6" r:id="rId1" display="All the metrics have been derived using FVA data as per the VFM Metric Technical Note (Annex A)"/>
  </hyperlinks>
  <pageMargins left="0.70866141732283472" right="0.70866141732283472" top="0.74803149606299213" bottom="0.74803149606299213" header="0.31496062992125984" footer="0.31496062992125984"/>
  <pageSetup paperSize="9" scale="64" orientation="portrait" r:id="rId2"/>
  <headerFooter>
    <oddFooter>&amp;C&amp;P / &amp;N</oddFooter>
    <evenFooter>&amp;C&amp;P / &amp;N</evenFooter>
    <firstFooter>&amp;C&amp;P / &amp;N</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BZ296"/>
  <sheetViews>
    <sheetView showGridLines="0" zoomScale="80" zoomScaleNormal="80" workbookViewId="0">
      <pane xSplit="2" ySplit="3" topLeftCell="AB4" activePane="bottomRight" state="frozen"/>
      <selection pane="topRight" activeCell="C1" sqref="C1"/>
      <selection pane="bottomLeft" activeCell="A4" sqref="A4"/>
      <selection pane="bottomRight" activeCell="BG23" sqref="BG23"/>
    </sheetView>
  </sheetViews>
  <sheetFormatPr defaultColWidth="0" defaultRowHeight="15" outlineLevelCol="1" x14ac:dyDescent="0.25"/>
  <cols>
    <col min="1" max="1" width="10.85546875" customWidth="1"/>
    <col min="2" max="2" width="42.5703125" customWidth="1"/>
    <col min="3" max="3" width="11.5703125" bestFit="1" customWidth="1"/>
    <col min="4" max="4" width="15.5703125" customWidth="1" collapsed="1"/>
    <col min="5" max="5" width="19.28515625" hidden="1" customWidth="1" outlineLevel="1"/>
    <col min="6" max="6" width="20" hidden="1" customWidth="1" outlineLevel="1"/>
    <col min="7" max="7" width="14.140625" hidden="1" customWidth="1" outlineLevel="1"/>
    <col min="8" max="8" width="15.140625" hidden="1" customWidth="1" outlineLevel="1"/>
    <col min="9" max="9" width="13.5703125" hidden="1" customWidth="1" outlineLevel="1"/>
    <col min="10" max="10" width="14.42578125" hidden="1" customWidth="1" outlineLevel="1"/>
    <col min="11" max="11" width="16.28515625" hidden="1" customWidth="1" outlineLevel="1"/>
    <col min="12" max="12" width="12.5703125" customWidth="1" collapsed="1"/>
    <col min="13" max="13" width="23.140625" hidden="1" customWidth="1" outlineLevel="1"/>
    <col min="14" max="14" width="19.5703125" hidden="1" customWidth="1" outlineLevel="1"/>
    <col min="15" max="15" width="14.7109375" hidden="1" customWidth="1" outlineLevel="1"/>
    <col min="16" max="16" width="17" hidden="1" customWidth="1" outlineLevel="1"/>
    <col min="17" max="17" width="15.42578125" style="16" customWidth="1" collapsed="1"/>
    <col min="18" max="18" width="19.85546875" hidden="1" customWidth="1" outlineLevel="1"/>
    <col min="19" max="19" width="23.140625" hidden="1" customWidth="1" outlineLevel="1"/>
    <col min="20" max="20" width="17.7109375" hidden="1" customWidth="1" outlineLevel="1"/>
    <col min="21" max="21" width="16.7109375" hidden="1" customWidth="1" outlineLevel="1"/>
    <col min="22" max="22" width="15.5703125" hidden="1" customWidth="1" outlineLevel="1"/>
    <col min="23" max="23" width="13.7109375" hidden="1" customWidth="1" outlineLevel="1"/>
    <col min="24" max="24" width="17.42578125" hidden="1" customWidth="1" outlineLevel="1"/>
    <col min="25" max="25" width="11.5703125" customWidth="1" collapsed="1"/>
    <col min="26" max="30" width="14.85546875" hidden="1" customWidth="1" outlineLevel="1"/>
    <col min="31" max="32" width="20.28515625" hidden="1" customWidth="1" outlineLevel="1"/>
    <col min="33" max="33" width="14.140625" customWidth="1" collapsed="1"/>
    <col min="34" max="42" width="17.28515625" hidden="1" customWidth="1" outlineLevel="1"/>
    <col min="43" max="43" width="14" customWidth="1" collapsed="1"/>
    <col min="44" max="44" width="14" hidden="1" customWidth="1" outlineLevel="1"/>
    <col min="45" max="48" width="12.5703125" hidden="1" customWidth="1" outlineLevel="1"/>
    <col min="49" max="49" width="14.7109375" hidden="1" customWidth="1" outlineLevel="1"/>
    <col min="50" max="51" width="12.5703125" hidden="1" customWidth="1" outlineLevel="1"/>
    <col min="52" max="53" width="16" hidden="1" customWidth="1" outlineLevel="1"/>
    <col min="54" max="55" width="18.140625" hidden="1" customWidth="1" outlineLevel="1"/>
    <col min="56" max="56" width="15.42578125" customWidth="1" collapsed="1"/>
    <col min="57" max="58" width="17.42578125" hidden="1" customWidth="1" outlineLevel="1"/>
    <col min="59" max="59" width="14.42578125" customWidth="1" collapsed="1"/>
    <col min="60" max="60" width="15" hidden="1" customWidth="1" outlineLevel="1"/>
    <col min="61" max="61" width="18" hidden="1" customWidth="1" outlineLevel="1"/>
    <col min="62" max="62" width="12.42578125" hidden="1" customWidth="1" outlineLevel="1"/>
    <col min="63" max="63" width="14.5703125" customWidth="1" collapsed="1"/>
    <col min="64" max="64" width="16" hidden="1" customWidth="1" outlineLevel="1"/>
    <col min="65" max="65" width="18.42578125" hidden="1" customWidth="1" outlineLevel="1"/>
    <col min="66" max="66" width="16" hidden="1" customWidth="1" outlineLevel="1"/>
    <col min="67" max="67" width="15.5703125" customWidth="1"/>
    <col min="68" max="68" width="16.42578125" customWidth="1"/>
    <col min="69" max="69" width="16.28515625" customWidth="1"/>
    <col min="70" max="70" width="13.28515625" customWidth="1"/>
    <col min="71" max="71" width="11.85546875" customWidth="1"/>
    <col min="72" max="72" width="25.28515625" customWidth="1"/>
    <col min="73" max="73" width="15.85546875" customWidth="1"/>
    <col min="74" max="74" width="11.42578125" customWidth="1"/>
    <col min="75" max="75" width="68.85546875" bestFit="1" customWidth="1"/>
    <col min="76" max="76" width="8.5703125" customWidth="1"/>
    <col min="77" max="16384" width="9.140625" hidden="1"/>
  </cols>
  <sheetData>
    <row r="1" spans="1:78" ht="51.75" customHeight="1" x14ac:dyDescent="0.25">
      <c r="A1" s="60" t="s">
        <v>0</v>
      </c>
      <c r="B1" s="60"/>
      <c r="C1" s="17"/>
      <c r="D1" s="65" t="s">
        <v>560</v>
      </c>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c r="AS1" s="66"/>
      <c r="AT1" s="66"/>
      <c r="AU1" s="66"/>
      <c r="AV1" s="66"/>
      <c r="AW1" s="66"/>
      <c r="AX1" s="66"/>
      <c r="AY1" s="66"/>
      <c r="AZ1" s="66"/>
      <c r="BA1" s="66"/>
      <c r="BB1" s="66"/>
      <c r="BC1" s="66"/>
      <c r="BD1" s="66"/>
      <c r="BE1" s="66"/>
      <c r="BF1" s="66"/>
      <c r="BG1" s="66"/>
      <c r="BH1" s="66"/>
      <c r="BI1" s="66"/>
      <c r="BJ1" s="66"/>
      <c r="BK1" s="66"/>
      <c r="BL1" s="66"/>
      <c r="BM1" s="66"/>
      <c r="BN1" s="67"/>
      <c r="BO1" s="18"/>
      <c r="BP1" s="17"/>
      <c r="BQ1" s="17"/>
      <c r="BR1" s="17"/>
      <c r="BS1" s="17"/>
      <c r="BT1" s="17"/>
      <c r="BU1" s="17"/>
      <c r="BV1" s="17"/>
      <c r="BW1" s="17"/>
    </row>
    <row r="2" spans="1:78" ht="38.25" customHeight="1" x14ac:dyDescent="0.25">
      <c r="A2" s="61" t="s">
        <v>561</v>
      </c>
      <c r="B2" s="61"/>
      <c r="C2" s="17"/>
      <c r="D2" s="52" t="s">
        <v>2</v>
      </c>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c r="AJ2" s="53"/>
      <c r="AK2" s="53"/>
      <c r="AL2" s="53"/>
      <c r="AM2" s="53"/>
      <c r="AN2" s="53"/>
      <c r="AO2" s="53"/>
      <c r="AP2" s="53"/>
      <c r="AQ2" s="53"/>
      <c r="AR2" s="53"/>
      <c r="AS2" s="53"/>
      <c r="AT2" s="53"/>
      <c r="AU2" s="53"/>
      <c r="AV2" s="53"/>
      <c r="AW2" s="53"/>
      <c r="AX2" s="53"/>
      <c r="AY2" s="53"/>
      <c r="AZ2" s="53"/>
      <c r="BA2" s="53"/>
      <c r="BB2" s="53"/>
      <c r="BC2" s="53"/>
      <c r="BD2" s="53"/>
      <c r="BE2" s="53"/>
      <c r="BF2" s="53"/>
      <c r="BG2" s="53"/>
      <c r="BH2" s="53"/>
      <c r="BI2" s="53"/>
      <c r="BJ2" s="53"/>
      <c r="BK2" s="53"/>
      <c r="BL2" s="50"/>
      <c r="BM2" s="50"/>
      <c r="BN2" s="51"/>
      <c r="BO2" s="52" t="s">
        <v>3</v>
      </c>
      <c r="BP2" s="54"/>
      <c r="BQ2" s="52" t="s">
        <v>4</v>
      </c>
      <c r="BR2" s="53"/>
      <c r="BS2" s="54"/>
      <c r="BT2" s="52" t="s">
        <v>5</v>
      </c>
      <c r="BU2" s="54"/>
      <c r="BV2" s="52" t="s">
        <v>562</v>
      </c>
      <c r="BW2" s="54"/>
      <c r="BX2" s="2"/>
      <c r="BY2" s="2"/>
      <c r="BZ2" s="2"/>
    </row>
    <row r="3" spans="1:78" ht="83.25" customHeight="1" x14ac:dyDescent="0.25">
      <c r="A3" s="3" t="s">
        <v>6</v>
      </c>
      <c r="B3" s="3" t="s">
        <v>7</v>
      </c>
      <c r="C3" s="3" t="s">
        <v>8</v>
      </c>
      <c r="D3" s="5" t="s">
        <v>9</v>
      </c>
      <c r="E3" s="70" t="s">
        <v>10</v>
      </c>
      <c r="F3" s="70" t="s">
        <v>11</v>
      </c>
      <c r="G3" s="70" t="s">
        <v>12</v>
      </c>
      <c r="H3" s="70" t="s">
        <v>13</v>
      </c>
      <c r="I3" s="70" t="s">
        <v>14</v>
      </c>
      <c r="J3" s="70" t="s">
        <v>15</v>
      </c>
      <c r="K3" s="70" t="s">
        <v>16</v>
      </c>
      <c r="L3" s="5" t="s">
        <v>17</v>
      </c>
      <c r="M3" s="70" t="s">
        <v>18</v>
      </c>
      <c r="N3" s="70" t="s">
        <v>19</v>
      </c>
      <c r="O3" s="70" t="s">
        <v>20</v>
      </c>
      <c r="P3" s="70" t="s">
        <v>21</v>
      </c>
      <c r="Q3" s="5" t="s">
        <v>22</v>
      </c>
      <c r="R3" s="70" t="s">
        <v>23</v>
      </c>
      <c r="S3" s="70" t="s">
        <v>24</v>
      </c>
      <c r="T3" s="70" t="s">
        <v>25</v>
      </c>
      <c r="U3" s="70" t="s">
        <v>26</v>
      </c>
      <c r="V3" s="70" t="s">
        <v>27</v>
      </c>
      <c r="W3" s="70" t="s">
        <v>28</v>
      </c>
      <c r="X3" s="70" t="s">
        <v>29</v>
      </c>
      <c r="Y3" s="35" t="s">
        <v>30</v>
      </c>
      <c r="Z3" s="70" t="s">
        <v>31</v>
      </c>
      <c r="AA3" s="70" t="s">
        <v>32</v>
      </c>
      <c r="AB3" s="70" t="s">
        <v>33</v>
      </c>
      <c r="AC3" s="70" t="s">
        <v>34</v>
      </c>
      <c r="AD3" s="70" t="s">
        <v>35</v>
      </c>
      <c r="AE3" s="70" t="s">
        <v>36</v>
      </c>
      <c r="AF3" s="70" t="s">
        <v>37</v>
      </c>
      <c r="AG3" s="5" t="s">
        <v>38</v>
      </c>
      <c r="AH3" s="70" t="s">
        <v>39</v>
      </c>
      <c r="AI3" s="70" t="s">
        <v>40</v>
      </c>
      <c r="AJ3" s="70" t="s">
        <v>41</v>
      </c>
      <c r="AK3" s="70" t="s">
        <v>42</v>
      </c>
      <c r="AL3" s="70" t="s">
        <v>43</v>
      </c>
      <c r="AM3" s="70" t="s">
        <v>44</v>
      </c>
      <c r="AN3" s="70" t="s">
        <v>45</v>
      </c>
      <c r="AO3" s="70" t="s">
        <v>46</v>
      </c>
      <c r="AP3" s="70" t="s">
        <v>47</v>
      </c>
      <c r="AQ3" s="5" t="s">
        <v>48</v>
      </c>
      <c r="AR3" s="70" t="s">
        <v>49</v>
      </c>
      <c r="AS3" s="70" t="s">
        <v>50</v>
      </c>
      <c r="AT3" s="70" t="s">
        <v>51</v>
      </c>
      <c r="AU3" s="70" t="s">
        <v>52</v>
      </c>
      <c r="AV3" s="70" t="s">
        <v>53</v>
      </c>
      <c r="AW3" s="70" t="s">
        <v>54</v>
      </c>
      <c r="AX3" s="70" t="s">
        <v>55</v>
      </c>
      <c r="AY3" s="70" t="s">
        <v>56</v>
      </c>
      <c r="AZ3" s="70" t="s">
        <v>57</v>
      </c>
      <c r="BA3" s="70" t="s">
        <v>58</v>
      </c>
      <c r="BB3" s="70" t="s">
        <v>563</v>
      </c>
      <c r="BC3" s="70" t="s">
        <v>60</v>
      </c>
      <c r="BD3" s="5" t="s">
        <v>61</v>
      </c>
      <c r="BE3" s="70" t="s">
        <v>62</v>
      </c>
      <c r="BF3" s="70" t="s">
        <v>63</v>
      </c>
      <c r="BG3" s="5" t="s">
        <v>64</v>
      </c>
      <c r="BH3" s="70" t="s">
        <v>65</v>
      </c>
      <c r="BI3" s="70" t="s">
        <v>66</v>
      </c>
      <c r="BJ3" s="70" t="s">
        <v>67</v>
      </c>
      <c r="BK3" s="5" t="s">
        <v>68</v>
      </c>
      <c r="BL3" s="70" t="s">
        <v>69</v>
      </c>
      <c r="BM3" s="70" t="s">
        <v>70</v>
      </c>
      <c r="BN3" s="70" t="s">
        <v>71</v>
      </c>
      <c r="BO3" s="5" t="s">
        <v>72</v>
      </c>
      <c r="BP3" s="35" t="s">
        <v>73</v>
      </c>
      <c r="BQ3" s="5" t="s">
        <v>74</v>
      </c>
      <c r="BR3" s="5" t="s">
        <v>75</v>
      </c>
      <c r="BS3" s="5" t="s">
        <v>76</v>
      </c>
      <c r="BT3" s="5" t="s">
        <v>77</v>
      </c>
      <c r="BU3" s="5" t="s">
        <v>78</v>
      </c>
      <c r="BV3" s="5" t="s">
        <v>564</v>
      </c>
      <c r="BW3" s="5" t="s">
        <v>565</v>
      </c>
      <c r="BX3" s="2"/>
      <c r="BY3" s="2"/>
      <c r="BZ3" s="2"/>
    </row>
    <row r="4" spans="1:78" x14ac:dyDescent="0.25">
      <c r="A4" s="33" t="s">
        <v>566</v>
      </c>
      <c r="B4" s="7" t="s">
        <v>567</v>
      </c>
      <c r="C4" s="7" t="s">
        <v>81</v>
      </c>
      <c r="D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3.8586446821453915E-2</v>
      </c>
      <c r="E4" s="32">
        <v>43354</v>
      </c>
      <c r="F4" s="32">
        <v>0</v>
      </c>
      <c r="G4" s="32">
        <v>5360</v>
      </c>
      <c r="H4" s="32">
        <v>0</v>
      </c>
      <c r="I4" s="32">
        <v>0</v>
      </c>
      <c r="J4" s="32">
        <v>1262464</v>
      </c>
      <c r="K4" s="32">
        <v>0</v>
      </c>
      <c r="L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8.5159757063638757E-3</v>
      </c>
      <c r="M4" s="32">
        <v>129</v>
      </c>
      <c r="N4" s="32">
        <v>0</v>
      </c>
      <c r="O4" s="32">
        <v>13215</v>
      </c>
      <c r="P4" s="32">
        <v>1933</v>
      </c>
      <c r="Q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7.1579733598904523E-3</v>
      </c>
      <c r="R4" s="32">
        <v>115</v>
      </c>
      <c r="S4" s="32">
        <v>0</v>
      </c>
      <c r="T4" s="32">
        <v>0</v>
      </c>
      <c r="U4" s="32">
        <v>13215</v>
      </c>
      <c r="V4" s="32">
        <v>918</v>
      </c>
      <c r="W4" s="32">
        <v>1933</v>
      </c>
      <c r="X4" s="32">
        <v>0</v>
      </c>
      <c r="Y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0.47493631501571532</v>
      </c>
      <c r="Z4" s="32">
        <v>18968</v>
      </c>
      <c r="AA4" s="32">
        <v>588660</v>
      </c>
      <c r="AB4" s="32">
        <v>8038</v>
      </c>
      <c r="AC4" s="32">
        <v>0</v>
      </c>
      <c r="AD4" s="32">
        <v>0</v>
      </c>
      <c r="AE4" s="32">
        <v>1262464</v>
      </c>
      <c r="AF4" s="32">
        <v>0</v>
      </c>
      <c r="AG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1.6049564971573955</v>
      </c>
      <c r="AH4" s="32">
        <v>49389</v>
      </c>
      <c r="AI4" s="32">
        <v>10677</v>
      </c>
      <c r="AJ4" s="32">
        <v>9950</v>
      </c>
      <c r="AK4" s="32">
        <v>0</v>
      </c>
      <c r="AL4" s="32">
        <v>9593</v>
      </c>
      <c r="AM4" s="32">
        <v>5360</v>
      </c>
      <c r="AN4" s="32">
        <v>18102</v>
      </c>
      <c r="AO4" s="32">
        <v>-2860</v>
      </c>
      <c r="AP4" s="32">
        <v>-28977</v>
      </c>
      <c r="AQ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5.0236587318919703</v>
      </c>
      <c r="AR4" s="32">
        <v>19820</v>
      </c>
      <c r="AS4" s="32">
        <v>15072</v>
      </c>
      <c r="AT4" s="32">
        <v>9988</v>
      </c>
      <c r="AU4" s="32">
        <v>7829</v>
      </c>
      <c r="AV4" s="32">
        <v>0</v>
      </c>
      <c r="AW4" s="32">
        <v>5360</v>
      </c>
      <c r="AX4" s="32">
        <v>2842</v>
      </c>
      <c r="AY4" s="32">
        <v>96</v>
      </c>
      <c r="AZ4" s="32">
        <v>3851</v>
      </c>
      <c r="BA4" s="32">
        <v>2929</v>
      </c>
      <c r="BB4" s="32">
        <v>1223</v>
      </c>
      <c r="BC4" s="32">
        <v>13737</v>
      </c>
      <c r="BD4" s="34">
        <f>IFERROR(SUM(Entity_Metrics[[#This Row],[Operating surplus/(deficit) (social housing lettings)]])/SUM(Entity_Metrics[[#This Row],[Turnover from social housing lettings]]),"")</f>
        <v>0.33424934103527565</v>
      </c>
      <c r="BE4" s="32">
        <v>35760</v>
      </c>
      <c r="BF4" s="32">
        <v>106986</v>
      </c>
      <c r="BG4" s="34">
        <f>IFERROR(SUM(Entity_Metrics[[#This Row],[Operating surplus/(deficit) (overall)2]],-Entity_Metrics[[#This Row],[Gain/(loss) on disposal of fixed assets (housing properties)2]])/SUM(Entity_Metrics[[#This Row],[Turnover (overall)]]),"")</f>
        <v>0.30959940498564448</v>
      </c>
      <c r="BH4" s="32">
        <v>49389</v>
      </c>
      <c r="BI4" s="32">
        <v>10677</v>
      </c>
      <c r="BJ4" s="32">
        <v>125039</v>
      </c>
      <c r="BK4" s="34">
        <f>IFERROR(SUM(Entity_Metrics[[#This Row],[Operating surplus/(deficit) (overall)3]],Entity_Metrics[[#This Row],[Share of operating surplus/(deficit) in joint ventures or associates]])/SUM(Entity_Metrics[[#This Row],[Total assets less current liabilities]]),"")</f>
        <v>3.0038554008759346E-2</v>
      </c>
      <c r="BL4" s="32">
        <v>49389</v>
      </c>
      <c r="BM4" s="32">
        <v>0</v>
      </c>
      <c r="BN4" s="32">
        <v>1644187</v>
      </c>
      <c r="BO4" s="34">
        <v>6.817082997582595E-2</v>
      </c>
      <c r="BP4" s="34">
        <v>2.4818694601128122E-2</v>
      </c>
      <c r="BQ4" s="6" t="s">
        <v>82</v>
      </c>
      <c r="BR4" s="6" t="s">
        <v>83</v>
      </c>
      <c r="BS4" s="6" t="s">
        <v>83</v>
      </c>
      <c r="BT4" s="6" t="s">
        <v>156</v>
      </c>
      <c r="BU4" s="8">
        <v>1.2025240236828478</v>
      </c>
      <c r="BV4" s="37" t="s">
        <v>568</v>
      </c>
      <c r="BW4" s="19" t="s">
        <v>80</v>
      </c>
    </row>
    <row r="5" spans="1:78" x14ac:dyDescent="0.25">
      <c r="A5" s="33" t="s">
        <v>569</v>
      </c>
      <c r="B5" s="7" t="s">
        <v>570</v>
      </c>
      <c r="C5" s="7" t="s">
        <v>81</v>
      </c>
      <c r="D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2.4292283659078165E-2</v>
      </c>
      <c r="E5" s="32">
        <v>16040</v>
      </c>
      <c r="F5" s="32">
        <v>0</v>
      </c>
      <c r="G5" s="32">
        <v>6617</v>
      </c>
      <c r="H5" s="32">
        <v>0</v>
      </c>
      <c r="I5" s="32">
        <v>0</v>
      </c>
      <c r="J5" s="32">
        <v>932683</v>
      </c>
      <c r="K5" s="32">
        <v>0</v>
      </c>
      <c r="L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3.8017829050865232E-3</v>
      </c>
      <c r="M5" s="32">
        <v>58</v>
      </c>
      <c r="N5" s="32">
        <v>0</v>
      </c>
      <c r="O5" s="32">
        <v>13657</v>
      </c>
      <c r="P5" s="32">
        <v>1599</v>
      </c>
      <c r="Q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 s="32">
        <v>0</v>
      </c>
      <c r="S5" s="32">
        <v>0</v>
      </c>
      <c r="T5" s="32">
        <v>0</v>
      </c>
      <c r="U5" s="32">
        <v>13657</v>
      </c>
      <c r="V5" s="32">
        <v>877</v>
      </c>
      <c r="W5" s="32">
        <v>1599</v>
      </c>
      <c r="X5" s="32">
        <v>0</v>
      </c>
      <c r="Y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0.65801135005141087</v>
      </c>
      <c r="Z5" s="32">
        <v>32225</v>
      </c>
      <c r="AA5" s="32">
        <v>311362</v>
      </c>
      <c r="AB5" s="32">
        <v>5965</v>
      </c>
      <c r="AC5" s="32">
        <v>276094</v>
      </c>
      <c r="AD5" s="32">
        <v>0</v>
      </c>
      <c r="AE5" s="32">
        <v>932683</v>
      </c>
      <c r="AF5" s="32">
        <v>0</v>
      </c>
      <c r="AG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1.776493440326073</v>
      </c>
      <c r="AH5" s="32">
        <v>48764</v>
      </c>
      <c r="AI5" s="32">
        <v>2877</v>
      </c>
      <c r="AJ5" s="32">
        <v>5546</v>
      </c>
      <c r="AK5" s="32">
        <v>0</v>
      </c>
      <c r="AL5" s="32">
        <v>8888</v>
      </c>
      <c r="AM5" s="32">
        <v>6617</v>
      </c>
      <c r="AN5" s="32">
        <v>13177</v>
      </c>
      <c r="AO5" s="32">
        <v>-1128</v>
      </c>
      <c r="AP5" s="32">
        <v>-30276</v>
      </c>
      <c r="AQ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3.9002691697149561</v>
      </c>
      <c r="AR5" s="32">
        <v>19139</v>
      </c>
      <c r="AS5" s="32">
        <v>9945</v>
      </c>
      <c r="AT5" s="32">
        <v>10565</v>
      </c>
      <c r="AU5" s="32">
        <v>4694</v>
      </c>
      <c r="AV5" s="32">
        <v>0</v>
      </c>
      <c r="AW5" s="32">
        <v>6617</v>
      </c>
      <c r="AX5" s="32">
        <v>466</v>
      </c>
      <c r="AY5" s="32">
        <v>1546</v>
      </c>
      <c r="AZ5" s="32">
        <v>356</v>
      </c>
      <c r="BA5" s="32">
        <v>1144</v>
      </c>
      <c r="BB5" s="32">
        <v>2039</v>
      </c>
      <c r="BC5" s="32">
        <v>14489</v>
      </c>
      <c r="BD5" s="34">
        <f>IFERROR(SUM(Entity_Metrics[[#This Row],[Operating surplus/(deficit) (social housing lettings)]])/SUM(Entity_Metrics[[#This Row],[Turnover from social housing lettings]]),"")</f>
        <v>0.42624490764545347</v>
      </c>
      <c r="BE5" s="32">
        <v>43107</v>
      </c>
      <c r="BF5" s="32">
        <v>101132</v>
      </c>
      <c r="BG5" s="34">
        <f>IFERROR(SUM(Entity_Metrics[[#This Row],[Operating surplus/(deficit) (overall)2]],-Entity_Metrics[[#This Row],[Gain/(loss) on disposal of fixed assets (housing properties)2]])/SUM(Entity_Metrics[[#This Row],[Turnover (overall)]]),"")</f>
        <v>0.39846646810062608</v>
      </c>
      <c r="BH5" s="32">
        <v>48764</v>
      </c>
      <c r="BI5" s="32">
        <v>2877</v>
      </c>
      <c r="BJ5" s="32">
        <v>115159</v>
      </c>
      <c r="BK5" s="34">
        <f>IFERROR(SUM(Entity_Metrics[[#This Row],[Operating surplus/(deficit) (overall)3]],Entity_Metrics[[#This Row],[Share of operating surplus/(deficit) in joint ventures or associates]])/SUM(Entity_Metrics[[#This Row],[Total assets less current liabilities]]),"")</f>
        <v>3.9703792964472254E-2</v>
      </c>
      <c r="BL5" s="32">
        <v>48764</v>
      </c>
      <c r="BM5" s="32">
        <v>0</v>
      </c>
      <c r="BN5" s="32">
        <v>1228195</v>
      </c>
      <c r="BO5" s="34">
        <v>2.5286380992787443E-2</v>
      </c>
      <c r="BP5" s="34">
        <v>5.260924904539669E-2</v>
      </c>
      <c r="BQ5" s="6" t="s">
        <v>82</v>
      </c>
      <c r="BR5" s="6" t="s">
        <v>83</v>
      </c>
      <c r="BS5" s="6" t="s">
        <v>83</v>
      </c>
      <c r="BT5" s="6" t="s">
        <v>84</v>
      </c>
      <c r="BU5" s="8">
        <v>1.0474227535200986</v>
      </c>
      <c r="BV5" s="37" t="s">
        <v>568</v>
      </c>
      <c r="BW5" s="19" t="s">
        <v>80</v>
      </c>
    </row>
    <row r="6" spans="1:78" x14ac:dyDescent="0.25">
      <c r="A6" s="33" t="s">
        <v>571</v>
      </c>
      <c r="B6" s="7" t="s">
        <v>572</v>
      </c>
      <c r="C6" s="7" t="s">
        <v>81</v>
      </c>
      <c r="D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2.9805723950285405E-2</v>
      </c>
      <c r="E6" s="32">
        <v>2422</v>
      </c>
      <c r="F6" s="32">
        <v>9441</v>
      </c>
      <c r="G6" s="32">
        <v>5262</v>
      </c>
      <c r="H6" s="32">
        <v>216</v>
      </c>
      <c r="I6" s="32">
        <v>0</v>
      </c>
      <c r="J6" s="32">
        <v>0</v>
      </c>
      <c r="K6" s="32">
        <v>581801</v>
      </c>
      <c r="L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6.8828866409427472E-3</v>
      </c>
      <c r="M6" s="32">
        <v>132</v>
      </c>
      <c r="N6" s="32">
        <v>0</v>
      </c>
      <c r="O6" s="32">
        <v>18905</v>
      </c>
      <c r="P6" s="32">
        <v>273</v>
      </c>
      <c r="Q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 s="32">
        <v>0</v>
      </c>
      <c r="S6" s="32">
        <v>0</v>
      </c>
      <c r="T6" s="32">
        <v>0</v>
      </c>
      <c r="U6" s="32">
        <v>18905</v>
      </c>
      <c r="V6" s="32">
        <v>28</v>
      </c>
      <c r="W6" s="32">
        <v>273</v>
      </c>
      <c r="X6" s="32">
        <v>0</v>
      </c>
      <c r="Y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0.52332670449174201</v>
      </c>
      <c r="Z6" s="32">
        <v>4298</v>
      </c>
      <c r="AA6" s="32">
        <v>115735</v>
      </c>
      <c r="AB6" s="32">
        <v>14984</v>
      </c>
      <c r="AC6" s="32">
        <v>199325</v>
      </c>
      <c r="AD6" s="32">
        <v>98</v>
      </c>
      <c r="AE6" s="32">
        <v>0</v>
      </c>
      <c r="AF6" s="32">
        <v>581801</v>
      </c>
      <c r="AG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2.0866818625854768</v>
      </c>
      <c r="AH6" s="32">
        <v>26293</v>
      </c>
      <c r="AI6" s="32">
        <v>1279</v>
      </c>
      <c r="AJ6" s="32">
        <v>0</v>
      </c>
      <c r="AK6" s="32">
        <v>934</v>
      </c>
      <c r="AL6" s="32">
        <v>552</v>
      </c>
      <c r="AM6" s="32">
        <v>5262</v>
      </c>
      <c r="AN6" s="32">
        <v>12671</v>
      </c>
      <c r="AO6" s="32">
        <v>-216</v>
      </c>
      <c r="AP6" s="32">
        <v>-15139</v>
      </c>
      <c r="AQ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3.0162296468598013</v>
      </c>
      <c r="AR6" s="32">
        <v>15541</v>
      </c>
      <c r="AS6" s="32">
        <v>8302</v>
      </c>
      <c r="AT6" s="32">
        <v>17728</v>
      </c>
      <c r="AU6" s="32">
        <v>6762</v>
      </c>
      <c r="AV6" s="32">
        <v>0</v>
      </c>
      <c r="AW6" s="32">
        <v>5262</v>
      </c>
      <c r="AX6" s="32">
        <v>1669</v>
      </c>
      <c r="AY6" s="32">
        <v>0</v>
      </c>
      <c r="AZ6" s="32">
        <v>0</v>
      </c>
      <c r="BA6" s="32">
        <v>1530</v>
      </c>
      <c r="BB6" s="32">
        <v>261</v>
      </c>
      <c r="BC6" s="32">
        <v>18916</v>
      </c>
      <c r="BD6" s="34">
        <f>IFERROR(SUM(Entity_Metrics[[#This Row],[Operating surplus/(deficit) (social housing lettings)]])/SUM(Entity_Metrics[[#This Row],[Turnover from social housing lettings]]),"")</f>
        <v>0.31835095644962408</v>
      </c>
      <c r="BE6" s="32">
        <v>29174</v>
      </c>
      <c r="BF6" s="32">
        <v>91641</v>
      </c>
      <c r="BG6" s="34">
        <f>IFERROR(SUM(Entity_Metrics[[#This Row],[Operating surplus/(deficit) (overall)2]],-Entity_Metrics[[#This Row],[Gain/(loss) on disposal of fixed assets (housing properties)2]])/SUM(Entity_Metrics[[#This Row],[Turnover (overall)]]),"")</f>
        <v>0.26247914458703658</v>
      </c>
      <c r="BH6" s="32">
        <v>26293</v>
      </c>
      <c r="BI6" s="32">
        <v>1279</v>
      </c>
      <c r="BJ6" s="32">
        <v>95299</v>
      </c>
      <c r="BK6" s="34">
        <f>IFERROR(SUM(Entity_Metrics[[#This Row],[Operating surplus/(deficit) (overall)3]],Entity_Metrics[[#This Row],[Share of operating surplus/(deficit) in joint ventures or associates]])/SUM(Entity_Metrics[[#This Row],[Total assets less current liabilities]]),"")</f>
        <v>4.2403482204342431E-2</v>
      </c>
      <c r="BL6" s="32">
        <v>26293</v>
      </c>
      <c r="BM6" s="32">
        <v>0</v>
      </c>
      <c r="BN6" s="32">
        <v>620067</v>
      </c>
      <c r="BO6" s="34">
        <v>2.0194465220643231E-2</v>
      </c>
      <c r="BP6" s="34">
        <v>0.10797093706592585</v>
      </c>
      <c r="BQ6" s="6" t="s">
        <v>82</v>
      </c>
      <c r="BR6" s="6" t="s">
        <v>83</v>
      </c>
      <c r="BS6" s="6" t="s">
        <v>83</v>
      </c>
      <c r="BT6" s="6" t="s">
        <v>87</v>
      </c>
      <c r="BU6" s="8">
        <v>0.95515150785537706</v>
      </c>
      <c r="BV6" s="37" t="s">
        <v>573</v>
      </c>
      <c r="BW6" s="19" t="s">
        <v>86</v>
      </c>
    </row>
    <row r="7" spans="1:78" x14ac:dyDescent="0.25">
      <c r="A7" s="33" t="s">
        <v>88</v>
      </c>
      <c r="B7" s="7" t="s">
        <v>89</v>
      </c>
      <c r="C7" s="7" t="s">
        <v>81</v>
      </c>
      <c r="D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5.533871335343582E-2</v>
      </c>
      <c r="E7" s="32">
        <v>42849</v>
      </c>
      <c r="F7" s="32">
        <v>0</v>
      </c>
      <c r="G7" s="32">
        <v>3527</v>
      </c>
      <c r="H7" s="32">
        <v>0</v>
      </c>
      <c r="I7" s="32">
        <v>0</v>
      </c>
      <c r="J7" s="32">
        <v>838039</v>
      </c>
      <c r="K7" s="32">
        <v>0</v>
      </c>
      <c r="L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1.8648403333608385E-2</v>
      </c>
      <c r="M7" s="32">
        <v>226</v>
      </c>
      <c r="N7" s="32">
        <v>0</v>
      </c>
      <c r="O7" s="32">
        <v>11920</v>
      </c>
      <c r="P7" s="32">
        <v>199</v>
      </c>
      <c r="Q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 s="32">
        <v>0</v>
      </c>
      <c r="S7" s="32">
        <v>0</v>
      </c>
      <c r="T7" s="32">
        <v>0</v>
      </c>
      <c r="U7" s="32">
        <v>11920</v>
      </c>
      <c r="V7" s="32">
        <v>16</v>
      </c>
      <c r="W7" s="32">
        <v>199</v>
      </c>
      <c r="X7" s="32">
        <v>0</v>
      </c>
      <c r="Y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0.49364767033515145</v>
      </c>
      <c r="Z7" s="32">
        <v>14087</v>
      </c>
      <c r="AA7" s="32">
        <v>411930</v>
      </c>
      <c r="AB7" s="32">
        <v>12321</v>
      </c>
      <c r="AC7" s="32">
        <v>0</v>
      </c>
      <c r="AD7" s="32">
        <v>0</v>
      </c>
      <c r="AE7" s="32">
        <v>838039</v>
      </c>
      <c r="AF7" s="32">
        <v>0</v>
      </c>
      <c r="AG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1.6761725865209471</v>
      </c>
      <c r="AH7" s="32">
        <v>26814</v>
      </c>
      <c r="AI7" s="32">
        <v>894</v>
      </c>
      <c r="AJ7" s="32">
        <v>2485</v>
      </c>
      <c r="AK7" s="32">
        <v>0</v>
      </c>
      <c r="AL7" s="32">
        <v>21</v>
      </c>
      <c r="AM7" s="32">
        <v>3527</v>
      </c>
      <c r="AN7" s="32">
        <v>9518</v>
      </c>
      <c r="AO7" s="32">
        <v>-1441</v>
      </c>
      <c r="AP7" s="32">
        <v>-16127</v>
      </c>
      <c r="AQ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3.4023720448937356</v>
      </c>
      <c r="AR7" s="32">
        <v>7485</v>
      </c>
      <c r="AS7" s="32">
        <v>19836</v>
      </c>
      <c r="AT7" s="32">
        <v>7459</v>
      </c>
      <c r="AU7" s="32">
        <v>2818</v>
      </c>
      <c r="AV7" s="32">
        <v>0</v>
      </c>
      <c r="AW7" s="32">
        <v>3527</v>
      </c>
      <c r="AX7" s="32">
        <v>0</v>
      </c>
      <c r="AY7" s="32">
        <v>0</v>
      </c>
      <c r="AZ7" s="32">
        <v>0</v>
      </c>
      <c r="BA7" s="32">
        <v>231</v>
      </c>
      <c r="BB7" s="32">
        <v>1388</v>
      </c>
      <c r="BC7" s="32">
        <v>12563</v>
      </c>
      <c r="BD7" s="34">
        <f>IFERROR(SUM(Entity_Metrics[[#This Row],[Operating surplus/(deficit) (social housing lettings)]])/SUM(Entity_Metrics[[#This Row],[Turnover from social housing lettings]]),"")</f>
        <v>0.37006884493497977</v>
      </c>
      <c r="BE7" s="32">
        <v>27092</v>
      </c>
      <c r="BF7" s="32">
        <v>73208</v>
      </c>
      <c r="BG7" s="34">
        <f>IFERROR(SUM(Entity_Metrics[[#This Row],[Operating surplus/(deficit) (overall)2]],-Entity_Metrics[[#This Row],[Gain/(loss) on disposal of fixed assets (housing properties)2]])/SUM(Entity_Metrics[[#This Row],[Turnover (overall)]]),"")</f>
        <v>0.22330005082832946</v>
      </c>
      <c r="BH7" s="32">
        <v>26814</v>
      </c>
      <c r="BI7" s="32">
        <v>894</v>
      </c>
      <c r="BJ7" s="32">
        <v>116077</v>
      </c>
      <c r="BK7" s="34">
        <f>IFERROR(SUM(Entity_Metrics[[#This Row],[Operating surplus/(deficit) (overall)3]],Entity_Metrics[[#This Row],[Share of operating surplus/(deficit) in joint ventures or associates]])/SUM(Entity_Metrics[[#This Row],[Total assets less current liabilities]]),"")</f>
        <v>3.1375348107931009E-2</v>
      </c>
      <c r="BL7" s="32">
        <v>26814</v>
      </c>
      <c r="BM7" s="32">
        <v>0</v>
      </c>
      <c r="BN7" s="32">
        <v>854620</v>
      </c>
      <c r="BO7" s="34">
        <v>5.3554939981532781E-2</v>
      </c>
      <c r="BP7" s="34">
        <v>9.4518593133551584E-2</v>
      </c>
      <c r="BQ7" s="6" t="s">
        <v>82</v>
      </c>
      <c r="BR7" s="6" t="s">
        <v>83</v>
      </c>
      <c r="BS7" s="6" t="s">
        <v>83</v>
      </c>
      <c r="BT7" s="6" t="s">
        <v>90</v>
      </c>
      <c r="BU7" s="8">
        <v>0.91573617837317545</v>
      </c>
      <c r="BV7" s="37" t="s">
        <v>88</v>
      </c>
      <c r="BW7" s="19" t="s">
        <v>89</v>
      </c>
    </row>
    <row r="8" spans="1:78" x14ac:dyDescent="0.25">
      <c r="A8" s="33" t="s">
        <v>574</v>
      </c>
      <c r="B8" s="7" t="s">
        <v>92</v>
      </c>
      <c r="C8" s="7" t="s">
        <v>81</v>
      </c>
      <c r="D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4.6267170457506605E-2</v>
      </c>
      <c r="E8" s="32">
        <v>2312</v>
      </c>
      <c r="F8" s="32">
        <v>3397</v>
      </c>
      <c r="G8" s="32">
        <v>4208</v>
      </c>
      <c r="H8" s="32">
        <v>26</v>
      </c>
      <c r="I8" s="32">
        <v>0</v>
      </c>
      <c r="J8" s="32">
        <v>214904</v>
      </c>
      <c r="K8" s="32">
        <v>0</v>
      </c>
      <c r="L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9.353888792655465E-3</v>
      </c>
      <c r="M8" s="32">
        <v>54</v>
      </c>
      <c r="N8" s="32">
        <v>0</v>
      </c>
      <c r="O8" s="32">
        <v>5735</v>
      </c>
      <c r="P8" s="32">
        <v>38</v>
      </c>
      <c r="Q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3.1778130868120756E-3</v>
      </c>
      <c r="R8" s="32">
        <v>22</v>
      </c>
      <c r="S8" s="32">
        <v>0</v>
      </c>
      <c r="T8" s="32">
        <v>0</v>
      </c>
      <c r="U8" s="32">
        <v>5735</v>
      </c>
      <c r="V8" s="32">
        <v>1150</v>
      </c>
      <c r="W8" s="32">
        <v>38</v>
      </c>
      <c r="X8" s="32">
        <v>0</v>
      </c>
      <c r="Y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0.65417116479916615</v>
      </c>
      <c r="Z8" s="32">
        <v>3667</v>
      </c>
      <c r="AA8" s="32">
        <v>167833</v>
      </c>
      <c r="AB8" s="32">
        <v>30916</v>
      </c>
      <c r="AC8" s="32">
        <v>0</v>
      </c>
      <c r="AD8" s="32">
        <v>0</v>
      </c>
      <c r="AE8" s="32">
        <v>214904</v>
      </c>
      <c r="AF8" s="32">
        <v>0</v>
      </c>
      <c r="AG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1.9416335978835979</v>
      </c>
      <c r="AH8" s="32">
        <v>10819</v>
      </c>
      <c r="AI8" s="32">
        <v>247</v>
      </c>
      <c r="AJ8" s="32">
        <v>657</v>
      </c>
      <c r="AK8" s="32">
        <v>0</v>
      </c>
      <c r="AL8" s="32">
        <v>139</v>
      </c>
      <c r="AM8" s="32">
        <v>4208</v>
      </c>
      <c r="AN8" s="32">
        <v>5897</v>
      </c>
      <c r="AO8" s="32">
        <v>-26</v>
      </c>
      <c r="AP8" s="32">
        <v>-6022</v>
      </c>
      <c r="AQ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2.7196163905841324</v>
      </c>
      <c r="AR8" s="32">
        <v>3088</v>
      </c>
      <c r="AS8" s="32">
        <v>733</v>
      </c>
      <c r="AT8" s="32">
        <v>4391</v>
      </c>
      <c r="AU8" s="32">
        <v>1078</v>
      </c>
      <c r="AV8" s="32">
        <v>1410</v>
      </c>
      <c r="AW8" s="32">
        <v>4208</v>
      </c>
      <c r="AX8" s="32">
        <v>686</v>
      </c>
      <c r="AY8" s="32">
        <v>0</v>
      </c>
      <c r="AZ8" s="32">
        <v>0</v>
      </c>
      <c r="BA8" s="32">
        <v>3</v>
      </c>
      <c r="BB8" s="32">
        <v>0</v>
      </c>
      <c r="BC8" s="32">
        <v>5735</v>
      </c>
      <c r="BD8" s="34">
        <f>IFERROR(SUM(Entity_Metrics[[#This Row],[Operating surplus/(deficit) (social housing lettings)]])/SUM(Entity_Metrics[[#This Row],[Turnover from social housing lettings]]),"")</f>
        <v>0.31087207385426968</v>
      </c>
      <c r="BE8" s="32">
        <v>7543</v>
      </c>
      <c r="BF8" s="32">
        <v>24264</v>
      </c>
      <c r="BG8" s="34">
        <f>IFERROR(SUM(Entity_Metrics[[#This Row],[Operating surplus/(deficit) (overall)2]],-Entity_Metrics[[#This Row],[Gain/(loss) on disposal of fixed assets (housing properties)2]])/SUM(Entity_Metrics[[#This Row],[Turnover (overall)]]),"")</f>
        <v>0.33404954499494438</v>
      </c>
      <c r="BH8" s="32">
        <v>10819</v>
      </c>
      <c r="BI8" s="32">
        <v>247</v>
      </c>
      <c r="BJ8" s="32">
        <v>31648</v>
      </c>
      <c r="BK8" s="34">
        <f>IFERROR(SUM(Entity_Metrics[[#This Row],[Operating surplus/(deficit) (overall)3]],Entity_Metrics[[#This Row],[Share of operating surplus/(deficit) in joint ventures or associates]])/SUM(Entity_Metrics[[#This Row],[Total assets less current liabilities]]),"")</f>
        <v>4.5293176927649809E-2</v>
      </c>
      <c r="BL8" s="32">
        <v>10819</v>
      </c>
      <c r="BM8" s="32">
        <v>0</v>
      </c>
      <c r="BN8" s="32">
        <v>238866</v>
      </c>
      <c r="BO8" s="34">
        <v>2.789886660854403E-3</v>
      </c>
      <c r="BP8" s="34">
        <v>4.0976460331299043E-2</v>
      </c>
      <c r="BQ8" s="6" t="s">
        <v>93</v>
      </c>
      <c r="BR8" s="6">
        <v>1999</v>
      </c>
      <c r="BS8" s="6" t="s">
        <v>94</v>
      </c>
      <c r="BT8" s="6" t="s">
        <v>95</v>
      </c>
      <c r="BU8" s="8">
        <v>0.92752611359876691</v>
      </c>
      <c r="BV8" s="37" t="s">
        <v>574</v>
      </c>
      <c r="BW8" s="19" t="s">
        <v>92</v>
      </c>
    </row>
    <row r="9" spans="1:78" x14ac:dyDescent="0.25">
      <c r="A9" s="33" t="s">
        <v>575</v>
      </c>
      <c r="B9" s="7" t="s">
        <v>576</v>
      </c>
      <c r="C9" s="7" t="s">
        <v>81</v>
      </c>
      <c r="D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8.190394511149228E-2</v>
      </c>
      <c r="E9" s="32">
        <v>35753</v>
      </c>
      <c r="F9" s="32">
        <v>0</v>
      </c>
      <c r="G9" s="32">
        <v>2153</v>
      </c>
      <c r="H9" s="32">
        <v>1058</v>
      </c>
      <c r="I9" s="32">
        <v>0</v>
      </c>
      <c r="J9" s="32">
        <v>475728</v>
      </c>
      <c r="K9" s="32">
        <v>0</v>
      </c>
      <c r="L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5.4003021148036255E-2</v>
      </c>
      <c r="M9" s="32">
        <v>429</v>
      </c>
      <c r="N9" s="32">
        <v>0</v>
      </c>
      <c r="O9" s="32">
        <v>7892</v>
      </c>
      <c r="P9" s="32">
        <v>52</v>
      </c>
      <c r="Q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 s="32">
        <v>0</v>
      </c>
      <c r="S9" s="32">
        <v>0</v>
      </c>
      <c r="T9" s="32">
        <v>0</v>
      </c>
      <c r="U9" s="32">
        <v>7892</v>
      </c>
      <c r="V9" s="32">
        <v>0</v>
      </c>
      <c r="W9" s="32">
        <v>52</v>
      </c>
      <c r="X9" s="32">
        <v>0</v>
      </c>
      <c r="Y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0.38216375744122694</v>
      </c>
      <c r="Z9" s="32">
        <v>15115</v>
      </c>
      <c r="AA9" s="32">
        <v>188977</v>
      </c>
      <c r="AB9" s="32">
        <v>22286</v>
      </c>
      <c r="AC9" s="32">
        <v>0</v>
      </c>
      <c r="AD9" s="32">
        <v>0</v>
      </c>
      <c r="AE9" s="32">
        <v>475728</v>
      </c>
      <c r="AF9" s="32">
        <v>0</v>
      </c>
      <c r="AG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2.0496555426321912</v>
      </c>
      <c r="AH9" s="32">
        <v>22320</v>
      </c>
      <c r="AI9" s="32">
        <v>1593</v>
      </c>
      <c r="AJ9" s="32">
        <v>2681</v>
      </c>
      <c r="AK9" s="32">
        <v>0</v>
      </c>
      <c r="AL9" s="32">
        <v>67</v>
      </c>
      <c r="AM9" s="32">
        <v>2153</v>
      </c>
      <c r="AN9" s="32">
        <v>6949</v>
      </c>
      <c r="AO9" s="32">
        <v>-1058</v>
      </c>
      <c r="AP9" s="32">
        <v>-10119</v>
      </c>
      <c r="AQ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2.5645882102575017</v>
      </c>
      <c r="AR9" s="32">
        <v>3646</v>
      </c>
      <c r="AS9" s="32">
        <v>4733</v>
      </c>
      <c r="AT9" s="32">
        <v>4747</v>
      </c>
      <c r="AU9" s="32">
        <v>3295</v>
      </c>
      <c r="AV9" s="32">
        <v>646</v>
      </c>
      <c r="AW9" s="32">
        <v>2153</v>
      </c>
      <c r="AX9" s="32">
        <v>342</v>
      </c>
      <c r="AY9" s="32">
        <v>0</v>
      </c>
      <c r="AZ9" s="32">
        <v>0</v>
      </c>
      <c r="BA9" s="32">
        <v>4540</v>
      </c>
      <c r="BB9" s="32">
        <v>0</v>
      </c>
      <c r="BC9" s="32">
        <v>9398</v>
      </c>
      <c r="BD9" s="34">
        <f>IFERROR(SUM(Entity_Metrics[[#This Row],[Operating surplus/(deficit) (social housing lettings)]])/SUM(Entity_Metrics[[#This Row],[Turnover from social housing lettings]]),"")</f>
        <v>0.43726316284981287</v>
      </c>
      <c r="BE9" s="32">
        <v>18578</v>
      </c>
      <c r="BF9" s="32">
        <v>42487</v>
      </c>
      <c r="BG9" s="34">
        <f>IFERROR(SUM(Entity_Metrics[[#This Row],[Operating surplus/(deficit) (overall)2]],-Entity_Metrics[[#This Row],[Gain/(loss) on disposal of fixed assets (housing properties)2]])/SUM(Entity_Metrics[[#This Row],[Turnover (overall)]]),"")</f>
        <v>0.41475567294993398</v>
      </c>
      <c r="BH9" s="32">
        <v>22320</v>
      </c>
      <c r="BI9" s="32">
        <v>1593</v>
      </c>
      <c r="BJ9" s="32">
        <v>49974</v>
      </c>
      <c r="BK9" s="34">
        <f>IFERROR(SUM(Entity_Metrics[[#This Row],[Operating surplus/(deficit) (overall)3]],Entity_Metrics[[#This Row],[Share of operating surplus/(deficit) in joint ventures or associates]])/SUM(Entity_Metrics[[#This Row],[Total assets less current liabilities]]),"")</f>
        <v>4.5622713243259817E-2</v>
      </c>
      <c r="BL9" s="32">
        <v>22320</v>
      </c>
      <c r="BM9" s="32">
        <v>0</v>
      </c>
      <c r="BN9" s="32">
        <v>489230</v>
      </c>
      <c r="BO9" s="34">
        <v>5.2458185504308162E-2</v>
      </c>
      <c r="BP9" s="34">
        <v>0.13469336036492652</v>
      </c>
      <c r="BQ9" s="6" t="s">
        <v>82</v>
      </c>
      <c r="BR9" s="6" t="s">
        <v>83</v>
      </c>
      <c r="BS9" s="6" t="s">
        <v>83</v>
      </c>
      <c r="BT9" s="6" t="s">
        <v>105</v>
      </c>
      <c r="BU9" s="8">
        <v>0.91567360056574987</v>
      </c>
      <c r="BV9" s="37" t="s">
        <v>577</v>
      </c>
      <c r="BW9" s="19" t="s">
        <v>278</v>
      </c>
    </row>
    <row r="10" spans="1:78" x14ac:dyDescent="0.25">
      <c r="A10" s="33" t="s">
        <v>96</v>
      </c>
      <c r="B10" s="7" t="s">
        <v>97</v>
      </c>
      <c r="C10" s="7" t="s">
        <v>81</v>
      </c>
      <c r="D1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5.3613894195158086E-2</v>
      </c>
      <c r="E10" s="32">
        <v>4856</v>
      </c>
      <c r="F10" s="32">
        <v>0</v>
      </c>
      <c r="G10" s="32">
        <v>645</v>
      </c>
      <c r="H10" s="32">
        <v>0</v>
      </c>
      <c r="I10" s="32">
        <v>0</v>
      </c>
      <c r="J10" s="32">
        <v>102604</v>
      </c>
      <c r="K10" s="32">
        <v>0</v>
      </c>
      <c r="L1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2.3916967509025271E-2</v>
      </c>
      <c r="M10" s="32">
        <v>53</v>
      </c>
      <c r="N10" s="32">
        <v>0</v>
      </c>
      <c r="O10" s="32">
        <v>2216</v>
      </c>
      <c r="P10" s="32">
        <v>0</v>
      </c>
      <c r="Q1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0" s="32">
        <v>0</v>
      </c>
      <c r="S10" s="32">
        <v>0</v>
      </c>
      <c r="T10" s="32">
        <v>0</v>
      </c>
      <c r="U10" s="32">
        <v>2216</v>
      </c>
      <c r="V10" s="32">
        <v>0</v>
      </c>
      <c r="W10" s="32">
        <v>0</v>
      </c>
      <c r="X10" s="32">
        <v>0</v>
      </c>
      <c r="Y1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3.0905227866359988E-2</v>
      </c>
      <c r="Z10" s="32">
        <v>695</v>
      </c>
      <c r="AA10" s="32">
        <v>10234</v>
      </c>
      <c r="AB10" s="32">
        <v>7758</v>
      </c>
      <c r="AC10" s="32">
        <v>0</v>
      </c>
      <c r="AD10" s="32">
        <v>0</v>
      </c>
      <c r="AE10" s="32">
        <v>102604</v>
      </c>
      <c r="AF10" s="32">
        <v>0</v>
      </c>
      <c r="AG1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5.9187358916478559</v>
      </c>
      <c r="AH10" s="32">
        <v>3048</v>
      </c>
      <c r="AI10" s="32">
        <v>1151</v>
      </c>
      <c r="AJ10" s="32">
        <v>1660</v>
      </c>
      <c r="AK10" s="32">
        <v>0</v>
      </c>
      <c r="AL10" s="32">
        <v>40</v>
      </c>
      <c r="AM10" s="32">
        <v>645</v>
      </c>
      <c r="AN10" s="32">
        <v>2990</v>
      </c>
      <c r="AO10" s="32">
        <v>0</v>
      </c>
      <c r="AP10" s="32">
        <v>-443</v>
      </c>
      <c r="AQ1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10.586131705189707</v>
      </c>
      <c r="AR10" s="32">
        <v>2563</v>
      </c>
      <c r="AS10" s="32">
        <v>4059</v>
      </c>
      <c r="AT10" s="32">
        <v>2491</v>
      </c>
      <c r="AU10" s="32">
        <v>2146</v>
      </c>
      <c r="AV10" s="32">
        <v>640</v>
      </c>
      <c r="AW10" s="32">
        <v>645</v>
      </c>
      <c r="AX10" s="32">
        <v>1351</v>
      </c>
      <c r="AY10" s="32">
        <v>265</v>
      </c>
      <c r="AZ10" s="32">
        <v>0</v>
      </c>
      <c r="BA10" s="32">
        <v>0</v>
      </c>
      <c r="BB10" s="32">
        <v>10114</v>
      </c>
      <c r="BC10" s="32">
        <v>2293</v>
      </c>
      <c r="BD10" s="34">
        <f>IFERROR(SUM(Entity_Metrics[[#This Row],[Operating surplus/(deficit) (social housing lettings)]])/SUM(Entity_Metrics[[#This Row],[Turnover from social housing lettings]]),"")</f>
        <v>0.13425720620842571</v>
      </c>
      <c r="BE10" s="32">
        <v>2422</v>
      </c>
      <c r="BF10" s="32">
        <v>18040</v>
      </c>
      <c r="BG10" s="34">
        <f>IFERROR(SUM(Entity_Metrics[[#This Row],[Operating surplus/(deficit) (overall)2]],-Entity_Metrics[[#This Row],[Gain/(loss) on disposal of fixed assets (housing properties)2]])/SUM(Entity_Metrics[[#This Row],[Turnover (overall)]]),"")</f>
        <v>5.5947149556138852E-2</v>
      </c>
      <c r="BH10" s="32">
        <v>3048</v>
      </c>
      <c r="BI10" s="32">
        <v>1151</v>
      </c>
      <c r="BJ10" s="32">
        <v>33907</v>
      </c>
      <c r="BK10" s="34">
        <f>IFERROR(SUM(Entity_Metrics[[#This Row],[Operating surplus/(deficit) (overall)3]],Entity_Metrics[[#This Row],[Share of operating surplus/(deficit) in joint ventures or associates]])/SUM(Entity_Metrics[[#This Row],[Total assets less current liabilities]]),"")</f>
        <v>2.7861060329067641E-2</v>
      </c>
      <c r="BL10" s="32">
        <v>3048</v>
      </c>
      <c r="BM10" s="32">
        <v>0</v>
      </c>
      <c r="BN10" s="32">
        <v>109400</v>
      </c>
      <c r="BO10" s="34">
        <v>0.65974729241877261</v>
      </c>
      <c r="BP10" s="34">
        <v>0</v>
      </c>
      <c r="BQ10" s="6" t="s">
        <v>82</v>
      </c>
      <c r="BR10" s="6" t="s">
        <v>83</v>
      </c>
      <c r="BS10" s="6" t="s">
        <v>83</v>
      </c>
      <c r="BT10" s="6" t="s">
        <v>87</v>
      </c>
      <c r="BU10" s="8">
        <v>0.97169817058314645</v>
      </c>
      <c r="BV10" s="37" t="s">
        <v>96</v>
      </c>
      <c r="BW10" s="19" t="s">
        <v>97</v>
      </c>
    </row>
    <row r="11" spans="1:78" x14ac:dyDescent="0.25">
      <c r="A11" s="33" t="s">
        <v>578</v>
      </c>
      <c r="B11" s="7" t="s">
        <v>99</v>
      </c>
      <c r="C11" s="7" t="s">
        <v>81</v>
      </c>
      <c r="D1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4.4456780809676771E-2</v>
      </c>
      <c r="E11" s="32">
        <v>24136</v>
      </c>
      <c r="F11" s="32">
        <v>0</v>
      </c>
      <c r="G11" s="32">
        <v>3245</v>
      </c>
      <c r="H11" s="32">
        <v>728</v>
      </c>
      <c r="I11" s="32">
        <v>0</v>
      </c>
      <c r="J11" s="32">
        <v>632277</v>
      </c>
      <c r="K11" s="32">
        <v>0</v>
      </c>
      <c r="L1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4.3232115285640766E-3</v>
      </c>
      <c r="M11" s="32">
        <v>42</v>
      </c>
      <c r="N11" s="32">
        <v>0</v>
      </c>
      <c r="O11" s="32">
        <v>8981</v>
      </c>
      <c r="P11" s="32">
        <v>734</v>
      </c>
      <c r="Q1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 s="32">
        <v>0</v>
      </c>
      <c r="S11" s="32">
        <v>0</v>
      </c>
      <c r="T11" s="32">
        <v>0</v>
      </c>
      <c r="U11" s="32">
        <v>8981</v>
      </c>
      <c r="V11" s="32">
        <v>183</v>
      </c>
      <c r="W11" s="32">
        <v>734</v>
      </c>
      <c r="X11" s="32">
        <v>357</v>
      </c>
      <c r="Y1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0.64717362801430389</v>
      </c>
      <c r="Z11" s="32">
        <v>8248</v>
      </c>
      <c r="AA11" s="32">
        <v>414173</v>
      </c>
      <c r="AB11" s="32">
        <v>13228</v>
      </c>
      <c r="AC11" s="32">
        <v>0</v>
      </c>
      <c r="AD11" s="32">
        <v>0</v>
      </c>
      <c r="AE11" s="32">
        <v>632277</v>
      </c>
      <c r="AF11" s="32">
        <v>0</v>
      </c>
      <c r="AG1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1.3436506052694042</v>
      </c>
      <c r="AH11" s="32">
        <v>30589</v>
      </c>
      <c r="AI11" s="32">
        <v>4533</v>
      </c>
      <c r="AJ11" s="32">
        <v>1345</v>
      </c>
      <c r="AK11" s="32">
        <v>0</v>
      </c>
      <c r="AL11" s="32">
        <v>782</v>
      </c>
      <c r="AM11" s="32">
        <v>3245</v>
      </c>
      <c r="AN11" s="32">
        <v>6056</v>
      </c>
      <c r="AO11" s="32">
        <v>-728</v>
      </c>
      <c r="AP11" s="32">
        <v>-20337</v>
      </c>
      <c r="AQ1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3.2307445099089449</v>
      </c>
      <c r="AR11" s="32">
        <v>11570</v>
      </c>
      <c r="AS11" s="32">
        <v>4907</v>
      </c>
      <c r="AT11" s="32">
        <v>5149</v>
      </c>
      <c r="AU11" s="32">
        <v>2213</v>
      </c>
      <c r="AV11" s="32">
        <v>775</v>
      </c>
      <c r="AW11" s="32">
        <v>3245</v>
      </c>
      <c r="AX11" s="32">
        <v>594</v>
      </c>
      <c r="AY11" s="32">
        <v>0</v>
      </c>
      <c r="AZ11" s="32">
        <v>0</v>
      </c>
      <c r="BA11" s="32">
        <v>0</v>
      </c>
      <c r="BB11" s="32">
        <v>1706</v>
      </c>
      <c r="BC11" s="32">
        <v>9335</v>
      </c>
      <c r="BD11" s="34">
        <f>IFERROR(SUM(Entity_Metrics[[#This Row],[Operating surplus/(deficit) (social housing lettings)]])/SUM(Entity_Metrics[[#This Row],[Turnover from social housing lettings]]),"")</f>
        <v>0.43405551300288142</v>
      </c>
      <c r="BE11" s="32">
        <v>23801</v>
      </c>
      <c r="BF11" s="32">
        <v>54834</v>
      </c>
      <c r="BG11" s="34">
        <f>IFERROR(SUM(Entity_Metrics[[#This Row],[Operating surplus/(deficit) (overall)2]],-Entity_Metrics[[#This Row],[Gain/(loss) on disposal of fixed assets (housing properties)2]])/SUM(Entity_Metrics[[#This Row],[Turnover (overall)]]),"")</f>
        <v>0.39248648078690107</v>
      </c>
      <c r="BH11" s="32">
        <v>30589</v>
      </c>
      <c r="BI11" s="32">
        <v>4533</v>
      </c>
      <c r="BJ11" s="32">
        <v>66387</v>
      </c>
      <c r="BK11" s="34">
        <f>IFERROR(SUM(Entity_Metrics[[#This Row],[Operating surplus/(deficit) (overall)3]],Entity_Metrics[[#This Row],[Share of operating surplus/(deficit) in joint ventures or associates]])/SUM(Entity_Metrics[[#This Row],[Total assets less current liabilities]]),"")</f>
        <v>4.3180711326308061E-2</v>
      </c>
      <c r="BL11" s="32">
        <v>30589</v>
      </c>
      <c r="BM11" s="32">
        <v>0</v>
      </c>
      <c r="BN11" s="32">
        <v>708395</v>
      </c>
      <c r="BO11" s="34">
        <v>5.5673087629439927E-2</v>
      </c>
      <c r="BP11" s="34">
        <v>3.4183275804476117E-2</v>
      </c>
      <c r="BQ11" s="6" t="s">
        <v>82</v>
      </c>
      <c r="BR11" s="6" t="s">
        <v>83</v>
      </c>
      <c r="BS11" s="6" t="s">
        <v>83</v>
      </c>
      <c r="BT11" s="6" t="s">
        <v>100</v>
      </c>
      <c r="BU11" s="8">
        <v>1.0025994604070596</v>
      </c>
      <c r="BV11" s="37" t="s">
        <v>578</v>
      </c>
      <c r="BW11" s="19" t="s">
        <v>99</v>
      </c>
    </row>
    <row r="12" spans="1:78" x14ac:dyDescent="0.25">
      <c r="A12" s="33" t="s">
        <v>579</v>
      </c>
      <c r="B12" s="7" t="s">
        <v>102</v>
      </c>
      <c r="C12" s="7" t="s">
        <v>81</v>
      </c>
      <c r="D1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7.2535067380895268E-2</v>
      </c>
      <c r="E12" s="32">
        <v>0</v>
      </c>
      <c r="F12" s="32">
        <v>0</v>
      </c>
      <c r="G12" s="32">
        <v>40826</v>
      </c>
      <c r="H12" s="32">
        <v>0</v>
      </c>
      <c r="I12" s="32">
        <v>0</v>
      </c>
      <c r="J12" s="32">
        <v>562845</v>
      </c>
      <c r="K12" s="32">
        <v>0</v>
      </c>
      <c r="L1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9.3687785454971313E-4</v>
      </c>
      <c r="M12" s="32">
        <v>32</v>
      </c>
      <c r="N12" s="32">
        <v>0</v>
      </c>
      <c r="O12" s="32">
        <v>27184</v>
      </c>
      <c r="P12" s="32">
        <v>6972</v>
      </c>
      <c r="Q1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 s="32">
        <v>0</v>
      </c>
      <c r="S12" s="32">
        <v>0</v>
      </c>
      <c r="T12" s="32">
        <v>0</v>
      </c>
      <c r="U12" s="32">
        <v>27184</v>
      </c>
      <c r="V12" s="32">
        <v>0</v>
      </c>
      <c r="W12" s="32">
        <v>6972</v>
      </c>
      <c r="X12" s="32">
        <v>0</v>
      </c>
      <c r="Y1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0.44507457648197996</v>
      </c>
      <c r="Z12" s="32">
        <v>4055</v>
      </c>
      <c r="AA12" s="32">
        <v>264065</v>
      </c>
      <c r="AB12" s="32">
        <v>49264</v>
      </c>
      <c r="AC12" s="32">
        <v>9718</v>
      </c>
      <c r="AD12" s="32">
        <v>21934</v>
      </c>
      <c r="AE12" s="32">
        <v>562845</v>
      </c>
      <c r="AF12" s="32">
        <v>0</v>
      </c>
      <c r="AG1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3.4958281384866212</v>
      </c>
      <c r="AH12" s="32">
        <v>23284</v>
      </c>
      <c r="AI12" s="32">
        <v>0</v>
      </c>
      <c r="AJ12" s="32">
        <v>9835</v>
      </c>
      <c r="AK12" s="32">
        <v>0</v>
      </c>
      <c r="AL12" s="32">
        <v>4101</v>
      </c>
      <c r="AM12" s="32">
        <v>40501</v>
      </c>
      <c r="AN12" s="32">
        <v>59402</v>
      </c>
      <c r="AO12" s="32">
        <v>0</v>
      </c>
      <c r="AP12" s="32">
        <v>-10427</v>
      </c>
      <c r="AQ1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9.9434961742201295</v>
      </c>
      <c r="AR12" s="32">
        <v>43974</v>
      </c>
      <c r="AS12" s="32">
        <v>154504</v>
      </c>
      <c r="AT12" s="32">
        <v>12843</v>
      </c>
      <c r="AU12" s="32">
        <v>12212</v>
      </c>
      <c r="AV12" s="32">
        <v>0</v>
      </c>
      <c r="AW12" s="32">
        <v>40501</v>
      </c>
      <c r="AX12" s="32">
        <v>3633</v>
      </c>
      <c r="AY12" s="32">
        <v>0</v>
      </c>
      <c r="AZ12" s="32">
        <v>0</v>
      </c>
      <c r="BA12" s="32">
        <v>2637</v>
      </c>
      <c r="BB12" s="32">
        <v>0</v>
      </c>
      <c r="BC12" s="32">
        <v>27184</v>
      </c>
      <c r="BD12" s="34">
        <f>IFERROR(SUM(Entity_Metrics[[#This Row],[Operating surplus/(deficit) (social housing lettings)]])/SUM(Entity_Metrics[[#This Row],[Turnover from social housing lettings]]),"")</f>
        <v>0.10243458708749588</v>
      </c>
      <c r="BE12" s="32">
        <v>31981</v>
      </c>
      <c r="BF12" s="32">
        <v>312209</v>
      </c>
      <c r="BG12" s="34">
        <f>IFERROR(SUM(Entity_Metrics[[#This Row],[Operating surplus/(deficit) (overall)2]],-Entity_Metrics[[#This Row],[Gain/(loss) on disposal of fixed assets (housing properties)2]])/SUM(Entity_Metrics[[#This Row],[Turnover (overall)]]),"")</f>
        <v>7.1583827539667175E-2</v>
      </c>
      <c r="BH12" s="32">
        <v>23284</v>
      </c>
      <c r="BI12" s="32">
        <v>0</v>
      </c>
      <c r="BJ12" s="32">
        <v>325269</v>
      </c>
      <c r="BK12" s="34">
        <f>IFERROR(SUM(Entity_Metrics[[#This Row],[Operating surplus/(deficit) (overall)3]],Entity_Metrics[[#This Row],[Share of operating surplus/(deficit) in joint ventures or associates]])/SUM(Entity_Metrics[[#This Row],[Total assets less current liabilities]]),"")</f>
        <v>3.0639825456689203E-2</v>
      </c>
      <c r="BL12" s="32">
        <v>23284</v>
      </c>
      <c r="BM12" s="32">
        <v>0</v>
      </c>
      <c r="BN12" s="32">
        <v>759926</v>
      </c>
      <c r="BO12" s="34">
        <v>1.1268028846153847E-4</v>
      </c>
      <c r="BP12" s="34">
        <v>0.83935546875</v>
      </c>
      <c r="BQ12" s="6" t="s">
        <v>82</v>
      </c>
      <c r="BR12" s="6" t="s">
        <v>83</v>
      </c>
      <c r="BS12" s="6" t="s">
        <v>83</v>
      </c>
      <c r="BT12" s="6" t="s">
        <v>87</v>
      </c>
      <c r="BU12" s="8">
        <v>0.96906500449915334</v>
      </c>
      <c r="BV12" s="37" t="s">
        <v>579</v>
      </c>
      <c r="BW12" s="19" t="s">
        <v>102</v>
      </c>
    </row>
    <row r="13" spans="1:78" x14ac:dyDescent="0.25">
      <c r="A13" s="33" t="s">
        <v>580</v>
      </c>
      <c r="B13" s="7" t="s">
        <v>581</v>
      </c>
      <c r="C13" s="7" t="s">
        <v>81</v>
      </c>
      <c r="D1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6.6213140561956207E-2</v>
      </c>
      <c r="E13" s="32">
        <v>23789</v>
      </c>
      <c r="F13" s="32">
        <v>0</v>
      </c>
      <c r="G13" s="32">
        <v>5274</v>
      </c>
      <c r="H13" s="32">
        <v>0</v>
      </c>
      <c r="I13" s="32">
        <v>0</v>
      </c>
      <c r="J13" s="32">
        <v>438931</v>
      </c>
      <c r="K13" s="32">
        <v>0</v>
      </c>
      <c r="L1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3.0246452576549662E-2</v>
      </c>
      <c r="M13" s="32">
        <v>243</v>
      </c>
      <c r="N13" s="32">
        <v>0</v>
      </c>
      <c r="O13" s="32">
        <v>7793</v>
      </c>
      <c r="P13" s="32">
        <v>241</v>
      </c>
      <c r="Q1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 s="32">
        <v>0</v>
      </c>
      <c r="S13" s="32">
        <v>0</v>
      </c>
      <c r="T13" s="32">
        <v>0</v>
      </c>
      <c r="U13" s="32">
        <v>7793</v>
      </c>
      <c r="V13" s="32">
        <v>58</v>
      </c>
      <c r="W13" s="32">
        <v>241</v>
      </c>
      <c r="X13" s="32">
        <v>0</v>
      </c>
      <c r="Y1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0.48221930098352589</v>
      </c>
      <c r="Z13" s="32">
        <v>0</v>
      </c>
      <c r="AA13" s="32">
        <v>256780</v>
      </c>
      <c r="AB13" s="32">
        <v>45119</v>
      </c>
      <c r="AC13" s="32">
        <v>0</v>
      </c>
      <c r="AD13" s="32">
        <v>0</v>
      </c>
      <c r="AE13" s="32">
        <v>438931</v>
      </c>
      <c r="AF13" s="32">
        <v>0</v>
      </c>
      <c r="AG1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1.6273591701483936</v>
      </c>
      <c r="AH13" s="32">
        <v>22386</v>
      </c>
      <c r="AI13" s="32">
        <v>2075</v>
      </c>
      <c r="AJ13" s="32">
        <v>68</v>
      </c>
      <c r="AK13" s="32">
        <v>0</v>
      </c>
      <c r="AL13" s="32">
        <v>457</v>
      </c>
      <c r="AM13" s="32">
        <v>5274</v>
      </c>
      <c r="AN13" s="32">
        <v>7165</v>
      </c>
      <c r="AO13" s="32">
        <v>-1615</v>
      </c>
      <c r="AP13" s="32">
        <v>-12267</v>
      </c>
      <c r="AQ1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3.1213474543830548</v>
      </c>
      <c r="AR13" s="32">
        <v>4206</v>
      </c>
      <c r="AS13" s="32">
        <v>3068</v>
      </c>
      <c r="AT13" s="32">
        <v>5525</v>
      </c>
      <c r="AU13" s="32">
        <v>2343</v>
      </c>
      <c r="AV13" s="32">
        <v>2652</v>
      </c>
      <c r="AW13" s="32">
        <v>5274</v>
      </c>
      <c r="AX13" s="32">
        <v>410</v>
      </c>
      <c r="AY13" s="32">
        <v>115</v>
      </c>
      <c r="AZ13" s="32">
        <v>523</v>
      </c>
      <c r="BA13" s="32">
        <v>346</v>
      </c>
      <c r="BB13" s="32">
        <v>0</v>
      </c>
      <c r="BC13" s="32">
        <v>7837</v>
      </c>
      <c r="BD13" s="34">
        <f>IFERROR(SUM(Entity_Metrics[[#This Row],[Operating surplus/(deficit) (social housing lettings)]])/SUM(Entity_Metrics[[#This Row],[Turnover from social housing lettings]]),"")</f>
        <v>0.38925256472887154</v>
      </c>
      <c r="BE13" s="32">
        <v>15936</v>
      </c>
      <c r="BF13" s="32">
        <v>40940</v>
      </c>
      <c r="BG13" s="34">
        <f>IFERROR(SUM(Entity_Metrics[[#This Row],[Operating surplus/(deficit) (overall)2]],-Entity_Metrics[[#This Row],[Gain/(loss) on disposal of fixed assets (housing properties)2]])/SUM(Entity_Metrics[[#This Row],[Turnover (overall)]]),"")</f>
        <v>0.38503535478000417</v>
      </c>
      <c r="BH13" s="32">
        <v>22386</v>
      </c>
      <c r="BI13" s="32">
        <v>2075</v>
      </c>
      <c r="BJ13" s="32">
        <v>52751</v>
      </c>
      <c r="BK13" s="34">
        <f>IFERROR(SUM(Entity_Metrics[[#This Row],[Operating surplus/(deficit) (overall)3]],Entity_Metrics[[#This Row],[Share of operating surplus/(deficit) in joint ventures or associates]])/SUM(Entity_Metrics[[#This Row],[Total assets less current liabilities]]),"")</f>
        <v>4.6197945794905555E-2</v>
      </c>
      <c r="BL13" s="32">
        <v>22386</v>
      </c>
      <c r="BM13" s="32">
        <v>0</v>
      </c>
      <c r="BN13" s="32">
        <v>484567</v>
      </c>
      <c r="BO13" s="34">
        <v>4.8877485567671582E-2</v>
      </c>
      <c r="BP13" s="34">
        <v>0.16882617062219371</v>
      </c>
      <c r="BQ13" s="6" t="s">
        <v>93</v>
      </c>
      <c r="BR13" s="6">
        <v>2001</v>
      </c>
      <c r="BS13" s="6" t="s">
        <v>94</v>
      </c>
      <c r="BT13" s="6" t="s">
        <v>100</v>
      </c>
      <c r="BU13" s="8">
        <v>0.99810938335446242</v>
      </c>
      <c r="BV13" s="37" t="s">
        <v>582</v>
      </c>
      <c r="BW13" s="19" t="s">
        <v>583</v>
      </c>
    </row>
    <row r="14" spans="1:78" x14ac:dyDescent="0.25">
      <c r="A14" s="33" t="s">
        <v>103</v>
      </c>
      <c r="B14" s="7" t="s">
        <v>104</v>
      </c>
      <c r="C14" s="7" t="s">
        <v>81</v>
      </c>
      <c r="D1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1.7851138621427481E-2</v>
      </c>
      <c r="E14" s="32">
        <v>0</v>
      </c>
      <c r="F14" s="32">
        <v>0</v>
      </c>
      <c r="G14" s="32">
        <v>584</v>
      </c>
      <c r="H14" s="32">
        <v>0</v>
      </c>
      <c r="I14" s="32">
        <v>0</v>
      </c>
      <c r="J14" s="32">
        <v>32715</v>
      </c>
      <c r="K14" s="32">
        <v>0</v>
      </c>
      <c r="L1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4" s="32">
        <v>0</v>
      </c>
      <c r="N14" s="32">
        <v>0</v>
      </c>
      <c r="O14" s="32">
        <v>1048</v>
      </c>
      <c r="P14" s="32">
        <v>8</v>
      </c>
      <c r="Q1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 s="32">
        <v>0</v>
      </c>
      <c r="S14" s="32">
        <v>0</v>
      </c>
      <c r="T14" s="32">
        <v>0</v>
      </c>
      <c r="U14" s="32">
        <v>1048</v>
      </c>
      <c r="V14" s="32">
        <v>0</v>
      </c>
      <c r="W14" s="32">
        <v>8</v>
      </c>
      <c r="X14" s="32">
        <v>1</v>
      </c>
      <c r="Y1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0.47042640990371387</v>
      </c>
      <c r="Z14" s="32">
        <v>991</v>
      </c>
      <c r="AA14" s="32">
        <v>15320</v>
      </c>
      <c r="AB14" s="32">
        <v>921</v>
      </c>
      <c r="AC14" s="32">
        <v>0</v>
      </c>
      <c r="AD14" s="32">
        <v>0</v>
      </c>
      <c r="AE14" s="32">
        <v>32715</v>
      </c>
      <c r="AF14" s="32">
        <v>0</v>
      </c>
      <c r="AG1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3.0759013282732446</v>
      </c>
      <c r="AH14" s="32">
        <v>1571</v>
      </c>
      <c r="AI14" s="32">
        <v>57</v>
      </c>
      <c r="AJ14" s="32">
        <v>89</v>
      </c>
      <c r="AK14" s="32">
        <v>0</v>
      </c>
      <c r="AL14" s="32">
        <v>1</v>
      </c>
      <c r="AM14" s="32">
        <v>584</v>
      </c>
      <c r="AN14" s="32">
        <v>779</v>
      </c>
      <c r="AO14" s="32">
        <v>0</v>
      </c>
      <c r="AP14" s="32">
        <v>-527</v>
      </c>
      <c r="AQ1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3.1788079470198674</v>
      </c>
      <c r="AR14" s="32">
        <v>1059</v>
      </c>
      <c r="AS14" s="32">
        <v>437</v>
      </c>
      <c r="AT14" s="32">
        <v>826</v>
      </c>
      <c r="AU14" s="32">
        <v>181</v>
      </c>
      <c r="AV14" s="32">
        <v>200</v>
      </c>
      <c r="AW14" s="32">
        <v>584</v>
      </c>
      <c r="AX14" s="32">
        <v>0</v>
      </c>
      <c r="AY14" s="32">
        <v>0</v>
      </c>
      <c r="AZ14" s="32">
        <v>0</v>
      </c>
      <c r="BA14" s="32">
        <v>40</v>
      </c>
      <c r="BB14" s="32">
        <v>33</v>
      </c>
      <c r="BC14" s="32">
        <v>1057</v>
      </c>
      <c r="BD14" s="34">
        <f>IFERROR(SUM(Entity_Metrics[[#This Row],[Operating surplus/(deficit) (social housing lettings)]])/SUM(Entity_Metrics[[#This Row],[Turnover from social housing lettings]]),"")</f>
        <v>0.30088495575221241</v>
      </c>
      <c r="BE14" s="32">
        <v>1496</v>
      </c>
      <c r="BF14" s="32">
        <v>4972</v>
      </c>
      <c r="BG14" s="34">
        <f>IFERROR(SUM(Entity_Metrics[[#This Row],[Operating surplus/(deficit) (overall)2]],-Entity_Metrics[[#This Row],[Gain/(loss) on disposal of fixed assets (housing properties)2]])/SUM(Entity_Metrics[[#This Row],[Turnover (overall)]]),"")</f>
        <v>0.29856044172746993</v>
      </c>
      <c r="BH14" s="32">
        <v>1571</v>
      </c>
      <c r="BI14" s="32">
        <v>57</v>
      </c>
      <c r="BJ14" s="32">
        <v>5071</v>
      </c>
      <c r="BK14" s="34">
        <f>IFERROR(SUM(Entity_Metrics[[#This Row],[Operating surplus/(deficit) (overall)3]],Entity_Metrics[[#This Row],[Share of operating surplus/(deficit) in joint ventures or associates]])/SUM(Entity_Metrics[[#This Row],[Total assets less current liabilities]]),"")</f>
        <v>4.8378653034828932E-2</v>
      </c>
      <c r="BL14" s="32">
        <v>1571</v>
      </c>
      <c r="BM14" s="32">
        <v>0</v>
      </c>
      <c r="BN14" s="32">
        <v>32473</v>
      </c>
      <c r="BO14" s="34">
        <v>0</v>
      </c>
      <c r="BP14" s="34">
        <v>0.14026717557251908</v>
      </c>
      <c r="BQ14" s="6" t="s">
        <v>82</v>
      </c>
      <c r="BR14" s="6" t="s">
        <v>83</v>
      </c>
      <c r="BS14" s="6" t="s">
        <v>83</v>
      </c>
      <c r="BT14" s="6" t="s">
        <v>105</v>
      </c>
      <c r="BU14" s="8">
        <v>0.9156653862445665</v>
      </c>
      <c r="BV14" s="37" t="s">
        <v>103</v>
      </c>
      <c r="BW14" s="19" t="s">
        <v>104</v>
      </c>
    </row>
    <row r="15" spans="1:78" x14ac:dyDescent="0.25">
      <c r="A15" s="33" t="s">
        <v>106</v>
      </c>
      <c r="B15" s="7" t="s">
        <v>107</v>
      </c>
      <c r="C15" s="7" t="s">
        <v>81</v>
      </c>
      <c r="D1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1.1985032954092196E-2</v>
      </c>
      <c r="E15" s="32">
        <v>410</v>
      </c>
      <c r="F15" s="32">
        <v>0</v>
      </c>
      <c r="G15" s="32">
        <v>221</v>
      </c>
      <c r="H15" s="32">
        <v>0</v>
      </c>
      <c r="I15" s="32">
        <v>0</v>
      </c>
      <c r="J15" s="32">
        <v>52649</v>
      </c>
      <c r="K15" s="32">
        <v>0</v>
      </c>
      <c r="L1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1.2573344509639563E-2</v>
      </c>
      <c r="M15" s="32">
        <v>15</v>
      </c>
      <c r="N15" s="32">
        <v>0</v>
      </c>
      <c r="O15" s="32">
        <v>1193</v>
      </c>
      <c r="P15" s="32">
        <v>0</v>
      </c>
      <c r="Q1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 s="32">
        <v>0</v>
      </c>
      <c r="S15" s="32">
        <v>0</v>
      </c>
      <c r="T15" s="32">
        <v>0</v>
      </c>
      <c r="U15" s="32">
        <v>1193</v>
      </c>
      <c r="V15" s="32">
        <v>0</v>
      </c>
      <c r="W15" s="32">
        <v>0</v>
      </c>
      <c r="X15" s="32">
        <v>0</v>
      </c>
      <c r="Y1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0.34310243309464566</v>
      </c>
      <c r="Z15" s="32">
        <v>548</v>
      </c>
      <c r="AA15" s="32">
        <v>17762</v>
      </c>
      <c r="AB15" s="32">
        <v>246</v>
      </c>
      <c r="AC15" s="32">
        <v>0</v>
      </c>
      <c r="AD15" s="32">
        <v>0</v>
      </c>
      <c r="AE15" s="32">
        <v>52649</v>
      </c>
      <c r="AF15" s="32">
        <v>0</v>
      </c>
      <c r="AG1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3.4752747252747254</v>
      </c>
      <c r="AH15" s="32">
        <v>1777</v>
      </c>
      <c r="AI15" s="32">
        <v>0</v>
      </c>
      <c r="AJ15" s="32">
        <v>814</v>
      </c>
      <c r="AK15" s="32">
        <v>0</v>
      </c>
      <c r="AL15" s="32">
        <v>10</v>
      </c>
      <c r="AM15" s="32">
        <v>221</v>
      </c>
      <c r="AN15" s="32">
        <v>1778</v>
      </c>
      <c r="AO15" s="32">
        <v>0</v>
      </c>
      <c r="AP15" s="32">
        <v>-728</v>
      </c>
      <c r="AQ1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2.2020117351215425</v>
      </c>
      <c r="AR15" s="32">
        <v>865</v>
      </c>
      <c r="AS15" s="32">
        <v>53</v>
      </c>
      <c r="AT15" s="32">
        <v>1063</v>
      </c>
      <c r="AU15" s="32">
        <v>351</v>
      </c>
      <c r="AV15" s="32">
        <v>0</v>
      </c>
      <c r="AW15" s="32">
        <v>221</v>
      </c>
      <c r="AX15" s="32">
        <v>0</v>
      </c>
      <c r="AY15" s="32">
        <v>9</v>
      </c>
      <c r="AZ15" s="32">
        <v>0</v>
      </c>
      <c r="BA15" s="32">
        <v>0</v>
      </c>
      <c r="BB15" s="32">
        <v>65</v>
      </c>
      <c r="BC15" s="32">
        <v>1193</v>
      </c>
      <c r="BD15" s="34">
        <f>IFERROR(SUM(Entity_Metrics[[#This Row],[Operating surplus/(deficit) (social housing lettings)]])/SUM(Entity_Metrics[[#This Row],[Turnover from social housing lettings]]),"")</f>
        <v>0.28246641405442646</v>
      </c>
      <c r="BE15" s="32">
        <v>1640</v>
      </c>
      <c r="BF15" s="32">
        <v>5806</v>
      </c>
      <c r="BG15" s="34">
        <f>IFERROR(SUM(Entity_Metrics[[#This Row],[Operating surplus/(deficit) (overall)2]],-Entity_Metrics[[#This Row],[Gain/(loss) on disposal of fixed assets (housing properties)2]])/SUM(Entity_Metrics[[#This Row],[Turnover (overall)]]),"")</f>
        <v>0.28908410606800067</v>
      </c>
      <c r="BH15" s="32">
        <v>1777</v>
      </c>
      <c r="BI15" s="32">
        <v>0</v>
      </c>
      <c r="BJ15" s="32">
        <v>6147</v>
      </c>
      <c r="BK15" s="34">
        <f>IFERROR(SUM(Entity_Metrics[[#This Row],[Operating surplus/(deficit) (overall)3]],Entity_Metrics[[#This Row],[Share of operating surplus/(deficit) in joint ventures or associates]])/SUM(Entity_Metrics[[#This Row],[Total assets less current liabilities]]),"")</f>
        <v>3.3016238712794022E-2</v>
      </c>
      <c r="BL15" s="32">
        <v>1777</v>
      </c>
      <c r="BM15" s="32">
        <v>0</v>
      </c>
      <c r="BN15" s="32">
        <v>53822</v>
      </c>
      <c r="BO15" s="34">
        <v>4.0268456375838924E-2</v>
      </c>
      <c r="BP15" s="34">
        <v>1.0067114093959731E-2</v>
      </c>
      <c r="BQ15" s="6" t="s">
        <v>82</v>
      </c>
      <c r="BR15" s="6" t="s">
        <v>83</v>
      </c>
      <c r="BS15" s="6" t="s">
        <v>83</v>
      </c>
      <c r="BT15" s="6" t="s">
        <v>108</v>
      </c>
      <c r="BU15" s="8">
        <v>0.94807909763407583</v>
      </c>
      <c r="BV15" s="37" t="s">
        <v>106</v>
      </c>
      <c r="BW15" s="19" t="s">
        <v>107</v>
      </c>
    </row>
    <row r="16" spans="1:78" x14ac:dyDescent="0.25">
      <c r="A16" s="33" t="s">
        <v>584</v>
      </c>
      <c r="B16" s="7" t="s">
        <v>110</v>
      </c>
      <c r="C16" s="7" t="s">
        <v>81</v>
      </c>
      <c r="D1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1.6493222226489E-2</v>
      </c>
      <c r="E16" s="32">
        <v>267</v>
      </c>
      <c r="F16" s="32">
        <v>0</v>
      </c>
      <c r="G16" s="32">
        <v>592</v>
      </c>
      <c r="H16" s="32">
        <v>0</v>
      </c>
      <c r="I16" s="32">
        <v>0</v>
      </c>
      <c r="J16" s="32">
        <v>52082</v>
      </c>
      <c r="K16" s="32">
        <v>0</v>
      </c>
      <c r="L1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3.3812341504649195E-3</v>
      </c>
      <c r="M16" s="32">
        <v>4</v>
      </c>
      <c r="N16" s="32">
        <v>0</v>
      </c>
      <c r="O16" s="32">
        <v>1183</v>
      </c>
      <c r="P16" s="32">
        <v>0</v>
      </c>
      <c r="Q1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 s="32">
        <v>0</v>
      </c>
      <c r="S16" s="32">
        <v>0</v>
      </c>
      <c r="T16" s="32">
        <v>0</v>
      </c>
      <c r="U16" s="32">
        <v>1183</v>
      </c>
      <c r="V16" s="32">
        <v>0</v>
      </c>
      <c r="W16" s="32">
        <v>0</v>
      </c>
      <c r="X16" s="32">
        <v>0</v>
      </c>
      <c r="Y1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0.30928151760685074</v>
      </c>
      <c r="Z16" s="32">
        <v>29</v>
      </c>
      <c r="AA16" s="32">
        <v>18153</v>
      </c>
      <c r="AB16" s="32">
        <v>2074</v>
      </c>
      <c r="AC16" s="32">
        <v>0</v>
      </c>
      <c r="AD16" s="32">
        <v>0</v>
      </c>
      <c r="AE16" s="32">
        <v>52082</v>
      </c>
      <c r="AF16" s="32">
        <v>0</v>
      </c>
      <c r="AG1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1.8631221719457014</v>
      </c>
      <c r="AH16" s="32">
        <v>1413</v>
      </c>
      <c r="AI16" s="32">
        <v>0</v>
      </c>
      <c r="AJ16" s="32">
        <v>352</v>
      </c>
      <c r="AK16" s="32">
        <v>0</v>
      </c>
      <c r="AL16" s="32">
        <v>8</v>
      </c>
      <c r="AM16" s="32">
        <v>592</v>
      </c>
      <c r="AN16" s="32">
        <v>1170</v>
      </c>
      <c r="AO16" s="32">
        <v>0</v>
      </c>
      <c r="AP16" s="32">
        <v>-884</v>
      </c>
      <c r="AQ1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3.1212121212121211</v>
      </c>
      <c r="AR16" s="32">
        <v>1274</v>
      </c>
      <c r="AS16" s="32">
        <v>244</v>
      </c>
      <c r="AT16" s="32">
        <v>870</v>
      </c>
      <c r="AU16" s="32">
        <v>357</v>
      </c>
      <c r="AV16" s="32">
        <v>306</v>
      </c>
      <c r="AW16" s="32">
        <v>592</v>
      </c>
      <c r="AX16" s="32">
        <v>168</v>
      </c>
      <c r="AY16" s="32">
        <v>0</v>
      </c>
      <c r="AZ16" s="32">
        <v>0</v>
      </c>
      <c r="BA16" s="32">
        <v>0</v>
      </c>
      <c r="BB16" s="32">
        <v>0</v>
      </c>
      <c r="BC16" s="32">
        <v>1221</v>
      </c>
      <c r="BD16" s="34">
        <f>IFERROR(SUM(Entity_Metrics[[#This Row],[Operating surplus/(deficit) (social housing lettings)]])/SUM(Entity_Metrics[[#This Row],[Turnover from social housing lettings]]),"")</f>
        <v>0.23848797250859108</v>
      </c>
      <c r="BE16" s="32">
        <v>1388</v>
      </c>
      <c r="BF16" s="32">
        <v>5820</v>
      </c>
      <c r="BG16" s="34">
        <f>IFERROR(SUM(Entity_Metrics[[#This Row],[Operating surplus/(deficit) (overall)2]],-Entity_Metrics[[#This Row],[Gain/(loss) on disposal of fixed assets (housing properties)2]])/SUM(Entity_Metrics[[#This Row],[Turnover (overall)]]),"")</f>
        <v>0.23475660408705765</v>
      </c>
      <c r="BH16" s="32">
        <v>1413</v>
      </c>
      <c r="BI16" s="32">
        <v>0</v>
      </c>
      <c r="BJ16" s="32">
        <v>6019</v>
      </c>
      <c r="BK16" s="34">
        <f>IFERROR(SUM(Entity_Metrics[[#This Row],[Operating surplus/(deficit) (overall)3]],Entity_Metrics[[#This Row],[Share of operating surplus/(deficit) in joint ventures or associates]])/SUM(Entity_Metrics[[#This Row],[Total assets less current liabilities]]),"")</f>
        <v>2.5520156046814044E-2</v>
      </c>
      <c r="BL16" s="32">
        <v>1413</v>
      </c>
      <c r="BM16" s="32">
        <v>0</v>
      </c>
      <c r="BN16" s="32">
        <v>55368</v>
      </c>
      <c r="BO16" s="34">
        <v>0</v>
      </c>
      <c r="BP16" s="34">
        <v>0</v>
      </c>
      <c r="BQ16" s="6" t="s">
        <v>82</v>
      </c>
      <c r="BR16" s="6" t="s">
        <v>83</v>
      </c>
      <c r="BS16" s="6" t="s">
        <v>83</v>
      </c>
      <c r="BT16" s="6" t="s">
        <v>105</v>
      </c>
      <c r="BU16" s="8">
        <v>0.91576472039687784</v>
      </c>
      <c r="BV16" s="37" t="s">
        <v>584</v>
      </c>
      <c r="BW16" s="19" t="s">
        <v>110</v>
      </c>
    </row>
    <row r="17" spans="1:75" x14ac:dyDescent="0.25">
      <c r="A17" s="33" t="s">
        <v>585</v>
      </c>
      <c r="B17" s="7" t="s">
        <v>112</v>
      </c>
      <c r="C17" s="7" t="s">
        <v>81</v>
      </c>
      <c r="D1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9.3266094909114305E-2</v>
      </c>
      <c r="E17" s="32">
        <v>15066</v>
      </c>
      <c r="F17" s="32">
        <v>0</v>
      </c>
      <c r="G17" s="32">
        <v>3780</v>
      </c>
      <c r="H17" s="32">
        <v>0</v>
      </c>
      <c r="I17" s="32">
        <v>0</v>
      </c>
      <c r="J17" s="32">
        <v>202067</v>
      </c>
      <c r="K17" s="32">
        <v>0</v>
      </c>
      <c r="L1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2.365930599369085E-2</v>
      </c>
      <c r="M17" s="32">
        <v>210</v>
      </c>
      <c r="N17" s="32">
        <v>0</v>
      </c>
      <c r="O17" s="32">
        <v>8876</v>
      </c>
      <c r="P17" s="32">
        <v>0</v>
      </c>
      <c r="Q1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 s="32">
        <v>0</v>
      </c>
      <c r="S17" s="32">
        <v>0</v>
      </c>
      <c r="T17" s="32">
        <v>0</v>
      </c>
      <c r="U17" s="32">
        <v>8876</v>
      </c>
      <c r="V17" s="32">
        <v>0</v>
      </c>
      <c r="W17" s="32">
        <v>0</v>
      </c>
      <c r="X17" s="32">
        <v>0</v>
      </c>
      <c r="Y1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0.63665021997654248</v>
      </c>
      <c r="Z17" s="32">
        <v>0</v>
      </c>
      <c r="AA17" s="32">
        <v>144114</v>
      </c>
      <c r="AB17" s="32">
        <v>15468</v>
      </c>
      <c r="AC17" s="32">
        <v>0</v>
      </c>
      <c r="AD17" s="32">
        <v>0</v>
      </c>
      <c r="AE17" s="32">
        <v>202067</v>
      </c>
      <c r="AF17" s="32">
        <v>0</v>
      </c>
      <c r="AG1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1.2882193527817631</v>
      </c>
      <c r="AH17" s="32">
        <v>17129</v>
      </c>
      <c r="AI17" s="32">
        <v>3179</v>
      </c>
      <c r="AJ17" s="32">
        <v>606</v>
      </c>
      <c r="AK17" s="32">
        <v>0</v>
      </c>
      <c r="AL17" s="32">
        <v>26</v>
      </c>
      <c r="AM17" s="32">
        <v>3780</v>
      </c>
      <c r="AN17" s="32">
        <v>6572</v>
      </c>
      <c r="AO17" s="32">
        <v>0</v>
      </c>
      <c r="AP17" s="32">
        <v>-12546</v>
      </c>
      <c r="AQ1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2.6787967552951781</v>
      </c>
      <c r="AR17" s="32">
        <v>6192</v>
      </c>
      <c r="AS17" s="32">
        <v>2930</v>
      </c>
      <c r="AT17" s="32">
        <v>4636</v>
      </c>
      <c r="AU17" s="32">
        <v>4710</v>
      </c>
      <c r="AV17" s="32">
        <v>0</v>
      </c>
      <c r="AW17" s="32">
        <v>3780</v>
      </c>
      <c r="AX17" s="32">
        <v>0</v>
      </c>
      <c r="AY17" s="32">
        <v>0</v>
      </c>
      <c r="AZ17" s="32">
        <v>0</v>
      </c>
      <c r="BA17" s="32">
        <v>1529</v>
      </c>
      <c r="BB17" s="32">
        <v>0</v>
      </c>
      <c r="BC17" s="32">
        <v>8876</v>
      </c>
      <c r="BD17" s="34">
        <f>IFERROR(SUM(Entity_Metrics[[#This Row],[Operating surplus/(deficit) (social housing lettings)]])/SUM(Entity_Metrics[[#This Row],[Turnover from social housing lettings]]),"")</f>
        <v>0.35582117597933033</v>
      </c>
      <c r="BE17" s="32">
        <v>13634</v>
      </c>
      <c r="BF17" s="32">
        <v>38317</v>
      </c>
      <c r="BG17" s="34">
        <f>IFERROR(SUM(Entity_Metrics[[#This Row],[Operating surplus/(deficit) (overall)2]],-Entity_Metrics[[#This Row],[Gain/(loss) on disposal of fixed assets (housing properties)2]])/SUM(Entity_Metrics[[#This Row],[Turnover (overall)]]),"")</f>
        <v>0.32199242913858367</v>
      </c>
      <c r="BH17" s="32">
        <v>17129</v>
      </c>
      <c r="BI17" s="32">
        <v>3179</v>
      </c>
      <c r="BJ17" s="32">
        <v>43324</v>
      </c>
      <c r="BK17" s="34">
        <f>IFERROR(SUM(Entity_Metrics[[#This Row],[Operating surplus/(deficit) (overall)3]],Entity_Metrics[[#This Row],[Share of operating surplus/(deficit) in joint ventures or associates]])/SUM(Entity_Metrics[[#This Row],[Total assets less current liabilities]]),"")</f>
        <v>7.7127084759194553E-2</v>
      </c>
      <c r="BL17" s="32">
        <v>17129</v>
      </c>
      <c r="BM17" s="32">
        <v>0</v>
      </c>
      <c r="BN17" s="32">
        <v>222088</v>
      </c>
      <c r="BO17" s="34">
        <v>0</v>
      </c>
      <c r="BP17" s="34">
        <v>6.8585077343039133E-2</v>
      </c>
      <c r="BQ17" s="6" t="s">
        <v>93</v>
      </c>
      <c r="BR17" s="6">
        <v>2000</v>
      </c>
      <c r="BS17" s="6" t="s">
        <v>94</v>
      </c>
      <c r="BT17" s="6" t="s">
        <v>90</v>
      </c>
      <c r="BU17" s="8">
        <v>0.91571390318362522</v>
      </c>
      <c r="BV17" s="37" t="s">
        <v>585</v>
      </c>
      <c r="BW17" s="19" t="s">
        <v>112</v>
      </c>
    </row>
    <row r="18" spans="1:75" x14ac:dyDescent="0.25">
      <c r="A18" s="33" t="s">
        <v>902</v>
      </c>
      <c r="B18" s="7" t="s">
        <v>586</v>
      </c>
      <c r="C18" s="7" t="s">
        <v>81</v>
      </c>
      <c r="D1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0.11292596378739142</v>
      </c>
      <c r="E18" s="32">
        <v>0</v>
      </c>
      <c r="F18" s="32">
        <v>89431</v>
      </c>
      <c r="G18" s="32">
        <v>16065</v>
      </c>
      <c r="H18" s="32">
        <v>0</v>
      </c>
      <c r="I18" s="32">
        <v>0</v>
      </c>
      <c r="J18" s="32">
        <v>934205</v>
      </c>
      <c r="K18" s="32">
        <v>0</v>
      </c>
      <c r="L1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3.2437728843277808E-2</v>
      </c>
      <c r="M18" s="32">
        <v>614</v>
      </c>
      <c r="N18" s="32">
        <v>15</v>
      </c>
      <c r="O18" s="32">
        <v>18417</v>
      </c>
      <c r="P18" s="32">
        <v>974</v>
      </c>
      <c r="Q1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3.6088054853843375E-4</v>
      </c>
      <c r="R18" s="32">
        <v>0</v>
      </c>
      <c r="S18" s="32">
        <v>0</v>
      </c>
      <c r="T18" s="32">
        <v>7</v>
      </c>
      <c r="U18" s="32">
        <v>18417</v>
      </c>
      <c r="V18" s="32">
        <v>6</v>
      </c>
      <c r="W18" s="32">
        <v>974</v>
      </c>
      <c r="X18" s="32">
        <v>0</v>
      </c>
      <c r="Y1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0.52665956615518006</v>
      </c>
      <c r="Z18" s="32">
        <v>12000</v>
      </c>
      <c r="AA18" s="32">
        <v>376160</v>
      </c>
      <c r="AB18" s="32">
        <v>32984</v>
      </c>
      <c r="AC18" s="32">
        <v>136832</v>
      </c>
      <c r="AD18" s="32">
        <v>0</v>
      </c>
      <c r="AE18" s="32">
        <v>934205</v>
      </c>
      <c r="AF18" s="32">
        <v>0</v>
      </c>
      <c r="AG1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2.3025147928994083</v>
      </c>
      <c r="AH18" s="32">
        <v>47647</v>
      </c>
      <c r="AI18" s="32">
        <v>11916</v>
      </c>
      <c r="AJ18" s="32">
        <v>120</v>
      </c>
      <c r="AK18" s="32">
        <v>0</v>
      </c>
      <c r="AL18" s="32">
        <v>1756</v>
      </c>
      <c r="AM18" s="32">
        <v>12580</v>
      </c>
      <c r="AN18" s="32">
        <v>15682</v>
      </c>
      <c r="AO18" s="32">
        <v>-2440</v>
      </c>
      <c r="AP18" s="32">
        <v>-15136</v>
      </c>
      <c r="AQ1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3.2666937284351532</v>
      </c>
      <c r="AR18" s="32">
        <v>19067</v>
      </c>
      <c r="AS18" s="32">
        <v>7614</v>
      </c>
      <c r="AT18" s="32">
        <v>8973</v>
      </c>
      <c r="AU18" s="32">
        <v>5042</v>
      </c>
      <c r="AV18" s="32">
        <v>7400</v>
      </c>
      <c r="AW18" s="32">
        <v>12580</v>
      </c>
      <c r="AX18" s="32">
        <v>0</v>
      </c>
      <c r="AY18" s="32">
        <v>0</v>
      </c>
      <c r="AZ18" s="32">
        <v>426</v>
      </c>
      <c r="BA18" s="32">
        <v>1089</v>
      </c>
      <c r="BB18" s="32">
        <v>2189</v>
      </c>
      <c r="BC18" s="32">
        <v>19708</v>
      </c>
      <c r="BD18" s="34">
        <f>IFERROR(SUM(Entity_Metrics[[#This Row],[Operating surplus/(deficit) (social housing lettings)]])/SUM(Entity_Metrics[[#This Row],[Turnover from social housing lettings]]),"")</f>
        <v>0.34795005702623205</v>
      </c>
      <c r="BE18" s="32">
        <v>34779</v>
      </c>
      <c r="BF18" s="32">
        <v>99954</v>
      </c>
      <c r="BG18" s="34">
        <f>IFERROR(SUM(Entity_Metrics[[#This Row],[Operating surplus/(deficit) (overall)2]],-Entity_Metrics[[#This Row],[Gain/(loss) on disposal of fixed assets (housing properties)2]])/SUM(Entity_Metrics[[#This Row],[Turnover (overall)]]),"")</f>
        <v>0.27470170367181251</v>
      </c>
      <c r="BH18" s="32">
        <v>47647</v>
      </c>
      <c r="BI18" s="32">
        <v>11916</v>
      </c>
      <c r="BJ18" s="32">
        <v>130072</v>
      </c>
      <c r="BK18" s="34">
        <f>IFERROR(SUM(Entity_Metrics[[#This Row],[Operating surplus/(deficit) (overall)3]],Entity_Metrics[[#This Row],[Share of operating surplus/(deficit) in joint ventures or associates]])/SUM(Entity_Metrics[[#This Row],[Total assets less current liabilities]]),"")</f>
        <v>4.7955497716812255E-2</v>
      </c>
      <c r="BL18" s="32">
        <v>47647</v>
      </c>
      <c r="BM18" s="32">
        <v>0</v>
      </c>
      <c r="BN18" s="32">
        <v>993567</v>
      </c>
      <c r="BO18" s="34">
        <v>3.3458258649720275E-2</v>
      </c>
      <c r="BP18" s="34">
        <v>6.6699255879637168E-2</v>
      </c>
      <c r="BQ18" s="6" t="s">
        <v>93</v>
      </c>
      <c r="BR18" s="6">
        <v>2000</v>
      </c>
      <c r="BS18" s="6" t="s">
        <v>94</v>
      </c>
      <c r="BT18" s="6" t="s">
        <v>115</v>
      </c>
      <c r="BU18" s="8">
        <v>0.98117611191145737</v>
      </c>
      <c r="BV18" s="37" t="s">
        <v>587</v>
      </c>
      <c r="BW18" s="19" t="s">
        <v>114</v>
      </c>
    </row>
    <row r="19" spans="1:75" x14ac:dyDescent="0.25">
      <c r="A19" s="33" t="s">
        <v>588</v>
      </c>
      <c r="B19" s="7" t="s">
        <v>589</v>
      </c>
      <c r="C19" s="7" t="s">
        <v>81</v>
      </c>
      <c r="D1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4.7773900652209655E-2</v>
      </c>
      <c r="E19" s="32">
        <v>4393</v>
      </c>
      <c r="F19" s="32">
        <v>0</v>
      </c>
      <c r="G19" s="32">
        <v>837</v>
      </c>
      <c r="H19" s="32">
        <v>0</v>
      </c>
      <c r="I19" s="32">
        <v>0</v>
      </c>
      <c r="J19" s="32">
        <v>109474</v>
      </c>
      <c r="K19" s="32">
        <v>0</v>
      </c>
      <c r="L1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2.717391304347826E-3</v>
      </c>
      <c r="M19" s="32">
        <v>6</v>
      </c>
      <c r="N19" s="32">
        <v>0</v>
      </c>
      <c r="O19" s="32">
        <v>2208</v>
      </c>
      <c r="P19" s="32">
        <v>0</v>
      </c>
      <c r="Q1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 s="32">
        <v>0</v>
      </c>
      <c r="S19" s="32">
        <v>0</v>
      </c>
      <c r="T19" s="32">
        <v>0</v>
      </c>
      <c r="U19" s="32">
        <v>2208</v>
      </c>
      <c r="V19" s="32">
        <v>0</v>
      </c>
      <c r="W19" s="32">
        <v>0</v>
      </c>
      <c r="X19" s="32">
        <v>0</v>
      </c>
      <c r="Y1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0.4787620804939986</v>
      </c>
      <c r="Z19" s="32">
        <v>950</v>
      </c>
      <c r="AA19" s="32">
        <v>52717</v>
      </c>
      <c r="AB19" s="32">
        <v>1255</v>
      </c>
      <c r="AC19" s="32">
        <v>0</v>
      </c>
      <c r="AD19" s="32">
        <v>0</v>
      </c>
      <c r="AE19" s="32">
        <v>109474</v>
      </c>
      <c r="AF19" s="32">
        <v>0</v>
      </c>
      <c r="AG1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1.9963340122199593</v>
      </c>
      <c r="AH19" s="32">
        <v>3926</v>
      </c>
      <c r="AI19" s="32">
        <v>112</v>
      </c>
      <c r="AJ19" s="32">
        <v>456</v>
      </c>
      <c r="AK19" s="32">
        <v>0</v>
      </c>
      <c r="AL19" s="32">
        <v>1</v>
      </c>
      <c r="AM19" s="32">
        <v>837</v>
      </c>
      <c r="AN19" s="32">
        <v>2379</v>
      </c>
      <c r="AO19" s="32">
        <v>0</v>
      </c>
      <c r="AP19" s="32">
        <v>-2455</v>
      </c>
      <c r="AQ1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5.542625169147497</v>
      </c>
      <c r="AR19" s="32">
        <v>3322</v>
      </c>
      <c r="AS19" s="32">
        <v>5722</v>
      </c>
      <c r="AT19" s="32">
        <v>722</v>
      </c>
      <c r="AU19" s="32">
        <v>1038</v>
      </c>
      <c r="AV19" s="32">
        <v>61</v>
      </c>
      <c r="AW19" s="32">
        <v>837</v>
      </c>
      <c r="AX19" s="32">
        <v>0</v>
      </c>
      <c r="AY19" s="32">
        <v>0</v>
      </c>
      <c r="AZ19" s="32">
        <v>0</v>
      </c>
      <c r="BA19" s="32">
        <v>0</v>
      </c>
      <c r="BB19" s="32">
        <v>586</v>
      </c>
      <c r="BC19" s="32">
        <v>2217</v>
      </c>
      <c r="BD19" s="34">
        <f>IFERROR(SUM(Entity_Metrics[[#This Row],[Operating surplus/(deficit) (social housing lettings)]])/SUM(Entity_Metrics[[#This Row],[Turnover from social housing lettings]]),"")</f>
        <v>0.218014882381181</v>
      </c>
      <c r="BE19" s="32">
        <v>3633</v>
      </c>
      <c r="BF19" s="32">
        <v>16664</v>
      </c>
      <c r="BG19" s="34">
        <f>IFERROR(SUM(Entity_Metrics[[#This Row],[Operating surplus/(deficit) (overall)2]],-Entity_Metrics[[#This Row],[Gain/(loss) on disposal of fixed assets (housing properties)2]])/SUM(Entity_Metrics[[#This Row],[Turnover (overall)]]),"")</f>
        <v>0.21489745323416723</v>
      </c>
      <c r="BH19" s="32">
        <v>3926</v>
      </c>
      <c r="BI19" s="32">
        <v>112</v>
      </c>
      <c r="BJ19" s="32">
        <v>17748</v>
      </c>
      <c r="BK19" s="34">
        <f>IFERROR(SUM(Entity_Metrics[[#This Row],[Operating surplus/(deficit) (overall)3]],Entity_Metrics[[#This Row],[Share of operating surplus/(deficit) in joint ventures or associates]])/SUM(Entity_Metrics[[#This Row],[Total assets less current liabilities]]),"")</f>
        <v>3.5468104904644464E-2</v>
      </c>
      <c r="BL19" s="32">
        <v>3926</v>
      </c>
      <c r="BM19" s="32">
        <v>0</v>
      </c>
      <c r="BN19" s="32">
        <v>110691</v>
      </c>
      <c r="BO19" s="34">
        <v>0.10960144927536232</v>
      </c>
      <c r="BP19" s="34">
        <v>0.2318840579710145</v>
      </c>
      <c r="BQ19" s="6" t="s">
        <v>82</v>
      </c>
      <c r="BR19" s="6" t="s">
        <v>83</v>
      </c>
      <c r="BS19" s="6" t="s">
        <v>83</v>
      </c>
      <c r="BT19" s="6" t="s">
        <v>100</v>
      </c>
      <c r="BU19" s="8">
        <v>0.99337964381209165</v>
      </c>
      <c r="BV19" s="37" t="s">
        <v>590</v>
      </c>
      <c r="BW19" s="19" t="s">
        <v>300</v>
      </c>
    </row>
    <row r="20" spans="1:75" x14ac:dyDescent="0.25">
      <c r="A20" s="33" t="s">
        <v>591</v>
      </c>
      <c r="B20" s="7" t="s">
        <v>117</v>
      </c>
      <c r="C20" s="7" t="s">
        <v>81</v>
      </c>
      <c r="D2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0.16903670220818826</v>
      </c>
      <c r="E20" s="32">
        <v>26713</v>
      </c>
      <c r="F20" s="32">
        <v>0</v>
      </c>
      <c r="G20" s="32">
        <v>3231</v>
      </c>
      <c r="H20" s="32">
        <v>1319</v>
      </c>
      <c r="I20" s="32">
        <v>0</v>
      </c>
      <c r="J20" s="32">
        <v>184948</v>
      </c>
      <c r="K20" s="32">
        <v>0</v>
      </c>
      <c r="L2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1.7464424320827943E-2</v>
      </c>
      <c r="M20" s="32">
        <v>81</v>
      </c>
      <c r="N20" s="32">
        <v>0</v>
      </c>
      <c r="O20" s="32">
        <v>3962</v>
      </c>
      <c r="P20" s="32">
        <v>676</v>
      </c>
      <c r="Q2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4.2149631190727084E-4</v>
      </c>
      <c r="R20" s="32">
        <v>2</v>
      </c>
      <c r="S20" s="32">
        <v>0</v>
      </c>
      <c r="T20" s="32">
        <v>0</v>
      </c>
      <c r="U20" s="32">
        <v>3962</v>
      </c>
      <c r="V20" s="32">
        <v>4</v>
      </c>
      <c r="W20" s="32">
        <v>676</v>
      </c>
      <c r="X20" s="32">
        <v>103</v>
      </c>
      <c r="Y2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0.79389882561584879</v>
      </c>
      <c r="Z20" s="32">
        <v>0</v>
      </c>
      <c r="AA20" s="32">
        <v>148083</v>
      </c>
      <c r="AB20" s="32">
        <v>1253</v>
      </c>
      <c r="AC20" s="32">
        <v>0</v>
      </c>
      <c r="AD20" s="32">
        <v>0</v>
      </c>
      <c r="AE20" s="32">
        <v>184948</v>
      </c>
      <c r="AF20" s="32">
        <v>0</v>
      </c>
      <c r="AG2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2.0268339155287394</v>
      </c>
      <c r="AH20" s="32">
        <v>13717</v>
      </c>
      <c r="AI20" s="32">
        <v>1054</v>
      </c>
      <c r="AJ20" s="32">
        <v>155</v>
      </c>
      <c r="AK20" s="32">
        <v>0</v>
      </c>
      <c r="AL20" s="32">
        <v>104</v>
      </c>
      <c r="AM20" s="32">
        <v>3231</v>
      </c>
      <c r="AN20" s="32">
        <v>3384</v>
      </c>
      <c r="AO20" s="32">
        <v>-1319</v>
      </c>
      <c r="AP20" s="32">
        <v>-4979</v>
      </c>
      <c r="AQ2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3.3591620393740533</v>
      </c>
      <c r="AR20" s="32">
        <v>4605</v>
      </c>
      <c r="AS20" s="32">
        <v>1584</v>
      </c>
      <c r="AT20" s="32">
        <v>2319</v>
      </c>
      <c r="AU20" s="32">
        <v>1132</v>
      </c>
      <c r="AV20" s="32">
        <v>0</v>
      </c>
      <c r="AW20" s="32">
        <v>3231</v>
      </c>
      <c r="AX20" s="32">
        <v>237</v>
      </c>
      <c r="AY20" s="32">
        <v>115</v>
      </c>
      <c r="AZ20" s="32">
        <v>0</v>
      </c>
      <c r="BA20" s="32">
        <v>0</v>
      </c>
      <c r="BB20" s="32">
        <v>86</v>
      </c>
      <c r="BC20" s="32">
        <v>3962</v>
      </c>
      <c r="BD20" s="34">
        <f>IFERROR(SUM(Entity_Metrics[[#This Row],[Operating surplus/(deficit) (social housing lettings)]])/SUM(Entity_Metrics[[#This Row],[Turnover from social housing lettings]]),"")</f>
        <v>0.47175130027395085</v>
      </c>
      <c r="BE20" s="32">
        <v>11882</v>
      </c>
      <c r="BF20" s="32">
        <v>25187</v>
      </c>
      <c r="BG20" s="34">
        <f>IFERROR(SUM(Entity_Metrics[[#This Row],[Operating surplus/(deficit) (overall)2]],-Entity_Metrics[[#This Row],[Gain/(loss) on disposal of fixed assets (housing properties)2]])/SUM(Entity_Metrics[[#This Row],[Turnover (overall)]]),"")</f>
        <v>0.45581512544544833</v>
      </c>
      <c r="BH20" s="32">
        <v>13717</v>
      </c>
      <c r="BI20" s="32">
        <v>1054</v>
      </c>
      <c r="BJ20" s="32">
        <v>27781</v>
      </c>
      <c r="BK20" s="34">
        <f>IFERROR(SUM(Entity_Metrics[[#This Row],[Operating surplus/(deficit) (overall)3]],Entity_Metrics[[#This Row],[Share of operating surplus/(deficit) in joint ventures or associates]])/SUM(Entity_Metrics[[#This Row],[Total assets less current liabilities]]),"")</f>
        <v>6.5214704092499617E-2</v>
      </c>
      <c r="BL20" s="32">
        <v>13717</v>
      </c>
      <c r="BM20" s="32">
        <v>0</v>
      </c>
      <c r="BN20" s="32">
        <v>210336</v>
      </c>
      <c r="BO20" s="34">
        <v>0</v>
      </c>
      <c r="BP20" s="34">
        <v>7.9478660874009704E-2</v>
      </c>
      <c r="BQ20" s="6" t="s">
        <v>93</v>
      </c>
      <c r="BR20" s="6">
        <v>2006</v>
      </c>
      <c r="BS20" s="6" t="s">
        <v>94</v>
      </c>
      <c r="BT20" s="6" t="s">
        <v>100</v>
      </c>
      <c r="BU20" s="8">
        <v>1.0022399874355168</v>
      </c>
      <c r="BV20" s="37" t="s">
        <v>591</v>
      </c>
      <c r="BW20" s="19" t="s">
        <v>117</v>
      </c>
    </row>
    <row r="21" spans="1:75" x14ac:dyDescent="0.25">
      <c r="A21" s="33" t="s">
        <v>592</v>
      </c>
      <c r="B21" s="7" t="s">
        <v>593</v>
      </c>
      <c r="C21" s="7" t="s">
        <v>81</v>
      </c>
      <c r="D2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1.7142254338308983E-3</v>
      </c>
      <c r="E21" s="32">
        <v>32</v>
      </c>
      <c r="F21" s="32">
        <v>0</v>
      </c>
      <c r="G21" s="32">
        <v>33</v>
      </c>
      <c r="H21" s="32">
        <v>0</v>
      </c>
      <c r="I21" s="32">
        <v>0</v>
      </c>
      <c r="J21" s="32">
        <v>37918</v>
      </c>
      <c r="K21" s="32">
        <v>0</v>
      </c>
      <c r="L2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1" s="32">
        <v>0</v>
      </c>
      <c r="N21" s="32">
        <v>0</v>
      </c>
      <c r="O21" s="32">
        <v>855</v>
      </c>
      <c r="P21" s="32">
        <v>263</v>
      </c>
      <c r="Q2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 s="32">
        <v>0</v>
      </c>
      <c r="S21" s="32">
        <v>0</v>
      </c>
      <c r="T21" s="32">
        <v>0</v>
      </c>
      <c r="U21" s="32">
        <v>855</v>
      </c>
      <c r="V21" s="32">
        <v>0</v>
      </c>
      <c r="W21" s="32">
        <v>263</v>
      </c>
      <c r="X21" s="32">
        <v>0</v>
      </c>
      <c r="Y2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0.34943826151168311</v>
      </c>
      <c r="Z21" s="32">
        <v>793</v>
      </c>
      <c r="AA21" s="32">
        <v>16975</v>
      </c>
      <c r="AB21" s="32">
        <v>4518</v>
      </c>
      <c r="AC21" s="32">
        <v>0</v>
      </c>
      <c r="AD21" s="32">
        <v>0</v>
      </c>
      <c r="AE21" s="32">
        <v>37918</v>
      </c>
      <c r="AF21" s="32">
        <v>0</v>
      </c>
      <c r="AG2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1.9358974358974359</v>
      </c>
      <c r="AH21" s="32">
        <v>1867</v>
      </c>
      <c r="AI21" s="32">
        <v>219</v>
      </c>
      <c r="AJ21" s="32">
        <v>196</v>
      </c>
      <c r="AK21" s="32">
        <v>0</v>
      </c>
      <c r="AL21" s="32">
        <v>10</v>
      </c>
      <c r="AM21" s="32">
        <v>33</v>
      </c>
      <c r="AN21" s="32">
        <v>383</v>
      </c>
      <c r="AO21" s="32">
        <v>0</v>
      </c>
      <c r="AP21" s="32">
        <v>-936</v>
      </c>
      <c r="AQ2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1.5064710957722174</v>
      </c>
      <c r="AR21" s="32">
        <v>550</v>
      </c>
      <c r="AS21" s="32">
        <v>728</v>
      </c>
      <c r="AT21" s="32">
        <v>235</v>
      </c>
      <c r="AU21" s="32">
        <v>151</v>
      </c>
      <c r="AV21" s="32">
        <v>7</v>
      </c>
      <c r="AW21" s="32">
        <v>33</v>
      </c>
      <c r="AX21" s="32">
        <v>42</v>
      </c>
      <c r="AY21" s="32">
        <v>0</v>
      </c>
      <c r="AZ21" s="32">
        <v>0</v>
      </c>
      <c r="BA21" s="32">
        <v>0</v>
      </c>
      <c r="BB21" s="32">
        <v>0</v>
      </c>
      <c r="BC21" s="32">
        <v>1159</v>
      </c>
      <c r="BD21" s="34">
        <f>IFERROR(SUM(Entity_Metrics[[#This Row],[Operating surplus/(deficit) (social housing lettings)]])/SUM(Entity_Metrics[[#This Row],[Turnover from social housing lettings]]),"")</f>
        <v>0.43504203959858961</v>
      </c>
      <c r="BE21" s="32">
        <v>1604</v>
      </c>
      <c r="BF21" s="32">
        <v>3687</v>
      </c>
      <c r="BG21" s="34">
        <f>IFERROR(SUM(Entity_Metrics[[#This Row],[Operating surplus/(deficit) (overall)2]],-Entity_Metrics[[#This Row],[Gain/(loss) on disposal of fixed assets (housing properties)2]])/SUM(Entity_Metrics[[#This Row],[Turnover (overall)]]),"")</f>
        <v>0.438414471934025</v>
      </c>
      <c r="BH21" s="32">
        <v>1867</v>
      </c>
      <c r="BI21" s="32">
        <v>219</v>
      </c>
      <c r="BJ21" s="32">
        <v>3759</v>
      </c>
      <c r="BK21" s="34">
        <f>IFERROR(SUM(Entity_Metrics[[#This Row],[Operating surplus/(deficit) (overall)3]],Entity_Metrics[[#This Row],[Share of operating surplus/(deficit) in joint ventures or associates]])/SUM(Entity_Metrics[[#This Row],[Total assets less current liabilities]]),"")</f>
        <v>4.603170689612663E-2</v>
      </c>
      <c r="BL21" s="32">
        <v>1867</v>
      </c>
      <c r="BM21" s="32">
        <v>0</v>
      </c>
      <c r="BN21" s="32">
        <v>40559</v>
      </c>
      <c r="BO21" s="34">
        <v>0</v>
      </c>
      <c r="BP21" s="34">
        <v>0.24327485380116959</v>
      </c>
      <c r="BQ21" s="6" t="s">
        <v>82</v>
      </c>
      <c r="BR21" s="6" t="s">
        <v>83</v>
      </c>
      <c r="BS21" s="6" t="s">
        <v>83</v>
      </c>
      <c r="BT21" s="6" t="s">
        <v>105</v>
      </c>
      <c r="BU21" s="8">
        <v>0.9156653862445665</v>
      </c>
      <c r="BV21" s="37" t="s">
        <v>577</v>
      </c>
      <c r="BW21" s="19" t="s">
        <v>278</v>
      </c>
    </row>
    <row r="22" spans="1:75" x14ac:dyDescent="0.25">
      <c r="A22" s="33" t="s">
        <v>903</v>
      </c>
      <c r="B22" s="7" t="s">
        <v>119</v>
      </c>
      <c r="C22" s="7" t="s">
        <v>81</v>
      </c>
      <c r="D2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4.1698516957520811E-2</v>
      </c>
      <c r="E22" s="32">
        <v>6768</v>
      </c>
      <c r="F22" s="32">
        <v>2635</v>
      </c>
      <c r="G22" s="32">
        <v>8374</v>
      </c>
      <c r="H22" s="32">
        <v>170</v>
      </c>
      <c r="I22" s="32">
        <v>0</v>
      </c>
      <c r="J22" s="32">
        <v>430399</v>
      </c>
      <c r="K22" s="32">
        <v>0</v>
      </c>
      <c r="L2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9.2853703831075034E-3</v>
      </c>
      <c r="M22" s="32">
        <v>135</v>
      </c>
      <c r="N22" s="32">
        <v>0</v>
      </c>
      <c r="O22" s="32">
        <v>13611</v>
      </c>
      <c r="P22" s="32">
        <v>928</v>
      </c>
      <c r="Q2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 s="32">
        <v>0</v>
      </c>
      <c r="S22" s="32">
        <v>0</v>
      </c>
      <c r="T22" s="32">
        <v>0</v>
      </c>
      <c r="U22" s="32">
        <v>13611</v>
      </c>
      <c r="V22" s="32">
        <v>11</v>
      </c>
      <c r="W22" s="32">
        <v>928</v>
      </c>
      <c r="X22" s="32">
        <v>0</v>
      </c>
      <c r="Y2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0.28263076819416399</v>
      </c>
      <c r="Z22" s="32">
        <v>2167</v>
      </c>
      <c r="AA22" s="32">
        <v>146959</v>
      </c>
      <c r="AB22" s="32">
        <v>27482</v>
      </c>
      <c r="AC22" s="32">
        <v>0</v>
      </c>
      <c r="AD22" s="32">
        <v>0</v>
      </c>
      <c r="AE22" s="32">
        <v>430399</v>
      </c>
      <c r="AF22" s="32">
        <v>0</v>
      </c>
      <c r="AG2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1.8723918295629256</v>
      </c>
      <c r="AH22" s="32">
        <v>20142</v>
      </c>
      <c r="AI22" s="32">
        <v>1349</v>
      </c>
      <c r="AJ22" s="32">
        <v>5271</v>
      </c>
      <c r="AK22" s="32">
        <v>0</v>
      </c>
      <c r="AL22" s="32">
        <v>157</v>
      </c>
      <c r="AM22" s="32">
        <v>8374</v>
      </c>
      <c r="AN22" s="32">
        <v>11745</v>
      </c>
      <c r="AO22" s="32">
        <v>-170</v>
      </c>
      <c r="AP22" s="32">
        <v>-8936</v>
      </c>
      <c r="AQ2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3.4003930417060921</v>
      </c>
      <c r="AR22" s="32">
        <v>8944</v>
      </c>
      <c r="AS22" s="32">
        <v>4553</v>
      </c>
      <c r="AT22" s="32">
        <v>8584</v>
      </c>
      <c r="AU22" s="32">
        <v>4703</v>
      </c>
      <c r="AV22" s="32">
        <v>6249</v>
      </c>
      <c r="AW22" s="32">
        <v>8374</v>
      </c>
      <c r="AX22" s="32">
        <v>3615</v>
      </c>
      <c r="AY22" s="32">
        <v>1256</v>
      </c>
      <c r="AZ22" s="32">
        <v>113</v>
      </c>
      <c r="BA22" s="32">
        <v>220</v>
      </c>
      <c r="BB22" s="32">
        <v>107</v>
      </c>
      <c r="BC22" s="32">
        <v>13739</v>
      </c>
      <c r="BD22" s="34">
        <f>IFERROR(SUM(Entity_Metrics[[#This Row],[Operating surplus/(deficit) (social housing lettings)]])/SUM(Entity_Metrics[[#This Row],[Turnover from social housing lettings]]),"")</f>
        <v>0.28727406860936922</v>
      </c>
      <c r="BE22" s="32">
        <v>19470</v>
      </c>
      <c r="BF22" s="32">
        <v>67775</v>
      </c>
      <c r="BG22" s="34">
        <f>IFERROR(SUM(Entity_Metrics[[#This Row],[Operating surplus/(deficit) (overall)2]],-Entity_Metrics[[#This Row],[Gain/(loss) on disposal of fixed assets (housing properties)2]])/SUM(Entity_Metrics[[#This Row],[Turnover (overall)]]),"")</f>
        <v>0.26469386892773139</v>
      </c>
      <c r="BH22" s="32">
        <v>20142</v>
      </c>
      <c r="BI22" s="32">
        <v>1349</v>
      </c>
      <c r="BJ22" s="32">
        <v>70999</v>
      </c>
      <c r="BK22" s="34">
        <f>IFERROR(SUM(Entity_Metrics[[#This Row],[Operating surplus/(deficit) (overall)3]],Entity_Metrics[[#This Row],[Share of operating surplus/(deficit) in joint ventures or associates]])/SUM(Entity_Metrics[[#This Row],[Total assets less current liabilities]]),"")</f>
        <v>4.0055284326495709E-2</v>
      </c>
      <c r="BL22" s="32">
        <v>20142</v>
      </c>
      <c r="BM22" s="32">
        <v>0</v>
      </c>
      <c r="BN22" s="32">
        <v>502855</v>
      </c>
      <c r="BO22" s="34">
        <v>3.5779883917419736E-2</v>
      </c>
      <c r="BP22" s="34">
        <v>0.16501359194768936</v>
      </c>
      <c r="BQ22" s="6" t="s">
        <v>93</v>
      </c>
      <c r="BR22" s="6">
        <v>2008</v>
      </c>
      <c r="BS22" s="6" t="s">
        <v>120</v>
      </c>
      <c r="BT22" s="6" t="s">
        <v>121</v>
      </c>
      <c r="BU22" s="8">
        <v>0.9026647648742484</v>
      </c>
      <c r="BV22" s="37">
        <v>4868</v>
      </c>
      <c r="BW22" s="19" t="s">
        <v>119</v>
      </c>
    </row>
    <row r="23" spans="1:75" x14ac:dyDescent="0.25">
      <c r="A23" s="33" t="s">
        <v>122</v>
      </c>
      <c r="B23" s="7" t="s">
        <v>123</v>
      </c>
      <c r="C23" s="7" t="s">
        <v>81</v>
      </c>
      <c r="D2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0.10011563890494984</v>
      </c>
      <c r="E23" s="32">
        <v>2971</v>
      </c>
      <c r="F23" s="32">
        <v>1802</v>
      </c>
      <c r="G23" s="32">
        <v>3140</v>
      </c>
      <c r="H23" s="32">
        <v>52</v>
      </c>
      <c r="I23" s="32">
        <v>0</v>
      </c>
      <c r="J23" s="32">
        <v>79558</v>
      </c>
      <c r="K23" s="32">
        <v>0</v>
      </c>
      <c r="L2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1.9502353732347006E-2</v>
      </c>
      <c r="M23" s="32">
        <v>87</v>
      </c>
      <c r="N23" s="32">
        <v>0</v>
      </c>
      <c r="O23" s="32">
        <v>4461</v>
      </c>
      <c r="P23" s="32">
        <v>0</v>
      </c>
      <c r="Q2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 s="32">
        <v>0</v>
      </c>
      <c r="S23" s="32">
        <v>0</v>
      </c>
      <c r="T23" s="32">
        <v>0</v>
      </c>
      <c r="U23" s="32">
        <v>4461</v>
      </c>
      <c r="V23" s="32">
        <v>0</v>
      </c>
      <c r="W23" s="32">
        <v>0</v>
      </c>
      <c r="X23" s="32">
        <v>191</v>
      </c>
      <c r="Y2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0.52047562784383716</v>
      </c>
      <c r="Z23" s="32">
        <v>0</v>
      </c>
      <c r="AA23" s="32">
        <v>45723</v>
      </c>
      <c r="AB23" s="32">
        <v>4315</v>
      </c>
      <c r="AC23" s="32">
        <v>0</v>
      </c>
      <c r="AD23" s="32">
        <v>0</v>
      </c>
      <c r="AE23" s="32">
        <v>79558</v>
      </c>
      <c r="AF23" s="32">
        <v>0</v>
      </c>
      <c r="AG2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1.4104618284637134</v>
      </c>
      <c r="AH23" s="32">
        <v>3511</v>
      </c>
      <c r="AI23" s="32">
        <v>902</v>
      </c>
      <c r="AJ23" s="32">
        <v>75</v>
      </c>
      <c r="AK23" s="32">
        <v>0</v>
      </c>
      <c r="AL23" s="32">
        <v>12</v>
      </c>
      <c r="AM23" s="32">
        <v>3140</v>
      </c>
      <c r="AN23" s="32">
        <v>3587</v>
      </c>
      <c r="AO23" s="32">
        <v>-52</v>
      </c>
      <c r="AP23" s="32">
        <v>-2070</v>
      </c>
      <c r="AQ2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3.9150414705223042</v>
      </c>
      <c r="AR23" s="32">
        <v>3790</v>
      </c>
      <c r="AS23" s="32">
        <v>406</v>
      </c>
      <c r="AT23" s="32">
        <v>3329</v>
      </c>
      <c r="AU23" s="32">
        <v>1717</v>
      </c>
      <c r="AV23" s="32">
        <v>2981</v>
      </c>
      <c r="AW23" s="32">
        <v>3140</v>
      </c>
      <c r="AX23" s="32">
        <v>889</v>
      </c>
      <c r="AY23" s="32">
        <v>0</v>
      </c>
      <c r="AZ23" s="32">
        <v>0</v>
      </c>
      <c r="BA23" s="32">
        <v>163</v>
      </c>
      <c r="BB23" s="32">
        <v>1050</v>
      </c>
      <c r="BC23" s="32">
        <v>4461</v>
      </c>
      <c r="BD23" s="34">
        <f>IFERROR(SUM(Entity_Metrics[[#This Row],[Operating surplus/(deficit) (social housing lettings)]])/SUM(Entity_Metrics[[#This Row],[Turnover from social housing lettings]]),"")</f>
        <v>0.14560255551548251</v>
      </c>
      <c r="BE23" s="32">
        <v>2826</v>
      </c>
      <c r="BF23" s="32">
        <v>19409</v>
      </c>
      <c r="BG23" s="34">
        <f>IFERROR(SUM(Entity_Metrics[[#This Row],[Operating surplus/(deficit) (overall)2]],-Entity_Metrics[[#This Row],[Gain/(loss) on disposal of fixed assets (housing properties)2]])/SUM(Entity_Metrics[[#This Row],[Turnover (overall)]]),"")</f>
        <v>0.12367859682389191</v>
      </c>
      <c r="BH23" s="32">
        <v>3511</v>
      </c>
      <c r="BI23" s="32">
        <v>902</v>
      </c>
      <c r="BJ23" s="32">
        <v>21095</v>
      </c>
      <c r="BK23" s="34">
        <f>IFERROR(SUM(Entity_Metrics[[#This Row],[Operating surplus/(deficit) (overall)3]],Entity_Metrics[[#This Row],[Share of operating surplus/(deficit) in joint ventures or associates]])/SUM(Entity_Metrics[[#This Row],[Total assets less current liabilities]]),"")</f>
        <v>4.0701583547796245E-2</v>
      </c>
      <c r="BL23" s="32">
        <v>3511</v>
      </c>
      <c r="BM23" s="32">
        <v>0</v>
      </c>
      <c r="BN23" s="32">
        <v>86262</v>
      </c>
      <c r="BO23" s="34">
        <v>0</v>
      </c>
      <c r="BP23" s="34">
        <v>4.595382201300157E-2</v>
      </c>
      <c r="BQ23" s="6" t="s">
        <v>93</v>
      </c>
      <c r="BR23" s="6">
        <v>2003</v>
      </c>
      <c r="BS23" s="6" t="s">
        <v>94</v>
      </c>
      <c r="BT23" s="6" t="s">
        <v>108</v>
      </c>
      <c r="BU23" s="8">
        <v>0.94807909763407583</v>
      </c>
      <c r="BV23" s="37" t="s">
        <v>122</v>
      </c>
      <c r="BW23" s="19" t="s">
        <v>123</v>
      </c>
    </row>
    <row r="24" spans="1:75" x14ac:dyDescent="0.25">
      <c r="A24" s="33" t="s">
        <v>594</v>
      </c>
      <c r="B24" s="7" t="s">
        <v>125</v>
      </c>
      <c r="C24" s="7" t="s">
        <v>81</v>
      </c>
      <c r="D2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5.4881035238316188E-2</v>
      </c>
      <c r="E24" s="32">
        <v>5347</v>
      </c>
      <c r="F24" s="32">
        <v>423</v>
      </c>
      <c r="G24" s="32">
        <v>571</v>
      </c>
      <c r="H24" s="32">
        <v>46</v>
      </c>
      <c r="I24" s="32">
        <v>0</v>
      </c>
      <c r="J24" s="32">
        <v>116379</v>
      </c>
      <c r="K24" s="32">
        <v>0</v>
      </c>
      <c r="L2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1.875293014533521E-3</v>
      </c>
      <c r="M24" s="32">
        <v>4</v>
      </c>
      <c r="N24" s="32">
        <v>0</v>
      </c>
      <c r="O24" s="32">
        <v>2114</v>
      </c>
      <c r="P24" s="32">
        <v>19</v>
      </c>
      <c r="Q2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 s="32">
        <v>0</v>
      </c>
      <c r="S24" s="32">
        <v>0</v>
      </c>
      <c r="T24" s="32">
        <v>0</v>
      </c>
      <c r="U24" s="32">
        <v>2114</v>
      </c>
      <c r="V24" s="32">
        <v>0</v>
      </c>
      <c r="W24" s="32">
        <v>19</v>
      </c>
      <c r="X24" s="32">
        <v>0</v>
      </c>
      <c r="Y2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0.38317909588499643</v>
      </c>
      <c r="Z24" s="32">
        <v>2575</v>
      </c>
      <c r="AA24" s="32">
        <v>43369</v>
      </c>
      <c r="AB24" s="32">
        <v>1350</v>
      </c>
      <c r="AC24" s="32">
        <v>0</v>
      </c>
      <c r="AD24" s="32">
        <v>0</v>
      </c>
      <c r="AE24" s="32">
        <v>116379</v>
      </c>
      <c r="AF24" s="32">
        <v>0</v>
      </c>
      <c r="AG2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3.2558823529411764</v>
      </c>
      <c r="AH24" s="32">
        <v>4117</v>
      </c>
      <c r="AI24" s="32">
        <v>322</v>
      </c>
      <c r="AJ24" s="32">
        <v>510</v>
      </c>
      <c r="AK24" s="32">
        <v>0</v>
      </c>
      <c r="AL24" s="32">
        <v>2</v>
      </c>
      <c r="AM24" s="32">
        <v>571</v>
      </c>
      <c r="AN24" s="32">
        <v>1712</v>
      </c>
      <c r="AO24" s="32">
        <v>-46</v>
      </c>
      <c r="AP24" s="32">
        <v>-1314</v>
      </c>
      <c r="AQ2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4.5198675496688745</v>
      </c>
      <c r="AR24" s="32">
        <v>1542</v>
      </c>
      <c r="AS24" s="32">
        <v>1083</v>
      </c>
      <c r="AT24" s="32">
        <v>1860</v>
      </c>
      <c r="AU24" s="32">
        <v>195</v>
      </c>
      <c r="AV24" s="32">
        <v>0</v>
      </c>
      <c r="AW24" s="32">
        <v>571</v>
      </c>
      <c r="AX24" s="32">
        <v>0</v>
      </c>
      <c r="AY24" s="32">
        <v>0</v>
      </c>
      <c r="AZ24" s="32">
        <v>0</v>
      </c>
      <c r="BA24" s="32">
        <v>3142</v>
      </c>
      <c r="BB24" s="32">
        <v>1162</v>
      </c>
      <c r="BC24" s="32">
        <v>2114</v>
      </c>
      <c r="BD24" s="34">
        <f>IFERROR(SUM(Entity_Metrics[[#This Row],[Operating surplus/(deficit) (social housing lettings)]])/SUM(Entity_Metrics[[#This Row],[Turnover from social housing lettings]]),"")</f>
        <v>0.41276798475464505</v>
      </c>
      <c r="BE24" s="32">
        <v>4332</v>
      </c>
      <c r="BF24" s="32">
        <v>10495</v>
      </c>
      <c r="BG24" s="34">
        <f>IFERROR(SUM(Entity_Metrics[[#This Row],[Operating surplus/(deficit) (overall)2]],-Entity_Metrics[[#This Row],[Gain/(loss) on disposal of fixed assets (housing properties)2]])/SUM(Entity_Metrics[[#This Row],[Turnover (overall)]]),"")</f>
        <v>0.22764081338851899</v>
      </c>
      <c r="BH24" s="32">
        <v>4117</v>
      </c>
      <c r="BI24" s="32">
        <v>322</v>
      </c>
      <c r="BJ24" s="32">
        <v>16671</v>
      </c>
      <c r="BK24" s="34">
        <f>IFERROR(SUM(Entity_Metrics[[#This Row],[Operating surplus/(deficit) (overall)3]],Entity_Metrics[[#This Row],[Share of operating surplus/(deficit) in joint ventures or associates]])/SUM(Entity_Metrics[[#This Row],[Total assets less current liabilities]]),"")</f>
        <v>3.461263609231157E-2</v>
      </c>
      <c r="BL24" s="32">
        <v>4117</v>
      </c>
      <c r="BM24" s="32">
        <v>0</v>
      </c>
      <c r="BN24" s="32">
        <v>118945</v>
      </c>
      <c r="BO24" s="34">
        <v>4.2573320719016081E-2</v>
      </c>
      <c r="BP24" s="34">
        <v>0.10832544938505204</v>
      </c>
      <c r="BQ24" s="6" t="s">
        <v>82</v>
      </c>
      <c r="BR24" s="6" t="s">
        <v>83</v>
      </c>
      <c r="BS24" s="6" t="s">
        <v>83</v>
      </c>
      <c r="BT24" s="6" t="s">
        <v>90</v>
      </c>
      <c r="BU24" s="8">
        <v>0.91571558169387279</v>
      </c>
      <c r="BV24" s="37" t="s">
        <v>594</v>
      </c>
      <c r="BW24" s="19" t="s">
        <v>125</v>
      </c>
    </row>
    <row r="25" spans="1:75" x14ac:dyDescent="0.25">
      <c r="A25" s="33" t="s">
        <v>904</v>
      </c>
      <c r="B25" s="7" t="s">
        <v>127</v>
      </c>
      <c r="C25" s="7" t="s">
        <v>81</v>
      </c>
      <c r="D2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0.16311771173710374</v>
      </c>
      <c r="E25" s="32">
        <v>15325</v>
      </c>
      <c r="F25" s="32">
        <v>5741</v>
      </c>
      <c r="G25" s="32">
        <v>0</v>
      </c>
      <c r="H25" s="32">
        <v>0</v>
      </c>
      <c r="I25" s="32">
        <v>0</v>
      </c>
      <c r="J25" s="32">
        <v>129146</v>
      </c>
      <c r="K25" s="32">
        <v>0</v>
      </c>
      <c r="L2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1.2484394506866417E-3</v>
      </c>
      <c r="M25" s="32">
        <v>22</v>
      </c>
      <c r="N25" s="32">
        <v>0</v>
      </c>
      <c r="O25" s="32">
        <v>17622</v>
      </c>
      <c r="P25" s="32">
        <v>0</v>
      </c>
      <c r="Q2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5" s="32">
        <v>0</v>
      </c>
      <c r="S25" s="32">
        <v>0</v>
      </c>
      <c r="T25" s="32">
        <v>0</v>
      </c>
      <c r="U25" s="32">
        <v>17622</v>
      </c>
      <c r="V25" s="32">
        <v>0</v>
      </c>
      <c r="W25" s="32">
        <v>0</v>
      </c>
      <c r="X25" s="32">
        <v>0</v>
      </c>
      <c r="Y2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4.7032041255633157E-2</v>
      </c>
      <c r="Z25" s="32">
        <v>0</v>
      </c>
      <c r="AA25" s="32">
        <v>30000</v>
      </c>
      <c r="AB25" s="32">
        <v>23926</v>
      </c>
      <c r="AC25" s="32">
        <v>0</v>
      </c>
      <c r="AD25" s="32">
        <v>0</v>
      </c>
      <c r="AE25" s="32">
        <v>129146</v>
      </c>
      <c r="AF25" s="32">
        <v>0</v>
      </c>
      <c r="AG2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0.17603768030615249</v>
      </c>
      <c r="AH25" s="32">
        <v>14357</v>
      </c>
      <c r="AI25" s="32">
        <v>4456</v>
      </c>
      <c r="AJ25" s="32">
        <v>108</v>
      </c>
      <c r="AK25" s="32">
        <v>0</v>
      </c>
      <c r="AL25" s="32">
        <v>76</v>
      </c>
      <c r="AM25" s="32">
        <v>14443</v>
      </c>
      <c r="AN25" s="32">
        <v>5172</v>
      </c>
      <c r="AO25" s="32">
        <v>0</v>
      </c>
      <c r="AP25" s="32">
        <v>-3397</v>
      </c>
      <c r="AQ2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4.2547383951878333</v>
      </c>
      <c r="AR25" s="32">
        <v>28465</v>
      </c>
      <c r="AS25" s="32">
        <v>3440</v>
      </c>
      <c r="AT25" s="32">
        <v>15135</v>
      </c>
      <c r="AU25" s="32">
        <v>6237</v>
      </c>
      <c r="AV25" s="32">
        <v>0</v>
      </c>
      <c r="AW25" s="32">
        <v>14443</v>
      </c>
      <c r="AX25" s="32">
        <v>0</v>
      </c>
      <c r="AY25" s="32">
        <v>0</v>
      </c>
      <c r="AZ25" s="32">
        <v>0</v>
      </c>
      <c r="BA25" s="32">
        <v>4224</v>
      </c>
      <c r="BB25" s="32">
        <v>3033</v>
      </c>
      <c r="BC25" s="32">
        <v>17622</v>
      </c>
      <c r="BD25" s="34">
        <f>IFERROR(SUM(Entity_Metrics[[#This Row],[Operating surplus/(deficit) (social housing lettings)]])/SUM(Entity_Metrics[[#This Row],[Turnover from social housing lettings]]),"")</f>
        <v>0.20020811373280359</v>
      </c>
      <c r="BE25" s="32">
        <v>14815</v>
      </c>
      <c r="BF25" s="32">
        <v>73998</v>
      </c>
      <c r="BG25" s="34">
        <f>IFERROR(SUM(Entity_Metrics[[#This Row],[Operating surplus/(deficit) (overall)2]],-Entity_Metrics[[#This Row],[Gain/(loss) on disposal of fixed assets (housing properties)2]])/SUM(Entity_Metrics[[#This Row],[Turnover (overall)]]),"")</f>
        <v>0.12253106281867235</v>
      </c>
      <c r="BH25" s="32">
        <v>14357</v>
      </c>
      <c r="BI25" s="32">
        <v>4456</v>
      </c>
      <c r="BJ25" s="32">
        <v>80804</v>
      </c>
      <c r="BK25" s="34">
        <f>IFERROR(SUM(Entity_Metrics[[#This Row],[Operating surplus/(deficit) (overall)3]],Entity_Metrics[[#This Row],[Share of operating surplus/(deficit) in joint ventures or associates]])/SUM(Entity_Metrics[[#This Row],[Total assets less current liabilities]]),"")</f>
        <v>9.5841761293466582E-2</v>
      </c>
      <c r="BL25" s="32">
        <v>14357</v>
      </c>
      <c r="BM25" s="32">
        <v>0</v>
      </c>
      <c r="BN25" s="32">
        <v>149799</v>
      </c>
      <c r="BO25" s="34">
        <v>6.5259334922256268E-3</v>
      </c>
      <c r="BP25" s="34">
        <v>0.14487572352740893</v>
      </c>
      <c r="BQ25" s="6" t="s">
        <v>93</v>
      </c>
      <c r="BR25" s="6">
        <v>2011</v>
      </c>
      <c r="BS25" s="6" t="s">
        <v>120</v>
      </c>
      <c r="BT25" s="6" t="s">
        <v>105</v>
      </c>
      <c r="BU25" s="8">
        <v>0.9156653862445665</v>
      </c>
      <c r="BV25" s="37">
        <v>4568</v>
      </c>
      <c r="BW25" s="19" t="s">
        <v>127</v>
      </c>
    </row>
    <row r="26" spans="1:75" x14ac:dyDescent="0.25">
      <c r="A26" s="33" t="s">
        <v>595</v>
      </c>
      <c r="B26" s="7" t="s">
        <v>129</v>
      </c>
      <c r="C26" s="7" t="s">
        <v>81</v>
      </c>
      <c r="D2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0.11519727717962977</v>
      </c>
      <c r="E26" s="32">
        <v>14085</v>
      </c>
      <c r="F26" s="32">
        <v>0</v>
      </c>
      <c r="G26" s="32">
        <v>3109</v>
      </c>
      <c r="H26" s="32">
        <v>0</v>
      </c>
      <c r="I26" s="32">
        <v>0</v>
      </c>
      <c r="J26" s="32">
        <v>149257</v>
      </c>
      <c r="K26" s="32">
        <v>0</v>
      </c>
      <c r="L2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2.5810448069378485E-2</v>
      </c>
      <c r="M26" s="32">
        <v>125</v>
      </c>
      <c r="N26" s="32">
        <v>0</v>
      </c>
      <c r="O26" s="32">
        <v>4843</v>
      </c>
      <c r="P26" s="32">
        <v>0</v>
      </c>
      <c r="Q2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 s="32">
        <v>0</v>
      </c>
      <c r="S26" s="32">
        <v>0</v>
      </c>
      <c r="T26" s="32">
        <v>0</v>
      </c>
      <c r="U26" s="32">
        <v>4843</v>
      </c>
      <c r="V26" s="32">
        <v>11</v>
      </c>
      <c r="W26" s="32">
        <v>0</v>
      </c>
      <c r="X26" s="32">
        <v>144</v>
      </c>
      <c r="Y2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0.57723255860696654</v>
      </c>
      <c r="Z26" s="32">
        <v>0</v>
      </c>
      <c r="AA26" s="32">
        <v>91220</v>
      </c>
      <c r="AB26" s="32">
        <v>5064</v>
      </c>
      <c r="AC26" s="32">
        <v>0</v>
      </c>
      <c r="AD26" s="32">
        <v>0</v>
      </c>
      <c r="AE26" s="32">
        <v>149257</v>
      </c>
      <c r="AF26" s="32">
        <v>0</v>
      </c>
      <c r="AG2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1.5954452405322415</v>
      </c>
      <c r="AH26" s="32">
        <v>5905</v>
      </c>
      <c r="AI26" s="32">
        <v>380</v>
      </c>
      <c r="AJ26" s="32">
        <v>37</v>
      </c>
      <c r="AK26" s="32">
        <v>0</v>
      </c>
      <c r="AL26" s="32">
        <v>22</v>
      </c>
      <c r="AM26" s="32">
        <v>3109</v>
      </c>
      <c r="AN26" s="32">
        <v>3834</v>
      </c>
      <c r="AO26" s="32">
        <v>0</v>
      </c>
      <c r="AP26" s="32">
        <v>-3908</v>
      </c>
      <c r="AQ2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2.9905017551104689</v>
      </c>
      <c r="AR26" s="32">
        <v>6025</v>
      </c>
      <c r="AS26" s="32">
        <v>1285</v>
      </c>
      <c r="AT26" s="32">
        <v>1964</v>
      </c>
      <c r="AU26" s="32">
        <v>1340</v>
      </c>
      <c r="AV26" s="32">
        <v>699</v>
      </c>
      <c r="AW26" s="32">
        <v>3109</v>
      </c>
      <c r="AX26" s="32">
        <v>0</v>
      </c>
      <c r="AY26" s="32">
        <v>0</v>
      </c>
      <c r="AZ26" s="32">
        <v>0</v>
      </c>
      <c r="BA26" s="32">
        <v>0</v>
      </c>
      <c r="BB26" s="32">
        <v>61</v>
      </c>
      <c r="BC26" s="32">
        <v>4843</v>
      </c>
      <c r="BD26" s="34">
        <f>IFERROR(SUM(Entity_Metrics[[#This Row],[Operating surplus/(deficit) (social housing lettings)]])/SUM(Entity_Metrics[[#This Row],[Turnover from social housing lettings]]),"")</f>
        <v>0.25001225310003433</v>
      </c>
      <c r="BE26" s="32">
        <v>5101</v>
      </c>
      <c r="BF26" s="32">
        <v>20403</v>
      </c>
      <c r="BG26" s="34">
        <f>IFERROR(SUM(Entity_Metrics[[#This Row],[Operating surplus/(deficit) (overall)2]],-Entity_Metrics[[#This Row],[Gain/(loss) on disposal of fixed assets (housing properties)2]])/SUM(Entity_Metrics[[#This Row],[Turnover (overall)]]),"")</f>
        <v>0.25883069427527405</v>
      </c>
      <c r="BH26" s="32">
        <v>5905</v>
      </c>
      <c r="BI26" s="32">
        <v>380</v>
      </c>
      <c r="BJ26" s="32">
        <v>21346</v>
      </c>
      <c r="BK26" s="34">
        <f>IFERROR(SUM(Entity_Metrics[[#This Row],[Operating surplus/(deficit) (overall)3]],Entity_Metrics[[#This Row],[Share of operating surplus/(deficit) in joint ventures or associates]])/SUM(Entity_Metrics[[#This Row],[Total assets less current liabilities]]),"")</f>
        <v>3.7998712998712998E-2</v>
      </c>
      <c r="BL26" s="32">
        <v>5905</v>
      </c>
      <c r="BM26" s="32">
        <v>0</v>
      </c>
      <c r="BN26" s="32">
        <v>155400</v>
      </c>
      <c r="BO26" s="34">
        <v>4.2716787697565147E-3</v>
      </c>
      <c r="BP26" s="34">
        <v>0.18069201196070056</v>
      </c>
      <c r="BQ26" s="6" t="s">
        <v>93</v>
      </c>
      <c r="BR26" s="6">
        <v>1999</v>
      </c>
      <c r="BS26" s="6" t="s">
        <v>94</v>
      </c>
      <c r="BT26" s="6" t="s">
        <v>95</v>
      </c>
      <c r="BU26" s="8">
        <v>0.92038375847935383</v>
      </c>
      <c r="BV26" s="37" t="s">
        <v>595</v>
      </c>
      <c r="BW26" s="19" t="s">
        <v>129</v>
      </c>
    </row>
    <row r="27" spans="1:75" x14ac:dyDescent="0.25">
      <c r="A27" s="33" t="s">
        <v>596</v>
      </c>
      <c r="B27" s="7" t="s">
        <v>131</v>
      </c>
      <c r="C27" s="7" t="s">
        <v>81</v>
      </c>
      <c r="D2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6.8523686359923772E-2</v>
      </c>
      <c r="E27" s="32">
        <v>995</v>
      </c>
      <c r="F27" s="32">
        <v>0</v>
      </c>
      <c r="G27" s="32">
        <v>3032</v>
      </c>
      <c r="H27" s="32">
        <v>0</v>
      </c>
      <c r="I27" s="32">
        <v>0</v>
      </c>
      <c r="J27" s="32">
        <v>58768</v>
      </c>
      <c r="K27" s="32">
        <v>0</v>
      </c>
      <c r="L2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1.0480349344978166E-2</v>
      </c>
      <c r="M27" s="32">
        <v>12</v>
      </c>
      <c r="N27" s="32">
        <v>0</v>
      </c>
      <c r="O27" s="32">
        <v>1145</v>
      </c>
      <c r="P27" s="32">
        <v>0</v>
      </c>
      <c r="Q2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 s="32">
        <v>0</v>
      </c>
      <c r="S27" s="32">
        <v>0</v>
      </c>
      <c r="T27" s="32">
        <v>0</v>
      </c>
      <c r="U27" s="32">
        <v>1145</v>
      </c>
      <c r="V27" s="32">
        <v>0</v>
      </c>
      <c r="W27" s="32">
        <v>0</v>
      </c>
      <c r="X27" s="32">
        <v>0</v>
      </c>
      <c r="Y2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0.38274230873945003</v>
      </c>
      <c r="Z27" s="32">
        <v>5120</v>
      </c>
      <c r="AA27" s="32">
        <v>19113</v>
      </c>
      <c r="AB27" s="32">
        <v>1740</v>
      </c>
      <c r="AC27" s="32">
        <v>0</v>
      </c>
      <c r="AD27" s="32">
        <v>0</v>
      </c>
      <c r="AE27" s="32">
        <v>58768</v>
      </c>
      <c r="AF27" s="32">
        <v>0</v>
      </c>
      <c r="AG2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1.6326530612244898</v>
      </c>
      <c r="AH27" s="32">
        <v>1142</v>
      </c>
      <c r="AI27" s="32">
        <v>575</v>
      </c>
      <c r="AJ27" s="32">
        <v>405</v>
      </c>
      <c r="AK27" s="32">
        <v>0</v>
      </c>
      <c r="AL27" s="32">
        <v>24</v>
      </c>
      <c r="AM27" s="32">
        <v>73</v>
      </c>
      <c r="AN27" s="32">
        <v>1247</v>
      </c>
      <c r="AO27" s="32">
        <v>0</v>
      </c>
      <c r="AP27" s="32">
        <v>-833</v>
      </c>
      <c r="AQ2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8.1226357535082361</v>
      </c>
      <c r="AR27" s="32">
        <v>1581</v>
      </c>
      <c r="AS27" s="32">
        <v>1629</v>
      </c>
      <c r="AT27" s="32">
        <v>1126</v>
      </c>
      <c r="AU27" s="32">
        <v>392</v>
      </c>
      <c r="AV27" s="32">
        <v>508</v>
      </c>
      <c r="AW27" s="32">
        <v>73</v>
      </c>
      <c r="AX27" s="32">
        <v>3355</v>
      </c>
      <c r="AY27" s="32">
        <v>0</v>
      </c>
      <c r="AZ27" s="32">
        <v>0</v>
      </c>
      <c r="BA27" s="32">
        <v>0</v>
      </c>
      <c r="BB27" s="32">
        <v>4649</v>
      </c>
      <c r="BC27" s="32">
        <v>1639</v>
      </c>
      <c r="BD27" s="34">
        <f>IFERROR(SUM(Entity_Metrics[[#This Row],[Operating surplus/(deficit) (social housing lettings)]])/SUM(Entity_Metrics[[#This Row],[Turnover from social housing lettings]]),"")</f>
        <v>0.25526194499923183</v>
      </c>
      <c r="BE27" s="32">
        <v>3323</v>
      </c>
      <c r="BF27" s="32">
        <v>13018</v>
      </c>
      <c r="BG27" s="34">
        <f>IFERROR(SUM(Entity_Metrics[[#This Row],[Operating surplus/(deficit) (overall)2]],-Entity_Metrics[[#This Row],[Gain/(loss) on disposal of fixed assets (housing properties)2]])/SUM(Entity_Metrics[[#This Row],[Turnover (overall)]]),"")</f>
        <v>3.0446222413145034E-2</v>
      </c>
      <c r="BH27" s="32">
        <v>1142</v>
      </c>
      <c r="BI27" s="32">
        <v>575</v>
      </c>
      <c r="BJ27" s="32">
        <v>18623</v>
      </c>
      <c r="BK27" s="34">
        <f>IFERROR(SUM(Entity_Metrics[[#This Row],[Operating surplus/(deficit) (overall)3]],Entity_Metrics[[#This Row],[Share of operating surplus/(deficit) in joint ventures or associates]])/SUM(Entity_Metrics[[#This Row],[Total assets less current liabilities]]),"")</f>
        <v>1.9568197395476352E-2</v>
      </c>
      <c r="BL27" s="32">
        <v>1142</v>
      </c>
      <c r="BM27" s="32">
        <v>0</v>
      </c>
      <c r="BN27" s="32">
        <v>58360</v>
      </c>
      <c r="BO27" s="34">
        <v>0.50983899821109124</v>
      </c>
      <c r="BP27" s="34">
        <v>6.7978533094812166E-2</v>
      </c>
      <c r="BQ27" s="6" t="s">
        <v>82</v>
      </c>
      <c r="BR27" s="6" t="s">
        <v>83</v>
      </c>
      <c r="BS27" s="6" t="s">
        <v>83</v>
      </c>
      <c r="BT27" s="6" t="s">
        <v>115</v>
      </c>
      <c r="BU27" s="8">
        <v>0.96794635674343033</v>
      </c>
      <c r="BV27" s="37" t="s">
        <v>596</v>
      </c>
      <c r="BW27" s="19" t="s">
        <v>131</v>
      </c>
    </row>
    <row r="28" spans="1:75" x14ac:dyDescent="0.25">
      <c r="A28" s="33" t="s">
        <v>597</v>
      </c>
      <c r="B28" s="7" t="s">
        <v>133</v>
      </c>
      <c r="C28" s="7" t="s">
        <v>134</v>
      </c>
      <c r="D2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3.0468563549097081E-2</v>
      </c>
      <c r="E28" s="32">
        <v>1620</v>
      </c>
      <c r="F28" s="32">
        <v>370</v>
      </c>
      <c r="G28" s="32">
        <v>2606</v>
      </c>
      <c r="H28" s="32">
        <v>0</v>
      </c>
      <c r="I28" s="32">
        <v>0</v>
      </c>
      <c r="J28" s="32">
        <v>150844</v>
      </c>
      <c r="K28" s="32">
        <v>0</v>
      </c>
      <c r="L2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1.1799410029498525E-3</v>
      </c>
      <c r="M28" s="32">
        <v>4</v>
      </c>
      <c r="N28" s="32">
        <v>0</v>
      </c>
      <c r="O28" s="32">
        <v>3390</v>
      </c>
      <c r="P28" s="32">
        <v>0</v>
      </c>
      <c r="Q2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 s="32">
        <v>0</v>
      </c>
      <c r="S28" s="32">
        <v>0</v>
      </c>
      <c r="T28" s="32">
        <v>0</v>
      </c>
      <c r="U28" s="32">
        <v>3390</v>
      </c>
      <c r="V28" s="32">
        <v>58</v>
      </c>
      <c r="W28" s="32">
        <v>0</v>
      </c>
      <c r="X28" s="32">
        <v>0</v>
      </c>
      <c r="Y2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0.63467555885550631</v>
      </c>
      <c r="Z28" s="32">
        <v>3555</v>
      </c>
      <c r="AA28" s="32">
        <v>96567</v>
      </c>
      <c r="AB28" s="32">
        <v>4385</v>
      </c>
      <c r="AC28" s="32">
        <v>0</v>
      </c>
      <c r="AD28" s="32">
        <v>0</v>
      </c>
      <c r="AE28" s="32">
        <v>150844</v>
      </c>
      <c r="AF28" s="32">
        <v>0</v>
      </c>
      <c r="AG2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1.3927627566578573</v>
      </c>
      <c r="AH28" s="32">
        <v>6510</v>
      </c>
      <c r="AI28" s="32">
        <v>696</v>
      </c>
      <c r="AJ28" s="32">
        <v>318</v>
      </c>
      <c r="AK28" s="32">
        <v>0</v>
      </c>
      <c r="AL28" s="32">
        <v>346</v>
      </c>
      <c r="AM28" s="32">
        <v>2606</v>
      </c>
      <c r="AN28" s="32">
        <v>3615</v>
      </c>
      <c r="AO28" s="32">
        <v>0</v>
      </c>
      <c r="AP28" s="32">
        <v>-4919</v>
      </c>
      <c r="AQ2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4.0625160133230844</v>
      </c>
      <c r="AR28" s="32">
        <v>3411</v>
      </c>
      <c r="AS28" s="32">
        <v>3292</v>
      </c>
      <c r="AT28" s="32">
        <v>3447</v>
      </c>
      <c r="AU28" s="32">
        <v>1100</v>
      </c>
      <c r="AV28" s="32">
        <v>1021</v>
      </c>
      <c r="AW28" s="32">
        <v>2606</v>
      </c>
      <c r="AX28" s="32">
        <v>223</v>
      </c>
      <c r="AY28" s="32">
        <v>0</v>
      </c>
      <c r="AZ28" s="32">
        <v>0</v>
      </c>
      <c r="BA28" s="32">
        <v>756</v>
      </c>
      <c r="BB28" s="32">
        <v>0</v>
      </c>
      <c r="BC28" s="32">
        <v>3903</v>
      </c>
      <c r="BD28" s="34">
        <f>IFERROR(SUM(Entity_Metrics[[#This Row],[Operating surplus/(deficit) (social housing lettings)]])/SUM(Entity_Metrics[[#This Row],[Turnover from social housing lettings]]),"")</f>
        <v>0.28680226194819408</v>
      </c>
      <c r="BE28" s="32">
        <v>6289</v>
      </c>
      <c r="BF28" s="32">
        <v>21928</v>
      </c>
      <c r="BG28" s="34">
        <f>IFERROR(SUM(Entity_Metrics[[#This Row],[Operating surplus/(deficit) (overall)2]],-Entity_Metrics[[#This Row],[Gain/(loss) on disposal of fixed assets (housing properties)2]])/SUM(Entity_Metrics[[#This Row],[Turnover (overall)]]),"")</f>
        <v>0.21931346661637119</v>
      </c>
      <c r="BH28" s="32">
        <v>6510</v>
      </c>
      <c r="BI28" s="32">
        <v>696</v>
      </c>
      <c r="BJ28" s="32">
        <v>26510</v>
      </c>
      <c r="BK28" s="34">
        <f>IFERROR(SUM(Entity_Metrics[[#This Row],[Operating surplus/(deficit) (overall)3]],Entity_Metrics[[#This Row],[Share of operating surplus/(deficit) in joint ventures or associates]])/SUM(Entity_Metrics[[#This Row],[Total assets less current liabilities]]),"")</f>
        <v>3.6243381824862628E-2</v>
      </c>
      <c r="BL28" s="32">
        <v>6510</v>
      </c>
      <c r="BM28" s="32">
        <v>0</v>
      </c>
      <c r="BN28" s="32">
        <v>179619</v>
      </c>
      <c r="BO28" s="34">
        <v>2.6354319180087846E-3</v>
      </c>
      <c r="BP28" s="34">
        <v>7.6720351390922398E-2</v>
      </c>
      <c r="BQ28" s="6" t="s">
        <v>82</v>
      </c>
      <c r="BR28" s="6" t="s">
        <v>83</v>
      </c>
      <c r="BS28" s="6" t="s">
        <v>83</v>
      </c>
      <c r="BT28" s="6" t="s">
        <v>90</v>
      </c>
      <c r="BU28" s="8">
        <v>0.91571558169387279</v>
      </c>
      <c r="BV28" s="37" t="s">
        <v>597</v>
      </c>
      <c r="BW28" s="19" t="s">
        <v>133</v>
      </c>
    </row>
    <row r="29" spans="1:75" x14ac:dyDescent="0.25">
      <c r="A29" s="33" t="s">
        <v>598</v>
      </c>
      <c r="B29" s="7" t="s">
        <v>136</v>
      </c>
      <c r="C29" s="7" t="s">
        <v>81</v>
      </c>
      <c r="D2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9.483571399291206E-2</v>
      </c>
      <c r="E29" s="32">
        <v>87789</v>
      </c>
      <c r="F29" s="32">
        <v>0</v>
      </c>
      <c r="G29" s="32">
        <v>11822</v>
      </c>
      <c r="H29" s="32">
        <v>2183</v>
      </c>
      <c r="I29" s="32">
        <v>0</v>
      </c>
      <c r="J29" s="32">
        <v>1073372</v>
      </c>
      <c r="K29" s="32">
        <v>0</v>
      </c>
      <c r="L2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2.4561189663578741E-2</v>
      </c>
      <c r="M29" s="32">
        <v>385</v>
      </c>
      <c r="N29" s="32">
        <v>18</v>
      </c>
      <c r="O29" s="32">
        <v>15695</v>
      </c>
      <c r="P29" s="32">
        <v>713</v>
      </c>
      <c r="Q2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9" s="32">
        <v>0</v>
      </c>
      <c r="S29" s="32">
        <v>0</v>
      </c>
      <c r="T29" s="32">
        <v>0</v>
      </c>
      <c r="U29" s="32">
        <v>15695</v>
      </c>
      <c r="V29" s="32">
        <v>808</v>
      </c>
      <c r="W29" s="32">
        <v>713</v>
      </c>
      <c r="X29" s="32">
        <v>0</v>
      </c>
      <c r="Y2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0.67324096399011712</v>
      </c>
      <c r="Z29" s="32">
        <v>7500</v>
      </c>
      <c r="AA29" s="32">
        <v>532120</v>
      </c>
      <c r="AB29" s="32">
        <v>16982</v>
      </c>
      <c r="AC29" s="32">
        <v>200000</v>
      </c>
      <c r="AD29" s="32">
        <v>0</v>
      </c>
      <c r="AE29" s="32">
        <v>1073372</v>
      </c>
      <c r="AF29" s="32">
        <v>0</v>
      </c>
      <c r="AG2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1.7427602849919559</v>
      </c>
      <c r="AH29" s="32">
        <v>65819</v>
      </c>
      <c r="AI29" s="32">
        <v>11195</v>
      </c>
      <c r="AJ29" s="32">
        <v>0</v>
      </c>
      <c r="AK29" s="32">
        <v>0</v>
      </c>
      <c r="AL29" s="32">
        <v>871</v>
      </c>
      <c r="AM29" s="32">
        <v>11822</v>
      </c>
      <c r="AN29" s="32">
        <v>16989</v>
      </c>
      <c r="AO29" s="32">
        <v>-2193</v>
      </c>
      <c r="AP29" s="32">
        <v>-32615</v>
      </c>
      <c r="AQ2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2.9024638696122746</v>
      </c>
      <c r="AR29" s="32">
        <v>16300</v>
      </c>
      <c r="AS29" s="32">
        <v>5449</v>
      </c>
      <c r="AT29" s="32">
        <v>6598</v>
      </c>
      <c r="AU29" s="32">
        <v>3544</v>
      </c>
      <c r="AV29" s="32">
        <v>0</v>
      </c>
      <c r="AW29" s="32">
        <v>11822</v>
      </c>
      <c r="AX29" s="32">
        <v>0</v>
      </c>
      <c r="AY29" s="32">
        <v>0</v>
      </c>
      <c r="AZ29" s="32">
        <v>0</v>
      </c>
      <c r="BA29" s="32">
        <v>1715</v>
      </c>
      <c r="BB29" s="32">
        <v>161</v>
      </c>
      <c r="BC29" s="32">
        <v>15707</v>
      </c>
      <c r="BD29" s="34">
        <f>IFERROR(SUM(Entity_Metrics[[#This Row],[Operating surplus/(deficit) (social housing lettings)]])/SUM(Entity_Metrics[[#This Row],[Turnover from social housing lettings]]),"")</f>
        <v>0.44081892313920534</v>
      </c>
      <c r="BE29" s="32">
        <v>38111</v>
      </c>
      <c r="BF29" s="32">
        <v>86455</v>
      </c>
      <c r="BG29" s="34">
        <f>IFERROR(SUM(Entity_Metrics[[#This Row],[Operating surplus/(deficit) (overall)2]],-Entity_Metrics[[#This Row],[Gain/(loss) on disposal of fixed assets (housing properties)2]])/SUM(Entity_Metrics[[#This Row],[Turnover (overall)]]),"")</f>
        <v>0.46931866998883065</v>
      </c>
      <c r="BH29" s="32">
        <v>65819</v>
      </c>
      <c r="BI29" s="32">
        <v>11195</v>
      </c>
      <c r="BJ29" s="32">
        <v>116390</v>
      </c>
      <c r="BK29" s="34">
        <f>IFERROR(SUM(Entity_Metrics[[#This Row],[Operating surplus/(deficit) (overall)3]],Entity_Metrics[[#This Row],[Share of operating surplus/(deficit) in joint ventures or associates]])/SUM(Entity_Metrics[[#This Row],[Total assets less current liabilities]]),"")</f>
        <v>5.7303524368297838E-2</v>
      </c>
      <c r="BL29" s="32">
        <v>65819</v>
      </c>
      <c r="BM29" s="32">
        <v>0</v>
      </c>
      <c r="BN29" s="32">
        <v>1148603</v>
      </c>
      <c r="BO29" s="34">
        <v>1.3136815123357898E-2</v>
      </c>
      <c r="BP29" s="34">
        <v>5.7737904517782761E-2</v>
      </c>
      <c r="BQ29" s="6" t="s">
        <v>82</v>
      </c>
      <c r="BR29" s="6" t="s">
        <v>83</v>
      </c>
      <c r="BS29" s="6" t="s">
        <v>83</v>
      </c>
      <c r="BT29" s="6" t="s">
        <v>100</v>
      </c>
      <c r="BU29" s="8">
        <v>0.99710246075975162</v>
      </c>
      <c r="BV29" s="37" t="s">
        <v>598</v>
      </c>
      <c r="BW29" s="19" t="s">
        <v>136</v>
      </c>
    </row>
    <row r="30" spans="1:75" x14ac:dyDescent="0.25">
      <c r="A30" s="33" t="s">
        <v>599</v>
      </c>
      <c r="B30" s="7" t="s">
        <v>138</v>
      </c>
      <c r="C30" s="7" t="s">
        <v>81</v>
      </c>
      <c r="D3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3.8363797288417441E-2</v>
      </c>
      <c r="E30" s="32">
        <v>0</v>
      </c>
      <c r="F30" s="32">
        <v>8587</v>
      </c>
      <c r="G30" s="32">
        <v>2768</v>
      </c>
      <c r="H30" s="32">
        <v>88</v>
      </c>
      <c r="I30" s="32">
        <v>0</v>
      </c>
      <c r="J30" s="32">
        <v>298276</v>
      </c>
      <c r="K30" s="32">
        <v>0</v>
      </c>
      <c r="L3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1.8178867067034574E-2</v>
      </c>
      <c r="M30" s="32">
        <v>112</v>
      </c>
      <c r="N30" s="32">
        <v>0</v>
      </c>
      <c r="O30" s="32">
        <v>6161</v>
      </c>
      <c r="P30" s="32">
        <v>0</v>
      </c>
      <c r="Q3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0" s="32">
        <v>0</v>
      </c>
      <c r="S30" s="32">
        <v>0</v>
      </c>
      <c r="T30" s="32">
        <v>0</v>
      </c>
      <c r="U30" s="32">
        <v>6161</v>
      </c>
      <c r="V30" s="32">
        <v>0</v>
      </c>
      <c r="W30" s="32">
        <v>0</v>
      </c>
      <c r="X30" s="32">
        <v>0</v>
      </c>
      <c r="Y3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0.42976303825986673</v>
      </c>
      <c r="Z30" s="32">
        <v>1250</v>
      </c>
      <c r="AA30" s="32">
        <v>128515</v>
      </c>
      <c r="AB30" s="32">
        <v>1577</v>
      </c>
      <c r="AC30" s="32">
        <v>0</v>
      </c>
      <c r="AD30" s="32">
        <v>0</v>
      </c>
      <c r="AE30" s="32">
        <v>298276</v>
      </c>
      <c r="AF30" s="32">
        <v>0</v>
      </c>
      <c r="AG3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2.2956587966488957</v>
      </c>
      <c r="AH30" s="32">
        <v>10085</v>
      </c>
      <c r="AI30" s="32">
        <v>0</v>
      </c>
      <c r="AJ30" s="32">
        <v>62</v>
      </c>
      <c r="AK30" s="32">
        <v>0</v>
      </c>
      <c r="AL30" s="32">
        <v>460</v>
      </c>
      <c r="AM30" s="32">
        <v>2768</v>
      </c>
      <c r="AN30" s="32">
        <v>7356</v>
      </c>
      <c r="AO30" s="32">
        <v>-88</v>
      </c>
      <c r="AP30" s="32">
        <v>-6477</v>
      </c>
      <c r="AQ3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3.3324135692257753</v>
      </c>
      <c r="AR30" s="32">
        <v>2480</v>
      </c>
      <c r="AS30" s="32">
        <v>2140</v>
      </c>
      <c r="AT30" s="32">
        <v>4237</v>
      </c>
      <c r="AU30" s="32">
        <v>1029</v>
      </c>
      <c r="AV30" s="32">
        <v>3260</v>
      </c>
      <c r="AW30" s="32">
        <v>2768</v>
      </c>
      <c r="AX30" s="32">
        <v>480</v>
      </c>
      <c r="AY30" s="32">
        <v>901</v>
      </c>
      <c r="AZ30" s="32">
        <v>1088</v>
      </c>
      <c r="BA30" s="32">
        <v>736</v>
      </c>
      <c r="BB30" s="32">
        <v>1412</v>
      </c>
      <c r="BC30" s="32">
        <v>6161</v>
      </c>
      <c r="BD30" s="34">
        <f>IFERROR(SUM(Entity_Metrics[[#This Row],[Operating surplus/(deficit) (social housing lettings)]])/SUM(Entity_Metrics[[#This Row],[Turnover from social housing lettings]]),"")</f>
        <v>0.35174576759368897</v>
      </c>
      <c r="BE30" s="32">
        <v>10991</v>
      </c>
      <c r="BF30" s="32">
        <v>31247</v>
      </c>
      <c r="BG30" s="34">
        <f>IFERROR(SUM(Entity_Metrics[[#This Row],[Operating surplus/(deficit) (overall)2]],-Entity_Metrics[[#This Row],[Gain/(loss) on disposal of fixed assets (housing properties)2]])/SUM(Entity_Metrics[[#This Row],[Turnover (overall)]]),"")</f>
        <v>0.28508028041610134</v>
      </c>
      <c r="BH30" s="32">
        <v>10085</v>
      </c>
      <c r="BI30" s="32">
        <v>0</v>
      </c>
      <c r="BJ30" s="32">
        <v>35376</v>
      </c>
      <c r="BK30" s="34">
        <f>IFERROR(SUM(Entity_Metrics[[#This Row],[Operating surplus/(deficit) (overall)3]],Entity_Metrics[[#This Row],[Share of operating surplus/(deficit) in joint ventures or associates]])/SUM(Entity_Metrics[[#This Row],[Total assets less current liabilities]]),"")</f>
        <v>3.1652323471994676E-2</v>
      </c>
      <c r="BL30" s="32">
        <v>10085</v>
      </c>
      <c r="BM30" s="32">
        <v>0</v>
      </c>
      <c r="BN30" s="32">
        <v>318618</v>
      </c>
      <c r="BO30" s="34">
        <v>5.5001608234158894E-2</v>
      </c>
      <c r="BP30" s="34">
        <v>0</v>
      </c>
      <c r="BQ30" s="6" t="s">
        <v>93</v>
      </c>
      <c r="BR30" s="6">
        <v>1993</v>
      </c>
      <c r="BS30" s="6" t="s">
        <v>94</v>
      </c>
      <c r="BT30" s="6" t="s">
        <v>108</v>
      </c>
      <c r="BU30" s="8">
        <v>0.94773582429221159</v>
      </c>
      <c r="BV30" s="37" t="s">
        <v>599</v>
      </c>
      <c r="BW30" s="19" t="s">
        <v>138</v>
      </c>
    </row>
    <row r="31" spans="1:75" x14ac:dyDescent="0.25">
      <c r="A31" s="33" t="s">
        <v>600</v>
      </c>
      <c r="B31" s="7" t="s">
        <v>140</v>
      </c>
      <c r="C31" s="7" t="s">
        <v>81</v>
      </c>
      <c r="D3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3.6940396852291127E-2</v>
      </c>
      <c r="E31" s="32">
        <v>7456</v>
      </c>
      <c r="F31" s="32">
        <v>0</v>
      </c>
      <c r="G31" s="32">
        <v>1930</v>
      </c>
      <c r="H31" s="32">
        <v>425</v>
      </c>
      <c r="I31" s="32">
        <v>0</v>
      </c>
      <c r="J31" s="32">
        <v>265590</v>
      </c>
      <c r="K31" s="32">
        <v>0</v>
      </c>
      <c r="L3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2.8328611898016999E-3</v>
      </c>
      <c r="M31" s="32">
        <v>14</v>
      </c>
      <c r="N31" s="32">
        <v>0</v>
      </c>
      <c r="O31" s="32">
        <v>4942</v>
      </c>
      <c r="P31" s="32">
        <v>0</v>
      </c>
      <c r="Q3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1" s="32">
        <v>0</v>
      </c>
      <c r="S31" s="32">
        <v>0</v>
      </c>
      <c r="T31" s="32">
        <v>0</v>
      </c>
      <c r="U31" s="32">
        <v>4942</v>
      </c>
      <c r="V31" s="32">
        <v>25</v>
      </c>
      <c r="W31" s="32">
        <v>0</v>
      </c>
      <c r="X31" s="32">
        <v>10</v>
      </c>
      <c r="Y3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0.52811099815505103</v>
      </c>
      <c r="Z31" s="32">
        <v>5462</v>
      </c>
      <c r="AA31" s="32">
        <v>153975</v>
      </c>
      <c r="AB31" s="32">
        <v>19176</v>
      </c>
      <c r="AC31" s="32">
        <v>0</v>
      </c>
      <c r="AD31" s="32">
        <v>0</v>
      </c>
      <c r="AE31" s="32">
        <v>265590</v>
      </c>
      <c r="AF31" s="32">
        <v>0</v>
      </c>
      <c r="AG3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1.5102547138604037</v>
      </c>
      <c r="AH31" s="32">
        <v>7777</v>
      </c>
      <c r="AI31" s="32">
        <v>453</v>
      </c>
      <c r="AJ31" s="32">
        <v>1004</v>
      </c>
      <c r="AK31" s="32">
        <v>0</v>
      </c>
      <c r="AL31" s="32">
        <v>139</v>
      </c>
      <c r="AM31" s="32">
        <v>1930</v>
      </c>
      <c r="AN31" s="32">
        <v>4602</v>
      </c>
      <c r="AO31" s="32">
        <v>-425</v>
      </c>
      <c r="AP31" s="32">
        <v>-5621</v>
      </c>
      <c r="AQ3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3.2423092289252895</v>
      </c>
      <c r="AR31" s="32">
        <v>4578</v>
      </c>
      <c r="AS31" s="32">
        <v>2287</v>
      </c>
      <c r="AT31" s="32">
        <v>3768</v>
      </c>
      <c r="AU31" s="32">
        <v>1718</v>
      </c>
      <c r="AV31" s="32">
        <v>1539</v>
      </c>
      <c r="AW31" s="32">
        <v>1930</v>
      </c>
      <c r="AX31" s="32">
        <v>0</v>
      </c>
      <c r="AY31" s="32">
        <v>295</v>
      </c>
      <c r="AZ31" s="32">
        <v>0</v>
      </c>
      <c r="BA31" s="32">
        <v>19</v>
      </c>
      <c r="BB31" s="32">
        <v>97</v>
      </c>
      <c r="BC31" s="32">
        <v>5006</v>
      </c>
      <c r="BD31" s="34">
        <f>IFERROR(SUM(Entity_Metrics[[#This Row],[Operating surplus/(deficit) (social housing lettings)]])/SUM(Entity_Metrics[[#This Row],[Turnover from social housing lettings]]),"")</f>
        <v>0.28378326632203715</v>
      </c>
      <c r="BE31" s="32">
        <v>7411</v>
      </c>
      <c r="BF31" s="32">
        <v>26115</v>
      </c>
      <c r="BG31" s="34">
        <f>IFERROR(SUM(Entity_Metrics[[#This Row],[Operating surplus/(deficit) (overall)2]],-Entity_Metrics[[#This Row],[Gain/(loss) on disposal of fixed assets (housing properties)2]])/SUM(Entity_Metrics[[#This Row],[Turnover (overall)]]),"")</f>
        <v>0.27622100697718271</v>
      </c>
      <c r="BH31" s="32">
        <v>7777</v>
      </c>
      <c r="BI31" s="32">
        <v>453</v>
      </c>
      <c r="BJ31" s="32">
        <v>26515</v>
      </c>
      <c r="BK31" s="34">
        <f>IFERROR(SUM(Entity_Metrics[[#This Row],[Operating surplus/(deficit) (overall)3]],Entity_Metrics[[#This Row],[Share of operating surplus/(deficit) in joint ventures or associates]])/SUM(Entity_Metrics[[#This Row],[Total assets less current liabilities]]),"")</f>
        <v>2.6190917204101907E-2</v>
      </c>
      <c r="BL31" s="32">
        <v>7777</v>
      </c>
      <c r="BM31" s="32">
        <v>0</v>
      </c>
      <c r="BN31" s="32">
        <v>296935</v>
      </c>
      <c r="BO31" s="34">
        <v>3.2615260720756996E-2</v>
      </c>
      <c r="BP31" s="34">
        <v>0.11958928930944232</v>
      </c>
      <c r="BQ31" s="6" t="s">
        <v>82</v>
      </c>
      <c r="BR31" s="6" t="s">
        <v>83</v>
      </c>
      <c r="BS31" s="6" t="s">
        <v>83</v>
      </c>
      <c r="BT31" s="6" t="s">
        <v>100</v>
      </c>
      <c r="BU31" s="8">
        <v>1.0022399874355168</v>
      </c>
      <c r="BV31" s="37" t="s">
        <v>600</v>
      </c>
      <c r="BW31" s="19" t="s">
        <v>140</v>
      </c>
    </row>
    <row r="32" spans="1:75" x14ac:dyDescent="0.25">
      <c r="A32" s="33" t="s">
        <v>601</v>
      </c>
      <c r="B32" s="7" t="s">
        <v>602</v>
      </c>
      <c r="C32" s="7" t="s">
        <v>81</v>
      </c>
      <c r="D3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2.6190692463741786E-2</v>
      </c>
      <c r="E32" s="32">
        <v>0</v>
      </c>
      <c r="F32" s="32">
        <v>861</v>
      </c>
      <c r="G32" s="32">
        <v>4</v>
      </c>
      <c r="H32" s="32">
        <v>0</v>
      </c>
      <c r="I32" s="32">
        <v>0</v>
      </c>
      <c r="J32" s="32">
        <v>33027</v>
      </c>
      <c r="K32" s="32">
        <v>0</v>
      </c>
      <c r="L3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32" s="32">
        <v>0</v>
      </c>
      <c r="N32" s="32">
        <v>0</v>
      </c>
      <c r="O32" s="32">
        <v>1183</v>
      </c>
      <c r="P32" s="32">
        <v>182</v>
      </c>
      <c r="Q3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2" s="32">
        <v>0</v>
      </c>
      <c r="S32" s="32">
        <v>0</v>
      </c>
      <c r="T32" s="32">
        <v>0</v>
      </c>
      <c r="U32" s="32">
        <v>1183</v>
      </c>
      <c r="V32" s="32">
        <v>9</v>
      </c>
      <c r="W32" s="32">
        <v>182</v>
      </c>
      <c r="X32" s="32">
        <v>0</v>
      </c>
      <c r="Y3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0.93126835619341752</v>
      </c>
      <c r="Z32" s="32">
        <v>1880</v>
      </c>
      <c r="AA32" s="32">
        <v>10788</v>
      </c>
      <c r="AB32" s="32">
        <v>1062</v>
      </c>
      <c r="AC32" s="32">
        <v>19151</v>
      </c>
      <c r="AD32" s="32">
        <v>0</v>
      </c>
      <c r="AE32" s="32">
        <v>33027</v>
      </c>
      <c r="AF32" s="32">
        <v>0</v>
      </c>
      <c r="AG3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8.7311178247734134</v>
      </c>
      <c r="AH32" s="32">
        <v>5308</v>
      </c>
      <c r="AI32" s="32">
        <v>2496</v>
      </c>
      <c r="AJ32" s="32">
        <v>133</v>
      </c>
      <c r="AK32" s="32">
        <v>0</v>
      </c>
      <c r="AL32" s="32">
        <v>2</v>
      </c>
      <c r="AM32" s="32">
        <v>4</v>
      </c>
      <c r="AN32" s="32">
        <v>213</v>
      </c>
      <c r="AO32" s="32">
        <v>-85</v>
      </c>
      <c r="AP32" s="32">
        <v>-246</v>
      </c>
      <c r="AQ3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1.0042194092827004</v>
      </c>
      <c r="AR32" s="32">
        <v>704</v>
      </c>
      <c r="AS32" s="32">
        <v>401</v>
      </c>
      <c r="AT32" s="32">
        <v>12</v>
      </c>
      <c r="AU32" s="32">
        <v>36</v>
      </c>
      <c r="AV32" s="32">
        <v>33</v>
      </c>
      <c r="AW32" s="32">
        <v>4</v>
      </c>
      <c r="AX32" s="32">
        <v>0</v>
      </c>
      <c r="AY32" s="32">
        <v>0</v>
      </c>
      <c r="AZ32" s="32">
        <v>0</v>
      </c>
      <c r="BA32" s="32">
        <v>0</v>
      </c>
      <c r="BB32" s="32">
        <v>0</v>
      </c>
      <c r="BC32" s="32">
        <v>1185</v>
      </c>
      <c r="BD32" s="34">
        <f>IFERROR(SUM(Entity_Metrics[[#This Row],[Operating surplus/(deficit) (social housing lettings)]])/SUM(Entity_Metrics[[#This Row],[Turnover from social housing lettings]]),"")</f>
        <v>0.65064966903652854</v>
      </c>
      <c r="BE32" s="32">
        <v>2654</v>
      </c>
      <c r="BF32" s="32">
        <v>4079</v>
      </c>
      <c r="BG32" s="34">
        <f>IFERROR(SUM(Entity_Metrics[[#This Row],[Operating surplus/(deficit) (overall)2]],-Entity_Metrics[[#This Row],[Gain/(loss) on disposal of fixed assets (housing properties)2]])/SUM(Entity_Metrics[[#This Row],[Turnover (overall)]]),"")</f>
        <v>0.63205214654978648</v>
      </c>
      <c r="BH32" s="32">
        <v>5308</v>
      </c>
      <c r="BI32" s="32">
        <v>2496</v>
      </c>
      <c r="BJ32" s="32">
        <v>4449</v>
      </c>
      <c r="BK32" s="34">
        <f>IFERROR(SUM(Entity_Metrics[[#This Row],[Operating surplus/(deficit) (overall)3]],Entity_Metrics[[#This Row],[Share of operating surplus/(deficit) in joint ventures or associates]])/SUM(Entity_Metrics[[#This Row],[Total assets less current liabilities]]),"")</f>
        <v>0.1139887471545763</v>
      </c>
      <c r="BL32" s="32">
        <v>5308</v>
      </c>
      <c r="BM32" s="32">
        <v>0</v>
      </c>
      <c r="BN32" s="32">
        <v>46566</v>
      </c>
      <c r="BO32" s="34">
        <v>0</v>
      </c>
      <c r="BP32" s="34">
        <v>0</v>
      </c>
      <c r="BQ32" s="6" t="s">
        <v>82</v>
      </c>
      <c r="BR32" s="6" t="s">
        <v>83</v>
      </c>
      <c r="BS32" s="6" t="s">
        <v>83</v>
      </c>
      <c r="BT32" s="6" t="s">
        <v>90</v>
      </c>
      <c r="BU32" s="8">
        <v>0.92688056691035592</v>
      </c>
      <c r="BV32" s="37" t="s">
        <v>603</v>
      </c>
      <c r="BW32" s="19" t="s">
        <v>142</v>
      </c>
    </row>
    <row r="33" spans="1:75" x14ac:dyDescent="0.25">
      <c r="A33" s="33" t="s">
        <v>905</v>
      </c>
      <c r="B33" s="7" t="s">
        <v>604</v>
      </c>
      <c r="C33" s="7" t="s">
        <v>81</v>
      </c>
      <c r="D3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7.0557718770738048E-2</v>
      </c>
      <c r="E33" s="32">
        <v>0</v>
      </c>
      <c r="F33" s="32">
        <v>89782</v>
      </c>
      <c r="G33" s="32">
        <v>18561</v>
      </c>
      <c r="H33" s="32">
        <v>0</v>
      </c>
      <c r="I33" s="32">
        <v>0</v>
      </c>
      <c r="J33" s="32">
        <v>1535523</v>
      </c>
      <c r="K33" s="32">
        <v>0</v>
      </c>
      <c r="L3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2.6513781378861317E-2</v>
      </c>
      <c r="M33" s="32">
        <v>733</v>
      </c>
      <c r="N33" s="32">
        <v>0</v>
      </c>
      <c r="O33" s="32">
        <v>26857</v>
      </c>
      <c r="P33" s="32">
        <v>789</v>
      </c>
      <c r="Q3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3" s="32">
        <v>0</v>
      </c>
      <c r="S33" s="32">
        <v>0</v>
      </c>
      <c r="T33" s="32">
        <v>0</v>
      </c>
      <c r="U33" s="32">
        <v>26857</v>
      </c>
      <c r="V33" s="32">
        <v>195</v>
      </c>
      <c r="W33" s="32">
        <v>789</v>
      </c>
      <c r="X33" s="32">
        <v>0</v>
      </c>
      <c r="Y3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0.37433630105182403</v>
      </c>
      <c r="Z33" s="32">
        <v>19663</v>
      </c>
      <c r="AA33" s="32">
        <v>589444</v>
      </c>
      <c r="AB33" s="32">
        <v>34305</v>
      </c>
      <c r="AC33" s="32">
        <v>0</v>
      </c>
      <c r="AD33" s="32">
        <v>0</v>
      </c>
      <c r="AE33" s="32">
        <v>1535523</v>
      </c>
      <c r="AF33" s="32">
        <v>0</v>
      </c>
      <c r="AG3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1.9421656507708855</v>
      </c>
      <c r="AH33" s="32">
        <v>64023</v>
      </c>
      <c r="AI33" s="32">
        <v>9237</v>
      </c>
      <c r="AJ33" s="32">
        <v>4626</v>
      </c>
      <c r="AK33" s="32">
        <v>0</v>
      </c>
      <c r="AL33" s="32">
        <v>648</v>
      </c>
      <c r="AM33" s="32">
        <v>18561</v>
      </c>
      <c r="AN33" s="32">
        <v>21920</v>
      </c>
      <c r="AO33" s="32">
        <v>-2055</v>
      </c>
      <c r="AP33" s="32">
        <v>-25835</v>
      </c>
      <c r="AQ3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3.4147975423791546</v>
      </c>
      <c r="AR33" s="32">
        <v>23716</v>
      </c>
      <c r="AS33" s="32">
        <v>10705</v>
      </c>
      <c r="AT33" s="32">
        <v>19224</v>
      </c>
      <c r="AU33" s="32">
        <v>2327</v>
      </c>
      <c r="AV33" s="32">
        <v>6006</v>
      </c>
      <c r="AW33" s="32">
        <v>18561</v>
      </c>
      <c r="AX33" s="32">
        <v>78</v>
      </c>
      <c r="AY33" s="32">
        <v>0</v>
      </c>
      <c r="AZ33" s="32">
        <v>0</v>
      </c>
      <c r="BA33" s="32">
        <v>8490</v>
      </c>
      <c r="BB33" s="32">
        <v>3154</v>
      </c>
      <c r="BC33" s="32">
        <v>27018</v>
      </c>
      <c r="BD33" s="34">
        <f>IFERROR(SUM(Entity_Metrics[[#This Row],[Operating surplus/(deficit) (social housing lettings)]])/SUM(Entity_Metrics[[#This Row],[Turnover from social housing lettings]]),"")</f>
        <v>0.40565308366138242</v>
      </c>
      <c r="BE33" s="32">
        <v>57191</v>
      </c>
      <c r="BF33" s="32">
        <v>140985</v>
      </c>
      <c r="BG33" s="34">
        <f>IFERROR(SUM(Entity_Metrics[[#This Row],[Operating surplus/(deficit) (overall)2]],-Entity_Metrics[[#This Row],[Gain/(loss) on disposal of fixed assets (housing properties)2]])/SUM(Entity_Metrics[[#This Row],[Turnover (overall)]]),"")</f>
        <v>0.32384217526230236</v>
      </c>
      <c r="BH33" s="32">
        <v>64023</v>
      </c>
      <c r="BI33" s="32">
        <v>9237</v>
      </c>
      <c r="BJ33" s="32">
        <v>169175</v>
      </c>
      <c r="BK33" s="34">
        <f>IFERROR(SUM(Entity_Metrics[[#This Row],[Operating surplus/(deficit) (overall)3]],Entity_Metrics[[#This Row],[Share of operating surplus/(deficit) in joint ventures or associates]])/SUM(Entity_Metrics[[#This Row],[Total assets less current liabilities]]),"")</f>
        <v>3.9734840397801466E-2</v>
      </c>
      <c r="BL33" s="32">
        <v>64023</v>
      </c>
      <c r="BM33" s="32">
        <v>0</v>
      </c>
      <c r="BN33" s="32">
        <v>1611256</v>
      </c>
      <c r="BO33" s="34">
        <v>3.5461788800359106E-2</v>
      </c>
      <c r="BP33" s="34">
        <v>3.1683686829012833E-2</v>
      </c>
      <c r="BQ33" s="6" t="s">
        <v>82</v>
      </c>
      <c r="BR33" s="6" t="s">
        <v>83</v>
      </c>
      <c r="BS33" s="6" t="s">
        <v>83</v>
      </c>
      <c r="BT33" s="6" t="s">
        <v>90</v>
      </c>
      <c r="BU33" s="8">
        <v>0.93368123680421311</v>
      </c>
      <c r="BV33" s="37" t="s">
        <v>603</v>
      </c>
      <c r="BW33" s="19" t="s">
        <v>142</v>
      </c>
    </row>
    <row r="34" spans="1:75" x14ac:dyDescent="0.25">
      <c r="A34" s="33" t="s">
        <v>143</v>
      </c>
      <c r="B34" s="7" t="s">
        <v>144</v>
      </c>
      <c r="C34" s="7" t="s">
        <v>81</v>
      </c>
      <c r="D3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7.3404634891350698E-2</v>
      </c>
      <c r="E34" s="32">
        <v>6261</v>
      </c>
      <c r="F34" s="32">
        <v>0</v>
      </c>
      <c r="G34" s="32">
        <v>2174</v>
      </c>
      <c r="H34" s="32">
        <v>0</v>
      </c>
      <c r="I34" s="32">
        <v>0</v>
      </c>
      <c r="J34" s="32">
        <v>114911</v>
      </c>
      <c r="K34" s="32">
        <v>0</v>
      </c>
      <c r="L3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1.9140010487676981E-2</v>
      </c>
      <c r="M34" s="32">
        <v>73</v>
      </c>
      <c r="N34" s="32">
        <v>0</v>
      </c>
      <c r="O34" s="32">
        <v>3649</v>
      </c>
      <c r="P34" s="32">
        <v>165</v>
      </c>
      <c r="Q3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1.0510125608818251E-2</v>
      </c>
      <c r="R34" s="32">
        <v>41</v>
      </c>
      <c r="S34" s="32">
        <v>0</v>
      </c>
      <c r="T34" s="32">
        <v>0</v>
      </c>
      <c r="U34" s="32">
        <v>3649</v>
      </c>
      <c r="V34" s="32">
        <v>87</v>
      </c>
      <c r="W34" s="32">
        <v>165</v>
      </c>
      <c r="X34" s="32">
        <v>0</v>
      </c>
      <c r="Y3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0.51291869359765385</v>
      </c>
      <c r="Z34" s="32">
        <v>0</v>
      </c>
      <c r="AA34" s="32">
        <v>62402</v>
      </c>
      <c r="AB34" s="32">
        <v>3462</v>
      </c>
      <c r="AC34" s="32">
        <v>0</v>
      </c>
      <c r="AD34" s="32">
        <v>0</v>
      </c>
      <c r="AE34" s="32">
        <v>114911</v>
      </c>
      <c r="AF34" s="32">
        <v>0</v>
      </c>
      <c r="AG3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2.7516228220020498</v>
      </c>
      <c r="AH34" s="32">
        <v>8260</v>
      </c>
      <c r="AI34" s="32">
        <v>1442</v>
      </c>
      <c r="AJ34" s="32">
        <v>197</v>
      </c>
      <c r="AK34" s="32">
        <v>0</v>
      </c>
      <c r="AL34" s="32">
        <v>27</v>
      </c>
      <c r="AM34" s="32">
        <v>2174</v>
      </c>
      <c r="AN34" s="32">
        <v>3580</v>
      </c>
      <c r="AO34" s="32">
        <v>0</v>
      </c>
      <c r="AP34" s="32">
        <v>-2927</v>
      </c>
      <c r="AQ3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3.1247323340471094</v>
      </c>
      <c r="AR34" s="32">
        <v>4699</v>
      </c>
      <c r="AS34" s="32">
        <v>1347</v>
      </c>
      <c r="AT34" s="32">
        <v>2310</v>
      </c>
      <c r="AU34" s="32">
        <v>796</v>
      </c>
      <c r="AV34" s="32">
        <v>0</v>
      </c>
      <c r="AW34" s="32">
        <v>2174</v>
      </c>
      <c r="AX34" s="32">
        <v>17</v>
      </c>
      <c r="AY34" s="32">
        <v>0</v>
      </c>
      <c r="AZ34" s="32">
        <v>0</v>
      </c>
      <c r="BA34" s="32">
        <v>331</v>
      </c>
      <c r="BB34" s="32">
        <v>0</v>
      </c>
      <c r="BC34" s="32">
        <v>3736</v>
      </c>
      <c r="BD34" s="34">
        <f>IFERROR(SUM(Entity_Metrics[[#This Row],[Operating surplus/(deficit) (social housing lettings)]])/SUM(Entity_Metrics[[#This Row],[Turnover from social housing lettings]]),"")</f>
        <v>0.30428278574990303</v>
      </c>
      <c r="BE34" s="32">
        <v>5492</v>
      </c>
      <c r="BF34" s="32">
        <v>18049</v>
      </c>
      <c r="BG34" s="34">
        <f>IFERROR(SUM(Entity_Metrics[[#This Row],[Operating surplus/(deficit) (overall)2]],-Entity_Metrics[[#This Row],[Gain/(loss) on disposal of fixed assets (housing properties)2]])/SUM(Entity_Metrics[[#This Row],[Turnover (overall)]]),"")</f>
        <v>0.32620448782354911</v>
      </c>
      <c r="BH34" s="32">
        <v>8260</v>
      </c>
      <c r="BI34" s="32">
        <v>1442</v>
      </c>
      <c r="BJ34" s="32">
        <v>20901</v>
      </c>
      <c r="BK34" s="34">
        <f>IFERROR(SUM(Entity_Metrics[[#This Row],[Operating surplus/(deficit) (overall)3]],Entity_Metrics[[#This Row],[Share of operating surplus/(deficit) in joint ventures or associates]])/SUM(Entity_Metrics[[#This Row],[Total assets less current liabilities]]),"")</f>
        <v>6.4335228600358285E-2</v>
      </c>
      <c r="BL34" s="32">
        <v>8260</v>
      </c>
      <c r="BM34" s="32">
        <v>0</v>
      </c>
      <c r="BN34" s="32">
        <v>128390</v>
      </c>
      <c r="BO34" s="34">
        <v>8.2214305289120303E-4</v>
      </c>
      <c r="BP34" s="34">
        <v>0.24801315428884627</v>
      </c>
      <c r="BQ34" s="6" t="s">
        <v>93</v>
      </c>
      <c r="BR34" s="6">
        <v>2004</v>
      </c>
      <c r="BS34" s="6" t="s">
        <v>94</v>
      </c>
      <c r="BT34" s="6" t="s">
        <v>90</v>
      </c>
      <c r="BU34" s="8">
        <v>0.91571558169387279</v>
      </c>
      <c r="BV34" s="37" t="s">
        <v>143</v>
      </c>
      <c r="BW34" s="19" t="s">
        <v>144</v>
      </c>
    </row>
    <row r="35" spans="1:75" x14ac:dyDescent="0.25">
      <c r="A35" s="33" t="s">
        <v>145</v>
      </c>
      <c r="B35" s="7" t="s">
        <v>146</v>
      </c>
      <c r="C35" s="7" t="s">
        <v>81</v>
      </c>
      <c r="D3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1.7408199713461425E-2</v>
      </c>
      <c r="E35" s="32">
        <v>96</v>
      </c>
      <c r="F35" s="32">
        <v>0</v>
      </c>
      <c r="G35" s="32">
        <v>791</v>
      </c>
      <c r="H35" s="32">
        <v>0</v>
      </c>
      <c r="I35" s="32">
        <v>0</v>
      </c>
      <c r="J35" s="32">
        <v>50953</v>
      </c>
      <c r="K35" s="32">
        <v>0</v>
      </c>
      <c r="L3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35" s="32">
        <v>0</v>
      </c>
      <c r="N35" s="32">
        <v>0</v>
      </c>
      <c r="O35" s="32">
        <v>1083</v>
      </c>
      <c r="P35" s="32">
        <v>15</v>
      </c>
      <c r="Q3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5" s="32">
        <v>0</v>
      </c>
      <c r="S35" s="32">
        <v>0</v>
      </c>
      <c r="T35" s="32">
        <v>0</v>
      </c>
      <c r="U35" s="32">
        <v>1083</v>
      </c>
      <c r="V35" s="32">
        <v>294</v>
      </c>
      <c r="W35" s="32">
        <v>15</v>
      </c>
      <c r="X35" s="32">
        <v>56</v>
      </c>
      <c r="Y3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0.15212058171255863</v>
      </c>
      <c r="Z35" s="32">
        <v>706</v>
      </c>
      <c r="AA35" s="32">
        <v>14610</v>
      </c>
      <c r="AB35" s="32">
        <v>7565</v>
      </c>
      <c r="AC35" s="32">
        <v>0</v>
      </c>
      <c r="AD35" s="32">
        <v>0</v>
      </c>
      <c r="AE35" s="32">
        <v>50953</v>
      </c>
      <c r="AF35" s="32">
        <v>0</v>
      </c>
      <c r="AG3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3.9855769230769229</v>
      </c>
      <c r="AH35" s="32">
        <v>1242</v>
      </c>
      <c r="AI35" s="32">
        <v>0</v>
      </c>
      <c r="AJ35" s="32">
        <v>289</v>
      </c>
      <c r="AK35" s="32">
        <v>0</v>
      </c>
      <c r="AL35" s="32">
        <v>8</v>
      </c>
      <c r="AM35" s="32">
        <v>791</v>
      </c>
      <c r="AN35" s="32">
        <v>2317</v>
      </c>
      <c r="AO35" s="32">
        <v>0</v>
      </c>
      <c r="AP35" s="32">
        <v>-624</v>
      </c>
      <c r="AQ3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5.6075715604801477</v>
      </c>
      <c r="AR35" s="32">
        <v>1074</v>
      </c>
      <c r="AS35" s="32">
        <v>1093</v>
      </c>
      <c r="AT35" s="32">
        <v>983</v>
      </c>
      <c r="AU35" s="32">
        <v>123</v>
      </c>
      <c r="AV35" s="32">
        <v>105</v>
      </c>
      <c r="AW35" s="32">
        <v>791</v>
      </c>
      <c r="AX35" s="32">
        <v>1680</v>
      </c>
      <c r="AY35" s="32">
        <v>0</v>
      </c>
      <c r="AZ35" s="32">
        <v>0</v>
      </c>
      <c r="BA35" s="32">
        <v>0</v>
      </c>
      <c r="BB35" s="32">
        <v>224</v>
      </c>
      <c r="BC35" s="32">
        <v>1083</v>
      </c>
      <c r="BD35" s="34">
        <f>IFERROR(SUM(Entity_Metrics[[#This Row],[Operating surplus/(deficit) (social housing lettings)]])/SUM(Entity_Metrics[[#This Row],[Turnover from social housing lettings]]),"")</f>
        <v>0.14534423634924823</v>
      </c>
      <c r="BE35" s="32">
        <v>1102</v>
      </c>
      <c r="BF35" s="32">
        <v>7582</v>
      </c>
      <c r="BG35" s="34">
        <f>IFERROR(SUM(Entity_Metrics[[#This Row],[Operating surplus/(deficit) (overall)2]],-Entity_Metrics[[#This Row],[Gain/(loss) on disposal of fixed assets (housing properties)2]])/SUM(Entity_Metrics[[#This Row],[Turnover (overall)]]),"")</f>
        <v>3.761242845461979E-2</v>
      </c>
      <c r="BH35" s="32">
        <v>1242</v>
      </c>
      <c r="BI35" s="32">
        <v>0</v>
      </c>
      <c r="BJ35" s="32">
        <v>33021</v>
      </c>
      <c r="BK35" s="34">
        <f>IFERROR(SUM(Entity_Metrics[[#This Row],[Operating surplus/(deficit) (overall)3]],Entity_Metrics[[#This Row],[Share of operating surplus/(deficit) in joint ventures or associates]])/SUM(Entity_Metrics[[#This Row],[Total assets less current liabilities]]),"")</f>
        <v>2.122242537122157E-2</v>
      </c>
      <c r="BL35" s="32">
        <v>1242</v>
      </c>
      <c r="BM35" s="32">
        <v>0</v>
      </c>
      <c r="BN35" s="32">
        <v>58523</v>
      </c>
      <c r="BO35" s="34">
        <v>0</v>
      </c>
      <c r="BP35" s="34">
        <v>0.98366606170598914</v>
      </c>
      <c r="BQ35" s="6" t="s">
        <v>82</v>
      </c>
      <c r="BR35" s="6" t="s">
        <v>83</v>
      </c>
      <c r="BS35" s="6" t="s">
        <v>83</v>
      </c>
      <c r="BT35" s="6" t="s">
        <v>115</v>
      </c>
      <c r="BU35" s="8">
        <v>0.96617455710897804</v>
      </c>
      <c r="BV35" s="37" t="s">
        <v>145</v>
      </c>
      <c r="BW35" s="19" t="s">
        <v>146</v>
      </c>
    </row>
    <row r="36" spans="1:75" x14ac:dyDescent="0.25">
      <c r="A36" s="33" t="s">
        <v>147</v>
      </c>
      <c r="B36" s="7" t="s">
        <v>148</v>
      </c>
      <c r="C36" s="7" t="s">
        <v>81</v>
      </c>
      <c r="D3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9.7408700322234157E-2</v>
      </c>
      <c r="E36" s="32">
        <v>689</v>
      </c>
      <c r="F36" s="32">
        <v>0</v>
      </c>
      <c r="G36" s="32">
        <v>762</v>
      </c>
      <c r="H36" s="32">
        <v>0</v>
      </c>
      <c r="I36" s="32">
        <v>0</v>
      </c>
      <c r="J36" s="32">
        <v>14896</v>
      </c>
      <c r="K36" s="32">
        <v>0</v>
      </c>
      <c r="L3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5.6116722783389446E-3</v>
      </c>
      <c r="M36" s="32">
        <v>10</v>
      </c>
      <c r="N36" s="32">
        <v>0</v>
      </c>
      <c r="O36" s="32">
        <v>1782</v>
      </c>
      <c r="P36" s="32">
        <v>0</v>
      </c>
      <c r="Q3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6" s="32">
        <v>0</v>
      </c>
      <c r="S36" s="32">
        <v>0</v>
      </c>
      <c r="T36" s="32">
        <v>0</v>
      </c>
      <c r="U36" s="32">
        <v>1782</v>
      </c>
      <c r="V36" s="32">
        <v>0</v>
      </c>
      <c r="W36" s="32">
        <v>0</v>
      </c>
      <c r="X36" s="32">
        <v>65</v>
      </c>
      <c r="Y3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0.10734425349087003</v>
      </c>
      <c r="Z36" s="32">
        <v>0</v>
      </c>
      <c r="AA36" s="32">
        <v>10000</v>
      </c>
      <c r="AB36" s="32">
        <v>8401</v>
      </c>
      <c r="AC36" s="32">
        <v>0</v>
      </c>
      <c r="AD36" s="32">
        <v>0</v>
      </c>
      <c r="AE36" s="32">
        <v>14896</v>
      </c>
      <c r="AF36" s="32">
        <v>0</v>
      </c>
      <c r="AG3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7.0694980694980698</v>
      </c>
      <c r="AH36" s="32">
        <v>2245</v>
      </c>
      <c r="AI36" s="32">
        <v>278</v>
      </c>
      <c r="AJ36" s="32">
        <v>0</v>
      </c>
      <c r="AK36" s="32">
        <v>0</v>
      </c>
      <c r="AL36" s="32">
        <v>13</v>
      </c>
      <c r="AM36" s="32">
        <v>762</v>
      </c>
      <c r="AN36" s="32">
        <v>613</v>
      </c>
      <c r="AO36" s="32">
        <v>0</v>
      </c>
      <c r="AP36" s="32">
        <v>-259</v>
      </c>
      <c r="AQ3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3.9292929292929295</v>
      </c>
      <c r="AR36" s="32">
        <v>1247</v>
      </c>
      <c r="AS36" s="32">
        <v>2518</v>
      </c>
      <c r="AT36" s="32">
        <v>1524</v>
      </c>
      <c r="AU36" s="32">
        <v>114</v>
      </c>
      <c r="AV36" s="32">
        <v>837</v>
      </c>
      <c r="AW36" s="32">
        <v>762</v>
      </c>
      <c r="AX36" s="32">
        <v>0</v>
      </c>
      <c r="AY36" s="32">
        <v>0</v>
      </c>
      <c r="AZ36" s="32">
        <v>0</v>
      </c>
      <c r="BA36" s="32">
        <v>0</v>
      </c>
      <c r="BB36" s="32">
        <v>0</v>
      </c>
      <c r="BC36" s="32">
        <v>1782</v>
      </c>
      <c r="BD36" s="34">
        <f>IFERROR(SUM(Entity_Metrics[[#This Row],[Operating surplus/(deficit) (social housing lettings)]])/SUM(Entity_Metrics[[#This Row],[Turnover from social housing lettings]]),"")</f>
        <v>0.21781520053179704</v>
      </c>
      <c r="BE36" s="32">
        <v>1966</v>
      </c>
      <c r="BF36" s="32">
        <v>9026</v>
      </c>
      <c r="BG36" s="34">
        <f>IFERROR(SUM(Entity_Metrics[[#This Row],[Operating surplus/(deficit) (overall)2]],-Entity_Metrics[[#This Row],[Gain/(loss) on disposal of fixed assets (housing properties)2]])/SUM(Entity_Metrics[[#This Row],[Turnover (overall)]]),"")</f>
        <v>0.21792599157988035</v>
      </c>
      <c r="BH36" s="32">
        <v>2245</v>
      </c>
      <c r="BI36" s="32">
        <v>278</v>
      </c>
      <c r="BJ36" s="32">
        <v>9026</v>
      </c>
      <c r="BK36" s="34">
        <f>IFERROR(SUM(Entity_Metrics[[#This Row],[Operating surplus/(deficit) (overall)3]],Entity_Metrics[[#This Row],[Share of operating surplus/(deficit) in joint ventures or associates]])/SUM(Entity_Metrics[[#This Row],[Total assets less current liabilities]]),"")</f>
        <v>9.5702958478983718E-2</v>
      </c>
      <c r="BL36" s="32">
        <v>2245</v>
      </c>
      <c r="BM36" s="32">
        <v>0</v>
      </c>
      <c r="BN36" s="32">
        <v>23458</v>
      </c>
      <c r="BO36" s="34">
        <v>0</v>
      </c>
      <c r="BP36" s="34">
        <v>3.5353535353535352E-2</v>
      </c>
      <c r="BQ36" s="6" t="s">
        <v>93</v>
      </c>
      <c r="BR36" s="6">
        <v>2012</v>
      </c>
      <c r="BS36" s="6" t="s">
        <v>149</v>
      </c>
      <c r="BT36" s="6" t="s">
        <v>121</v>
      </c>
      <c r="BU36" s="8">
        <v>0.9026647648742484</v>
      </c>
      <c r="BV36" s="37">
        <v>4714</v>
      </c>
      <c r="BW36" s="19" t="s">
        <v>148</v>
      </c>
    </row>
    <row r="37" spans="1:75" x14ac:dyDescent="0.25">
      <c r="A37" s="33" t="s">
        <v>150</v>
      </c>
      <c r="B37" s="7" t="s">
        <v>151</v>
      </c>
      <c r="C37" s="7" t="s">
        <v>81</v>
      </c>
      <c r="D3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0.16801321894844035</v>
      </c>
      <c r="E37" s="32">
        <v>12932</v>
      </c>
      <c r="F37" s="32">
        <v>1255</v>
      </c>
      <c r="G37" s="32">
        <v>3083</v>
      </c>
      <c r="H37" s="32">
        <v>219</v>
      </c>
      <c r="I37" s="32">
        <v>0</v>
      </c>
      <c r="J37" s="32">
        <v>104093</v>
      </c>
      <c r="K37" s="32">
        <v>0</v>
      </c>
      <c r="L3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1.3575605680868838E-2</v>
      </c>
      <c r="M37" s="32">
        <v>65</v>
      </c>
      <c r="N37" s="32">
        <v>0</v>
      </c>
      <c r="O37" s="32">
        <v>4708</v>
      </c>
      <c r="P37" s="32">
        <v>80</v>
      </c>
      <c r="Q3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37" s="32">
        <v>0</v>
      </c>
      <c r="S37" s="32">
        <v>0</v>
      </c>
      <c r="T37" s="32">
        <v>0</v>
      </c>
      <c r="U37" s="32">
        <v>4708</v>
      </c>
      <c r="V37" s="32">
        <v>4</v>
      </c>
      <c r="W37" s="32">
        <v>80</v>
      </c>
      <c r="X37" s="32">
        <v>0</v>
      </c>
      <c r="Y3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0.94722988097182326</v>
      </c>
      <c r="Z37" s="32">
        <v>0</v>
      </c>
      <c r="AA37" s="32">
        <v>99194</v>
      </c>
      <c r="AB37" s="32">
        <v>594</v>
      </c>
      <c r="AC37" s="32">
        <v>0</v>
      </c>
      <c r="AD37" s="32">
        <v>0</v>
      </c>
      <c r="AE37" s="32">
        <v>104093</v>
      </c>
      <c r="AF37" s="32">
        <v>0</v>
      </c>
      <c r="AG3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1.2341733251382914</v>
      </c>
      <c r="AH37" s="32">
        <v>7101</v>
      </c>
      <c r="AI37" s="32">
        <v>753</v>
      </c>
      <c r="AJ37" s="32">
        <v>178</v>
      </c>
      <c r="AK37" s="32">
        <v>0</v>
      </c>
      <c r="AL37" s="32">
        <v>2</v>
      </c>
      <c r="AM37" s="32">
        <v>3083</v>
      </c>
      <c r="AN37" s="32">
        <v>2935</v>
      </c>
      <c r="AO37" s="32">
        <v>-219</v>
      </c>
      <c r="AP37" s="32">
        <v>-4662</v>
      </c>
      <c r="AQ3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3.000606796116505</v>
      </c>
      <c r="AR37" s="32">
        <v>5149</v>
      </c>
      <c r="AS37" s="32">
        <v>1051</v>
      </c>
      <c r="AT37" s="32">
        <v>3463</v>
      </c>
      <c r="AU37" s="32">
        <v>372</v>
      </c>
      <c r="AV37" s="32">
        <v>683</v>
      </c>
      <c r="AW37" s="32">
        <v>3083</v>
      </c>
      <c r="AX37" s="32">
        <v>753</v>
      </c>
      <c r="AY37" s="32">
        <v>0</v>
      </c>
      <c r="AZ37" s="32">
        <v>0</v>
      </c>
      <c r="BA37" s="32">
        <v>0</v>
      </c>
      <c r="BB37" s="32">
        <v>281</v>
      </c>
      <c r="BC37" s="32">
        <v>4944</v>
      </c>
      <c r="BD37" s="34">
        <f>IFERROR(SUM(Entity_Metrics[[#This Row],[Operating surplus/(deficit) (social housing lettings)]])/SUM(Entity_Metrics[[#This Row],[Turnover from social housing lettings]]),"")</f>
        <v>0.31949912251577101</v>
      </c>
      <c r="BE37" s="32">
        <v>6736</v>
      </c>
      <c r="BF37" s="32">
        <v>21083</v>
      </c>
      <c r="BG37" s="34">
        <f>IFERROR(SUM(Entity_Metrics[[#This Row],[Operating surplus/(deficit) (overall)2]],-Entity_Metrics[[#This Row],[Gain/(loss) on disposal of fixed assets (housing properties)2]])/SUM(Entity_Metrics[[#This Row],[Turnover (overall)]]),"")</f>
        <v>0.28346878628203981</v>
      </c>
      <c r="BH37" s="32">
        <v>7101</v>
      </c>
      <c r="BI37" s="32">
        <v>753</v>
      </c>
      <c r="BJ37" s="32">
        <v>22394</v>
      </c>
      <c r="BK37" s="34">
        <f>IFERROR(SUM(Entity_Metrics[[#This Row],[Operating surplus/(deficit) (overall)3]],Entity_Metrics[[#This Row],[Share of operating surplus/(deficit) in joint ventures or associates]])/SUM(Entity_Metrics[[#This Row],[Total assets less current liabilities]]),"")</f>
        <v>6.5167116348218715E-2</v>
      </c>
      <c r="BL37" s="32">
        <v>7101</v>
      </c>
      <c r="BM37" s="32">
        <v>0</v>
      </c>
      <c r="BN37" s="32">
        <v>108966</v>
      </c>
      <c r="BO37" s="34">
        <v>2.8249787595581988E-2</v>
      </c>
      <c r="BP37" s="34">
        <v>0.23789294817332202</v>
      </c>
      <c r="BQ37" s="6" t="s">
        <v>93</v>
      </c>
      <c r="BR37" s="6">
        <v>2000</v>
      </c>
      <c r="BS37" s="6" t="s">
        <v>94</v>
      </c>
      <c r="BT37" s="6" t="s">
        <v>105</v>
      </c>
      <c r="BU37" s="8">
        <v>0.9156653862445665</v>
      </c>
      <c r="BV37" s="37" t="s">
        <v>150</v>
      </c>
      <c r="BW37" s="19" t="s">
        <v>151</v>
      </c>
    </row>
    <row r="38" spans="1:75" x14ac:dyDescent="0.25">
      <c r="A38" s="33" t="s">
        <v>906</v>
      </c>
      <c r="B38" s="7" t="s">
        <v>153</v>
      </c>
      <c r="C38" s="7" t="s">
        <v>81</v>
      </c>
      <c r="D3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2.8862549559953474E-2</v>
      </c>
      <c r="E38" s="32">
        <v>2806</v>
      </c>
      <c r="F38" s="32">
        <v>1457</v>
      </c>
      <c r="G38" s="32">
        <v>2660</v>
      </c>
      <c r="H38" s="32">
        <v>75</v>
      </c>
      <c r="I38" s="32">
        <v>-75</v>
      </c>
      <c r="J38" s="32">
        <v>239861</v>
      </c>
      <c r="K38" s="32">
        <v>0</v>
      </c>
      <c r="L3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3.2786885245901639E-3</v>
      </c>
      <c r="M38" s="32">
        <v>21</v>
      </c>
      <c r="N38" s="32">
        <v>0</v>
      </c>
      <c r="O38" s="32">
        <v>6405</v>
      </c>
      <c r="P38" s="32">
        <v>0</v>
      </c>
      <c r="Q3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1.56128024980484E-3</v>
      </c>
      <c r="R38" s="32">
        <v>0</v>
      </c>
      <c r="S38" s="32">
        <v>0</v>
      </c>
      <c r="T38" s="32">
        <v>10</v>
      </c>
      <c r="U38" s="32">
        <v>6405</v>
      </c>
      <c r="V38" s="32">
        <v>0</v>
      </c>
      <c r="W38" s="32">
        <v>0</v>
      </c>
      <c r="X38" s="32">
        <v>0</v>
      </c>
      <c r="Y3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0.30419701410400191</v>
      </c>
      <c r="Z38" s="32">
        <v>1513</v>
      </c>
      <c r="AA38" s="32">
        <v>75015</v>
      </c>
      <c r="AB38" s="32">
        <v>3563</v>
      </c>
      <c r="AC38" s="32">
        <v>0</v>
      </c>
      <c r="AD38" s="32">
        <v>0</v>
      </c>
      <c r="AE38" s="32">
        <v>239861</v>
      </c>
      <c r="AF38" s="32">
        <v>0</v>
      </c>
      <c r="AG3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2.3143478260869563</v>
      </c>
      <c r="AH38" s="32">
        <v>10738</v>
      </c>
      <c r="AI38" s="32">
        <v>912</v>
      </c>
      <c r="AJ38" s="32">
        <v>1036</v>
      </c>
      <c r="AK38" s="32">
        <v>0</v>
      </c>
      <c r="AL38" s="32">
        <v>17</v>
      </c>
      <c r="AM38" s="32">
        <v>2660</v>
      </c>
      <c r="AN38" s="32">
        <v>4499</v>
      </c>
      <c r="AO38" s="32">
        <v>-75</v>
      </c>
      <c r="AP38" s="32">
        <v>-4525</v>
      </c>
      <c r="AQ3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3.2202966432474631</v>
      </c>
      <c r="AR38" s="32">
        <v>5368</v>
      </c>
      <c r="AS38" s="32">
        <v>4243</v>
      </c>
      <c r="AT38" s="32">
        <v>3772</v>
      </c>
      <c r="AU38" s="32">
        <v>2647</v>
      </c>
      <c r="AV38" s="32">
        <v>1198</v>
      </c>
      <c r="AW38" s="32">
        <v>2660</v>
      </c>
      <c r="AX38" s="32">
        <v>738</v>
      </c>
      <c r="AY38" s="32">
        <v>0</v>
      </c>
      <c r="AZ38" s="32">
        <v>0</v>
      </c>
      <c r="BA38" s="32">
        <v>0</v>
      </c>
      <c r="BB38" s="32">
        <v>0</v>
      </c>
      <c r="BC38" s="32">
        <v>6405</v>
      </c>
      <c r="BD38" s="34">
        <f>IFERROR(SUM(Entity_Metrics[[#This Row],[Operating surplus/(deficit) (social housing lettings)]])/SUM(Entity_Metrics[[#This Row],[Turnover from social housing lettings]]),"")</f>
        <v>0.29130959182377958</v>
      </c>
      <c r="BE38" s="32">
        <v>9178</v>
      </c>
      <c r="BF38" s="32">
        <v>31506</v>
      </c>
      <c r="BG38" s="34">
        <f>IFERROR(SUM(Entity_Metrics[[#This Row],[Operating surplus/(deficit) (overall)2]],-Entity_Metrics[[#This Row],[Gain/(loss) on disposal of fixed assets (housing properties)2]])/SUM(Entity_Metrics[[#This Row],[Turnover (overall)]]),"")</f>
        <v>0.30048010764196814</v>
      </c>
      <c r="BH38" s="32">
        <v>10738</v>
      </c>
      <c r="BI38" s="32">
        <v>912</v>
      </c>
      <c r="BJ38" s="32">
        <v>32701</v>
      </c>
      <c r="BK38" s="34">
        <f>IFERROR(SUM(Entity_Metrics[[#This Row],[Operating surplus/(deficit) (overall)3]],Entity_Metrics[[#This Row],[Share of operating surplus/(deficit) in joint ventures or associates]])/SUM(Entity_Metrics[[#This Row],[Total assets less current liabilities]]),"")</f>
        <v>4.3957573450247873E-2</v>
      </c>
      <c r="BL38" s="32">
        <v>10738</v>
      </c>
      <c r="BM38" s="32">
        <v>0</v>
      </c>
      <c r="BN38" s="32">
        <v>244281</v>
      </c>
      <c r="BO38" s="34">
        <v>6.9909266696415295E-3</v>
      </c>
      <c r="BP38" s="34">
        <v>9.5939312806782681E-2</v>
      </c>
      <c r="BQ38" s="6" t="s">
        <v>93</v>
      </c>
      <c r="BR38" s="6">
        <v>1999</v>
      </c>
      <c r="BS38" s="6" t="s">
        <v>94</v>
      </c>
      <c r="BT38" s="6" t="s">
        <v>105</v>
      </c>
      <c r="BU38" s="8">
        <v>0.9130199598868779</v>
      </c>
      <c r="BV38" s="37">
        <v>4858</v>
      </c>
      <c r="BW38" s="19" t="s">
        <v>153</v>
      </c>
    </row>
    <row r="39" spans="1:75" x14ac:dyDescent="0.25">
      <c r="A39" s="33" t="s">
        <v>605</v>
      </c>
      <c r="B39" s="7" t="s">
        <v>155</v>
      </c>
      <c r="C39" s="7" t="s">
        <v>81</v>
      </c>
      <c r="D3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5.5492992992992991E-2</v>
      </c>
      <c r="E39" s="32">
        <v>91983</v>
      </c>
      <c r="F39" s="32">
        <v>0</v>
      </c>
      <c r="G39" s="32">
        <v>22440</v>
      </c>
      <c r="H39" s="32">
        <v>0</v>
      </c>
      <c r="I39" s="32">
        <v>0</v>
      </c>
      <c r="J39" s="32">
        <v>2061936</v>
      </c>
      <c r="K39" s="32">
        <v>0</v>
      </c>
      <c r="L3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2.1867764342680732E-2</v>
      </c>
      <c r="M39" s="32">
        <v>419</v>
      </c>
      <c r="N39" s="32">
        <v>6</v>
      </c>
      <c r="O39" s="32">
        <v>17985</v>
      </c>
      <c r="P39" s="32">
        <v>1450</v>
      </c>
      <c r="Q3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5.4614964500273077E-3</v>
      </c>
      <c r="R39" s="32">
        <v>0</v>
      </c>
      <c r="S39" s="32">
        <v>110</v>
      </c>
      <c r="T39" s="32">
        <v>0</v>
      </c>
      <c r="U39" s="32">
        <v>17985</v>
      </c>
      <c r="V39" s="32">
        <v>0</v>
      </c>
      <c r="W39" s="32">
        <v>1450</v>
      </c>
      <c r="X39" s="32">
        <v>706</v>
      </c>
      <c r="Y3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0.29424967603262175</v>
      </c>
      <c r="Z39" s="32">
        <v>14100</v>
      </c>
      <c r="AA39" s="32">
        <v>429486</v>
      </c>
      <c r="AB39" s="32">
        <v>44564</v>
      </c>
      <c r="AC39" s="32">
        <v>207702</v>
      </c>
      <c r="AD39" s="32">
        <v>0</v>
      </c>
      <c r="AE39" s="32">
        <v>2061936</v>
      </c>
      <c r="AF39" s="32">
        <v>0</v>
      </c>
      <c r="AG3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1.4343924549033971</v>
      </c>
      <c r="AH39" s="32">
        <v>61491</v>
      </c>
      <c r="AI39" s="32">
        <v>16730</v>
      </c>
      <c r="AJ39" s="32">
        <v>4363</v>
      </c>
      <c r="AK39" s="32">
        <v>0</v>
      </c>
      <c r="AL39" s="32">
        <v>3759</v>
      </c>
      <c r="AM39" s="32">
        <v>22440</v>
      </c>
      <c r="AN39" s="32">
        <v>25278</v>
      </c>
      <c r="AO39" s="32">
        <v>-6236</v>
      </c>
      <c r="AP39" s="32">
        <v>-26527</v>
      </c>
      <c r="AQ3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4.7572977481234364</v>
      </c>
      <c r="AR39" s="32">
        <v>18630</v>
      </c>
      <c r="AS39" s="32">
        <v>14940</v>
      </c>
      <c r="AT39" s="32">
        <v>14153</v>
      </c>
      <c r="AU39" s="32">
        <v>6131</v>
      </c>
      <c r="AV39" s="32">
        <v>0</v>
      </c>
      <c r="AW39" s="32">
        <v>22440</v>
      </c>
      <c r="AX39" s="32">
        <v>4776</v>
      </c>
      <c r="AY39" s="32">
        <v>0</v>
      </c>
      <c r="AZ39" s="32">
        <v>2525</v>
      </c>
      <c r="BA39" s="32">
        <v>1965</v>
      </c>
      <c r="BB39" s="32">
        <v>0</v>
      </c>
      <c r="BC39" s="32">
        <v>17985</v>
      </c>
      <c r="BD39" s="34">
        <f>IFERROR(SUM(Entity_Metrics[[#This Row],[Operating surplus/(deficit) (social housing lettings)]])/SUM(Entity_Metrics[[#This Row],[Turnover from social housing lettings]]),"")</f>
        <v>0.35535486166135738</v>
      </c>
      <c r="BE39" s="32">
        <v>43951</v>
      </c>
      <c r="BF39" s="32">
        <v>123682</v>
      </c>
      <c r="BG39" s="34">
        <f>IFERROR(SUM(Entity_Metrics[[#This Row],[Operating surplus/(deficit) (overall)2]],-Entity_Metrics[[#This Row],[Gain/(loss) on disposal of fixed assets (housing properties)2]])/SUM(Entity_Metrics[[#This Row],[Turnover (overall)]]),"")</f>
        <v>0.28188802821336356</v>
      </c>
      <c r="BH39" s="32">
        <v>61491</v>
      </c>
      <c r="BI39" s="32">
        <v>16730</v>
      </c>
      <c r="BJ39" s="32">
        <v>158790</v>
      </c>
      <c r="BK39" s="34">
        <f>IFERROR(SUM(Entity_Metrics[[#This Row],[Operating surplus/(deficit) (overall)3]],Entity_Metrics[[#This Row],[Share of operating surplus/(deficit) in joint ventures or associates]])/SUM(Entity_Metrics[[#This Row],[Total assets less current liabilities]]),"")</f>
        <v>2.6548729878298354E-2</v>
      </c>
      <c r="BL39" s="32">
        <v>61491</v>
      </c>
      <c r="BM39" s="32">
        <v>0</v>
      </c>
      <c r="BN39" s="32">
        <v>2316156</v>
      </c>
      <c r="BO39" s="34">
        <v>4.5144179222391511E-3</v>
      </c>
      <c r="BP39" s="34">
        <v>3.4704587777213476E-2</v>
      </c>
      <c r="BQ39" s="6" t="s">
        <v>82</v>
      </c>
      <c r="BR39" s="6" t="s">
        <v>83</v>
      </c>
      <c r="BS39" s="6" t="s">
        <v>83</v>
      </c>
      <c r="BT39" s="6" t="s">
        <v>156</v>
      </c>
      <c r="BU39" s="8">
        <v>1.1790181688580514</v>
      </c>
      <c r="BV39" s="37" t="s">
        <v>605</v>
      </c>
      <c r="BW39" s="19" t="s">
        <v>155</v>
      </c>
    </row>
    <row r="40" spans="1:75" x14ac:dyDescent="0.25">
      <c r="A40" s="33" t="s">
        <v>606</v>
      </c>
      <c r="B40" s="7" t="s">
        <v>158</v>
      </c>
      <c r="C40" s="7" t="s">
        <v>81</v>
      </c>
      <c r="D4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2.3473413099468588E-2</v>
      </c>
      <c r="E40" s="32">
        <v>1617</v>
      </c>
      <c r="F40" s="32">
        <v>0</v>
      </c>
      <c r="G40" s="32">
        <v>543</v>
      </c>
      <c r="H40" s="32">
        <v>0</v>
      </c>
      <c r="I40" s="32">
        <v>0</v>
      </c>
      <c r="J40" s="32">
        <v>92019</v>
      </c>
      <c r="K40" s="32">
        <v>0</v>
      </c>
      <c r="L4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40" s="32">
        <v>0</v>
      </c>
      <c r="N40" s="32">
        <v>0</v>
      </c>
      <c r="O40" s="32">
        <v>1708</v>
      </c>
      <c r="P40" s="32">
        <v>0</v>
      </c>
      <c r="Q4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0" s="32">
        <v>0</v>
      </c>
      <c r="S40" s="32">
        <v>0</v>
      </c>
      <c r="T40" s="32">
        <v>0</v>
      </c>
      <c r="U40" s="32">
        <v>1708</v>
      </c>
      <c r="V40" s="32">
        <v>61</v>
      </c>
      <c r="W40" s="32">
        <v>0</v>
      </c>
      <c r="X40" s="32">
        <v>0</v>
      </c>
      <c r="Y4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0.24481900477075386</v>
      </c>
      <c r="Z40" s="32">
        <v>770</v>
      </c>
      <c r="AA40" s="32">
        <v>25283</v>
      </c>
      <c r="AB40" s="32">
        <v>3525</v>
      </c>
      <c r="AC40" s="32">
        <v>0</v>
      </c>
      <c r="AD40" s="32">
        <v>0</v>
      </c>
      <c r="AE40" s="32">
        <v>92019</v>
      </c>
      <c r="AF40" s="32">
        <v>0</v>
      </c>
      <c r="AG4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-2.3952095808383233E-3</v>
      </c>
      <c r="AH40" s="32">
        <v>205</v>
      </c>
      <c r="AI40" s="32">
        <v>0</v>
      </c>
      <c r="AJ40" s="32">
        <v>379</v>
      </c>
      <c r="AK40" s="32">
        <v>0</v>
      </c>
      <c r="AL40" s="32">
        <v>0</v>
      </c>
      <c r="AM40" s="32">
        <v>1815</v>
      </c>
      <c r="AN40" s="32">
        <v>1987</v>
      </c>
      <c r="AO40" s="32">
        <v>-438</v>
      </c>
      <c r="AP40" s="32">
        <v>-397</v>
      </c>
      <c r="AQ4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12.03688524590164</v>
      </c>
      <c r="AR40" s="32">
        <v>6525</v>
      </c>
      <c r="AS40" s="32">
        <v>10264</v>
      </c>
      <c r="AT40" s="32">
        <v>866</v>
      </c>
      <c r="AU40" s="32">
        <v>11</v>
      </c>
      <c r="AV40" s="32">
        <v>763</v>
      </c>
      <c r="AW40" s="32">
        <v>1815</v>
      </c>
      <c r="AX40" s="32">
        <v>0</v>
      </c>
      <c r="AY40" s="32">
        <v>0</v>
      </c>
      <c r="AZ40" s="32">
        <v>0</v>
      </c>
      <c r="BA40" s="32">
        <v>108</v>
      </c>
      <c r="BB40" s="32">
        <v>207</v>
      </c>
      <c r="BC40" s="32">
        <v>1708</v>
      </c>
      <c r="BD40" s="34">
        <f>IFERROR(SUM(Entity_Metrics[[#This Row],[Operating surplus/(deficit) (social housing lettings)]])/SUM(Entity_Metrics[[#This Row],[Turnover from social housing lettings]]),"")</f>
        <v>2.5051315543944765E-2</v>
      </c>
      <c r="BE40" s="32">
        <v>537</v>
      </c>
      <c r="BF40" s="32">
        <v>21436</v>
      </c>
      <c r="BG40" s="34">
        <f>IFERROR(SUM(Entity_Metrics[[#This Row],[Operating surplus/(deficit) (overall)2]],-Entity_Metrics[[#This Row],[Gain/(loss) on disposal of fixed assets (housing properties)2]])/SUM(Entity_Metrics[[#This Row],[Turnover (overall)]]),"")</f>
        <v>7.6925963450786145E-3</v>
      </c>
      <c r="BH40" s="32">
        <v>205</v>
      </c>
      <c r="BI40" s="32">
        <v>0</v>
      </c>
      <c r="BJ40" s="32">
        <v>26649</v>
      </c>
      <c r="BK40" s="34">
        <f>IFERROR(SUM(Entity_Metrics[[#This Row],[Operating surplus/(deficit) (overall)3]],Entity_Metrics[[#This Row],[Share of operating surplus/(deficit) in joint ventures or associates]])/SUM(Entity_Metrics[[#This Row],[Total assets less current liabilities]]),"")</f>
        <v>4.9822388195646236E-3</v>
      </c>
      <c r="BL40" s="32">
        <v>205</v>
      </c>
      <c r="BM40" s="32">
        <v>342</v>
      </c>
      <c r="BN40" s="32">
        <v>109790</v>
      </c>
      <c r="BO40" s="34">
        <v>0.11929507455942159</v>
      </c>
      <c r="BP40" s="34">
        <v>0.59150474469046543</v>
      </c>
      <c r="BQ40" s="6" t="s">
        <v>82</v>
      </c>
      <c r="BR40" s="6" t="s">
        <v>83</v>
      </c>
      <c r="BS40" s="6" t="s">
        <v>83</v>
      </c>
      <c r="BT40" s="6" t="s">
        <v>156</v>
      </c>
      <c r="BU40" s="8">
        <v>1.2412865284646868</v>
      </c>
      <c r="BV40" s="37" t="s">
        <v>606</v>
      </c>
      <c r="BW40" s="19" t="s">
        <v>158</v>
      </c>
    </row>
    <row r="41" spans="1:75" x14ac:dyDescent="0.25">
      <c r="A41" s="33" t="s">
        <v>607</v>
      </c>
      <c r="B41" s="7" t="s">
        <v>160</v>
      </c>
      <c r="C41" s="7" t="s">
        <v>81</v>
      </c>
      <c r="D4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0.10488921417671875</v>
      </c>
      <c r="E41" s="32">
        <v>56390</v>
      </c>
      <c r="F41" s="32">
        <v>0</v>
      </c>
      <c r="G41" s="32">
        <v>2761</v>
      </c>
      <c r="H41" s="32">
        <v>1613</v>
      </c>
      <c r="I41" s="32">
        <v>0</v>
      </c>
      <c r="J41" s="32">
        <v>579316</v>
      </c>
      <c r="K41" s="32">
        <v>0</v>
      </c>
      <c r="L4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3.1269608868437562E-2</v>
      </c>
      <c r="M41" s="32">
        <v>293</v>
      </c>
      <c r="N41" s="32">
        <v>6</v>
      </c>
      <c r="O41" s="32">
        <v>8809</v>
      </c>
      <c r="P41" s="32">
        <v>753</v>
      </c>
      <c r="Q4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6.1964267272539503E-4</v>
      </c>
      <c r="R41" s="32">
        <v>0</v>
      </c>
      <c r="S41" s="32">
        <v>0</v>
      </c>
      <c r="T41" s="32">
        <v>6</v>
      </c>
      <c r="U41" s="32">
        <v>8809</v>
      </c>
      <c r="V41" s="32">
        <v>121</v>
      </c>
      <c r="W41" s="32">
        <v>753</v>
      </c>
      <c r="X41" s="32">
        <v>0</v>
      </c>
      <c r="Y4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0.63853233813669918</v>
      </c>
      <c r="Z41" s="32">
        <v>4582</v>
      </c>
      <c r="AA41" s="32">
        <v>414502</v>
      </c>
      <c r="AB41" s="32">
        <v>49172</v>
      </c>
      <c r="AC41" s="32">
        <v>0</v>
      </c>
      <c r="AD41" s="32">
        <v>0</v>
      </c>
      <c r="AE41" s="32">
        <v>579316</v>
      </c>
      <c r="AF41" s="32">
        <v>0</v>
      </c>
      <c r="AG4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1.6068447412353923</v>
      </c>
      <c r="AH41" s="32">
        <v>19247</v>
      </c>
      <c r="AI41" s="32">
        <v>613</v>
      </c>
      <c r="AJ41" s="32">
        <v>10</v>
      </c>
      <c r="AK41" s="32">
        <v>0</v>
      </c>
      <c r="AL41" s="32">
        <v>644</v>
      </c>
      <c r="AM41" s="32">
        <v>2761</v>
      </c>
      <c r="AN41" s="32">
        <v>8518</v>
      </c>
      <c r="AO41" s="32">
        <v>-1613</v>
      </c>
      <c r="AP41" s="32">
        <v>-13961</v>
      </c>
      <c r="AQ4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3.3087751163582699</v>
      </c>
      <c r="AR41" s="32">
        <v>11968</v>
      </c>
      <c r="AS41" s="32">
        <v>2570</v>
      </c>
      <c r="AT41" s="32">
        <v>4640</v>
      </c>
      <c r="AU41" s="32">
        <v>6178</v>
      </c>
      <c r="AV41" s="32">
        <v>433</v>
      </c>
      <c r="AW41" s="32">
        <v>2761</v>
      </c>
      <c r="AX41" s="32">
        <v>188</v>
      </c>
      <c r="AY41" s="32">
        <v>320</v>
      </c>
      <c r="AZ41" s="32">
        <v>0</v>
      </c>
      <c r="BA41" s="32">
        <v>0</v>
      </c>
      <c r="BB41" s="32">
        <v>89</v>
      </c>
      <c r="BC41" s="32">
        <v>8809</v>
      </c>
      <c r="BD41" s="34">
        <f>IFERROR(SUM(Entity_Metrics[[#This Row],[Operating surplus/(deficit) (social housing lettings)]])/SUM(Entity_Metrics[[#This Row],[Turnover from social housing lettings]]),"")</f>
        <v>0.31395631067961166</v>
      </c>
      <c r="BE41" s="32">
        <v>15522</v>
      </c>
      <c r="BF41" s="32">
        <v>49440</v>
      </c>
      <c r="BG41" s="34">
        <f>IFERROR(SUM(Entity_Metrics[[#This Row],[Operating surplus/(deficit) (overall)2]],-Entity_Metrics[[#This Row],[Gain/(loss) on disposal of fixed assets (housing properties)2]])/SUM(Entity_Metrics[[#This Row],[Turnover (overall)]]),"")</f>
        <v>0.31520010825806016</v>
      </c>
      <c r="BH41" s="32">
        <v>19247</v>
      </c>
      <c r="BI41" s="32">
        <v>613</v>
      </c>
      <c r="BJ41" s="32">
        <v>59118</v>
      </c>
      <c r="BK41" s="34">
        <f>IFERROR(SUM(Entity_Metrics[[#This Row],[Operating surplus/(deficit) (overall)3]],Entity_Metrics[[#This Row],[Share of operating surplus/(deficit) in joint ventures or associates]])/SUM(Entity_Metrics[[#This Row],[Total assets less current liabilities]]),"")</f>
        <v>2.9606943102737492E-2</v>
      </c>
      <c r="BL41" s="32">
        <v>19247</v>
      </c>
      <c r="BM41" s="32">
        <v>0</v>
      </c>
      <c r="BN41" s="32">
        <v>650084</v>
      </c>
      <c r="BO41" s="34">
        <v>2.3847376788553257E-3</v>
      </c>
      <c r="BP41" s="34">
        <v>0</v>
      </c>
      <c r="BQ41" s="6" t="s">
        <v>93</v>
      </c>
      <c r="BR41" s="6">
        <v>2002</v>
      </c>
      <c r="BS41" s="6" t="s">
        <v>94</v>
      </c>
      <c r="BT41" s="6" t="s">
        <v>100</v>
      </c>
      <c r="BU41" s="8">
        <v>1.0022399874355168</v>
      </c>
      <c r="BV41" s="37" t="s">
        <v>607</v>
      </c>
      <c r="BW41" s="19" t="s">
        <v>160</v>
      </c>
    </row>
    <row r="42" spans="1:75" x14ac:dyDescent="0.25">
      <c r="A42" s="33" t="s">
        <v>161</v>
      </c>
      <c r="B42" s="7" t="s">
        <v>162</v>
      </c>
      <c r="C42" s="7" t="s">
        <v>81</v>
      </c>
      <c r="D4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0.1470578649762902</v>
      </c>
      <c r="E42" s="32">
        <v>6196</v>
      </c>
      <c r="F42" s="32">
        <v>7553</v>
      </c>
      <c r="G42" s="32">
        <v>4300</v>
      </c>
      <c r="H42" s="32">
        <v>0</v>
      </c>
      <c r="I42" s="32">
        <v>0</v>
      </c>
      <c r="J42" s="32">
        <v>122734</v>
      </c>
      <c r="K42" s="32">
        <v>0</v>
      </c>
      <c r="L4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2.2709627329192548E-2</v>
      </c>
      <c r="M42" s="32">
        <v>117</v>
      </c>
      <c r="N42" s="32">
        <v>0</v>
      </c>
      <c r="O42" s="32">
        <v>5152</v>
      </c>
      <c r="P42" s="32">
        <v>0</v>
      </c>
      <c r="Q4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2" s="32">
        <v>0</v>
      </c>
      <c r="S42" s="32">
        <v>0</v>
      </c>
      <c r="T42" s="32">
        <v>0</v>
      </c>
      <c r="U42" s="32">
        <v>5152</v>
      </c>
      <c r="V42" s="32">
        <v>0</v>
      </c>
      <c r="W42" s="32">
        <v>0</v>
      </c>
      <c r="X42" s="32">
        <v>0</v>
      </c>
      <c r="Y4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0.5677725813547998</v>
      </c>
      <c r="Z42" s="32">
        <v>0</v>
      </c>
      <c r="AA42" s="32">
        <v>75938</v>
      </c>
      <c r="AB42" s="32">
        <v>6253</v>
      </c>
      <c r="AC42" s="32">
        <v>0</v>
      </c>
      <c r="AD42" s="32">
        <v>0</v>
      </c>
      <c r="AE42" s="32">
        <v>122734</v>
      </c>
      <c r="AF42" s="32">
        <v>0</v>
      </c>
      <c r="AG4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2.4567961165048544</v>
      </c>
      <c r="AH42" s="32">
        <v>9824</v>
      </c>
      <c r="AI42" s="32">
        <v>604</v>
      </c>
      <c r="AJ42" s="32">
        <v>96</v>
      </c>
      <c r="AK42" s="32">
        <v>0</v>
      </c>
      <c r="AL42" s="32">
        <v>28</v>
      </c>
      <c r="AM42" s="32">
        <v>4300</v>
      </c>
      <c r="AN42" s="32">
        <v>5270</v>
      </c>
      <c r="AO42" s="32">
        <v>0</v>
      </c>
      <c r="AP42" s="32">
        <v>-4120</v>
      </c>
      <c r="AQ4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3.100309837335399</v>
      </c>
      <c r="AR42" s="32">
        <v>4857</v>
      </c>
      <c r="AS42" s="32">
        <v>1117</v>
      </c>
      <c r="AT42" s="32">
        <v>3286</v>
      </c>
      <c r="AU42" s="32">
        <v>1863</v>
      </c>
      <c r="AV42" s="32">
        <v>0</v>
      </c>
      <c r="AW42" s="32">
        <v>4300</v>
      </c>
      <c r="AX42" s="32">
        <v>95</v>
      </c>
      <c r="AY42" s="32">
        <v>0</v>
      </c>
      <c r="AZ42" s="32">
        <v>0</v>
      </c>
      <c r="BA42" s="32">
        <v>185</v>
      </c>
      <c r="BB42" s="32">
        <v>307</v>
      </c>
      <c r="BC42" s="32">
        <v>5164</v>
      </c>
      <c r="BD42" s="34">
        <f>IFERROR(SUM(Entity_Metrics[[#This Row],[Operating surplus/(deficit) (social housing lettings)]])/SUM(Entity_Metrics[[#This Row],[Turnover from social housing lettings]]),"")</f>
        <v>0.34556454781173884</v>
      </c>
      <c r="BE42" s="32">
        <v>8796</v>
      </c>
      <c r="BF42" s="32">
        <v>25454</v>
      </c>
      <c r="BG42" s="34">
        <f>IFERROR(SUM(Entity_Metrics[[#This Row],[Operating surplus/(deficit) (overall)2]],-Entity_Metrics[[#This Row],[Gain/(loss) on disposal of fixed assets (housing properties)2]])/SUM(Entity_Metrics[[#This Row],[Turnover (overall)]]),"")</f>
        <v>0.31237295026426343</v>
      </c>
      <c r="BH42" s="32">
        <v>9824</v>
      </c>
      <c r="BI42" s="32">
        <v>604</v>
      </c>
      <c r="BJ42" s="32">
        <v>29516</v>
      </c>
      <c r="BK42" s="34">
        <f>IFERROR(SUM(Entity_Metrics[[#This Row],[Operating surplus/(deficit) (overall)3]],Entity_Metrics[[#This Row],[Share of operating surplus/(deficit) in joint ventures or associates]])/SUM(Entity_Metrics[[#This Row],[Total assets less current liabilities]]),"")</f>
        <v>7.1441037873058347E-2</v>
      </c>
      <c r="BL42" s="32">
        <v>9824</v>
      </c>
      <c r="BM42" s="32">
        <v>0</v>
      </c>
      <c r="BN42" s="32">
        <v>137512</v>
      </c>
      <c r="BO42" s="34">
        <v>9.7049689440993788E-4</v>
      </c>
      <c r="BP42" s="34">
        <v>0.22612577639751552</v>
      </c>
      <c r="BQ42" s="6" t="s">
        <v>93</v>
      </c>
      <c r="BR42" s="6">
        <v>2006</v>
      </c>
      <c r="BS42" s="6" t="s">
        <v>94</v>
      </c>
      <c r="BT42" s="6" t="s">
        <v>105</v>
      </c>
      <c r="BU42" s="8">
        <v>0.91574964289161631</v>
      </c>
      <c r="BV42" s="37" t="s">
        <v>161</v>
      </c>
      <c r="BW42" s="19" t="s">
        <v>162</v>
      </c>
    </row>
    <row r="43" spans="1:75" x14ac:dyDescent="0.25">
      <c r="A43" s="33" t="s">
        <v>608</v>
      </c>
      <c r="B43" s="7" t="s">
        <v>609</v>
      </c>
      <c r="C43" s="7" t="s">
        <v>81</v>
      </c>
      <c r="D4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0.21026790695787134</v>
      </c>
      <c r="E43" s="32">
        <v>19726</v>
      </c>
      <c r="F43" s="32">
        <v>0</v>
      </c>
      <c r="G43" s="32">
        <v>571</v>
      </c>
      <c r="H43" s="32">
        <v>431</v>
      </c>
      <c r="I43" s="32">
        <v>0</v>
      </c>
      <c r="J43" s="32">
        <v>98579</v>
      </c>
      <c r="K43" s="32">
        <v>0</v>
      </c>
      <c r="L4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9.316596931659693E-2</v>
      </c>
      <c r="M43" s="32">
        <v>334</v>
      </c>
      <c r="N43" s="32">
        <v>0</v>
      </c>
      <c r="O43" s="32">
        <v>3468</v>
      </c>
      <c r="P43" s="32">
        <v>117</v>
      </c>
      <c r="Q4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3" s="32">
        <v>0</v>
      </c>
      <c r="S43" s="32">
        <v>0</v>
      </c>
      <c r="T43" s="32">
        <v>0</v>
      </c>
      <c r="U43" s="32">
        <v>3468</v>
      </c>
      <c r="V43" s="32">
        <v>0</v>
      </c>
      <c r="W43" s="32">
        <v>117</v>
      </c>
      <c r="X43" s="32">
        <v>0</v>
      </c>
      <c r="Y4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0.63716410188782602</v>
      </c>
      <c r="Z43" s="32">
        <v>0</v>
      </c>
      <c r="AA43" s="32">
        <v>77396</v>
      </c>
      <c r="AB43" s="32">
        <v>14585</v>
      </c>
      <c r="AC43" s="32">
        <v>0</v>
      </c>
      <c r="AD43" s="32">
        <v>0</v>
      </c>
      <c r="AE43" s="32">
        <v>98579</v>
      </c>
      <c r="AF43" s="32">
        <v>0</v>
      </c>
      <c r="AG4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2.1669472502805838</v>
      </c>
      <c r="AH43" s="32">
        <v>7641</v>
      </c>
      <c r="AI43" s="32">
        <v>670</v>
      </c>
      <c r="AJ43" s="32">
        <v>55</v>
      </c>
      <c r="AK43" s="32">
        <v>0</v>
      </c>
      <c r="AL43" s="32">
        <v>31</v>
      </c>
      <c r="AM43" s="32">
        <v>571</v>
      </c>
      <c r="AN43" s="32">
        <v>1347</v>
      </c>
      <c r="AO43" s="32">
        <v>-431</v>
      </c>
      <c r="AP43" s="32">
        <v>-3133</v>
      </c>
      <c r="AQ4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1.2238831323254629</v>
      </c>
      <c r="AR43" s="32">
        <v>2621</v>
      </c>
      <c r="AS43" s="32">
        <v>546</v>
      </c>
      <c r="AT43" s="32">
        <v>1864</v>
      </c>
      <c r="AU43" s="32">
        <v>1439</v>
      </c>
      <c r="AV43" s="32">
        <v>110</v>
      </c>
      <c r="AW43" s="32">
        <v>571</v>
      </c>
      <c r="AX43" s="32">
        <v>54</v>
      </c>
      <c r="AY43" s="32">
        <v>0</v>
      </c>
      <c r="AZ43" s="32">
        <v>0</v>
      </c>
      <c r="BA43" s="32">
        <v>0</v>
      </c>
      <c r="BB43" s="32">
        <v>0</v>
      </c>
      <c r="BC43" s="32">
        <v>5887</v>
      </c>
      <c r="BD43" s="34">
        <f>IFERROR(SUM(Entity_Metrics[[#This Row],[Operating surplus/(deficit) (social housing lettings)]])/SUM(Entity_Metrics[[#This Row],[Turnover from social housing lettings]]),"")</f>
        <v>0.44429075316411926</v>
      </c>
      <c r="BE43" s="32">
        <v>6424</v>
      </c>
      <c r="BF43" s="32">
        <v>14459</v>
      </c>
      <c r="BG43" s="34">
        <f>IFERROR(SUM(Entity_Metrics[[#This Row],[Operating surplus/(deficit) (overall)2]],-Entity_Metrics[[#This Row],[Gain/(loss) on disposal of fixed assets (housing properties)2]])/SUM(Entity_Metrics[[#This Row],[Turnover (overall)]]),"")</f>
        <v>0.45955567275364229</v>
      </c>
      <c r="BH43" s="32">
        <v>7641</v>
      </c>
      <c r="BI43" s="32">
        <v>670</v>
      </c>
      <c r="BJ43" s="32">
        <v>15169</v>
      </c>
      <c r="BK43" s="34">
        <f>IFERROR(SUM(Entity_Metrics[[#This Row],[Operating surplus/(deficit) (overall)3]],Entity_Metrics[[#This Row],[Share of operating surplus/(deficit) in joint ventures or associates]])/SUM(Entity_Metrics[[#This Row],[Total assets less current liabilities]]),"")</f>
        <v>6.7903099672970285E-2</v>
      </c>
      <c r="BL43" s="32">
        <v>7641</v>
      </c>
      <c r="BM43" s="32">
        <v>0</v>
      </c>
      <c r="BN43" s="32">
        <v>112528</v>
      </c>
      <c r="BO43" s="34">
        <v>8.0738177623990767E-3</v>
      </c>
      <c r="BP43" s="34">
        <v>0.10784313725490197</v>
      </c>
      <c r="BQ43" s="6" t="s">
        <v>93</v>
      </c>
      <c r="BR43" s="6">
        <v>2007</v>
      </c>
      <c r="BS43" s="6" t="s">
        <v>120</v>
      </c>
      <c r="BT43" s="6" t="s">
        <v>105</v>
      </c>
      <c r="BU43" s="8">
        <v>0.9156653862445665</v>
      </c>
      <c r="BV43" s="37" t="s">
        <v>577</v>
      </c>
      <c r="BW43" s="19" t="s">
        <v>278</v>
      </c>
    </row>
    <row r="44" spans="1:75" x14ac:dyDescent="0.25">
      <c r="A44" s="33" t="s">
        <v>163</v>
      </c>
      <c r="B44" s="7" t="s">
        <v>164</v>
      </c>
      <c r="C44" s="7" t="s">
        <v>81</v>
      </c>
      <c r="D4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2.0226482652066485E-2</v>
      </c>
      <c r="E44" s="32">
        <v>2071</v>
      </c>
      <c r="F44" s="32">
        <v>0</v>
      </c>
      <c r="G44" s="32">
        <v>1228</v>
      </c>
      <c r="H44" s="32">
        <v>0</v>
      </c>
      <c r="I44" s="32">
        <v>0</v>
      </c>
      <c r="J44" s="32">
        <v>163103</v>
      </c>
      <c r="K44" s="32">
        <v>0</v>
      </c>
      <c r="L4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1.3717421124828531E-3</v>
      </c>
      <c r="M44" s="32">
        <v>2</v>
      </c>
      <c r="N44" s="32">
        <v>0</v>
      </c>
      <c r="O44" s="32">
        <v>1458</v>
      </c>
      <c r="P44" s="32">
        <v>0</v>
      </c>
      <c r="Q4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4" s="32">
        <v>0</v>
      </c>
      <c r="S44" s="32">
        <v>0</v>
      </c>
      <c r="T44" s="32">
        <v>0</v>
      </c>
      <c r="U44" s="32">
        <v>1458</v>
      </c>
      <c r="V44" s="32">
        <v>0</v>
      </c>
      <c r="W44" s="32">
        <v>0</v>
      </c>
      <c r="X44" s="32">
        <v>0</v>
      </c>
      <c r="Y4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0.41067301030637082</v>
      </c>
      <c r="Z44" s="32">
        <v>2976</v>
      </c>
      <c r="AA44" s="32">
        <v>67203</v>
      </c>
      <c r="AB44" s="32">
        <v>3197</v>
      </c>
      <c r="AC44" s="32">
        <v>0</v>
      </c>
      <c r="AD44" s="32">
        <v>0</v>
      </c>
      <c r="AE44" s="32">
        <v>163103</v>
      </c>
      <c r="AF44" s="32">
        <v>0</v>
      </c>
      <c r="AG4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0.89282769991755973</v>
      </c>
      <c r="AH44" s="32">
        <v>2965</v>
      </c>
      <c r="AI44" s="32">
        <v>564</v>
      </c>
      <c r="AJ44" s="32">
        <v>1322</v>
      </c>
      <c r="AK44" s="32">
        <v>0</v>
      </c>
      <c r="AL44" s="32">
        <v>3</v>
      </c>
      <c r="AM44" s="32">
        <v>1228</v>
      </c>
      <c r="AN44" s="32">
        <v>2312</v>
      </c>
      <c r="AO44" s="32">
        <v>-101</v>
      </c>
      <c r="AP44" s="32">
        <v>-2325</v>
      </c>
      <c r="AQ4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7.7126200274348422</v>
      </c>
      <c r="AR44" s="32">
        <v>2994</v>
      </c>
      <c r="AS44" s="32">
        <v>1968</v>
      </c>
      <c r="AT44" s="32">
        <v>2201</v>
      </c>
      <c r="AU44" s="32">
        <v>407</v>
      </c>
      <c r="AV44" s="32">
        <v>0</v>
      </c>
      <c r="AW44" s="32">
        <v>1228</v>
      </c>
      <c r="AX44" s="32">
        <v>1720</v>
      </c>
      <c r="AY44" s="32">
        <v>0</v>
      </c>
      <c r="AZ44" s="32">
        <v>0</v>
      </c>
      <c r="BA44" s="32">
        <v>0</v>
      </c>
      <c r="BB44" s="32">
        <v>727</v>
      </c>
      <c r="BC44" s="32">
        <v>1458</v>
      </c>
      <c r="BD44" s="34">
        <f>IFERROR(SUM(Entity_Metrics[[#This Row],[Operating surplus/(deficit) (social housing lettings)]])/SUM(Entity_Metrics[[#This Row],[Turnover from social housing lettings]]),"")</f>
        <v>0.14096786110084966</v>
      </c>
      <c r="BE44" s="32">
        <v>1908</v>
      </c>
      <c r="BF44" s="32">
        <v>13535</v>
      </c>
      <c r="BG44" s="34">
        <f>IFERROR(SUM(Entity_Metrics[[#This Row],[Operating surplus/(deficit) (overall)2]],-Entity_Metrics[[#This Row],[Gain/(loss) on disposal of fixed assets (housing properties)2]])/SUM(Entity_Metrics[[#This Row],[Turnover (overall)]]),"")</f>
        <v>0.16028037383177571</v>
      </c>
      <c r="BH44" s="32">
        <v>2965</v>
      </c>
      <c r="BI44" s="32">
        <v>564</v>
      </c>
      <c r="BJ44" s="32">
        <v>14980</v>
      </c>
      <c r="BK44" s="34">
        <f>IFERROR(SUM(Entity_Metrics[[#This Row],[Operating surplus/(deficit) (overall)3]],Entity_Metrics[[#This Row],[Share of operating surplus/(deficit) in joint ventures or associates]])/SUM(Entity_Metrics[[#This Row],[Total assets less current liabilities]]),"")</f>
        <v>1.8200680146833143E-2</v>
      </c>
      <c r="BL44" s="32">
        <v>2965</v>
      </c>
      <c r="BM44" s="32">
        <v>0</v>
      </c>
      <c r="BN44" s="32">
        <v>162906</v>
      </c>
      <c r="BO44" s="34">
        <v>0.15282880235121235</v>
      </c>
      <c r="BP44" s="34">
        <v>0.17119764878765614</v>
      </c>
      <c r="BQ44" s="6" t="s">
        <v>82</v>
      </c>
      <c r="BR44" s="6" t="s">
        <v>83</v>
      </c>
      <c r="BS44" s="6" t="s">
        <v>83</v>
      </c>
      <c r="BT44" s="6" t="s">
        <v>156</v>
      </c>
      <c r="BU44" s="8">
        <v>1.2488627787394371</v>
      </c>
      <c r="BV44" s="37" t="s">
        <v>163</v>
      </c>
      <c r="BW44" s="19" t="s">
        <v>164</v>
      </c>
    </row>
    <row r="45" spans="1:75" x14ac:dyDescent="0.25">
      <c r="A45" s="33" t="s">
        <v>610</v>
      </c>
      <c r="B45" s="7" t="s">
        <v>611</v>
      </c>
      <c r="C45" s="7" t="s">
        <v>81</v>
      </c>
      <c r="D4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6.7485453636993695E-2</v>
      </c>
      <c r="E45" s="32">
        <v>0</v>
      </c>
      <c r="F45" s="32">
        <v>0</v>
      </c>
      <c r="G45" s="32">
        <v>4187</v>
      </c>
      <c r="H45" s="32">
        <v>0</v>
      </c>
      <c r="I45" s="32">
        <v>0</v>
      </c>
      <c r="J45" s="32">
        <v>62043</v>
      </c>
      <c r="K45" s="32">
        <v>0</v>
      </c>
      <c r="L4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45" s="32">
        <v>0</v>
      </c>
      <c r="N45" s="32">
        <v>0</v>
      </c>
      <c r="O45" s="32">
        <v>4188</v>
      </c>
      <c r="P45" s="32">
        <v>0</v>
      </c>
      <c r="Q4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5" s="32">
        <v>0</v>
      </c>
      <c r="S45" s="32">
        <v>0</v>
      </c>
      <c r="T45" s="32">
        <v>0</v>
      </c>
      <c r="U45" s="32">
        <v>4188</v>
      </c>
      <c r="V45" s="32">
        <v>0</v>
      </c>
      <c r="W45" s="32">
        <v>0</v>
      </c>
      <c r="X45" s="32">
        <v>0</v>
      </c>
      <c r="Y4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0.75720065116129132</v>
      </c>
      <c r="Z45" s="32">
        <v>2646</v>
      </c>
      <c r="AA45" s="32">
        <v>48945</v>
      </c>
      <c r="AB45" s="32">
        <v>4612</v>
      </c>
      <c r="AC45" s="32">
        <v>0</v>
      </c>
      <c r="AD45" s="32">
        <v>0</v>
      </c>
      <c r="AE45" s="32">
        <v>62043</v>
      </c>
      <c r="AF45" s="32">
        <v>0</v>
      </c>
      <c r="AG4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-0.17075413856529736</v>
      </c>
      <c r="AH45" s="32">
        <v>3471</v>
      </c>
      <c r="AI45" s="32">
        <v>1196</v>
      </c>
      <c r="AJ45" s="32">
        <v>1135</v>
      </c>
      <c r="AK45" s="32">
        <v>0</v>
      </c>
      <c r="AL45" s="32">
        <v>10</v>
      </c>
      <c r="AM45" s="32">
        <v>4187</v>
      </c>
      <c r="AN45" s="32">
        <v>2480</v>
      </c>
      <c r="AO45" s="32">
        <v>-272</v>
      </c>
      <c r="AP45" s="32">
        <v>-2990</v>
      </c>
      <c r="AQ4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3.9283667621776504</v>
      </c>
      <c r="AR45" s="32">
        <v>5237</v>
      </c>
      <c r="AS45" s="32">
        <v>988</v>
      </c>
      <c r="AT45" s="32">
        <v>2400</v>
      </c>
      <c r="AU45" s="32">
        <v>660</v>
      </c>
      <c r="AV45" s="32">
        <v>2469</v>
      </c>
      <c r="AW45" s="32">
        <v>4187</v>
      </c>
      <c r="AX45" s="32">
        <v>356</v>
      </c>
      <c r="AY45" s="32">
        <v>147</v>
      </c>
      <c r="AZ45" s="32">
        <v>0</v>
      </c>
      <c r="BA45" s="32">
        <v>0</v>
      </c>
      <c r="BB45" s="32">
        <v>8</v>
      </c>
      <c r="BC45" s="32">
        <v>4188</v>
      </c>
      <c r="BD45" s="34">
        <f>IFERROR(SUM(Entity_Metrics[[#This Row],[Operating surplus/(deficit) (social housing lettings)]])/SUM(Entity_Metrics[[#This Row],[Turnover from social housing lettings]]),"")</f>
        <v>0.15127225778686321</v>
      </c>
      <c r="BE45" s="32">
        <v>2812</v>
      </c>
      <c r="BF45" s="32">
        <v>18589</v>
      </c>
      <c r="BG45" s="34">
        <f>IFERROR(SUM(Entity_Metrics[[#This Row],[Operating surplus/(deficit) (overall)2]],-Entity_Metrics[[#This Row],[Gain/(loss) on disposal of fixed assets (housing properties)2]])/SUM(Entity_Metrics[[#This Row],[Turnover (overall)]]),"")</f>
        <v>0.11939750183688465</v>
      </c>
      <c r="BH45" s="32">
        <v>3471</v>
      </c>
      <c r="BI45" s="32">
        <v>1196</v>
      </c>
      <c r="BJ45" s="32">
        <v>19054</v>
      </c>
      <c r="BK45" s="34">
        <f>IFERROR(SUM(Entity_Metrics[[#This Row],[Operating surplus/(deficit) (overall)3]],Entity_Metrics[[#This Row],[Share of operating surplus/(deficit) in joint ventures or associates]])/SUM(Entity_Metrics[[#This Row],[Total assets less current liabilities]]),"")</f>
        <v>3.9716685355974092E-2</v>
      </c>
      <c r="BL45" s="32">
        <v>3471</v>
      </c>
      <c r="BM45" s="32">
        <v>0</v>
      </c>
      <c r="BN45" s="32">
        <v>87394</v>
      </c>
      <c r="BO45" s="34">
        <v>0</v>
      </c>
      <c r="BP45" s="34">
        <v>6.6857688634192934E-3</v>
      </c>
      <c r="BQ45" s="6" t="s">
        <v>93</v>
      </c>
      <c r="BR45" s="6">
        <v>2008</v>
      </c>
      <c r="BS45" s="6" t="s">
        <v>120</v>
      </c>
      <c r="BT45" s="6" t="s">
        <v>105</v>
      </c>
      <c r="BU45" s="8">
        <v>0.9156653862445665</v>
      </c>
      <c r="BV45" s="37">
        <v>4808</v>
      </c>
      <c r="BW45" s="19" t="s">
        <v>350</v>
      </c>
    </row>
    <row r="46" spans="1:75" x14ac:dyDescent="0.25">
      <c r="A46" s="33" t="s">
        <v>612</v>
      </c>
      <c r="B46" s="7" t="s">
        <v>613</v>
      </c>
      <c r="C46" s="7" t="s">
        <v>81</v>
      </c>
      <c r="D4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8.5013108694717843E-2</v>
      </c>
      <c r="E46" s="32">
        <v>13626</v>
      </c>
      <c r="F46" s="32">
        <v>3384</v>
      </c>
      <c r="G46" s="32">
        <v>8704</v>
      </c>
      <c r="H46" s="32">
        <v>0</v>
      </c>
      <c r="I46" s="32">
        <v>0</v>
      </c>
      <c r="J46" s="32">
        <v>302471</v>
      </c>
      <c r="K46" s="32">
        <v>0</v>
      </c>
      <c r="L4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9.6257404415724286E-3</v>
      </c>
      <c r="M46" s="32">
        <v>143</v>
      </c>
      <c r="N46" s="32">
        <v>0</v>
      </c>
      <c r="O46" s="32">
        <v>14856</v>
      </c>
      <c r="P46" s="32">
        <v>0</v>
      </c>
      <c r="Q4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6" s="32">
        <v>0</v>
      </c>
      <c r="S46" s="32">
        <v>0</v>
      </c>
      <c r="T46" s="32">
        <v>0</v>
      </c>
      <c r="U46" s="32">
        <v>14856</v>
      </c>
      <c r="V46" s="32">
        <v>17</v>
      </c>
      <c r="W46" s="32">
        <v>0</v>
      </c>
      <c r="X46" s="32">
        <v>0</v>
      </c>
      <c r="Y4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0.3053780362414909</v>
      </c>
      <c r="Z46" s="32">
        <v>0</v>
      </c>
      <c r="AA46" s="32">
        <v>0</v>
      </c>
      <c r="AB46" s="32">
        <v>19632</v>
      </c>
      <c r="AC46" s="32">
        <v>112000</v>
      </c>
      <c r="AD46" s="32">
        <v>0</v>
      </c>
      <c r="AE46" s="32">
        <v>302471</v>
      </c>
      <c r="AF46" s="32">
        <v>0</v>
      </c>
      <c r="AG4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2.2734250926416095</v>
      </c>
      <c r="AH46" s="32">
        <v>18280</v>
      </c>
      <c r="AI46" s="32">
        <v>649</v>
      </c>
      <c r="AJ46" s="32">
        <v>3495</v>
      </c>
      <c r="AK46" s="32">
        <v>460</v>
      </c>
      <c r="AL46" s="32">
        <v>482</v>
      </c>
      <c r="AM46" s="32">
        <v>8704</v>
      </c>
      <c r="AN46" s="32">
        <v>11724</v>
      </c>
      <c r="AO46" s="32">
        <v>0</v>
      </c>
      <c r="AP46" s="32">
        <v>-7556</v>
      </c>
      <c r="AQ4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2.8446999605211212</v>
      </c>
      <c r="AR46" s="32">
        <v>16120</v>
      </c>
      <c r="AS46" s="32">
        <v>2650</v>
      </c>
      <c r="AT46" s="32">
        <v>8317</v>
      </c>
      <c r="AU46" s="32">
        <v>4703</v>
      </c>
      <c r="AV46" s="32">
        <v>1895</v>
      </c>
      <c r="AW46" s="32">
        <v>8704</v>
      </c>
      <c r="AX46" s="32">
        <v>4596</v>
      </c>
      <c r="AY46" s="32">
        <v>0</v>
      </c>
      <c r="AZ46" s="32">
        <v>0</v>
      </c>
      <c r="BA46" s="32">
        <v>9907</v>
      </c>
      <c r="BB46" s="32">
        <v>753</v>
      </c>
      <c r="BC46" s="32">
        <v>20264</v>
      </c>
      <c r="BD46" s="34">
        <f>IFERROR(SUM(Entity_Metrics[[#This Row],[Operating surplus/(deficit) (social housing lettings)]])/SUM(Entity_Metrics[[#This Row],[Turnover from social housing lettings]]),"")</f>
        <v>0.26879321882667856</v>
      </c>
      <c r="BE46" s="32">
        <v>18075</v>
      </c>
      <c r="BF46" s="32">
        <v>67245</v>
      </c>
      <c r="BG46" s="34">
        <f>IFERROR(SUM(Entity_Metrics[[#This Row],[Operating surplus/(deficit) (overall)2]],-Entity_Metrics[[#This Row],[Gain/(loss) on disposal of fixed assets (housing properties)2]])/SUM(Entity_Metrics[[#This Row],[Turnover (overall)]]),"")</f>
        <v>0.2236102832067168</v>
      </c>
      <c r="BH46" s="32">
        <v>18280</v>
      </c>
      <c r="BI46" s="32">
        <v>649</v>
      </c>
      <c r="BJ46" s="32">
        <v>78847</v>
      </c>
      <c r="BK46" s="34">
        <f>IFERROR(SUM(Entity_Metrics[[#This Row],[Operating surplus/(deficit) (overall)3]],Entity_Metrics[[#This Row],[Share of operating surplus/(deficit) in joint ventures or associates]])/SUM(Entity_Metrics[[#This Row],[Total assets less current liabilities]]),"")</f>
        <v>4.9583369499175418E-2</v>
      </c>
      <c r="BL46" s="32">
        <v>18280</v>
      </c>
      <c r="BM46" s="32">
        <v>0</v>
      </c>
      <c r="BN46" s="32">
        <v>368672</v>
      </c>
      <c r="BO46" s="34">
        <v>6.3812600969305328E-2</v>
      </c>
      <c r="BP46" s="34">
        <v>0</v>
      </c>
      <c r="BQ46" s="6" t="s">
        <v>93</v>
      </c>
      <c r="BR46" s="6">
        <v>2008</v>
      </c>
      <c r="BS46" s="6" t="s">
        <v>120</v>
      </c>
      <c r="BT46" s="6" t="s">
        <v>105</v>
      </c>
      <c r="BU46" s="8">
        <v>0.9156653862445665</v>
      </c>
      <c r="BV46" s="37">
        <v>4820</v>
      </c>
      <c r="BW46" s="19" t="s">
        <v>214</v>
      </c>
    </row>
    <row r="47" spans="1:75" x14ac:dyDescent="0.25">
      <c r="A47" s="33" t="s">
        <v>907</v>
      </c>
      <c r="B47" s="7" t="s">
        <v>614</v>
      </c>
      <c r="C47" s="7" t="s">
        <v>81</v>
      </c>
      <c r="D4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5.8316816587894497E-2</v>
      </c>
      <c r="E47" s="32">
        <v>263900</v>
      </c>
      <c r="F47" s="32">
        <v>0</v>
      </c>
      <c r="G47" s="32">
        <v>118600</v>
      </c>
      <c r="H47" s="32">
        <v>0</v>
      </c>
      <c r="I47" s="32">
        <v>0</v>
      </c>
      <c r="J47" s="32">
        <v>6559000</v>
      </c>
      <c r="K47" s="32">
        <v>0</v>
      </c>
      <c r="L4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8.7849217566458183E-3</v>
      </c>
      <c r="M47" s="32">
        <v>1038</v>
      </c>
      <c r="N47" s="32">
        <v>0</v>
      </c>
      <c r="O47" s="32">
        <v>108338</v>
      </c>
      <c r="P47" s="32">
        <v>9819</v>
      </c>
      <c r="Q4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5.8353757148335247E-4</v>
      </c>
      <c r="R47" s="32">
        <v>0</v>
      </c>
      <c r="S47" s="32">
        <v>35</v>
      </c>
      <c r="T47" s="32">
        <v>35</v>
      </c>
      <c r="U47" s="32">
        <v>108338</v>
      </c>
      <c r="V47" s="32">
        <v>909</v>
      </c>
      <c r="W47" s="32">
        <v>9819</v>
      </c>
      <c r="X47" s="32">
        <v>892</v>
      </c>
      <c r="Y4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0.5856380545814911</v>
      </c>
      <c r="Z47" s="32">
        <v>108000</v>
      </c>
      <c r="AA47" s="32">
        <v>52300</v>
      </c>
      <c r="AB47" s="32">
        <v>54200</v>
      </c>
      <c r="AC47" s="32">
        <v>3728600</v>
      </c>
      <c r="AD47" s="32">
        <v>6500</v>
      </c>
      <c r="AE47" s="32">
        <v>6559000</v>
      </c>
      <c r="AF47" s="32">
        <v>0</v>
      </c>
      <c r="AG4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1.3376918703808982</v>
      </c>
      <c r="AH47" s="32">
        <v>299100</v>
      </c>
      <c r="AI47" s="32">
        <v>30000</v>
      </c>
      <c r="AJ47" s="32">
        <v>23800</v>
      </c>
      <c r="AK47" s="32">
        <v>0</v>
      </c>
      <c r="AL47" s="32">
        <v>16700</v>
      </c>
      <c r="AM47" s="32">
        <v>118600</v>
      </c>
      <c r="AN47" s="32">
        <v>91900</v>
      </c>
      <c r="AO47" s="32">
        <v>-8100</v>
      </c>
      <c r="AP47" s="32">
        <v>-167800</v>
      </c>
      <c r="AQ4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4.3110431932835001</v>
      </c>
      <c r="AR47" s="32">
        <v>81700</v>
      </c>
      <c r="AS47" s="32">
        <v>57700</v>
      </c>
      <c r="AT47" s="32">
        <v>123200</v>
      </c>
      <c r="AU47" s="32">
        <v>47900</v>
      </c>
      <c r="AV47" s="32">
        <v>24900</v>
      </c>
      <c r="AW47" s="32">
        <v>118600</v>
      </c>
      <c r="AX47" s="32">
        <v>900</v>
      </c>
      <c r="AY47" s="32">
        <v>5800</v>
      </c>
      <c r="AZ47" s="32">
        <v>1800</v>
      </c>
      <c r="BA47" s="32">
        <v>1800</v>
      </c>
      <c r="BB47" s="32">
        <v>4000</v>
      </c>
      <c r="BC47" s="32">
        <v>108628</v>
      </c>
      <c r="BD47" s="34">
        <f>IFERROR(SUM(Entity_Metrics[[#This Row],[Operating surplus/(deficit) (social housing lettings)]])/SUM(Entity_Metrics[[#This Row],[Turnover from social housing lettings]]),"")</f>
        <v>0.36496992812087431</v>
      </c>
      <c r="BE47" s="32">
        <v>248800</v>
      </c>
      <c r="BF47" s="32">
        <v>681700</v>
      </c>
      <c r="BG47" s="34">
        <f>IFERROR(SUM(Entity_Metrics[[#This Row],[Operating surplus/(deficit) (overall)2]],-Entity_Metrics[[#This Row],[Gain/(loss) on disposal of fixed assets (housing properties)2]])/SUM(Entity_Metrics[[#This Row],[Turnover (overall)]]),"")</f>
        <v>0.34998049161139289</v>
      </c>
      <c r="BH47" s="32">
        <v>299100</v>
      </c>
      <c r="BI47" s="32">
        <v>30000</v>
      </c>
      <c r="BJ47" s="32">
        <v>768900</v>
      </c>
      <c r="BK47" s="34">
        <f>IFERROR(SUM(Entity_Metrics[[#This Row],[Operating surplus/(deficit) (overall)3]],Entity_Metrics[[#This Row],[Share of operating surplus/(deficit) in joint ventures or associates]])/SUM(Entity_Metrics[[#This Row],[Total assets less current liabilities]]),"")</f>
        <v>4.0362193673755806E-2</v>
      </c>
      <c r="BL47" s="32">
        <v>299100</v>
      </c>
      <c r="BM47" s="32">
        <v>0</v>
      </c>
      <c r="BN47" s="32">
        <v>7410400</v>
      </c>
      <c r="BO47" s="34">
        <v>2.115590702486974E-2</v>
      </c>
      <c r="BP47" s="34">
        <v>6.7892908613872358E-2</v>
      </c>
      <c r="BQ47" s="6" t="s">
        <v>82</v>
      </c>
      <c r="BR47" s="6" t="s">
        <v>83</v>
      </c>
      <c r="BS47" s="6" t="s">
        <v>83</v>
      </c>
      <c r="BT47" s="6" t="s">
        <v>87</v>
      </c>
      <c r="BU47" s="8">
        <v>1.0867811084603032</v>
      </c>
      <c r="BV47" s="37" t="s">
        <v>615</v>
      </c>
      <c r="BW47" s="19" t="s">
        <v>166</v>
      </c>
    </row>
    <row r="48" spans="1:75" x14ac:dyDescent="0.25">
      <c r="A48" s="33" t="s">
        <v>616</v>
      </c>
      <c r="B48" s="7" t="s">
        <v>168</v>
      </c>
      <c r="C48" s="7" t="s">
        <v>81</v>
      </c>
      <c r="D4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2.415947029630618E-2</v>
      </c>
      <c r="E48" s="32">
        <v>3100</v>
      </c>
      <c r="F48" s="32">
        <v>1954</v>
      </c>
      <c r="G48" s="32">
        <v>2550</v>
      </c>
      <c r="H48" s="32">
        <v>0</v>
      </c>
      <c r="I48" s="32">
        <v>0</v>
      </c>
      <c r="J48" s="32">
        <v>5493</v>
      </c>
      <c r="K48" s="32">
        <v>309249</v>
      </c>
      <c r="L4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5.6254767353165524E-3</v>
      </c>
      <c r="M48" s="32">
        <v>58</v>
      </c>
      <c r="N48" s="32">
        <v>1</v>
      </c>
      <c r="O48" s="32">
        <v>10401</v>
      </c>
      <c r="P48" s="32">
        <v>87</v>
      </c>
      <c r="Q4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8" s="32">
        <v>0</v>
      </c>
      <c r="S48" s="32">
        <v>0</v>
      </c>
      <c r="T48" s="32">
        <v>0</v>
      </c>
      <c r="U48" s="32">
        <v>10401</v>
      </c>
      <c r="V48" s="32">
        <v>4</v>
      </c>
      <c r="W48" s="32">
        <v>87</v>
      </c>
      <c r="X48" s="32">
        <v>0</v>
      </c>
      <c r="Y4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0.49365194349657815</v>
      </c>
      <c r="Z48" s="32">
        <v>8937</v>
      </c>
      <c r="AA48" s="32">
        <v>202063</v>
      </c>
      <c r="AB48" s="32">
        <v>55627</v>
      </c>
      <c r="AC48" s="32">
        <v>0</v>
      </c>
      <c r="AD48" s="32">
        <v>0</v>
      </c>
      <c r="AE48" s="32">
        <v>5493</v>
      </c>
      <c r="AF48" s="32">
        <v>309249</v>
      </c>
      <c r="AG4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2.8513075965130761</v>
      </c>
      <c r="AH48" s="32">
        <v>19631</v>
      </c>
      <c r="AI48" s="32">
        <v>813</v>
      </c>
      <c r="AJ48" s="32">
        <v>0</v>
      </c>
      <c r="AK48" s="32">
        <v>0</v>
      </c>
      <c r="AL48" s="32">
        <v>66</v>
      </c>
      <c r="AM48" s="32">
        <v>2550</v>
      </c>
      <c r="AN48" s="32">
        <v>6562</v>
      </c>
      <c r="AO48" s="32">
        <v>0</v>
      </c>
      <c r="AP48" s="32">
        <v>-8030</v>
      </c>
      <c r="AQ4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2.7251714742083997</v>
      </c>
      <c r="AR48" s="32">
        <v>10281</v>
      </c>
      <c r="AS48" s="32">
        <v>1424</v>
      </c>
      <c r="AT48" s="32">
        <v>7177</v>
      </c>
      <c r="AU48" s="32">
        <v>2341</v>
      </c>
      <c r="AV48" s="32">
        <v>3476</v>
      </c>
      <c r="AW48" s="32">
        <v>2550</v>
      </c>
      <c r="AX48" s="32">
        <v>0</v>
      </c>
      <c r="AY48" s="32">
        <v>0</v>
      </c>
      <c r="AZ48" s="32">
        <v>0</v>
      </c>
      <c r="BA48" s="32">
        <v>1755</v>
      </c>
      <c r="BB48" s="32">
        <v>0</v>
      </c>
      <c r="BC48" s="32">
        <v>10643</v>
      </c>
      <c r="BD48" s="34">
        <f>IFERROR(SUM(Entity_Metrics[[#This Row],[Operating surplus/(deficit) (social housing lettings)]])/SUM(Entity_Metrics[[#This Row],[Turnover from social housing lettings]]),"")</f>
        <v>0.35428828019757519</v>
      </c>
      <c r="BE48" s="32">
        <v>17358</v>
      </c>
      <c r="BF48" s="32">
        <v>48994</v>
      </c>
      <c r="BG48" s="34">
        <f>IFERROR(SUM(Entity_Metrics[[#This Row],[Operating surplus/(deficit) (overall)2]],-Entity_Metrics[[#This Row],[Gain/(loss) on disposal of fixed assets (housing properties)2]])/SUM(Entity_Metrics[[#This Row],[Turnover (overall)]]),"")</f>
        <v>0.33599971431632325</v>
      </c>
      <c r="BH48" s="32">
        <v>19631</v>
      </c>
      <c r="BI48" s="32">
        <v>813</v>
      </c>
      <c r="BJ48" s="32">
        <v>56006</v>
      </c>
      <c r="BK48" s="34">
        <f>IFERROR(SUM(Entity_Metrics[[#This Row],[Operating surplus/(deficit) (overall)3]],Entity_Metrics[[#This Row],[Share of operating surplus/(deficit) in joint ventures or associates]])/SUM(Entity_Metrics[[#This Row],[Total assets less current liabilities]]),"")</f>
        <v>5.41285010781032E-2</v>
      </c>
      <c r="BL48" s="32">
        <v>19631</v>
      </c>
      <c r="BM48" s="32">
        <v>0</v>
      </c>
      <c r="BN48" s="32">
        <v>362674</v>
      </c>
      <c r="BO48" s="34">
        <v>1.153846153846154E-3</v>
      </c>
      <c r="BP48" s="34">
        <v>0</v>
      </c>
      <c r="BQ48" s="6" t="s">
        <v>93</v>
      </c>
      <c r="BR48" s="6">
        <v>2002</v>
      </c>
      <c r="BS48" s="6" t="s">
        <v>94</v>
      </c>
      <c r="BT48" s="6" t="s">
        <v>121</v>
      </c>
      <c r="BU48" s="8">
        <v>0.90317567611779648</v>
      </c>
      <c r="BV48" s="37" t="s">
        <v>616</v>
      </c>
      <c r="BW48" s="19" t="s">
        <v>168</v>
      </c>
    </row>
    <row r="49" spans="1:75" x14ac:dyDescent="0.25">
      <c r="A49" s="33" t="s">
        <v>617</v>
      </c>
      <c r="B49" s="7" t="s">
        <v>170</v>
      </c>
      <c r="C49" s="7" t="s">
        <v>81</v>
      </c>
      <c r="D4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0.17290926963425313</v>
      </c>
      <c r="E49" s="32">
        <v>32686</v>
      </c>
      <c r="F49" s="32">
        <v>478</v>
      </c>
      <c r="G49" s="32">
        <v>2330</v>
      </c>
      <c r="H49" s="32">
        <v>1195</v>
      </c>
      <c r="I49" s="32">
        <v>-4499</v>
      </c>
      <c r="J49" s="32">
        <v>186167</v>
      </c>
      <c r="K49" s="32">
        <v>0</v>
      </c>
      <c r="L4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7.4482448244824487E-2</v>
      </c>
      <c r="M49" s="32">
        <v>331</v>
      </c>
      <c r="N49" s="32">
        <v>0</v>
      </c>
      <c r="O49" s="32">
        <v>4444</v>
      </c>
      <c r="P49" s="32">
        <v>0</v>
      </c>
      <c r="Q4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49" s="32">
        <v>0</v>
      </c>
      <c r="S49" s="32">
        <v>0</v>
      </c>
      <c r="T49" s="32">
        <v>0</v>
      </c>
      <c r="U49" s="32">
        <v>4444</v>
      </c>
      <c r="V49" s="32">
        <v>0</v>
      </c>
      <c r="W49" s="32">
        <v>0</v>
      </c>
      <c r="X49" s="32">
        <v>0</v>
      </c>
      <c r="Y4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0.57469906052093012</v>
      </c>
      <c r="Z49" s="32">
        <v>0</v>
      </c>
      <c r="AA49" s="32">
        <v>113652</v>
      </c>
      <c r="AB49" s="32">
        <v>6662</v>
      </c>
      <c r="AC49" s="32">
        <v>0</v>
      </c>
      <c r="AD49" s="32">
        <v>0</v>
      </c>
      <c r="AE49" s="32">
        <v>186167</v>
      </c>
      <c r="AF49" s="32">
        <v>0</v>
      </c>
      <c r="AG4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1.6253467659512337</v>
      </c>
      <c r="AH49" s="32">
        <v>10948</v>
      </c>
      <c r="AI49" s="32">
        <v>0</v>
      </c>
      <c r="AJ49" s="32">
        <v>584</v>
      </c>
      <c r="AK49" s="32">
        <v>0</v>
      </c>
      <c r="AL49" s="32">
        <v>0</v>
      </c>
      <c r="AM49" s="32">
        <v>2330</v>
      </c>
      <c r="AN49" s="32">
        <v>3098</v>
      </c>
      <c r="AO49" s="32">
        <v>-1195</v>
      </c>
      <c r="AP49" s="32">
        <v>-5654</v>
      </c>
      <c r="AQ4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2.946164199192463</v>
      </c>
      <c r="AR49" s="32">
        <v>3048</v>
      </c>
      <c r="AS49" s="32">
        <v>1281</v>
      </c>
      <c r="AT49" s="32">
        <v>3749</v>
      </c>
      <c r="AU49" s="32">
        <v>1935</v>
      </c>
      <c r="AV49" s="32">
        <v>993</v>
      </c>
      <c r="AW49" s="32">
        <v>2330</v>
      </c>
      <c r="AX49" s="32">
        <v>170</v>
      </c>
      <c r="AY49" s="32">
        <v>0</v>
      </c>
      <c r="AZ49" s="32">
        <v>0</v>
      </c>
      <c r="BA49" s="32">
        <v>-1758</v>
      </c>
      <c r="BB49" s="32">
        <v>1386</v>
      </c>
      <c r="BC49" s="32">
        <v>4458</v>
      </c>
      <c r="BD49" s="34">
        <f>IFERROR(SUM(Entity_Metrics[[#This Row],[Operating surplus/(deficit) (social housing lettings)]])/SUM(Entity_Metrics[[#This Row],[Turnover from social housing lettings]]),"")</f>
        <v>0.35286506469500922</v>
      </c>
      <c r="BE49" s="32">
        <v>7636</v>
      </c>
      <c r="BF49" s="32">
        <v>21640</v>
      </c>
      <c r="BG49" s="34">
        <f>IFERROR(SUM(Entity_Metrics[[#This Row],[Operating surplus/(deficit) (overall)2]],-Entity_Metrics[[#This Row],[Gain/(loss) on disposal of fixed assets (housing properties)2]])/SUM(Entity_Metrics[[#This Row],[Turnover (overall)]]),"")</f>
        <v>0.37108090702640412</v>
      </c>
      <c r="BH49" s="32">
        <v>10948</v>
      </c>
      <c r="BI49" s="32">
        <v>0</v>
      </c>
      <c r="BJ49" s="32">
        <v>29503</v>
      </c>
      <c r="BK49" s="34">
        <f>IFERROR(SUM(Entity_Metrics[[#This Row],[Operating surplus/(deficit) (overall)3]],Entity_Metrics[[#This Row],[Share of operating surplus/(deficit) in joint ventures or associates]])/SUM(Entity_Metrics[[#This Row],[Total assets less current liabilities]]),"")</f>
        <v>5.611538816389712E-2</v>
      </c>
      <c r="BL49" s="32">
        <v>10948</v>
      </c>
      <c r="BM49" s="32">
        <v>0</v>
      </c>
      <c r="BN49" s="32">
        <v>195098</v>
      </c>
      <c r="BO49" s="34">
        <v>1.5066336856307623E-2</v>
      </c>
      <c r="BP49" s="34">
        <v>0.14661569597481447</v>
      </c>
      <c r="BQ49" s="6" t="s">
        <v>93</v>
      </c>
      <c r="BR49" s="6">
        <v>1998</v>
      </c>
      <c r="BS49" s="6" t="s">
        <v>94</v>
      </c>
      <c r="BT49" s="6" t="s">
        <v>115</v>
      </c>
      <c r="BU49" s="8">
        <v>0.96617455710897804</v>
      </c>
      <c r="BV49" s="37" t="s">
        <v>617</v>
      </c>
      <c r="BW49" s="19" t="s">
        <v>170</v>
      </c>
    </row>
    <row r="50" spans="1:75" x14ac:dyDescent="0.25">
      <c r="A50" s="33" t="s">
        <v>171</v>
      </c>
      <c r="B50" s="7" t="s">
        <v>172</v>
      </c>
      <c r="C50" s="7" t="s">
        <v>81</v>
      </c>
      <c r="D5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2.0919089910394029E-2</v>
      </c>
      <c r="E50" s="32">
        <v>516</v>
      </c>
      <c r="F50" s="32">
        <v>0</v>
      </c>
      <c r="G50" s="32">
        <v>2645</v>
      </c>
      <c r="H50" s="32">
        <v>0</v>
      </c>
      <c r="I50" s="32">
        <v>0</v>
      </c>
      <c r="J50" s="32">
        <v>151106</v>
      </c>
      <c r="K50" s="32">
        <v>0</v>
      </c>
      <c r="L5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50" s="32">
        <v>0</v>
      </c>
      <c r="N50" s="32">
        <v>0</v>
      </c>
      <c r="O50" s="32">
        <v>5974</v>
      </c>
      <c r="P50" s="32">
        <v>1</v>
      </c>
      <c r="Q5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0" s="32">
        <v>0</v>
      </c>
      <c r="S50" s="32">
        <v>0</v>
      </c>
      <c r="T50" s="32">
        <v>0</v>
      </c>
      <c r="U50" s="32">
        <v>5974</v>
      </c>
      <c r="V50" s="32">
        <v>9</v>
      </c>
      <c r="W50" s="32">
        <v>1</v>
      </c>
      <c r="X50" s="32">
        <v>0</v>
      </c>
      <c r="Y5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0.11641496697682421</v>
      </c>
      <c r="Z50" s="32">
        <v>0</v>
      </c>
      <c r="AA50" s="32">
        <v>29845</v>
      </c>
      <c r="AB50" s="32">
        <v>12254</v>
      </c>
      <c r="AC50" s="32">
        <v>0</v>
      </c>
      <c r="AD50" s="32">
        <v>0</v>
      </c>
      <c r="AE50" s="32">
        <v>151106</v>
      </c>
      <c r="AF50" s="32">
        <v>0</v>
      </c>
      <c r="AG5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4.4535367545076285</v>
      </c>
      <c r="AH50" s="32">
        <v>6654</v>
      </c>
      <c r="AI50" s="32">
        <v>802</v>
      </c>
      <c r="AJ50" s="32">
        <v>465</v>
      </c>
      <c r="AK50" s="32">
        <v>0</v>
      </c>
      <c r="AL50" s="32">
        <v>38</v>
      </c>
      <c r="AM50" s="32">
        <v>2645</v>
      </c>
      <c r="AN50" s="32">
        <v>6853</v>
      </c>
      <c r="AO50" s="32">
        <v>0</v>
      </c>
      <c r="AP50" s="32">
        <v>-2163</v>
      </c>
      <c r="AQ5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2.9427519250083698</v>
      </c>
      <c r="AR50" s="32">
        <v>7820</v>
      </c>
      <c r="AS50" s="32">
        <v>119</v>
      </c>
      <c r="AT50" s="32">
        <v>3783</v>
      </c>
      <c r="AU50" s="32">
        <v>721</v>
      </c>
      <c r="AV50" s="32">
        <v>1054</v>
      </c>
      <c r="AW50" s="32">
        <v>2645</v>
      </c>
      <c r="AX50" s="32">
        <v>768</v>
      </c>
      <c r="AY50" s="32">
        <v>0</v>
      </c>
      <c r="AZ50" s="32">
        <v>402</v>
      </c>
      <c r="BA50" s="32">
        <v>268</v>
      </c>
      <c r="BB50" s="32">
        <v>0</v>
      </c>
      <c r="BC50" s="32">
        <v>5974</v>
      </c>
      <c r="BD50" s="34">
        <f>IFERROR(SUM(Entity_Metrics[[#This Row],[Operating surplus/(deficit) (social housing lettings)]])/SUM(Entity_Metrics[[#This Row],[Turnover from social housing lettings]]),"")</f>
        <v>0.23051361699053674</v>
      </c>
      <c r="BE50" s="32">
        <v>6382</v>
      </c>
      <c r="BF50" s="32">
        <v>27686</v>
      </c>
      <c r="BG50" s="34">
        <f>IFERROR(SUM(Entity_Metrics[[#This Row],[Operating surplus/(deficit) (overall)2]],-Entity_Metrics[[#This Row],[Gain/(loss) on disposal of fixed assets (housing properties)2]])/SUM(Entity_Metrics[[#This Row],[Turnover (overall)]]),"")</f>
        <v>0.2101030409650666</v>
      </c>
      <c r="BH50" s="32">
        <v>6654</v>
      </c>
      <c r="BI50" s="32">
        <v>802</v>
      </c>
      <c r="BJ50" s="32">
        <v>27853</v>
      </c>
      <c r="BK50" s="34">
        <f>IFERROR(SUM(Entity_Metrics[[#This Row],[Operating surplus/(deficit) (overall)3]],Entity_Metrics[[#This Row],[Share of operating surplus/(deficit) in joint ventures or associates]])/SUM(Entity_Metrics[[#This Row],[Total assets less current liabilities]]),"")</f>
        <v>4.0374498656003691E-2</v>
      </c>
      <c r="BL50" s="32">
        <v>6654</v>
      </c>
      <c r="BM50" s="32">
        <v>0</v>
      </c>
      <c r="BN50" s="32">
        <v>164807</v>
      </c>
      <c r="BO50" s="34">
        <v>0</v>
      </c>
      <c r="BP50" s="34">
        <v>0</v>
      </c>
      <c r="BQ50" s="6" t="s">
        <v>93</v>
      </c>
      <c r="BR50" s="6">
        <v>2003</v>
      </c>
      <c r="BS50" s="6" t="s">
        <v>94</v>
      </c>
      <c r="BT50" s="6" t="s">
        <v>105</v>
      </c>
      <c r="BU50" s="8">
        <v>0.9156653862445665</v>
      </c>
      <c r="BV50" s="37" t="s">
        <v>171</v>
      </c>
      <c r="BW50" s="19" t="s">
        <v>172</v>
      </c>
    </row>
    <row r="51" spans="1:75" x14ac:dyDescent="0.25">
      <c r="A51" s="33" t="s">
        <v>173</v>
      </c>
      <c r="B51" s="7" t="s">
        <v>174</v>
      </c>
      <c r="C51" s="7" t="s">
        <v>81</v>
      </c>
      <c r="D5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6.288726008765301E-2</v>
      </c>
      <c r="E51" s="32">
        <v>11263</v>
      </c>
      <c r="F51" s="32">
        <v>0</v>
      </c>
      <c r="G51" s="32">
        <v>1503</v>
      </c>
      <c r="H51" s="32">
        <v>550</v>
      </c>
      <c r="I51" s="32">
        <v>0</v>
      </c>
      <c r="J51" s="32">
        <v>211744</v>
      </c>
      <c r="K51" s="32">
        <v>0</v>
      </c>
      <c r="L5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2.781456953642384E-2</v>
      </c>
      <c r="M51" s="32">
        <v>84</v>
      </c>
      <c r="N51" s="32">
        <v>0</v>
      </c>
      <c r="O51" s="32">
        <v>3020</v>
      </c>
      <c r="P51" s="32">
        <v>0</v>
      </c>
      <c r="Q5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1" s="32">
        <v>0</v>
      </c>
      <c r="S51" s="32">
        <v>0</v>
      </c>
      <c r="T51" s="32">
        <v>0</v>
      </c>
      <c r="U51" s="32">
        <v>3020</v>
      </c>
      <c r="V51" s="32">
        <v>0</v>
      </c>
      <c r="W51" s="32">
        <v>0</v>
      </c>
      <c r="X51" s="32">
        <v>0</v>
      </c>
      <c r="Y5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0.50182767870636236</v>
      </c>
      <c r="Z51" s="32">
        <v>27836</v>
      </c>
      <c r="AA51" s="32">
        <v>80665</v>
      </c>
      <c r="AB51" s="32">
        <v>2242</v>
      </c>
      <c r="AC51" s="32">
        <v>0</v>
      </c>
      <c r="AD51" s="32">
        <v>0</v>
      </c>
      <c r="AE51" s="32">
        <v>211744</v>
      </c>
      <c r="AF51" s="32">
        <v>0</v>
      </c>
      <c r="AG5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1.3769088773284108</v>
      </c>
      <c r="AH51" s="32">
        <v>7150</v>
      </c>
      <c r="AI51" s="32">
        <v>0</v>
      </c>
      <c r="AJ51" s="32">
        <v>793</v>
      </c>
      <c r="AK51" s="32">
        <v>0</v>
      </c>
      <c r="AL51" s="32">
        <v>5</v>
      </c>
      <c r="AM51" s="32">
        <v>1503</v>
      </c>
      <c r="AN51" s="32">
        <v>3346</v>
      </c>
      <c r="AO51" s="32">
        <v>-550</v>
      </c>
      <c r="AP51" s="32">
        <v>-5409</v>
      </c>
      <c r="AQ5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3.1329426280074029</v>
      </c>
      <c r="AR51" s="32">
        <v>3466</v>
      </c>
      <c r="AS51" s="32">
        <v>936</v>
      </c>
      <c r="AT51" s="32">
        <v>2333</v>
      </c>
      <c r="AU51" s="32">
        <v>245</v>
      </c>
      <c r="AV51" s="32">
        <v>830</v>
      </c>
      <c r="AW51" s="32">
        <v>1503</v>
      </c>
      <c r="AX51" s="32">
        <v>672</v>
      </c>
      <c r="AY51" s="32">
        <v>0</v>
      </c>
      <c r="AZ51" s="32">
        <v>0</v>
      </c>
      <c r="BA51" s="32">
        <v>172</v>
      </c>
      <c r="BB51" s="32">
        <v>0</v>
      </c>
      <c r="BC51" s="32">
        <v>3242</v>
      </c>
      <c r="BD51" s="34">
        <f>IFERROR(SUM(Entity_Metrics[[#This Row],[Operating surplus/(deficit) (social housing lettings)]])/SUM(Entity_Metrics[[#This Row],[Turnover from social housing lettings]]),"")</f>
        <v>0.35133798560360457</v>
      </c>
      <c r="BE51" s="32">
        <v>6394</v>
      </c>
      <c r="BF51" s="32">
        <v>18199</v>
      </c>
      <c r="BG51" s="34">
        <f>IFERROR(SUM(Entity_Metrics[[#This Row],[Operating surplus/(deficit) (overall)2]],-Entity_Metrics[[#This Row],[Gain/(loss) on disposal of fixed assets (housing properties)2]])/SUM(Entity_Metrics[[#This Row],[Turnover (overall)]]),"")</f>
        <v>0.35345296356715605</v>
      </c>
      <c r="BH51" s="32">
        <v>7150</v>
      </c>
      <c r="BI51" s="32">
        <v>0</v>
      </c>
      <c r="BJ51" s="32">
        <v>20229</v>
      </c>
      <c r="BK51" s="34">
        <f>IFERROR(SUM(Entity_Metrics[[#This Row],[Operating surplus/(deficit) (overall)3]],Entity_Metrics[[#This Row],[Share of operating surplus/(deficit) in joint ventures or associates]])/SUM(Entity_Metrics[[#This Row],[Total assets less current liabilities]]),"")</f>
        <v>3.862776877363587E-2</v>
      </c>
      <c r="BL51" s="32">
        <v>7150</v>
      </c>
      <c r="BM51" s="32">
        <v>0</v>
      </c>
      <c r="BN51" s="32">
        <v>185100</v>
      </c>
      <c r="BO51" s="34">
        <v>5.0985723997280762E-2</v>
      </c>
      <c r="BP51" s="34">
        <v>7.6478585995921139E-2</v>
      </c>
      <c r="BQ51" s="6" t="s">
        <v>82</v>
      </c>
      <c r="BR51" s="6" t="s">
        <v>83</v>
      </c>
      <c r="BS51" s="6" t="s">
        <v>83</v>
      </c>
      <c r="BT51" s="6" t="s">
        <v>100</v>
      </c>
      <c r="BU51" s="8">
        <v>1.0022399874355168</v>
      </c>
      <c r="BV51" s="37" t="s">
        <v>173</v>
      </c>
      <c r="BW51" s="19" t="s">
        <v>174</v>
      </c>
    </row>
    <row r="52" spans="1:75" x14ac:dyDescent="0.25">
      <c r="A52" s="33" t="s">
        <v>175</v>
      </c>
      <c r="B52" s="7" t="s">
        <v>176</v>
      </c>
      <c r="C52" s="7" t="s">
        <v>81</v>
      </c>
      <c r="D5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8.7030180880817293E-2</v>
      </c>
      <c r="E52" s="32">
        <v>7750</v>
      </c>
      <c r="F52" s="32">
        <v>0</v>
      </c>
      <c r="G52" s="32">
        <v>4168</v>
      </c>
      <c r="H52" s="32">
        <v>0</v>
      </c>
      <c r="I52" s="32">
        <v>0</v>
      </c>
      <c r="J52" s="32">
        <v>136941</v>
      </c>
      <c r="K52" s="32">
        <v>0</v>
      </c>
      <c r="L5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5.9977305884260012E-3</v>
      </c>
      <c r="M52" s="32">
        <v>37</v>
      </c>
      <c r="N52" s="32">
        <v>0</v>
      </c>
      <c r="O52" s="32">
        <v>6169</v>
      </c>
      <c r="P52" s="32">
        <v>0</v>
      </c>
      <c r="Q5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2" s="32">
        <v>0</v>
      </c>
      <c r="S52" s="32">
        <v>0</v>
      </c>
      <c r="T52" s="32">
        <v>0</v>
      </c>
      <c r="U52" s="32">
        <v>6169</v>
      </c>
      <c r="V52" s="32">
        <v>0</v>
      </c>
      <c r="W52" s="32">
        <v>0</v>
      </c>
      <c r="X52" s="32">
        <v>0</v>
      </c>
      <c r="Y5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0.36030115159083109</v>
      </c>
      <c r="Z52" s="32">
        <v>0</v>
      </c>
      <c r="AA52" s="32">
        <v>50000</v>
      </c>
      <c r="AB52" s="32">
        <v>725</v>
      </c>
      <c r="AC52" s="32">
        <v>0</v>
      </c>
      <c r="AD52" s="32">
        <v>65</v>
      </c>
      <c r="AE52" s="32">
        <v>136941</v>
      </c>
      <c r="AF52" s="32">
        <v>0</v>
      </c>
      <c r="AG5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2.6493126645217902</v>
      </c>
      <c r="AH52" s="32">
        <v>9115</v>
      </c>
      <c r="AI52" s="32">
        <v>570</v>
      </c>
      <c r="AJ52" s="32">
        <v>2873</v>
      </c>
      <c r="AK52" s="32">
        <v>0</v>
      </c>
      <c r="AL52" s="32">
        <v>15</v>
      </c>
      <c r="AM52" s="32">
        <v>4168</v>
      </c>
      <c r="AN52" s="32">
        <v>7539</v>
      </c>
      <c r="AO52" s="32">
        <v>0</v>
      </c>
      <c r="AP52" s="32">
        <v>-3419</v>
      </c>
      <c r="AQ5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2.9690387420975846</v>
      </c>
      <c r="AR52" s="32">
        <v>6638</v>
      </c>
      <c r="AS52" s="32">
        <v>1557</v>
      </c>
      <c r="AT52" s="32">
        <v>4295</v>
      </c>
      <c r="AU52" s="32">
        <v>713</v>
      </c>
      <c r="AV52" s="32">
        <v>114</v>
      </c>
      <c r="AW52" s="32">
        <v>4168</v>
      </c>
      <c r="AX52" s="32">
        <v>0</v>
      </c>
      <c r="AY52" s="32">
        <v>0</v>
      </c>
      <c r="AZ52" s="32">
        <v>602</v>
      </c>
      <c r="BA52" s="32">
        <v>0</v>
      </c>
      <c r="BB52" s="32">
        <v>229</v>
      </c>
      <c r="BC52" s="32">
        <v>6169</v>
      </c>
      <c r="BD52" s="34">
        <f>IFERROR(SUM(Entity_Metrics[[#This Row],[Operating surplus/(deficit) (social housing lettings)]])/SUM(Entity_Metrics[[#This Row],[Turnover from social housing lettings]]),"")</f>
        <v>0.32222183840547169</v>
      </c>
      <c r="BE52" s="32">
        <v>9328</v>
      </c>
      <c r="BF52" s="32">
        <v>28949</v>
      </c>
      <c r="BG52" s="34">
        <f>IFERROR(SUM(Entity_Metrics[[#This Row],[Operating surplus/(deficit) (overall)2]],-Entity_Metrics[[#This Row],[Gain/(loss) on disposal of fixed assets (housing properties)2]])/SUM(Entity_Metrics[[#This Row],[Turnover (overall)]]),"")</f>
        <v>0.29044867437117605</v>
      </c>
      <c r="BH52" s="32">
        <v>9115</v>
      </c>
      <c r="BI52" s="32">
        <v>570</v>
      </c>
      <c r="BJ52" s="32">
        <v>29420</v>
      </c>
      <c r="BK52" s="34">
        <f>IFERROR(SUM(Entity_Metrics[[#This Row],[Operating surplus/(deficit) (overall)3]],Entity_Metrics[[#This Row],[Share of operating surplus/(deficit) in joint ventures or associates]])/SUM(Entity_Metrics[[#This Row],[Total assets less current liabilities]]),"")</f>
        <v>6.0935661568082146E-2</v>
      </c>
      <c r="BL52" s="32">
        <v>9115</v>
      </c>
      <c r="BM52" s="32">
        <v>0</v>
      </c>
      <c r="BN52" s="32">
        <v>149584</v>
      </c>
      <c r="BO52" s="34">
        <v>2.9178148808558925E-3</v>
      </c>
      <c r="BP52" s="34">
        <v>6.8244448046685044E-2</v>
      </c>
      <c r="BQ52" s="6" t="s">
        <v>93</v>
      </c>
      <c r="BR52" s="6">
        <v>2005</v>
      </c>
      <c r="BS52" s="6" t="s">
        <v>94</v>
      </c>
      <c r="BT52" s="6" t="s">
        <v>105</v>
      </c>
      <c r="BU52" s="8">
        <v>0.9156653862445665</v>
      </c>
      <c r="BV52" s="37" t="s">
        <v>175</v>
      </c>
      <c r="BW52" s="19" t="s">
        <v>176</v>
      </c>
    </row>
    <row r="53" spans="1:75" x14ac:dyDescent="0.25">
      <c r="A53" s="33" t="s">
        <v>177</v>
      </c>
      <c r="B53" s="7" t="s">
        <v>178</v>
      </c>
      <c r="C53" s="7" t="s">
        <v>81</v>
      </c>
      <c r="D5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7.783631371967055E-2</v>
      </c>
      <c r="E53" s="32">
        <v>7991</v>
      </c>
      <c r="F53" s="32">
        <v>0</v>
      </c>
      <c r="G53" s="32">
        <v>1450</v>
      </c>
      <c r="H53" s="32">
        <v>0</v>
      </c>
      <c r="I53" s="32">
        <v>0</v>
      </c>
      <c r="J53" s="32">
        <v>121293</v>
      </c>
      <c r="K53" s="32">
        <v>0</v>
      </c>
      <c r="L5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2.5729526200188264E-2</v>
      </c>
      <c r="M53" s="32">
        <v>82</v>
      </c>
      <c r="N53" s="32">
        <v>0</v>
      </c>
      <c r="O53" s="32">
        <v>3187</v>
      </c>
      <c r="P53" s="32">
        <v>0</v>
      </c>
      <c r="Q5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3" s="32">
        <v>0</v>
      </c>
      <c r="S53" s="32">
        <v>0</v>
      </c>
      <c r="T53" s="32">
        <v>0</v>
      </c>
      <c r="U53" s="32">
        <v>3187</v>
      </c>
      <c r="V53" s="32">
        <v>246</v>
      </c>
      <c r="W53" s="32">
        <v>0</v>
      </c>
      <c r="X53" s="32">
        <v>0</v>
      </c>
      <c r="Y5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0.35570065873545875</v>
      </c>
      <c r="Z53" s="32">
        <v>1139</v>
      </c>
      <c r="AA53" s="32">
        <v>45116</v>
      </c>
      <c r="AB53" s="32">
        <v>3111</v>
      </c>
      <c r="AC53" s="32">
        <v>0</v>
      </c>
      <c r="AD53" s="32">
        <v>0</v>
      </c>
      <c r="AE53" s="32">
        <v>121293</v>
      </c>
      <c r="AF53" s="32">
        <v>0</v>
      </c>
      <c r="AG5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2.54</v>
      </c>
      <c r="AH53" s="32">
        <v>4247</v>
      </c>
      <c r="AI53" s="32">
        <v>343</v>
      </c>
      <c r="AJ53" s="32">
        <v>1318</v>
      </c>
      <c r="AK53" s="32">
        <v>21</v>
      </c>
      <c r="AL53" s="32">
        <v>44</v>
      </c>
      <c r="AM53" s="32">
        <v>1450</v>
      </c>
      <c r="AN53" s="32">
        <v>3413</v>
      </c>
      <c r="AO53" s="32">
        <v>0</v>
      </c>
      <c r="AP53" s="32">
        <v>-1800</v>
      </c>
      <c r="AQ5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3.6493262300219369</v>
      </c>
      <c r="AR53" s="32">
        <v>2765</v>
      </c>
      <c r="AS53" s="32">
        <v>810</v>
      </c>
      <c r="AT53" s="32">
        <v>2171</v>
      </c>
      <c r="AU53" s="32">
        <v>1611</v>
      </c>
      <c r="AV53" s="32">
        <v>214</v>
      </c>
      <c r="AW53" s="32">
        <v>1450</v>
      </c>
      <c r="AX53" s="32">
        <v>134</v>
      </c>
      <c r="AY53" s="32">
        <v>174</v>
      </c>
      <c r="AZ53" s="32">
        <v>0</v>
      </c>
      <c r="BA53" s="32">
        <v>2316</v>
      </c>
      <c r="BB53" s="32">
        <v>0</v>
      </c>
      <c r="BC53" s="32">
        <v>3191</v>
      </c>
      <c r="BD53" s="34">
        <f>IFERROR(SUM(Entity_Metrics[[#This Row],[Operating surplus/(deficit) (social housing lettings)]])/SUM(Entity_Metrics[[#This Row],[Turnover from social housing lettings]]),"")</f>
        <v>0.26101262422777333</v>
      </c>
      <c r="BE53" s="32">
        <v>3887</v>
      </c>
      <c r="BF53" s="32">
        <v>14892</v>
      </c>
      <c r="BG53" s="34">
        <f>IFERROR(SUM(Entity_Metrics[[#This Row],[Operating surplus/(deficit) (overall)2]],-Entity_Metrics[[#This Row],[Gain/(loss) on disposal of fixed assets (housing properties)2]])/SUM(Entity_Metrics[[#This Row],[Turnover (overall)]]),"")</f>
        <v>0.21687684017554582</v>
      </c>
      <c r="BH53" s="32">
        <v>4247</v>
      </c>
      <c r="BI53" s="32">
        <v>343</v>
      </c>
      <c r="BJ53" s="32">
        <v>18001</v>
      </c>
      <c r="BK53" s="34">
        <f>IFERROR(SUM(Entity_Metrics[[#This Row],[Operating surplus/(deficit) (overall)3]],Entity_Metrics[[#This Row],[Share of operating surplus/(deficit) in joint ventures or associates]])/SUM(Entity_Metrics[[#This Row],[Total assets less current liabilities]]),"")</f>
        <v>3.3204850550808032E-2</v>
      </c>
      <c r="BL53" s="32">
        <v>4247</v>
      </c>
      <c r="BM53" s="32">
        <v>0</v>
      </c>
      <c r="BN53" s="32">
        <v>127903</v>
      </c>
      <c r="BO53" s="34">
        <v>5.810983397190294E-2</v>
      </c>
      <c r="BP53" s="34">
        <v>0.24010217113665389</v>
      </c>
      <c r="BQ53" s="6" t="s">
        <v>82</v>
      </c>
      <c r="BR53" s="6" t="s">
        <v>83</v>
      </c>
      <c r="BS53" s="6" t="s">
        <v>83</v>
      </c>
      <c r="BT53" s="6" t="s">
        <v>108</v>
      </c>
      <c r="BU53" s="8">
        <v>0.94807909763407583</v>
      </c>
      <c r="BV53" s="37" t="s">
        <v>177</v>
      </c>
      <c r="BW53" s="19" t="s">
        <v>178</v>
      </c>
    </row>
    <row r="54" spans="1:75" x14ac:dyDescent="0.25">
      <c r="A54" s="33" t="s">
        <v>618</v>
      </c>
      <c r="B54" s="7" t="s">
        <v>619</v>
      </c>
      <c r="C54" s="7" t="s">
        <v>81</v>
      </c>
      <c r="D5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1.8373882762377308E-2</v>
      </c>
      <c r="E54" s="32">
        <v>3021</v>
      </c>
      <c r="F54" s="32">
        <v>0</v>
      </c>
      <c r="G54" s="32">
        <v>5607</v>
      </c>
      <c r="H54" s="32">
        <v>41</v>
      </c>
      <c r="I54" s="32">
        <v>0</v>
      </c>
      <c r="J54" s="32">
        <v>471811</v>
      </c>
      <c r="K54" s="32">
        <v>0</v>
      </c>
      <c r="L5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1.9030282972033758E-3</v>
      </c>
      <c r="M54" s="32">
        <v>23</v>
      </c>
      <c r="N54" s="32">
        <v>0</v>
      </c>
      <c r="O54" s="32">
        <v>12086</v>
      </c>
      <c r="P54" s="32">
        <v>0</v>
      </c>
      <c r="Q5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4" s="32">
        <v>0</v>
      </c>
      <c r="S54" s="32">
        <v>0</v>
      </c>
      <c r="T54" s="32">
        <v>0</v>
      </c>
      <c r="U54" s="32">
        <v>12086</v>
      </c>
      <c r="V54" s="32">
        <v>66</v>
      </c>
      <c r="W54" s="32">
        <v>0</v>
      </c>
      <c r="X54" s="32">
        <v>0</v>
      </c>
      <c r="Y5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0.38933810360504523</v>
      </c>
      <c r="Z54" s="32">
        <v>9517</v>
      </c>
      <c r="AA54" s="32">
        <v>184364</v>
      </c>
      <c r="AB54" s="32">
        <v>14394</v>
      </c>
      <c r="AC54" s="32">
        <v>4207</v>
      </c>
      <c r="AD54" s="32">
        <v>0</v>
      </c>
      <c r="AE54" s="32">
        <v>471811</v>
      </c>
      <c r="AF54" s="32">
        <v>0</v>
      </c>
      <c r="AG5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2.4175064448089993</v>
      </c>
      <c r="AH54" s="32">
        <v>16464</v>
      </c>
      <c r="AI54" s="32">
        <v>457</v>
      </c>
      <c r="AJ54" s="32">
        <v>3957</v>
      </c>
      <c r="AK54" s="32">
        <v>0</v>
      </c>
      <c r="AL54" s="32">
        <v>506</v>
      </c>
      <c r="AM54" s="32">
        <v>5607</v>
      </c>
      <c r="AN54" s="32">
        <v>13682</v>
      </c>
      <c r="AO54" s="32">
        <v>-41</v>
      </c>
      <c r="AP54" s="32">
        <v>-8493</v>
      </c>
      <c r="AQ5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2.7670837343599617</v>
      </c>
      <c r="AR54" s="32">
        <v>9050</v>
      </c>
      <c r="AS54" s="32">
        <v>7032</v>
      </c>
      <c r="AT54" s="32">
        <v>7514</v>
      </c>
      <c r="AU54" s="32">
        <v>6034</v>
      </c>
      <c r="AV54" s="32">
        <v>127</v>
      </c>
      <c r="AW54" s="32">
        <v>5607</v>
      </c>
      <c r="AX54" s="32">
        <v>917</v>
      </c>
      <c r="AY54" s="32">
        <v>301</v>
      </c>
      <c r="AZ54" s="32">
        <v>744</v>
      </c>
      <c r="BA54" s="32">
        <v>49</v>
      </c>
      <c r="BB54" s="32">
        <v>0</v>
      </c>
      <c r="BC54" s="32">
        <v>13507</v>
      </c>
      <c r="BD54" s="34">
        <f>IFERROR(SUM(Entity_Metrics[[#This Row],[Operating surplus/(deficit) (social housing lettings)]])/SUM(Entity_Metrics[[#This Row],[Turnover from social housing lettings]]),"")</f>
        <v>0.26320493793847816</v>
      </c>
      <c r="BE54" s="32">
        <v>15607</v>
      </c>
      <c r="BF54" s="32">
        <v>59296</v>
      </c>
      <c r="BG54" s="34">
        <f>IFERROR(SUM(Entity_Metrics[[#This Row],[Operating surplus/(deficit) (overall)2]],-Entity_Metrics[[#This Row],[Gain/(loss) on disposal of fixed assets (housing properties)2]])/SUM(Entity_Metrics[[#This Row],[Turnover (overall)]]),"")</f>
        <v>0.25416408644151223</v>
      </c>
      <c r="BH54" s="32">
        <v>16464</v>
      </c>
      <c r="BI54" s="32">
        <v>457</v>
      </c>
      <c r="BJ54" s="32">
        <v>62979</v>
      </c>
      <c r="BK54" s="34">
        <f>IFERROR(SUM(Entity_Metrics[[#This Row],[Operating surplus/(deficit) (overall)3]],Entity_Metrics[[#This Row],[Share of operating surplus/(deficit) in joint ventures or associates]])/SUM(Entity_Metrics[[#This Row],[Total assets less current liabilities]]),"")</f>
        <v>2.9738971165986592E-2</v>
      </c>
      <c r="BL54" s="32">
        <v>16464</v>
      </c>
      <c r="BM54" s="32">
        <v>0</v>
      </c>
      <c r="BN54" s="32">
        <v>553617</v>
      </c>
      <c r="BO54" s="34">
        <v>4.8703457446808512E-2</v>
      </c>
      <c r="BP54" s="34">
        <v>0.1116190159574468</v>
      </c>
      <c r="BQ54" s="6" t="s">
        <v>82</v>
      </c>
      <c r="BR54" s="6" t="s">
        <v>83</v>
      </c>
      <c r="BS54" s="6" t="s">
        <v>83</v>
      </c>
      <c r="BT54" s="6" t="s">
        <v>105</v>
      </c>
      <c r="BU54" s="8">
        <v>0.9156669656160259</v>
      </c>
      <c r="BV54" s="37">
        <v>4649</v>
      </c>
      <c r="BW54" s="19" t="s">
        <v>620</v>
      </c>
    </row>
    <row r="55" spans="1:75" x14ac:dyDescent="0.25">
      <c r="A55" s="33" t="s">
        <v>621</v>
      </c>
      <c r="B55" s="7" t="s">
        <v>622</v>
      </c>
      <c r="C55" s="7" t="s">
        <v>81</v>
      </c>
      <c r="D5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8.4038607574040039E-2</v>
      </c>
      <c r="E55" s="32">
        <v>7636</v>
      </c>
      <c r="F55" s="32">
        <v>0</v>
      </c>
      <c r="G55" s="32">
        <v>0</v>
      </c>
      <c r="H55" s="32">
        <v>0</v>
      </c>
      <c r="I55" s="32">
        <v>0</v>
      </c>
      <c r="J55" s="32">
        <v>90863</v>
      </c>
      <c r="K55" s="32">
        <v>0</v>
      </c>
      <c r="L5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2.8286189683860232E-2</v>
      </c>
      <c r="M55" s="32">
        <v>51</v>
      </c>
      <c r="N55" s="32">
        <v>0</v>
      </c>
      <c r="O55" s="32">
        <v>1646</v>
      </c>
      <c r="P55" s="32">
        <v>157</v>
      </c>
      <c r="Q5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5" s="32">
        <v>0</v>
      </c>
      <c r="S55" s="32">
        <v>0</v>
      </c>
      <c r="T55" s="32">
        <v>0</v>
      </c>
      <c r="U55" s="32">
        <v>1646</v>
      </c>
      <c r="V55" s="32">
        <v>0</v>
      </c>
      <c r="W55" s="32">
        <v>157</v>
      </c>
      <c r="X55" s="32">
        <v>0</v>
      </c>
      <c r="Y5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0.18534496989973917</v>
      </c>
      <c r="Z55" s="32">
        <v>957</v>
      </c>
      <c r="AA55" s="32">
        <v>20343</v>
      </c>
      <c r="AB55" s="32">
        <v>4459</v>
      </c>
      <c r="AC55" s="32">
        <v>0</v>
      </c>
      <c r="AD55" s="32">
        <v>0</v>
      </c>
      <c r="AE55" s="32">
        <v>90863</v>
      </c>
      <c r="AF55" s="32">
        <v>0</v>
      </c>
      <c r="AG5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4.9815668202764973</v>
      </c>
      <c r="AH55" s="32">
        <v>5428</v>
      </c>
      <c r="AI55" s="32">
        <v>0</v>
      </c>
      <c r="AJ55" s="32">
        <v>491</v>
      </c>
      <c r="AK55" s="32">
        <v>0</v>
      </c>
      <c r="AL55" s="32">
        <v>3</v>
      </c>
      <c r="AM55" s="32">
        <v>1190</v>
      </c>
      <c r="AN55" s="32">
        <v>1655</v>
      </c>
      <c r="AO55" s="32">
        <v>-79</v>
      </c>
      <c r="AP55" s="32">
        <v>-1006</v>
      </c>
      <c r="AQ5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3.2608430054978621</v>
      </c>
      <c r="AR55" s="32">
        <v>1883</v>
      </c>
      <c r="AS55" s="32">
        <v>1160</v>
      </c>
      <c r="AT55" s="32">
        <v>1908</v>
      </c>
      <c r="AU55" s="32">
        <v>679</v>
      </c>
      <c r="AV55" s="32">
        <v>281</v>
      </c>
      <c r="AW55" s="32">
        <v>1190</v>
      </c>
      <c r="AX55" s="32">
        <v>3521</v>
      </c>
      <c r="AY55" s="32">
        <v>0</v>
      </c>
      <c r="AZ55" s="32">
        <v>0</v>
      </c>
      <c r="BA55" s="32">
        <v>0</v>
      </c>
      <c r="BB55" s="32">
        <v>54</v>
      </c>
      <c r="BC55" s="32">
        <v>3274</v>
      </c>
      <c r="BD55" s="34">
        <f>IFERROR(SUM(Entity_Metrics[[#This Row],[Operating surplus/(deficit) (social housing lettings)]])/SUM(Entity_Metrics[[#This Row],[Turnover from social housing lettings]]),"")</f>
        <v>0.33102909353209908</v>
      </c>
      <c r="BE55" s="32">
        <v>5507</v>
      </c>
      <c r="BF55" s="32">
        <v>16636</v>
      </c>
      <c r="BG55" s="34">
        <f>IFERROR(SUM(Entity_Metrics[[#This Row],[Operating surplus/(deficit) (overall)2]],-Entity_Metrics[[#This Row],[Gain/(loss) on disposal of fixed assets (housing properties)2]])/SUM(Entity_Metrics[[#This Row],[Turnover (overall)]]),"")</f>
        <v>0.30658006212934197</v>
      </c>
      <c r="BH55" s="32">
        <v>5428</v>
      </c>
      <c r="BI55" s="32">
        <v>0</v>
      </c>
      <c r="BJ55" s="32">
        <v>17705</v>
      </c>
      <c r="BK55" s="34">
        <f>IFERROR(SUM(Entity_Metrics[[#This Row],[Operating surplus/(deficit) (overall)3]],Entity_Metrics[[#This Row],[Share of operating surplus/(deficit) in joint ventures or associates]])/SUM(Entity_Metrics[[#This Row],[Total assets less current liabilities]]),"")</f>
        <v>5.7612295151566614E-2</v>
      </c>
      <c r="BL55" s="32">
        <v>5428</v>
      </c>
      <c r="BM55" s="32">
        <v>0</v>
      </c>
      <c r="BN55" s="32">
        <v>94216</v>
      </c>
      <c r="BO55" s="34">
        <v>5.1671732522796353E-2</v>
      </c>
      <c r="BP55" s="34">
        <v>6.2006079027355623E-2</v>
      </c>
      <c r="BQ55" s="6" t="s">
        <v>82</v>
      </c>
      <c r="BR55" s="6" t="s">
        <v>83</v>
      </c>
      <c r="BS55" s="6" t="s">
        <v>83</v>
      </c>
      <c r="BT55" s="6" t="s">
        <v>100</v>
      </c>
      <c r="BU55" s="8">
        <v>1.0022458308571229</v>
      </c>
      <c r="BV55" s="37" t="s">
        <v>623</v>
      </c>
      <c r="BW55" s="19" t="s">
        <v>378</v>
      </c>
    </row>
    <row r="56" spans="1:75" x14ac:dyDescent="0.25">
      <c r="A56" s="33" t="s">
        <v>624</v>
      </c>
      <c r="B56" s="7" t="s">
        <v>182</v>
      </c>
      <c r="C56" s="7" t="s">
        <v>81</v>
      </c>
      <c r="D5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8.4544631528642056E-2</v>
      </c>
      <c r="E56" s="32">
        <v>22812</v>
      </c>
      <c r="F56" s="32">
        <v>0</v>
      </c>
      <c r="G56" s="32">
        <v>1711</v>
      </c>
      <c r="H56" s="32">
        <v>598</v>
      </c>
      <c r="I56" s="32">
        <v>0</v>
      </c>
      <c r="J56" s="32">
        <v>297133</v>
      </c>
      <c r="K56" s="32">
        <v>0</v>
      </c>
      <c r="L5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2.8655093076762183E-2</v>
      </c>
      <c r="M56" s="32">
        <v>137</v>
      </c>
      <c r="N56" s="32">
        <v>0</v>
      </c>
      <c r="O56" s="32">
        <v>4646</v>
      </c>
      <c r="P56" s="32">
        <v>135</v>
      </c>
      <c r="Q5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6" s="32">
        <v>0</v>
      </c>
      <c r="S56" s="32">
        <v>0</v>
      </c>
      <c r="T56" s="32">
        <v>0</v>
      </c>
      <c r="U56" s="32">
        <v>4646</v>
      </c>
      <c r="V56" s="32">
        <v>0</v>
      </c>
      <c r="W56" s="32">
        <v>135</v>
      </c>
      <c r="X56" s="32">
        <v>0</v>
      </c>
      <c r="Y5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0.57975048210733915</v>
      </c>
      <c r="Z56" s="32">
        <v>0</v>
      </c>
      <c r="AA56" s="32">
        <v>179282</v>
      </c>
      <c r="AB56" s="32">
        <v>7019</v>
      </c>
      <c r="AC56" s="32">
        <v>0</v>
      </c>
      <c r="AD56" s="32">
        <v>0</v>
      </c>
      <c r="AE56" s="32">
        <v>297133</v>
      </c>
      <c r="AF56" s="32">
        <v>0</v>
      </c>
      <c r="AG5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1.7223293091204219</v>
      </c>
      <c r="AH56" s="32">
        <v>15858</v>
      </c>
      <c r="AI56" s="32">
        <v>2347</v>
      </c>
      <c r="AJ56" s="32">
        <v>17</v>
      </c>
      <c r="AK56" s="32">
        <v>0</v>
      </c>
      <c r="AL56" s="32">
        <v>29</v>
      </c>
      <c r="AM56" s="32">
        <v>1711</v>
      </c>
      <c r="AN56" s="32">
        <v>5165</v>
      </c>
      <c r="AO56" s="32">
        <v>-598</v>
      </c>
      <c r="AP56" s="32">
        <v>-9259</v>
      </c>
      <c r="AQ5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2.4267461669505961</v>
      </c>
      <c r="AR56" s="32">
        <v>4356</v>
      </c>
      <c r="AS56" s="32">
        <v>939</v>
      </c>
      <c r="AT56" s="32">
        <v>1489</v>
      </c>
      <c r="AU56" s="32">
        <v>1637</v>
      </c>
      <c r="AV56" s="32">
        <v>601</v>
      </c>
      <c r="AW56" s="32">
        <v>1711</v>
      </c>
      <c r="AX56" s="32">
        <v>0</v>
      </c>
      <c r="AY56" s="32">
        <v>0</v>
      </c>
      <c r="AZ56" s="32">
        <v>0</v>
      </c>
      <c r="BA56" s="32">
        <v>663</v>
      </c>
      <c r="BB56" s="32">
        <v>0</v>
      </c>
      <c r="BC56" s="32">
        <v>4696</v>
      </c>
      <c r="BD56" s="34">
        <f>IFERROR(SUM(Entity_Metrics[[#This Row],[Operating surplus/(deficit) (social housing lettings)]])/SUM(Entity_Metrics[[#This Row],[Turnover from social housing lettings]]),"")</f>
        <v>0.46745719048340656</v>
      </c>
      <c r="BE56" s="32">
        <v>12339</v>
      </c>
      <c r="BF56" s="32">
        <v>26396</v>
      </c>
      <c r="BG56" s="34">
        <f>IFERROR(SUM(Entity_Metrics[[#This Row],[Operating surplus/(deficit) (overall)2]],-Entity_Metrics[[#This Row],[Gain/(loss) on disposal of fixed assets (housing properties)2]])/SUM(Entity_Metrics[[#This Row],[Turnover (overall)]]),"")</f>
        <v>0.43756072284474384</v>
      </c>
      <c r="BH56" s="32">
        <v>15858</v>
      </c>
      <c r="BI56" s="32">
        <v>2347</v>
      </c>
      <c r="BJ56" s="32">
        <v>30878</v>
      </c>
      <c r="BK56" s="34">
        <f>IFERROR(SUM(Entity_Metrics[[#This Row],[Operating surplus/(deficit) (overall)3]],Entity_Metrics[[#This Row],[Share of operating surplus/(deficit) in joint ventures or associates]])/SUM(Entity_Metrics[[#This Row],[Total assets less current liabilities]]),"")</f>
        <v>5.1957498255305344E-2</v>
      </c>
      <c r="BL56" s="32">
        <v>15858</v>
      </c>
      <c r="BM56" s="32">
        <v>0</v>
      </c>
      <c r="BN56" s="32">
        <v>305211</v>
      </c>
      <c r="BO56" s="34">
        <v>0</v>
      </c>
      <c r="BP56" s="34">
        <v>0</v>
      </c>
      <c r="BQ56" s="6" t="s">
        <v>93</v>
      </c>
      <c r="BR56" s="6">
        <v>2001</v>
      </c>
      <c r="BS56" s="6" t="s">
        <v>94</v>
      </c>
      <c r="BT56" s="6" t="s">
        <v>84</v>
      </c>
      <c r="BU56" s="8">
        <v>1.0022852737547261</v>
      </c>
      <c r="BV56" s="37" t="s">
        <v>624</v>
      </c>
      <c r="BW56" s="19" t="s">
        <v>182</v>
      </c>
    </row>
    <row r="57" spans="1:75" x14ac:dyDescent="0.25">
      <c r="A57" s="33" t="s">
        <v>625</v>
      </c>
      <c r="B57" s="7" t="s">
        <v>186</v>
      </c>
      <c r="C57" s="7" t="s">
        <v>81</v>
      </c>
      <c r="D5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0.11307651464180904</v>
      </c>
      <c r="E57" s="32">
        <v>51076</v>
      </c>
      <c r="F57" s="32">
        <v>47</v>
      </c>
      <c r="G57" s="32">
        <v>7020</v>
      </c>
      <c r="H57" s="32">
        <v>848</v>
      </c>
      <c r="I57" s="32">
        <v>0</v>
      </c>
      <c r="J57" s="32">
        <v>521691</v>
      </c>
      <c r="K57" s="32">
        <v>0</v>
      </c>
      <c r="L5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3.930803369260031E-2</v>
      </c>
      <c r="M57" s="32">
        <v>434</v>
      </c>
      <c r="N57" s="32">
        <v>0</v>
      </c>
      <c r="O57" s="32">
        <v>11041</v>
      </c>
      <c r="P57" s="32">
        <v>0</v>
      </c>
      <c r="Q5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7" s="32">
        <v>0</v>
      </c>
      <c r="S57" s="32">
        <v>0</v>
      </c>
      <c r="T57" s="32">
        <v>0</v>
      </c>
      <c r="U57" s="32">
        <v>11041</v>
      </c>
      <c r="V57" s="32">
        <v>84</v>
      </c>
      <c r="W57" s="32">
        <v>0</v>
      </c>
      <c r="X57" s="32">
        <v>1025</v>
      </c>
      <c r="Y5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0.48585657026860729</v>
      </c>
      <c r="Z57" s="32">
        <v>4571</v>
      </c>
      <c r="AA57" s="32">
        <v>133639</v>
      </c>
      <c r="AB57" s="32">
        <v>37115</v>
      </c>
      <c r="AC57" s="32">
        <v>152372</v>
      </c>
      <c r="AD57" s="32">
        <v>0</v>
      </c>
      <c r="AE57" s="32">
        <v>521691</v>
      </c>
      <c r="AF57" s="32">
        <v>0</v>
      </c>
      <c r="AG5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2.0805740339337766</v>
      </c>
      <c r="AH57" s="32">
        <v>25194</v>
      </c>
      <c r="AI57" s="32">
        <v>1400</v>
      </c>
      <c r="AJ57" s="32">
        <v>584</v>
      </c>
      <c r="AK57" s="32">
        <v>0</v>
      </c>
      <c r="AL57" s="32">
        <v>373</v>
      </c>
      <c r="AM57" s="32">
        <v>7020</v>
      </c>
      <c r="AN57" s="32">
        <v>11273</v>
      </c>
      <c r="AO57" s="32">
        <v>-848</v>
      </c>
      <c r="AP57" s="32">
        <v>-12531</v>
      </c>
      <c r="AQ5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2.8709356036590887</v>
      </c>
      <c r="AR57" s="32">
        <v>9492</v>
      </c>
      <c r="AS57" s="32">
        <v>3859</v>
      </c>
      <c r="AT57" s="32">
        <v>6880</v>
      </c>
      <c r="AU57" s="32">
        <v>2945</v>
      </c>
      <c r="AV57" s="32">
        <v>0</v>
      </c>
      <c r="AW57" s="32">
        <v>7020</v>
      </c>
      <c r="AX57" s="32">
        <v>0</v>
      </c>
      <c r="AY57" s="32">
        <v>812</v>
      </c>
      <c r="AZ57" s="32">
        <v>602</v>
      </c>
      <c r="BA57" s="32">
        <v>0</v>
      </c>
      <c r="BB57" s="32">
        <v>88</v>
      </c>
      <c r="BC57" s="32">
        <v>11041</v>
      </c>
      <c r="BD57" s="34">
        <f>IFERROR(SUM(Entity_Metrics[[#This Row],[Operating surplus/(deficit) (social housing lettings)]])/SUM(Entity_Metrics[[#This Row],[Turnover from social housing lettings]]),"")</f>
        <v>0.33216647971221908</v>
      </c>
      <c r="BE57" s="32">
        <v>17175</v>
      </c>
      <c r="BF57" s="32">
        <v>51706</v>
      </c>
      <c r="BG57" s="34">
        <f>IFERROR(SUM(Entity_Metrics[[#This Row],[Operating surplus/(deficit) (overall)2]],-Entity_Metrics[[#This Row],[Gain/(loss) on disposal of fixed assets (housing properties)2]])/SUM(Entity_Metrics[[#This Row],[Turnover (overall)]]),"")</f>
        <v>0.33066511020317407</v>
      </c>
      <c r="BH57" s="32">
        <v>25194</v>
      </c>
      <c r="BI57" s="32">
        <v>1400</v>
      </c>
      <c r="BJ57" s="32">
        <v>71958</v>
      </c>
      <c r="BK57" s="34">
        <f>IFERROR(SUM(Entity_Metrics[[#This Row],[Operating surplus/(deficit) (overall)3]],Entity_Metrics[[#This Row],[Share of operating surplus/(deficit) in joint ventures or associates]])/SUM(Entity_Metrics[[#This Row],[Total assets less current liabilities]]),"")</f>
        <v>4.4200775452200913E-2</v>
      </c>
      <c r="BL57" s="32">
        <v>25194</v>
      </c>
      <c r="BM57" s="32">
        <v>0</v>
      </c>
      <c r="BN57" s="32">
        <v>569990</v>
      </c>
      <c r="BO57" s="34">
        <v>6.8274920345926266E-3</v>
      </c>
      <c r="BP57" s="34">
        <v>0.1084205735093309</v>
      </c>
      <c r="BQ57" s="6" t="s">
        <v>93</v>
      </c>
      <c r="BR57" s="6">
        <v>2004</v>
      </c>
      <c r="BS57" s="6" t="s">
        <v>94</v>
      </c>
      <c r="BT57" s="6" t="s">
        <v>100</v>
      </c>
      <c r="BU57" s="8">
        <v>1.0008261584664193</v>
      </c>
      <c r="BV57" s="37" t="s">
        <v>625</v>
      </c>
      <c r="BW57" s="19" t="s">
        <v>186</v>
      </c>
    </row>
    <row r="58" spans="1:75" x14ac:dyDescent="0.25">
      <c r="A58" s="33" t="s">
        <v>187</v>
      </c>
      <c r="B58" s="7" t="s">
        <v>188</v>
      </c>
      <c r="C58" s="7" t="s">
        <v>81</v>
      </c>
      <c r="D5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7.1059208433680188E-2</v>
      </c>
      <c r="E58" s="32">
        <v>6876</v>
      </c>
      <c r="F58" s="32">
        <v>0</v>
      </c>
      <c r="G58" s="32">
        <v>943</v>
      </c>
      <c r="H58" s="32">
        <v>0</v>
      </c>
      <c r="I58" s="32">
        <v>0</v>
      </c>
      <c r="J58" s="32">
        <v>110035</v>
      </c>
      <c r="K58" s="32">
        <v>0</v>
      </c>
      <c r="L5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4.6666666666666671E-3</v>
      </c>
      <c r="M58" s="32">
        <v>7</v>
      </c>
      <c r="N58" s="32">
        <v>0</v>
      </c>
      <c r="O58" s="32">
        <v>1500</v>
      </c>
      <c r="P58" s="32">
        <v>0</v>
      </c>
      <c r="Q5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8" s="32">
        <v>0</v>
      </c>
      <c r="S58" s="32">
        <v>0</v>
      </c>
      <c r="T58" s="32">
        <v>0</v>
      </c>
      <c r="U58" s="32">
        <v>1500</v>
      </c>
      <c r="V58" s="32">
        <v>0</v>
      </c>
      <c r="W58" s="32">
        <v>0</v>
      </c>
      <c r="X58" s="32">
        <v>0</v>
      </c>
      <c r="Y5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0.29456990957422641</v>
      </c>
      <c r="Z58" s="32">
        <v>500</v>
      </c>
      <c r="AA58" s="32">
        <v>40456</v>
      </c>
      <c r="AB58" s="32">
        <v>8543</v>
      </c>
      <c r="AC58" s="32">
        <v>0</v>
      </c>
      <c r="AD58" s="32">
        <v>0</v>
      </c>
      <c r="AE58" s="32">
        <v>110035</v>
      </c>
      <c r="AF58" s="32">
        <v>0</v>
      </c>
      <c r="AG5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1.8934540389972145</v>
      </c>
      <c r="AH58" s="32">
        <v>2820</v>
      </c>
      <c r="AI58" s="32">
        <v>0</v>
      </c>
      <c r="AJ58" s="32">
        <v>461</v>
      </c>
      <c r="AK58" s="32">
        <v>0</v>
      </c>
      <c r="AL58" s="32">
        <v>27</v>
      </c>
      <c r="AM58" s="32">
        <v>943</v>
      </c>
      <c r="AN58" s="32">
        <v>1276</v>
      </c>
      <c r="AO58" s="32">
        <v>-216</v>
      </c>
      <c r="AP58" s="32">
        <v>-1220</v>
      </c>
      <c r="AQ5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5.3806666666666665</v>
      </c>
      <c r="AR58" s="32">
        <v>2471</v>
      </c>
      <c r="AS58" s="32">
        <v>728</v>
      </c>
      <c r="AT58" s="32">
        <v>1199</v>
      </c>
      <c r="AU58" s="32">
        <v>334</v>
      </c>
      <c r="AV58" s="32">
        <v>0</v>
      </c>
      <c r="AW58" s="32">
        <v>943</v>
      </c>
      <c r="AX58" s="32">
        <v>0</v>
      </c>
      <c r="AY58" s="32">
        <v>0</v>
      </c>
      <c r="AZ58" s="32">
        <v>0</v>
      </c>
      <c r="BA58" s="32">
        <v>10</v>
      </c>
      <c r="BB58" s="32">
        <v>2386</v>
      </c>
      <c r="BC58" s="32">
        <v>1500</v>
      </c>
      <c r="BD58" s="34">
        <f>IFERROR(SUM(Entity_Metrics[[#This Row],[Operating surplus/(deficit) (social housing lettings)]])/SUM(Entity_Metrics[[#This Row],[Turnover from social housing lettings]]),"")</f>
        <v>0.31676234213547644</v>
      </c>
      <c r="BE58" s="32">
        <v>2759</v>
      </c>
      <c r="BF58" s="32">
        <v>8710</v>
      </c>
      <c r="BG58" s="34">
        <f>IFERROR(SUM(Entity_Metrics[[#This Row],[Operating surplus/(deficit) (overall)2]],-Entity_Metrics[[#This Row],[Gain/(loss) on disposal of fixed assets (housing properties)2]])/SUM(Entity_Metrics[[#This Row],[Turnover (overall)]]),"")</f>
        <v>0.25252977523059011</v>
      </c>
      <c r="BH58" s="32">
        <v>2820</v>
      </c>
      <c r="BI58" s="32">
        <v>0</v>
      </c>
      <c r="BJ58" s="32">
        <v>11167</v>
      </c>
      <c r="BK58" s="34">
        <f>IFERROR(SUM(Entity_Metrics[[#This Row],[Operating surplus/(deficit) (overall)3]],Entity_Metrics[[#This Row],[Share of operating surplus/(deficit) in joint ventures or associates]])/SUM(Entity_Metrics[[#This Row],[Total assets less current liabilities]]),"")</f>
        <v>2.406595094642339E-2</v>
      </c>
      <c r="BL58" s="32">
        <v>2820</v>
      </c>
      <c r="BM58" s="32">
        <v>0</v>
      </c>
      <c r="BN58" s="32">
        <v>117178</v>
      </c>
      <c r="BO58" s="34">
        <v>0.16857142857142857</v>
      </c>
      <c r="BP58" s="34">
        <v>0.20214285714285715</v>
      </c>
      <c r="BQ58" s="6" t="s">
        <v>82</v>
      </c>
      <c r="BR58" s="6" t="s">
        <v>83</v>
      </c>
      <c r="BS58" s="6" t="s">
        <v>83</v>
      </c>
      <c r="BT58" s="6" t="s">
        <v>156</v>
      </c>
      <c r="BU58" s="8">
        <v>1.2488627787394371</v>
      </c>
      <c r="BV58" s="37" t="s">
        <v>187</v>
      </c>
      <c r="BW58" s="19" t="s">
        <v>188</v>
      </c>
    </row>
    <row r="59" spans="1:75" x14ac:dyDescent="0.25">
      <c r="A59" s="33" t="s">
        <v>626</v>
      </c>
      <c r="B59" s="7" t="s">
        <v>627</v>
      </c>
      <c r="C59" s="7" t="s">
        <v>81</v>
      </c>
      <c r="D5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4.7493585187254168E-2</v>
      </c>
      <c r="E59" s="32">
        <v>16360</v>
      </c>
      <c r="F59" s="32">
        <v>0</v>
      </c>
      <c r="G59" s="32">
        <v>5648</v>
      </c>
      <c r="H59" s="32">
        <v>777</v>
      </c>
      <c r="I59" s="32">
        <v>0</v>
      </c>
      <c r="J59" s="32">
        <v>479749</v>
      </c>
      <c r="K59" s="32">
        <v>0</v>
      </c>
      <c r="L5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9.8670457396103362E-3</v>
      </c>
      <c r="M59" s="32">
        <v>118</v>
      </c>
      <c r="N59" s="32">
        <v>0</v>
      </c>
      <c r="O59" s="32">
        <v>11959</v>
      </c>
      <c r="P59" s="32">
        <v>0</v>
      </c>
      <c r="Q5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59" s="32">
        <v>0</v>
      </c>
      <c r="S59" s="32">
        <v>0</v>
      </c>
      <c r="T59" s="32">
        <v>0</v>
      </c>
      <c r="U59" s="32">
        <v>11959</v>
      </c>
      <c r="V59" s="32">
        <v>0</v>
      </c>
      <c r="W59" s="32">
        <v>0</v>
      </c>
      <c r="X59" s="32">
        <v>0</v>
      </c>
      <c r="Y5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0.50959564272150648</v>
      </c>
      <c r="Z59" s="32">
        <v>420</v>
      </c>
      <c r="AA59" s="32">
        <v>247466</v>
      </c>
      <c r="AB59" s="32">
        <v>3408</v>
      </c>
      <c r="AC59" s="32">
        <v>0</v>
      </c>
      <c r="AD59" s="32">
        <v>0</v>
      </c>
      <c r="AE59" s="32">
        <v>479749</v>
      </c>
      <c r="AF59" s="32">
        <v>0</v>
      </c>
      <c r="AG5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3.2414717871701351</v>
      </c>
      <c r="AH59" s="32">
        <v>27122</v>
      </c>
      <c r="AI59" s="32">
        <v>3370</v>
      </c>
      <c r="AJ59" s="32">
        <v>1311</v>
      </c>
      <c r="AK59" s="32">
        <v>0</v>
      </c>
      <c r="AL59" s="32">
        <v>2606</v>
      </c>
      <c r="AM59" s="32">
        <v>5648</v>
      </c>
      <c r="AN59" s="32">
        <v>10818</v>
      </c>
      <c r="AO59" s="32">
        <v>-777</v>
      </c>
      <c r="AP59" s="32">
        <v>-8545</v>
      </c>
      <c r="AQ5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3.2849736600050172</v>
      </c>
      <c r="AR59" s="32">
        <v>9480</v>
      </c>
      <c r="AS59" s="32">
        <v>2716</v>
      </c>
      <c r="AT59" s="32">
        <v>9507</v>
      </c>
      <c r="AU59" s="32">
        <v>0</v>
      </c>
      <c r="AV59" s="32">
        <v>8545</v>
      </c>
      <c r="AW59" s="32">
        <v>5648</v>
      </c>
      <c r="AX59" s="32">
        <v>3071</v>
      </c>
      <c r="AY59" s="32">
        <v>318</v>
      </c>
      <c r="AZ59" s="32">
        <v>0</v>
      </c>
      <c r="BA59" s="32">
        <v>0</v>
      </c>
      <c r="BB59" s="32">
        <v>0</v>
      </c>
      <c r="BC59" s="32">
        <v>11959</v>
      </c>
      <c r="BD59" s="34">
        <f>IFERROR(SUM(Entity_Metrics[[#This Row],[Operating surplus/(deficit) (social housing lettings)]])/SUM(Entity_Metrics[[#This Row],[Turnover from social housing lettings]]),"")</f>
        <v>0.32869930723126023</v>
      </c>
      <c r="BE59" s="32">
        <v>21114</v>
      </c>
      <c r="BF59" s="32">
        <v>64235</v>
      </c>
      <c r="BG59" s="34">
        <f>IFERROR(SUM(Entity_Metrics[[#This Row],[Operating surplus/(deficit) (overall)2]],-Entity_Metrics[[#This Row],[Gain/(loss) on disposal of fixed assets (housing properties)2]])/SUM(Entity_Metrics[[#This Row],[Turnover (overall)]]),"")</f>
        <v>0.32632649135822822</v>
      </c>
      <c r="BH59" s="32">
        <v>27122</v>
      </c>
      <c r="BI59" s="32">
        <v>3370</v>
      </c>
      <c r="BJ59" s="32">
        <v>72786</v>
      </c>
      <c r="BK59" s="34">
        <f>IFERROR(SUM(Entity_Metrics[[#This Row],[Operating surplus/(deficit) (overall)3]],Entity_Metrics[[#This Row],[Share of operating surplus/(deficit) in joint ventures or associates]])/SUM(Entity_Metrics[[#This Row],[Total assets less current liabilities]]),"")</f>
        <v>5.0420980422411887E-2</v>
      </c>
      <c r="BL59" s="32">
        <v>27122</v>
      </c>
      <c r="BM59" s="32">
        <v>0</v>
      </c>
      <c r="BN59" s="32">
        <v>537911</v>
      </c>
      <c r="BO59" s="34">
        <v>1.5636758926331634E-2</v>
      </c>
      <c r="BP59" s="34">
        <v>0.15151768542520277</v>
      </c>
      <c r="BQ59" s="6" t="s">
        <v>93</v>
      </c>
      <c r="BR59" s="6">
        <v>1999</v>
      </c>
      <c r="BS59" s="6" t="s">
        <v>94</v>
      </c>
      <c r="BT59" s="6" t="s">
        <v>115</v>
      </c>
      <c r="BU59" s="8">
        <v>0.96617455710897804</v>
      </c>
      <c r="BV59" s="37" t="s">
        <v>628</v>
      </c>
      <c r="BW59" s="19" t="s">
        <v>190</v>
      </c>
    </row>
    <row r="60" spans="1:75" x14ac:dyDescent="0.25">
      <c r="A60" s="33" t="s">
        <v>908</v>
      </c>
      <c r="B60" s="7" t="s">
        <v>629</v>
      </c>
      <c r="C60" s="7" t="s">
        <v>81</v>
      </c>
      <c r="D6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0.19870431487593204</v>
      </c>
      <c r="E60" s="32">
        <v>2246</v>
      </c>
      <c r="F60" s="32">
        <v>0</v>
      </c>
      <c r="G60" s="32">
        <v>5882</v>
      </c>
      <c r="H60" s="32">
        <v>0</v>
      </c>
      <c r="I60" s="32">
        <v>0</v>
      </c>
      <c r="J60" s="32">
        <v>40905</v>
      </c>
      <c r="K60" s="32">
        <v>0</v>
      </c>
      <c r="L6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4.8274197441467538E-4</v>
      </c>
      <c r="M60" s="32">
        <v>2</v>
      </c>
      <c r="N60" s="32">
        <v>0</v>
      </c>
      <c r="O60" s="32">
        <v>4143</v>
      </c>
      <c r="P60" s="32">
        <v>0</v>
      </c>
      <c r="Q6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0" s="32">
        <v>0</v>
      </c>
      <c r="S60" s="32">
        <v>0</v>
      </c>
      <c r="T60" s="32">
        <v>0</v>
      </c>
      <c r="U60" s="32">
        <v>4143</v>
      </c>
      <c r="V60" s="32">
        <v>0</v>
      </c>
      <c r="W60" s="32">
        <v>0</v>
      </c>
      <c r="X60" s="32">
        <v>44</v>
      </c>
      <c r="Y6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0.63860163794157199</v>
      </c>
      <c r="Z60" s="32">
        <v>0</v>
      </c>
      <c r="AA60" s="32">
        <v>26123</v>
      </c>
      <c r="AB60" s="32">
        <v>1</v>
      </c>
      <c r="AC60" s="32">
        <v>0</v>
      </c>
      <c r="AD60" s="32">
        <v>0</v>
      </c>
      <c r="AE60" s="32">
        <v>40905</v>
      </c>
      <c r="AF60" s="32">
        <v>0</v>
      </c>
      <c r="AG6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1.046070460704607</v>
      </c>
      <c r="AH60" s="32">
        <v>6785</v>
      </c>
      <c r="AI60" s="32">
        <v>572</v>
      </c>
      <c r="AJ60" s="32">
        <v>1</v>
      </c>
      <c r="AK60" s="32">
        <v>0</v>
      </c>
      <c r="AL60" s="32">
        <v>0</v>
      </c>
      <c r="AM60" s="32">
        <v>5882</v>
      </c>
      <c r="AN60" s="32">
        <v>828</v>
      </c>
      <c r="AO60" s="32">
        <v>0</v>
      </c>
      <c r="AP60" s="32">
        <v>-1107</v>
      </c>
      <c r="AQ6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3.4486902186974286</v>
      </c>
      <c r="AR60" s="32">
        <v>4132</v>
      </c>
      <c r="AS60" s="32">
        <v>325</v>
      </c>
      <c r="AT60" s="32">
        <v>3169</v>
      </c>
      <c r="AU60" s="32">
        <v>796</v>
      </c>
      <c r="AV60" s="32">
        <v>46</v>
      </c>
      <c r="AW60" s="32">
        <v>5882</v>
      </c>
      <c r="AX60" s="32">
        <v>0</v>
      </c>
      <c r="AY60" s="32">
        <v>0</v>
      </c>
      <c r="AZ60" s="32">
        <v>0</v>
      </c>
      <c r="BA60" s="32">
        <v>0</v>
      </c>
      <c r="BB60" s="32">
        <v>0</v>
      </c>
      <c r="BC60" s="32">
        <v>4161</v>
      </c>
      <c r="BD60" s="34">
        <f>IFERROR(SUM(Entity_Metrics[[#This Row],[Operating surplus/(deficit) (social housing lettings)]])/SUM(Entity_Metrics[[#This Row],[Turnover from social housing lettings]]),"")</f>
        <v>0.38311561707935271</v>
      </c>
      <c r="BE60" s="32">
        <v>5895</v>
      </c>
      <c r="BF60" s="32">
        <v>15387</v>
      </c>
      <c r="BG60" s="34">
        <f>IFERROR(SUM(Entity_Metrics[[#This Row],[Operating surplus/(deficit) (overall)2]],-Entity_Metrics[[#This Row],[Gain/(loss) on disposal of fixed assets (housing properties)2]])/SUM(Entity_Metrics[[#This Row],[Turnover (overall)]]),"")</f>
        <v>0.39522900763358776</v>
      </c>
      <c r="BH60" s="32">
        <v>6785</v>
      </c>
      <c r="BI60" s="32">
        <v>572</v>
      </c>
      <c r="BJ60" s="32">
        <v>15720</v>
      </c>
      <c r="BK60" s="34">
        <f>IFERROR(SUM(Entity_Metrics[[#This Row],[Operating surplus/(deficit) (overall)3]],Entity_Metrics[[#This Row],[Share of operating surplus/(deficit) in joint ventures or associates]])/SUM(Entity_Metrics[[#This Row],[Total assets less current liabilities]]),"")</f>
        <v>0.19410115573864287</v>
      </c>
      <c r="BL60" s="32">
        <v>6785</v>
      </c>
      <c r="BM60" s="32">
        <v>0</v>
      </c>
      <c r="BN60" s="32">
        <v>34956</v>
      </c>
      <c r="BO60" s="34">
        <v>0</v>
      </c>
      <c r="BP60" s="34">
        <v>0</v>
      </c>
      <c r="BQ60" s="6" t="s">
        <v>93</v>
      </c>
      <c r="BR60" s="6">
        <v>2015</v>
      </c>
      <c r="BS60" s="6" t="s">
        <v>149</v>
      </c>
      <c r="BT60" s="6" t="s">
        <v>121</v>
      </c>
      <c r="BU60" s="8">
        <v>0.9026647648742484</v>
      </c>
      <c r="BV60" s="37">
        <v>4805</v>
      </c>
      <c r="BW60" s="19" t="s">
        <v>184</v>
      </c>
    </row>
    <row r="61" spans="1:75" x14ac:dyDescent="0.25">
      <c r="A61" s="33" t="s">
        <v>630</v>
      </c>
      <c r="B61" s="7" t="s">
        <v>631</v>
      </c>
      <c r="C61" s="7" t="s">
        <v>81</v>
      </c>
      <c r="D6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1.8165389296136956E-2</v>
      </c>
      <c r="E61" s="32">
        <v>7096</v>
      </c>
      <c r="F61" s="32">
        <v>0</v>
      </c>
      <c r="G61" s="32">
        <v>1830</v>
      </c>
      <c r="H61" s="32">
        <v>0</v>
      </c>
      <c r="I61" s="32">
        <v>0</v>
      </c>
      <c r="J61" s="32">
        <v>491374</v>
      </c>
      <c r="K61" s="32">
        <v>0</v>
      </c>
      <c r="L6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1.0198168965117627E-2</v>
      </c>
      <c r="M61" s="32">
        <v>88</v>
      </c>
      <c r="N61" s="32">
        <v>0</v>
      </c>
      <c r="O61" s="32">
        <v>8189</v>
      </c>
      <c r="P61" s="32">
        <v>440</v>
      </c>
      <c r="Q6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1" s="32">
        <v>0</v>
      </c>
      <c r="S61" s="32">
        <v>0</v>
      </c>
      <c r="T61" s="32">
        <v>0</v>
      </c>
      <c r="U61" s="32">
        <v>8189</v>
      </c>
      <c r="V61" s="32">
        <v>969</v>
      </c>
      <c r="W61" s="32">
        <v>440</v>
      </c>
      <c r="X61" s="32">
        <v>121</v>
      </c>
      <c r="Y6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0.79553252715853917</v>
      </c>
      <c r="Z61" s="32">
        <v>14238</v>
      </c>
      <c r="AA61" s="32">
        <v>186346</v>
      </c>
      <c r="AB61" s="32">
        <v>2563</v>
      </c>
      <c r="AC61" s="32">
        <v>124500</v>
      </c>
      <c r="AD61" s="32">
        <v>68383</v>
      </c>
      <c r="AE61" s="32">
        <v>491374</v>
      </c>
      <c r="AF61" s="32">
        <v>0</v>
      </c>
      <c r="AG6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1.5526054735367918</v>
      </c>
      <c r="AH61" s="32">
        <v>25504</v>
      </c>
      <c r="AI61" s="32">
        <v>2032</v>
      </c>
      <c r="AJ61" s="32">
        <v>760</v>
      </c>
      <c r="AK61" s="32">
        <v>0</v>
      </c>
      <c r="AL61" s="32">
        <v>533</v>
      </c>
      <c r="AM61" s="32">
        <v>1830</v>
      </c>
      <c r="AN61" s="32">
        <v>5192</v>
      </c>
      <c r="AO61" s="32">
        <v>-13</v>
      </c>
      <c r="AP61" s="32">
        <v>-17124</v>
      </c>
      <c r="AQ6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1.8007082671876908</v>
      </c>
      <c r="AR61" s="32">
        <v>3493</v>
      </c>
      <c r="AS61" s="32">
        <v>2834</v>
      </c>
      <c r="AT61" s="32">
        <v>4017</v>
      </c>
      <c r="AU61" s="32">
        <v>726</v>
      </c>
      <c r="AV61" s="32">
        <v>813</v>
      </c>
      <c r="AW61" s="32">
        <v>1830</v>
      </c>
      <c r="AX61" s="32">
        <v>0</v>
      </c>
      <c r="AY61" s="32">
        <v>788</v>
      </c>
      <c r="AZ61" s="32">
        <v>0</v>
      </c>
      <c r="BA61" s="32">
        <v>245</v>
      </c>
      <c r="BB61" s="32">
        <v>0</v>
      </c>
      <c r="BC61" s="32">
        <v>8189</v>
      </c>
      <c r="BD61" s="34">
        <f>IFERROR(SUM(Entity_Metrics[[#This Row],[Operating surplus/(deficit) (social housing lettings)]])/SUM(Entity_Metrics[[#This Row],[Turnover from social housing lettings]]),"")</f>
        <v>0.56150172050742131</v>
      </c>
      <c r="BE61" s="32">
        <v>21866</v>
      </c>
      <c r="BF61" s="32">
        <v>38942</v>
      </c>
      <c r="BG61" s="34">
        <f>IFERROR(SUM(Entity_Metrics[[#This Row],[Operating surplus/(deficit) (overall)2]],-Entity_Metrics[[#This Row],[Gain/(loss) on disposal of fixed assets (housing properties)2]])/SUM(Entity_Metrics[[#This Row],[Turnover (overall)]]),"")</f>
        <v>0.45557237684872481</v>
      </c>
      <c r="BH61" s="32">
        <v>25504</v>
      </c>
      <c r="BI61" s="32">
        <v>2032</v>
      </c>
      <c r="BJ61" s="32">
        <v>51522</v>
      </c>
      <c r="BK61" s="34">
        <f>IFERROR(SUM(Entity_Metrics[[#This Row],[Operating surplus/(deficit) (overall)3]],Entity_Metrics[[#This Row],[Share of operating surplus/(deficit) in joint ventures or associates]])/SUM(Entity_Metrics[[#This Row],[Total assets less current liabilities]]),"")</f>
        <v>4.7701699784534354E-2</v>
      </c>
      <c r="BL61" s="32">
        <v>25504</v>
      </c>
      <c r="BM61" s="32">
        <v>0</v>
      </c>
      <c r="BN61" s="32">
        <v>534656</v>
      </c>
      <c r="BO61" s="34">
        <v>8.8123109298960944E-3</v>
      </c>
      <c r="BP61" s="34">
        <v>7.6417203735367617E-2</v>
      </c>
      <c r="BQ61" s="6" t="s">
        <v>82</v>
      </c>
      <c r="BR61" s="6" t="s">
        <v>83</v>
      </c>
      <c r="BS61" s="6" t="s">
        <v>83</v>
      </c>
      <c r="BT61" s="6" t="s">
        <v>95</v>
      </c>
      <c r="BU61" s="8">
        <v>0.92177955409296553</v>
      </c>
      <c r="BV61" s="37" t="s">
        <v>623</v>
      </c>
      <c r="BW61" s="19" t="s">
        <v>378</v>
      </c>
    </row>
    <row r="62" spans="1:75" x14ac:dyDescent="0.25">
      <c r="A62" s="33" t="s">
        <v>632</v>
      </c>
      <c r="B62" s="7" t="s">
        <v>633</v>
      </c>
      <c r="C62" s="7" t="s">
        <v>81</v>
      </c>
      <c r="D6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8.2098882364084108E-2</v>
      </c>
      <c r="E62" s="32">
        <v>0</v>
      </c>
      <c r="F62" s="32">
        <v>21886</v>
      </c>
      <c r="G62" s="32">
        <v>1951</v>
      </c>
      <c r="H62" s="32">
        <v>0</v>
      </c>
      <c r="I62" s="32">
        <v>0</v>
      </c>
      <c r="J62" s="32">
        <v>290345</v>
      </c>
      <c r="K62" s="32">
        <v>0</v>
      </c>
      <c r="L6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4.0056219255094873E-2</v>
      </c>
      <c r="M62" s="32">
        <v>228</v>
      </c>
      <c r="N62" s="32">
        <v>0</v>
      </c>
      <c r="O62" s="32">
        <v>5692</v>
      </c>
      <c r="P62" s="32">
        <v>0</v>
      </c>
      <c r="Q6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2" s="32">
        <v>0</v>
      </c>
      <c r="S62" s="32">
        <v>0</v>
      </c>
      <c r="T62" s="32">
        <v>0</v>
      </c>
      <c r="U62" s="32">
        <v>5692</v>
      </c>
      <c r="V62" s="32">
        <v>2</v>
      </c>
      <c r="W62" s="32">
        <v>0</v>
      </c>
      <c r="X62" s="32">
        <v>249</v>
      </c>
      <c r="Y6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0.5508825707348155</v>
      </c>
      <c r="Z62" s="32">
        <v>165</v>
      </c>
      <c r="AA62" s="32">
        <v>187482</v>
      </c>
      <c r="AB62" s="32">
        <v>27701</v>
      </c>
      <c r="AC62" s="32">
        <v>0</v>
      </c>
      <c r="AD62" s="32">
        <v>0</v>
      </c>
      <c r="AE62" s="32">
        <v>290345</v>
      </c>
      <c r="AF62" s="32">
        <v>0</v>
      </c>
      <c r="AG6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3.0245213301981861</v>
      </c>
      <c r="AH62" s="32">
        <v>16690</v>
      </c>
      <c r="AI62" s="32">
        <v>511</v>
      </c>
      <c r="AJ62" s="32">
        <v>666</v>
      </c>
      <c r="AK62" s="32">
        <v>0</v>
      </c>
      <c r="AL62" s="32">
        <v>212</v>
      </c>
      <c r="AM62" s="32">
        <v>1951</v>
      </c>
      <c r="AN62" s="32">
        <v>4234</v>
      </c>
      <c r="AO62" s="32">
        <v>0</v>
      </c>
      <c r="AP62" s="32">
        <v>-5954</v>
      </c>
      <c r="AQ6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3.4439564300773013</v>
      </c>
      <c r="AR62" s="32">
        <v>8220</v>
      </c>
      <c r="AS62" s="32">
        <v>1272</v>
      </c>
      <c r="AT62" s="32">
        <v>3682</v>
      </c>
      <c r="AU62" s="32">
        <v>1205</v>
      </c>
      <c r="AV62" s="32">
        <v>2366</v>
      </c>
      <c r="AW62" s="32">
        <v>1951</v>
      </c>
      <c r="AX62" s="32">
        <v>-68</v>
      </c>
      <c r="AY62" s="32">
        <v>-90</v>
      </c>
      <c r="AZ62" s="32">
        <v>0</v>
      </c>
      <c r="BA62" s="32">
        <v>136</v>
      </c>
      <c r="BB62" s="32">
        <v>929</v>
      </c>
      <c r="BC62" s="32">
        <v>5692</v>
      </c>
      <c r="BD62" s="34">
        <f>IFERROR(SUM(Entity_Metrics[[#This Row],[Operating surplus/(deficit) (social housing lettings)]])/SUM(Entity_Metrics[[#This Row],[Turnover from social housing lettings]]),"")</f>
        <v>0.39147140154271576</v>
      </c>
      <c r="BE62" s="32">
        <v>13449</v>
      </c>
      <c r="BF62" s="32">
        <v>34355</v>
      </c>
      <c r="BG62" s="34">
        <f>IFERROR(SUM(Entity_Metrics[[#This Row],[Operating surplus/(deficit) (overall)2]],-Entity_Metrics[[#This Row],[Gain/(loss) on disposal of fixed assets (housing properties)2]])/SUM(Entity_Metrics[[#This Row],[Turnover (overall)]]),"")</f>
        <v>0.37825263600869707</v>
      </c>
      <c r="BH62" s="32">
        <v>16690</v>
      </c>
      <c r="BI62" s="32">
        <v>511</v>
      </c>
      <c r="BJ62" s="32">
        <v>42773</v>
      </c>
      <c r="BK62" s="34">
        <f>IFERROR(SUM(Entity_Metrics[[#This Row],[Operating surplus/(deficit) (overall)3]],Entity_Metrics[[#This Row],[Share of operating surplus/(deficit) in joint ventures or associates]])/SUM(Entity_Metrics[[#This Row],[Total assets less current liabilities]]),"")</f>
        <v>5.2110815882402531E-2</v>
      </c>
      <c r="BL62" s="32">
        <v>16690</v>
      </c>
      <c r="BM62" s="32">
        <v>0</v>
      </c>
      <c r="BN62" s="32">
        <v>320279</v>
      </c>
      <c r="BO62" s="34">
        <v>4.7443331576172906E-3</v>
      </c>
      <c r="BP62" s="34">
        <v>0.10841679845369882</v>
      </c>
      <c r="BQ62" s="6" t="s">
        <v>82</v>
      </c>
      <c r="BR62" s="6" t="s">
        <v>83</v>
      </c>
      <c r="BS62" s="6" t="s">
        <v>83</v>
      </c>
      <c r="BT62" s="6" t="s">
        <v>84</v>
      </c>
      <c r="BU62" s="8">
        <v>1.0113146516929676</v>
      </c>
      <c r="BV62" s="37" t="s">
        <v>634</v>
      </c>
      <c r="BW62" s="19" t="s">
        <v>392</v>
      </c>
    </row>
    <row r="63" spans="1:75" x14ac:dyDescent="0.25">
      <c r="A63" s="33" t="s">
        <v>191</v>
      </c>
      <c r="B63" s="7" t="s">
        <v>192</v>
      </c>
      <c r="C63" s="7" t="s">
        <v>81</v>
      </c>
      <c r="D6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1.5774002566898055E-2</v>
      </c>
      <c r="E63" s="32">
        <v>0</v>
      </c>
      <c r="F63" s="32">
        <v>0</v>
      </c>
      <c r="G63" s="32">
        <v>1138</v>
      </c>
      <c r="H63" s="32">
        <v>5</v>
      </c>
      <c r="I63" s="32">
        <v>0</v>
      </c>
      <c r="J63" s="32">
        <v>72461</v>
      </c>
      <c r="K63" s="32">
        <v>0</v>
      </c>
      <c r="L6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63" s="32">
        <v>0</v>
      </c>
      <c r="N63" s="32">
        <v>0</v>
      </c>
      <c r="O63" s="32">
        <v>1770</v>
      </c>
      <c r="P63" s="32">
        <v>0</v>
      </c>
      <c r="Q6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3" s="32">
        <v>0</v>
      </c>
      <c r="S63" s="32">
        <v>0</v>
      </c>
      <c r="T63" s="32">
        <v>0</v>
      </c>
      <c r="U63" s="32">
        <v>1770</v>
      </c>
      <c r="V63" s="32">
        <v>0</v>
      </c>
      <c r="W63" s="32">
        <v>0</v>
      </c>
      <c r="X63" s="32">
        <v>0</v>
      </c>
      <c r="Y6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0.17597052207394323</v>
      </c>
      <c r="Z63" s="32">
        <v>1581</v>
      </c>
      <c r="AA63" s="32">
        <v>17966</v>
      </c>
      <c r="AB63" s="32">
        <v>6796</v>
      </c>
      <c r="AC63" s="32">
        <v>0</v>
      </c>
      <c r="AD63" s="32">
        <v>0</v>
      </c>
      <c r="AE63" s="32">
        <v>72461</v>
      </c>
      <c r="AF63" s="32">
        <v>0</v>
      </c>
      <c r="AG6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2.3982412060301508</v>
      </c>
      <c r="AH63" s="32">
        <v>1697</v>
      </c>
      <c r="AI63" s="32">
        <v>48</v>
      </c>
      <c r="AJ63" s="32">
        <v>420</v>
      </c>
      <c r="AK63" s="32">
        <v>13</v>
      </c>
      <c r="AL63" s="32">
        <v>23</v>
      </c>
      <c r="AM63" s="32">
        <v>1143</v>
      </c>
      <c r="AN63" s="32">
        <v>1813</v>
      </c>
      <c r="AO63" s="32">
        <v>-5</v>
      </c>
      <c r="AP63" s="32">
        <v>-791</v>
      </c>
      <c r="AQ6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2.9652701212789414</v>
      </c>
      <c r="AR63" s="32">
        <v>902</v>
      </c>
      <c r="AS63" s="32">
        <v>223</v>
      </c>
      <c r="AT63" s="32">
        <v>2151</v>
      </c>
      <c r="AU63" s="32">
        <v>80</v>
      </c>
      <c r="AV63" s="32">
        <v>0</v>
      </c>
      <c r="AW63" s="32">
        <v>1143</v>
      </c>
      <c r="AX63" s="32">
        <v>850</v>
      </c>
      <c r="AY63" s="32">
        <v>0</v>
      </c>
      <c r="AZ63" s="32">
        <v>0</v>
      </c>
      <c r="BA63" s="32">
        <v>30</v>
      </c>
      <c r="BB63" s="32">
        <v>0</v>
      </c>
      <c r="BC63" s="32">
        <v>1814</v>
      </c>
      <c r="BD63" s="34">
        <f>IFERROR(SUM(Entity_Metrics[[#This Row],[Operating surplus/(deficit) (social housing lettings)]])/SUM(Entity_Metrics[[#This Row],[Turnover from social housing lettings]]),"")</f>
        <v>0.18616960073639396</v>
      </c>
      <c r="BE63" s="32">
        <v>1618</v>
      </c>
      <c r="BF63" s="32">
        <v>8691</v>
      </c>
      <c r="BG63" s="34">
        <f>IFERROR(SUM(Entity_Metrics[[#This Row],[Operating surplus/(deficit) (overall)2]],-Entity_Metrics[[#This Row],[Gain/(loss) on disposal of fixed assets (housing properties)2]])/SUM(Entity_Metrics[[#This Row],[Turnover (overall)]]),"")</f>
        <v>0.18841407678244973</v>
      </c>
      <c r="BH63" s="32">
        <v>1697</v>
      </c>
      <c r="BI63" s="32">
        <v>48</v>
      </c>
      <c r="BJ63" s="32">
        <v>8752</v>
      </c>
      <c r="BK63" s="34">
        <f>IFERROR(SUM(Entity_Metrics[[#This Row],[Operating surplus/(deficit) (overall)3]],Entity_Metrics[[#This Row],[Share of operating surplus/(deficit) in joint ventures or associates]])/SUM(Entity_Metrics[[#This Row],[Total assets less current liabilities]]),"")</f>
        <v>2.2121125218343456E-2</v>
      </c>
      <c r="BL63" s="32">
        <v>1697</v>
      </c>
      <c r="BM63" s="32">
        <v>0</v>
      </c>
      <c r="BN63" s="32">
        <v>76714</v>
      </c>
      <c r="BO63" s="34">
        <v>0</v>
      </c>
      <c r="BP63" s="34">
        <v>3.5489410417859184E-2</v>
      </c>
      <c r="BQ63" s="6" t="s">
        <v>82</v>
      </c>
      <c r="BR63" s="6" t="s">
        <v>83</v>
      </c>
      <c r="BS63" s="6" t="s">
        <v>83</v>
      </c>
      <c r="BT63" s="6" t="s">
        <v>121</v>
      </c>
      <c r="BU63" s="8">
        <v>0.9026647648742484</v>
      </c>
      <c r="BV63" s="37" t="s">
        <v>191</v>
      </c>
      <c r="BW63" s="19" t="s">
        <v>192</v>
      </c>
    </row>
    <row r="64" spans="1:75" x14ac:dyDescent="0.25">
      <c r="A64" s="33" t="s">
        <v>909</v>
      </c>
      <c r="B64" s="7" t="s">
        <v>635</v>
      </c>
      <c r="C64" s="7" t="s">
        <v>81</v>
      </c>
      <c r="D6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0.12407612712490761</v>
      </c>
      <c r="E64" s="32">
        <v>1069</v>
      </c>
      <c r="F64" s="32">
        <v>0</v>
      </c>
      <c r="G64" s="32">
        <v>5646</v>
      </c>
      <c r="H64" s="32">
        <v>0</v>
      </c>
      <c r="I64" s="32">
        <v>0</v>
      </c>
      <c r="J64" s="32">
        <v>54120</v>
      </c>
      <c r="K64" s="32">
        <v>0</v>
      </c>
      <c r="L6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64" s="32">
        <v>0</v>
      </c>
      <c r="N64" s="32">
        <v>0</v>
      </c>
      <c r="O64" s="32">
        <v>5755</v>
      </c>
      <c r="P64" s="32">
        <v>0</v>
      </c>
      <c r="Q6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4" s="32">
        <v>0</v>
      </c>
      <c r="S64" s="32">
        <v>0</v>
      </c>
      <c r="T64" s="32">
        <v>0</v>
      </c>
      <c r="U64" s="32">
        <v>5755</v>
      </c>
      <c r="V64" s="32">
        <v>0</v>
      </c>
      <c r="W64" s="32">
        <v>0</v>
      </c>
      <c r="X64" s="32">
        <v>116</v>
      </c>
      <c r="Y6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0.66949371766444932</v>
      </c>
      <c r="Z64" s="32">
        <v>0</v>
      </c>
      <c r="AA64" s="32">
        <v>36482</v>
      </c>
      <c r="AB64" s="32">
        <v>249</v>
      </c>
      <c r="AC64" s="32">
        <v>0</v>
      </c>
      <c r="AD64" s="32">
        <v>0</v>
      </c>
      <c r="AE64" s="32">
        <v>54120</v>
      </c>
      <c r="AF64" s="32">
        <v>0</v>
      </c>
      <c r="AG6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3.4101232965606747</v>
      </c>
      <c r="AH64" s="32">
        <v>10890</v>
      </c>
      <c r="AI64" s="32">
        <v>1232</v>
      </c>
      <c r="AJ64" s="32">
        <v>0</v>
      </c>
      <c r="AK64" s="32">
        <v>0</v>
      </c>
      <c r="AL64" s="32">
        <v>0</v>
      </c>
      <c r="AM64" s="32">
        <v>5646</v>
      </c>
      <c r="AN64" s="32">
        <v>1243</v>
      </c>
      <c r="AO64" s="32">
        <v>0</v>
      </c>
      <c r="AP64" s="32">
        <v>-1541</v>
      </c>
      <c r="AQ6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2.8836325966850831</v>
      </c>
      <c r="AR64" s="32">
        <v>5655</v>
      </c>
      <c r="AS64" s="32">
        <v>331</v>
      </c>
      <c r="AT64" s="32">
        <v>4117</v>
      </c>
      <c r="AU64" s="32">
        <v>845</v>
      </c>
      <c r="AV64" s="32">
        <v>108</v>
      </c>
      <c r="AW64" s="32">
        <v>5646</v>
      </c>
      <c r="AX64" s="32">
        <v>0</v>
      </c>
      <c r="AY64" s="32">
        <v>0</v>
      </c>
      <c r="AZ64" s="32">
        <v>0</v>
      </c>
      <c r="BA64" s="32">
        <v>0</v>
      </c>
      <c r="BB64" s="32">
        <v>0</v>
      </c>
      <c r="BC64" s="32">
        <v>5792</v>
      </c>
      <c r="BD64" s="34">
        <f>IFERROR(SUM(Entity_Metrics[[#This Row],[Operating surplus/(deficit) (social housing lettings)]])/SUM(Entity_Metrics[[#This Row],[Turnover from social housing lettings]]),"")</f>
        <v>0.42461552544855363</v>
      </c>
      <c r="BE64" s="32">
        <v>9277</v>
      </c>
      <c r="BF64" s="32">
        <v>21848</v>
      </c>
      <c r="BG64" s="34">
        <f>IFERROR(SUM(Entity_Metrics[[#This Row],[Operating surplus/(deficit) (overall)2]],-Entity_Metrics[[#This Row],[Gain/(loss) on disposal of fixed assets (housing properties)2]])/SUM(Entity_Metrics[[#This Row],[Turnover (overall)]]),"")</f>
        <v>0.43363864942528735</v>
      </c>
      <c r="BH64" s="32">
        <v>10890</v>
      </c>
      <c r="BI64" s="32">
        <v>1232</v>
      </c>
      <c r="BJ64" s="32">
        <v>22272</v>
      </c>
      <c r="BK64" s="34">
        <f>IFERROR(SUM(Entity_Metrics[[#This Row],[Operating surplus/(deficit) (overall)3]],Entity_Metrics[[#This Row],[Share of operating surplus/(deficit) in joint ventures or associates]])/SUM(Entity_Metrics[[#This Row],[Total assets less current liabilities]]),"")</f>
        <v>0.19694722754729266</v>
      </c>
      <c r="BL64" s="32">
        <v>10890</v>
      </c>
      <c r="BM64" s="32">
        <v>0</v>
      </c>
      <c r="BN64" s="32">
        <v>55294</v>
      </c>
      <c r="BO64" s="34">
        <v>0</v>
      </c>
      <c r="BP64" s="34">
        <v>0</v>
      </c>
      <c r="BQ64" s="6" t="s">
        <v>93</v>
      </c>
      <c r="BR64" s="6">
        <v>2015</v>
      </c>
      <c r="BS64" s="6" t="s">
        <v>149</v>
      </c>
      <c r="BT64" s="6" t="s">
        <v>121</v>
      </c>
      <c r="BU64" s="8">
        <v>0.9026647648742484</v>
      </c>
      <c r="BV64" s="37">
        <v>4805</v>
      </c>
      <c r="BW64" s="19" t="s">
        <v>184</v>
      </c>
    </row>
    <row r="65" spans="1:75" x14ac:dyDescent="0.25">
      <c r="A65" s="33" t="s">
        <v>910</v>
      </c>
      <c r="B65" s="7" t="s">
        <v>636</v>
      </c>
      <c r="C65" s="7" t="s">
        <v>81</v>
      </c>
      <c r="D6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9.5141637803067794E-2</v>
      </c>
      <c r="E65" s="32">
        <v>271</v>
      </c>
      <c r="F65" s="32">
        <v>0</v>
      </c>
      <c r="G65" s="32">
        <v>5882</v>
      </c>
      <c r="H65" s="32">
        <v>0</v>
      </c>
      <c r="I65" s="32">
        <v>0</v>
      </c>
      <c r="J65" s="32">
        <v>64672</v>
      </c>
      <c r="K65" s="32">
        <v>0</v>
      </c>
      <c r="L6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65" s="32">
        <v>0</v>
      </c>
      <c r="N65" s="32">
        <v>0</v>
      </c>
      <c r="O65" s="32">
        <v>8112</v>
      </c>
      <c r="P65" s="32">
        <v>0</v>
      </c>
      <c r="Q6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5" s="32">
        <v>0</v>
      </c>
      <c r="S65" s="32">
        <v>0</v>
      </c>
      <c r="T65" s="32">
        <v>0</v>
      </c>
      <c r="U65" s="32">
        <v>8112</v>
      </c>
      <c r="V65" s="32">
        <v>0</v>
      </c>
      <c r="W65" s="32">
        <v>0</v>
      </c>
      <c r="X65" s="32">
        <v>177</v>
      </c>
      <c r="Y6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0.79092961405244933</v>
      </c>
      <c r="Z65" s="32">
        <v>0</v>
      </c>
      <c r="AA65" s="32">
        <v>51194</v>
      </c>
      <c r="AB65" s="32">
        <v>43</v>
      </c>
      <c r="AC65" s="32">
        <v>0</v>
      </c>
      <c r="AD65" s="32">
        <v>0</v>
      </c>
      <c r="AE65" s="32">
        <v>64672</v>
      </c>
      <c r="AF65" s="32">
        <v>0</v>
      </c>
      <c r="AG6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2.7661290322580645</v>
      </c>
      <c r="AH65" s="32">
        <v>11800</v>
      </c>
      <c r="AI65" s="32">
        <v>1179</v>
      </c>
      <c r="AJ65" s="32">
        <v>0</v>
      </c>
      <c r="AK65" s="32">
        <v>0</v>
      </c>
      <c r="AL65" s="32">
        <v>0</v>
      </c>
      <c r="AM65" s="32">
        <v>5882</v>
      </c>
      <c r="AN65" s="32">
        <v>1435</v>
      </c>
      <c r="AO65" s="32">
        <v>0</v>
      </c>
      <c r="AP65" s="32">
        <v>-2232</v>
      </c>
      <c r="AQ6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2.825567061143984</v>
      </c>
      <c r="AR65" s="32">
        <v>8459</v>
      </c>
      <c r="AS65" s="32">
        <v>1030</v>
      </c>
      <c r="AT65" s="32">
        <v>5730</v>
      </c>
      <c r="AU65" s="32">
        <v>1707</v>
      </c>
      <c r="AV65" s="32">
        <v>113</v>
      </c>
      <c r="AW65" s="32">
        <v>5882</v>
      </c>
      <c r="AX65" s="32">
        <v>0</v>
      </c>
      <c r="AY65" s="32">
        <v>0</v>
      </c>
      <c r="AZ65" s="32">
        <v>0</v>
      </c>
      <c r="BA65" s="32">
        <v>0</v>
      </c>
      <c r="BB65" s="32">
        <v>0</v>
      </c>
      <c r="BC65" s="32">
        <v>8112</v>
      </c>
      <c r="BD65" s="34">
        <f>IFERROR(SUM(Entity_Metrics[[#This Row],[Operating surplus/(deficit) (social housing lettings)]])/SUM(Entity_Metrics[[#This Row],[Turnover from social housing lettings]]),"")</f>
        <v>0.35159466815548884</v>
      </c>
      <c r="BE65" s="32">
        <v>10076</v>
      </c>
      <c r="BF65" s="32">
        <v>28658</v>
      </c>
      <c r="BG65" s="34">
        <f>IFERROR(SUM(Entity_Metrics[[#This Row],[Operating surplus/(deficit) (overall)2]],-Entity_Metrics[[#This Row],[Gain/(loss) on disposal of fixed assets (housing properties)2]])/SUM(Entity_Metrics[[#This Row],[Turnover (overall)]]),"")</f>
        <v>0.36292499572868614</v>
      </c>
      <c r="BH65" s="32">
        <v>11800</v>
      </c>
      <c r="BI65" s="32">
        <v>1179</v>
      </c>
      <c r="BJ65" s="32">
        <v>29265</v>
      </c>
      <c r="BK65" s="34">
        <f>IFERROR(SUM(Entity_Metrics[[#This Row],[Operating surplus/(deficit) (overall)3]],Entity_Metrics[[#This Row],[Share of operating surplus/(deficit) in joint ventures or associates]])/SUM(Entity_Metrics[[#This Row],[Total assets less current liabilities]]),"")</f>
        <v>0.22108556760909073</v>
      </c>
      <c r="BL65" s="32">
        <v>11800</v>
      </c>
      <c r="BM65" s="32">
        <v>0</v>
      </c>
      <c r="BN65" s="32">
        <v>53373</v>
      </c>
      <c r="BO65" s="34">
        <v>0</v>
      </c>
      <c r="BP65" s="34">
        <v>0</v>
      </c>
      <c r="BQ65" s="6" t="s">
        <v>93</v>
      </c>
      <c r="BR65" s="6">
        <v>2015</v>
      </c>
      <c r="BS65" s="6" t="s">
        <v>149</v>
      </c>
      <c r="BT65" s="6" t="s">
        <v>121</v>
      </c>
      <c r="BU65" s="8">
        <v>0.9026647648742484</v>
      </c>
      <c r="BV65" s="37">
        <v>4805</v>
      </c>
      <c r="BW65" s="19" t="s">
        <v>184</v>
      </c>
    </row>
    <row r="66" spans="1:75" x14ac:dyDescent="0.25">
      <c r="A66" s="33" t="s">
        <v>637</v>
      </c>
      <c r="B66" s="7" t="s">
        <v>194</v>
      </c>
      <c r="C66" s="7" t="s">
        <v>81</v>
      </c>
      <c r="D6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4.3635342972500303E-2</v>
      </c>
      <c r="E66" s="32">
        <v>0</v>
      </c>
      <c r="F66" s="32">
        <v>1383</v>
      </c>
      <c r="G66" s="32">
        <v>4680</v>
      </c>
      <c r="H66" s="32">
        <v>0</v>
      </c>
      <c r="I66" s="32">
        <v>0</v>
      </c>
      <c r="J66" s="32">
        <v>138947</v>
      </c>
      <c r="K66" s="32">
        <v>0</v>
      </c>
      <c r="L6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2.221235006663705E-3</v>
      </c>
      <c r="M66" s="32">
        <v>5</v>
      </c>
      <c r="N66" s="32">
        <v>0</v>
      </c>
      <c r="O66" s="32">
        <v>2251</v>
      </c>
      <c r="P66" s="32">
        <v>0</v>
      </c>
      <c r="Q6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6" s="32">
        <v>0</v>
      </c>
      <c r="S66" s="32">
        <v>0</v>
      </c>
      <c r="T66" s="32">
        <v>0</v>
      </c>
      <c r="U66" s="32">
        <v>2251</v>
      </c>
      <c r="V66" s="32">
        <v>0</v>
      </c>
      <c r="W66" s="32">
        <v>0</v>
      </c>
      <c r="X66" s="32">
        <v>0</v>
      </c>
      <c r="Y6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0.2367809308585288</v>
      </c>
      <c r="Z66" s="32">
        <v>1000</v>
      </c>
      <c r="AA66" s="32">
        <v>37500</v>
      </c>
      <c r="AB66" s="32">
        <v>5600</v>
      </c>
      <c r="AC66" s="32">
        <v>0</v>
      </c>
      <c r="AD66" s="32">
        <v>0</v>
      </c>
      <c r="AE66" s="32">
        <v>138947</v>
      </c>
      <c r="AF66" s="32">
        <v>0</v>
      </c>
      <c r="AG6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1.5995861355406105</v>
      </c>
      <c r="AH66" s="32">
        <v>6558</v>
      </c>
      <c r="AI66" s="32">
        <v>1113</v>
      </c>
      <c r="AJ66" s="32">
        <v>556</v>
      </c>
      <c r="AK66" s="32">
        <v>0</v>
      </c>
      <c r="AL66" s="32">
        <v>14</v>
      </c>
      <c r="AM66" s="32">
        <v>4680</v>
      </c>
      <c r="AN66" s="32">
        <v>2869</v>
      </c>
      <c r="AO66" s="32">
        <v>-1</v>
      </c>
      <c r="AP66" s="32">
        <v>-1932</v>
      </c>
      <c r="AQ6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7.3705019991115064</v>
      </c>
      <c r="AR66" s="32">
        <v>3206</v>
      </c>
      <c r="AS66" s="32">
        <v>4649</v>
      </c>
      <c r="AT66" s="32">
        <v>3078</v>
      </c>
      <c r="AU66" s="32">
        <v>442</v>
      </c>
      <c r="AV66" s="32">
        <v>536</v>
      </c>
      <c r="AW66" s="32">
        <v>4680</v>
      </c>
      <c r="AX66" s="32">
        <v>0</v>
      </c>
      <c r="AY66" s="32">
        <v>0</v>
      </c>
      <c r="AZ66" s="32">
        <v>0</v>
      </c>
      <c r="BA66" s="32">
        <v>0</v>
      </c>
      <c r="BB66" s="32">
        <v>0</v>
      </c>
      <c r="BC66" s="32">
        <v>2251</v>
      </c>
      <c r="BD66" s="34">
        <f>IFERROR(SUM(Entity_Metrics[[#This Row],[Operating surplus/(deficit) (social housing lettings)]])/SUM(Entity_Metrics[[#This Row],[Turnover from social housing lettings]]),"")</f>
        <v>0.22294647588765235</v>
      </c>
      <c r="BE66" s="32">
        <v>4207</v>
      </c>
      <c r="BF66" s="32">
        <v>18870</v>
      </c>
      <c r="BG66" s="34">
        <f>IFERROR(SUM(Entity_Metrics[[#This Row],[Operating surplus/(deficit) (overall)2]],-Entity_Metrics[[#This Row],[Gain/(loss) on disposal of fixed assets (housing properties)2]])/SUM(Entity_Metrics[[#This Row],[Turnover (overall)]]),"")</f>
        <v>0.25878047621310774</v>
      </c>
      <c r="BH66" s="32">
        <v>6558</v>
      </c>
      <c r="BI66" s="32">
        <v>1113</v>
      </c>
      <c r="BJ66" s="32">
        <v>21041</v>
      </c>
      <c r="BK66" s="34">
        <f>IFERROR(SUM(Entity_Metrics[[#This Row],[Operating surplus/(deficit) (overall)3]],Entity_Metrics[[#This Row],[Share of operating surplus/(deficit) in joint ventures or associates]])/SUM(Entity_Metrics[[#This Row],[Total assets less current liabilities]]),"")</f>
        <v>4.0794998600354578E-2</v>
      </c>
      <c r="BL66" s="32">
        <v>6558</v>
      </c>
      <c r="BM66" s="32">
        <v>0</v>
      </c>
      <c r="BN66" s="32">
        <v>160755</v>
      </c>
      <c r="BO66" s="34">
        <v>0</v>
      </c>
      <c r="BP66" s="34">
        <v>0</v>
      </c>
      <c r="BQ66" s="6" t="s">
        <v>93</v>
      </c>
      <c r="BR66" s="6">
        <v>2005</v>
      </c>
      <c r="BS66" s="6" t="s">
        <v>94</v>
      </c>
      <c r="BT66" s="6" t="s">
        <v>156</v>
      </c>
      <c r="BU66" s="8">
        <v>1.2488627787394371</v>
      </c>
      <c r="BV66" s="37" t="s">
        <v>637</v>
      </c>
      <c r="BW66" s="19" t="s">
        <v>194</v>
      </c>
    </row>
    <row r="67" spans="1:75" x14ac:dyDescent="0.25">
      <c r="A67" s="33" t="s">
        <v>638</v>
      </c>
      <c r="B67" s="7" t="s">
        <v>639</v>
      </c>
      <c r="C67" s="7" t="s">
        <v>81</v>
      </c>
      <c r="D6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6.4813616958361825E-2</v>
      </c>
      <c r="E67" s="32">
        <v>0</v>
      </c>
      <c r="F67" s="32">
        <v>5626</v>
      </c>
      <c r="G67" s="32">
        <v>1388</v>
      </c>
      <c r="H67" s="32">
        <v>0</v>
      </c>
      <c r="I67" s="32">
        <v>0</v>
      </c>
      <c r="J67" s="32">
        <v>108218</v>
      </c>
      <c r="K67" s="32">
        <v>0</v>
      </c>
      <c r="L6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2.0811654526534861E-3</v>
      </c>
      <c r="M67" s="32">
        <v>16</v>
      </c>
      <c r="N67" s="32">
        <v>0</v>
      </c>
      <c r="O67" s="32">
        <v>7688</v>
      </c>
      <c r="P67" s="32">
        <v>0</v>
      </c>
      <c r="Q6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7" s="32">
        <v>0</v>
      </c>
      <c r="S67" s="32">
        <v>0</v>
      </c>
      <c r="T67" s="32">
        <v>0</v>
      </c>
      <c r="U67" s="32">
        <v>7688</v>
      </c>
      <c r="V67" s="32">
        <v>0</v>
      </c>
      <c r="W67" s="32">
        <v>0</v>
      </c>
      <c r="X67" s="32">
        <v>0</v>
      </c>
      <c r="Y6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0.59034541388678408</v>
      </c>
      <c r="Z67" s="32">
        <v>2646</v>
      </c>
      <c r="AA67" s="32">
        <v>65287</v>
      </c>
      <c r="AB67" s="32">
        <v>4047</v>
      </c>
      <c r="AC67" s="32">
        <v>0</v>
      </c>
      <c r="AD67" s="32">
        <v>0</v>
      </c>
      <c r="AE67" s="32">
        <v>108218</v>
      </c>
      <c r="AF67" s="32">
        <v>0</v>
      </c>
      <c r="AG6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2.7540947805197642</v>
      </c>
      <c r="AH67" s="32">
        <v>12950</v>
      </c>
      <c r="AI67" s="32">
        <v>2086</v>
      </c>
      <c r="AJ67" s="32">
        <v>2888</v>
      </c>
      <c r="AK67" s="32">
        <v>0</v>
      </c>
      <c r="AL67" s="32">
        <v>160</v>
      </c>
      <c r="AM67" s="32">
        <v>1388</v>
      </c>
      <c r="AN67" s="32">
        <v>5863</v>
      </c>
      <c r="AO67" s="32">
        <v>-110</v>
      </c>
      <c r="AP67" s="32">
        <v>-4469</v>
      </c>
      <c r="AQ6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2.6097814776274713</v>
      </c>
      <c r="AR67" s="32">
        <v>8691</v>
      </c>
      <c r="AS67" s="32">
        <v>1202</v>
      </c>
      <c r="AT67" s="32">
        <v>3613</v>
      </c>
      <c r="AU67" s="32">
        <v>989</v>
      </c>
      <c r="AV67" s="32">
        <v>2355</v>
      </c>
      <c r="AW67" s="32">
        <v>1388</v>
      </c>
      <c r="AX67" s="32">
        <v>1479</v>
      </c>
      <c r="AY67" s="32">
        <v>261</v>
      </c>
      <c r="AZ67" s="32">
        <v>0</v>
      </c>
      <c r="BA67" s="32">
        <v>0</v>
      </c>
      <c r="BB67" s="32">
        <v>86</v>
      </c>
      <c r="BC67" s="32">
        <v>7688</v>
      </c>
      <c r="BD67" s="34">
        <f>IFERROR(SUM(Entity_Metrics[[#This Row],[Operating surplus/(deficit) (social housing lettings)]])/SUM(Entity_Metrics[[#This Row],[Turnover from social housing lettings]]),"")</f>
        <v>0.3237441085182205</v>
      </c>
      <c r="BE67" s="32">
        <v>11265</v>
      </c>
      <c r="BF67" s="32">
        <v>34796</v>
      </c>
      <c r="BG67" s="34">
        <f>IFERROR(SUM(Entity_Metrics[[#This Row],[Operating surplus/(deficit) (overall)2]],-Entity_Metrics[[#This Row],[Gain/(loss) on disposal of fixed assets (housing properties)2]])/SUM(Entity_Metrics[[#This Row],[Turnover (overall)]]),"")</f>
        <v>0.29594922226157072</v>
      </c>
      <c r="BH67" s="32">
        <v>12950</v>
      </c>
      <c r="BI67" s="32">
        <v>2086</v>
      </c>
      <c r="BJ67" s="32">
        <v>36709</v>
      </c>
      <c r="BK67" s="34">
        <f>IFERROR(SUM(Entity_Metrics[[#This Row],[Operating surplus/(deficit) (overall)3]],Entity_Metrics[[#This Row],[Share of operating surplus/(deficit) in joint ventures or associates]])/SUM(Entity_Metrics[[#This Row],[Total assets less current liabilities]]),"")</f>
        <v>0.10995168918058397</v>
      </c>
      <c r="BL67" s="32">
        <v>12950</v>
      </c>
      <c r="BM67" s="32">
        <v>0</v>
      </c>
      <c r="BN67" s="32">
        <v>117779</v>
      </c>
      <c r="BO67" s="34">
        <v>9.0791180285343712E-4</v>
      </c>
      <c r="BP67" s="34">
        <v>2.8015564202334631E-2</v>
      </c>
      <c r="BQ67" s="6" t="s">
        <v>93</v>
      </c>
      <c r="BR67" s="6">
        <v>2009</v>
      </c>
      <c r="BS67" s="6" t="s">
        <v>120</v>
      </c>
      <c r="BT67" s="6" t="s">
        <v>105</v>
      </c>
      <c r="BU67" s="8">
        <v>0.9156653862445665</v>
      </c>
      <c r="BV67" s="37">
        <v>4808</v>
      </c>
      <c r="BW67" s="19" t="s">
        <v>350</v>
      </c>
    </row>
    <row r="68" spans="1:75" x14ac:dyDescent="0.25">
      <c r="A68" s="33" t="s">
        <v>640</v>
      </c>
      <c r="B68" s="7" t="s">
        <v>198</v>
      </c>
      <c r="C68" s="7" t="s">
        <v>81</v>
      </c>
      <c r="D6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5.3462649484381779E-2</v>
      </c>
      <c r="E68" s="32">
        <v>2679</v>
      </c>
      <c r="F68" s="32">
        <v>0</v>
      </c>
      <c r="G68" s="32">
        <v>748</v>
      </c>
      <c r="H68" s="32">
        <v>145</v>
      </c>
      <c r="I68" s="32">
        <v>0</v>
      </c>
      <c r="J68" s="32">
        <v>0</v>
      </c>
      <c r="K68" s="32">
        <v>66813</v>
      </c>
      <c r="L6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1.0410958904109589E-2</v>
      </c>
      <c r="M68" s="32">
        <v>19</v>
      </c>
      <c r="N68" s="32">
        <v>0</v>
      </c>
      <c r="O68" s="32">
        <v>1820</v>
      </c>
      <c r="P68" s="32">
        <v>5</v>
      </c>
      <c r="Q6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8" s="32">
        <v>0</v>
      </c>
      <c r="S68" s="32">
        <v>0</v>
      </c>
      <c r="T68" s="32">
        <v>0</v>
      </c>
      <c r="U68" s="32">
        <v>1820</v>
      </c>
      <c r="V68" s="32">
        <v>9</v>
      </c>
      <c r="W68" s="32">
        <v>5</v>
      </c>
      <c r="X68" s="32">
        <v>0</v>
      </c>
      <c r="Y6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0.61940041608668972</v>
      </c>
      <c r="Z68" s="32">
        <v>4</v>
      </c>
      <c r="AA68" s="32">
        <v>41720</v>
      </c>
      <c r="AB68" s="32">
        <v>340</v>
      </c>
      <c r="AC68" s="32">
        <v>0</v>
      </c>
      <c r="AD68" s="32">
        <v>0</v>
      </c>
      <c r="AE68" s="32">
        <v>0</v>
      </c>
      <c r="AF68" s="32">
        <v>66813</v>
      </c>
      <c r="AG6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1.9071653898152321</v>
      </c>
      <c r="AH68" s="32">
        <v>4170</v>
      </c>
      <c r="AI68" s="32">
        <v>383</v>
      </c>
      <c r="AJ68" s="32">
        <v>0</v>
      </c>
      <c r="AK68" s="32">
        <v>272</v>
      </c>
      <c r="AL68" s="32">
        <v>1</v>
      </c>
      <c r="AM68" s="32">
        <v>748</v>
      </c>
      <c r="AN68" s="32">
        <v>1464</v>
      </c>
      <c r="AO68" s="32">
        <v>-145</v>
      </c>
      <c r="AP68" s="32">
        <v>-2074</v>
      </c>
      <c r="AQ6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2.6384152457372116</v>
      </c>
      <c r="AR68" s="32">
        <v>1971</v>
      </c>
      <c r="AS68" s="32">
        <v>496</v>
      </c>
      <c r="AT68" s="32">
        <v>1186</v>
      </c>
      <c r="AU68" s="32">
        <v>448</v>
      </c>
      <c r="AV68" s="32">
        <v>0</v>
      </c>
      <c r="AW68" s="32">
        <v>748</v>
      </c>
      <c r="AX68" s="32">
        <v>146</v>
      </c>
      <c r="AY68" s="32">
        <v>0</v>
      </c>
      <c r="AZ68" s="32">
        <v>0</v>
      </c>
      <c r="BA68" s="32">
        <v>128</v>
      </c>
      <c r="BB68" s="32">
        <v>138</v>
      </c>
      <c r="BC68" s="32">
        <v>1994</v>
      </c>
      <c r="BD68" s="34">
        <f>IFERROR(SUM(Entity_Metrics[[#This Row],[Operating surplus/(deficit) (social housing lettings)]])/SUM(Entity_Metrics[[#This Row],[Turnover from social housing lettings]]),"")</f>
        <v>0.38888291581550372</v>
      </c>
      <c r="BE68" s="32">
        <v>3617</v>
      </c>
      <c r="BF68" s="32">
        <v>9301</v>
      </c>
      <c r="BG68" s="34">
        <f>IFERROR(SUM(Entity_Metrics[[#This Row],[Operating surplus/(deficit) (overall)2]],-Entity_Metrics[[#This Row],[Gain/(loss) on disposal of fixed assets (housing properties)2]])/SUM(Entity_Metrics[[#This Row],[Turnover (overall)]]),"")</f>
        <v>0.35766905931242915</v>
      </c>
      <c r="BH68" s="32">
        <v>4170</v>
      </c>
      <c r="BI68" s="32">
        <v>383</v>
      </c>
      <c r="BJ68" s="32">
        <v>10588</v>
      </c>
      <c r="BK68" s="34">
        <f>IFERROR(SUM(Entity_Metrics[[#This Row],[Operating surplus/(deficit) (overall)3]],Entity_Metrics[[#This Row],[Share of operating surplus/(deficit) in joint ventures or associates]])/SUM(Entity_Metrics[[#This Row],[Total assets less current liabilities]]),"")</f>
        <v>6.1735706037367125E-2</v>
      </c>
      <c r="BL68" s="32">
        <v>4170</v>
      </c>
      <c r="BM68" s="32">
        <v>0</v>
      </c>
      <c r="BN68" s="32">
        <v>67546</v>
      </c>
      <c r="BO68" s="34">
        <v>4.9144119271120924E-2</v>
      </c>
      <c r="BP68" s="34">
        <v>3.7548315847598011E-2</v>
      </c>
      <c r="BQ68" s="6" t="s">
        <v>93</v>
      </c>
      <c r="BR68" s="6">
        <v>1997</v>
      </c>
      <c r="BS68" s="6" t="s">
        <v>94</v>
      </c>
      <c r="BT68" s="6" t="s">
        <v>105</v>
      </c>
      <c r="BU68" s="8">
        <v>0.9156653862445665</v>
      </c>
      <c r="BV68" s="37" t="s">
        <v>640</v>
      </c>
      <c r="BW68" s="19" t="s">
        <v>198</v>
      </c>
    </row>
    <row r="69" spans="1:75" x14ac:dyDescent="0.25">
      <c r="A69" s="33" t="s">
        <v>911</v>
      </c>
      <c r="B69" s="7" t="s">
        <v>641</v>
      </c>
      <c r="C69" s="7" t="s">
        <v>81</v>
      </c>
      <c r="D6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5.9298070050035741E-2</v>
      </c>
      <c r="E69" s="32">
        <v>35559</v>
      </c>
      <c r="F69" s="32">
        <v>0</v>
      </c>
      <c r="G69" s="32">
        <v>8082</v>
      </c>
      <c r="H69" s="32">
        <v>0</v>
      </c>
      <c r="I69" s="32">
        <v>-2162</v>
      </c>
      <c r="J69" s="32">
        <v>699500</v>
      </c>
      <c r="K69" s="32">
        <v>0</v>
      </c>
      <c r="L6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1.9925207432511395E-2</v>
      </c>
      <c r="M69" s="32">
        <v>340</v>
      </c>
      <c r="N69" s="32">
        <v>1</v>
      </c>
      <c r="O69" s="32">
        <v>16933</v>
      </c>
      <c r="P69" s="32">
        <v>181</v>
      </c>
      <c r="Q6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69" s="32">
        <v>0</v>
      </c>
      <c r="S69" s="32">
        <v>0</v>
      </c>
      <c r="T69" s="32">
        <v>0</v>
      </c>
      <c r="U69" s="32">
        <v>16933</v>
      </c>
      <c r="V69" s="32">
        <v>38</v>
      </c>
      <c r="W69" s="32">
        <v>181</v>
      </c>
      <c r="X69" s="32">
        <v>0</v>
      </c>
      <c r="Y6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0.54280057183702646</v>
      </c>
      <c r="Z69" s="32">
        <v>3085</v>
      </c>
      <c r="AA69" s="32">
        <v>382283</v>
      </c>
      <c r="AB69" s="32">
        <v>5679</v>
      </c>
      <c r="AC69" s="32">
        <v>0</v>
      </c>
      <c r="AD69" s="32">
        <v>0</v>
      </c>
      <c r="AE69" s="32">
        <v>699500</v>
      </c>
      <c r="AF69" s="32">
        <v>0</v>
      </c>
      <c r="AG6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1.6545947746633036</v>
      </c>
      <c r="AH69" s="32">
        <v>35089</v>
      </c>
      <c r="AI69" s="32">
        <v>3392</v>
      </c>
      <c r="AJ69" s="32">
        <v>2187</v>
      </c>
      <c r="AK69" s="32">
        <v>0</v>
      </c>
      <c r="AL69" s="32">
        <v>120</v>
      </c>
      <c r="AM69" s="32">
        <v>8082</v>
      </c>
      <c r="AN69" s="32">
        <v>13220</v>
      </c>
      <c r="AO69" s="32">
        <v>-729</v>
      </c>
      <c r="AP69" s="32">
        <v>-20284</v>
      </c>
      <c r="AQ6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2.7079719124328792</v>
      </c>
      <c r="AR69" s="32">
        <v>15970</v>
      </c>
      <c r="AS69" s="32">
        <v>6723</v>
      </c>
      <c r="AT69" s="32">
        <v>11761</v>
      </c>
      <c r="AU69" s="32">
        <v>2709</v>
      </c>
      <c r="AV69" s="32">
        <v>77</v>
      </c>
      <c r="AW69" s="32">
        <v>8082</v>
      </c>
      <c r="AX69" s="32">
        <v>27</v>
      </c>
      <c r="AY69" s="32">
        <v>0</v>
      </c>
      <c r="AZ69" s="32">
        <v>0</v>
      </c>
      <c r="BA69" s="32">
        <v>0</v>
      </c>
      <c r="BB69" s="32">
        <v>543</v>
      </c>
      <c r="BC69" s="32">
        <v>16947</v>
      </c>
      <c r="BD69" s="34">
        <f>IFERROR(SUM(Entity_Metrics[[#This Row],[Operating surplus/(deficit) (social housing lettings)]])/SUM(Entity_Metrics[[#This Row],[Turnover from social housing lettings]]),"")</f>
        <v>0.37350654512034576</v>
      </c>
      <c r="BE69" s="32">
        <v>30074</v>
      </c>
      <c r="BF69" s="32">
        <v>80518</v>
      </c>
      <c r="BG69" s="34">
        <f>IFERROR(SUM(Entity_Metrics[[#This Row],[Operating surplus/(deficit) (overall)2]],-Entity_Metrics[[#This Row],[Gain/(loss) on disposal of fixed assets (housing properties)2]])/SUM(Entity_Metrics[[#This Row],[Turnover (overall)]]),"")</f>
        <v>0.37321762884291587</v>
      </c>
      <c r="BH69" s="32">
        <v>35089</v>
      </c>
      <c r="BI69" s="32">
        <v>3392</v>
      </c>
      <c r="BJ69" s="32">
        <v>84929</v>
      </c>
      <c r="BK69" s="34">
        <f>IFERROR(SUM(Entity_Metrics[[#This Row],[Operating surplus/(deficit) (overall)3]],Entity_Metrics[[#This Row],[Share of operating surplus/(deficit) in joint ventures or associates]])/SUM(Entity_Metrics[[#This Row],[Total assets less current liabilities]]),"")</f>
        <v>4.8537941318460301E-2</v>
      </c>
      <c r="BL69" s="32">
        <v>35089</v>
      </c>
      <c r="BM69" s="32">
        <v>0</v>
      </c>
      <c r="BN69" s="32">
        <v>722919</v>
      </c>
      <c r="BO69" s="34">
        <v>3.0709134615384614E-2</v>
      </c>
      <c r="BP69" s="34">
        <v>0.22584134615384616</v>
      </c>
      <c r="BQ69" s="6" t="s">
        <v>82</v>
      </c>
      <c r="BR69" s="6" t="s">
        <v>83</v>
      </c>
      <c r="BS69" s="6" t="s">
        <v>83</v>
      </c>
      <c r="BT69" s="6" t="s">
        <v>95</v>
      </c>
      <c r="BU69" s="8">
        <v>0.92042552460803584</v>
      </c>
      <c r="BV69" s="37" t="s">
        <v>642</v>
      </c>
      <c r="BW69" s="19" t="s">
        <v>196</v>
      </c>
    </row>
    <row r="70" spans="1:75" x14ac:dyDescent="0.25">
      <c r="A70" s="33" t="s">
        <v>199</v>
      </c>
      <c r="B70" s="7" t="s">
        <v>200</v>
      </c>
      <c r="C70" s="7" t="s">
        <v>81</v>
      </c>
      <c r="D7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8.4727960226874868E-3</v>
      </c>
      <c r="E70" s="32">
        <v>0</v>
      </c>
      <c r="F70" s="32">
        <v>0</v>
      </c>
      <c r="G70" s="32">
        <v>242</v>
      </c>
      <c r="H70" s="32">
        <v>0</v>
      </c>
      <c r="I70" s="32">
        <v>0</v>
      </c>
      <c r="J70" s="32">
        <v>28562</v>
      </c>
      <c r="K70" s="32">
        <v>0</v>
      </c>
      <c r="L7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4.7111111111111111E-2</v>
      </c>
      <c r="M70" s="32">
        <v>53</v>
      </c>
      <c r="N70" s="32">
        <v>0</v>
      </c>
      <c r="O70" s="32">
        <v>1125</v>
      </c>
      <c r="P70" s="32">
        <v>0</v>
      </c>
      <c r="Q7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0" s="32">
        <v>0</v>
      </c>
      <c r="S70" s="32">
        <v>0</v>
      </c>
      <c r="T70" s="32">
        <v>0</v>
      </c>
      <c r="U70" s="32">
        <v>1125</v>
      </c>
      <c r="V70" s="32">
        <v>0</v>
      </c>
      <c r="W70" s="32">
        <v>0</v>
      </c>
      <c r="X70" s="32">
        <v>0</v>
      </c>
      <c r="Y7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2.0096631888523214E-2</v>
      </c>
      <c r="Z70" s="32">
        <v>0</v>
      </c>
      <c r="AA70" s="32">
        <v>1906</v>
      </c>
      <c r="AB70" s="32">
        <v>1332</v>
      </c>
      <c r="AC70" s="32">
        <v>0</v>
      </c>
      <c r="AD70" s="32">
        <v>0</v>
      </c>
      <c r="AE70" s="32">
        <v>28562</v>
      </c>
      <c r="AF70" s="32">
        <v>0</v>
      </c>
      <c r="AG7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32.980392156862742</v>
      </c>
      <c r="AH70" s="32">
        <v>1498</v>
      </c>
      <c r="AI70" s="32">
        <v>18</v>
      </c>
      <c r="AJ70" s="32">
        <v>34</v>
      </c>
      <c r="AK70" s="32">
        <v>0</v>
      </c>
      <c r="AL70" s="32">
        <v>1</v>
      </c>
      <c r="AM70" s="32">
        <v>375</v>
      </c>
      <c r="AN70" s="32">
        <v>610</v>
      </c>
      <c r="AO70" s="32">
        <v>0</v>
      </c>
      <c r="AP70" s="32">
        <v>-51</v>
      </c>
      <c r="AQ7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2.0151111111111111</v>
      </c>
      <c r="AR70" s="32">
        <v>1193</v>
      </c>
      <c r="AS70" s="32">
        <v>114</v>
      </c>
      <c r="AT70" s="32">
        <v>441</v>
      </c>
      <c r="AU70" s="32">
        <v>0</v>
      </c>
      <c r="AV70" s="32">
        <v>144</v>
      </c>
      <c r="AW70" s="32">
        <v>375</v>
      </c>
      <c r="AX70" s="32">
        <v>0</v>
      </c>
      <c r="AY70" s="32">
        <v>0</v>
      </c>
      <c r="AZ70" s="32">
        <v>0</v>
      </c>
      <c r="BA70" s="32">
        <v>0</v>
      </c>
      <c r="BB70" s="32">
        <v>0</v>
      </c>
      <c r="BC70" s="32">
        <v>1125</v>
      </c>
      <c r="BD70" s="34">
        <f>IFERROR(SUM(Entity_Metrics[[#This Row],[Operating surplus/(deficit) (social housing lettings)]])/SUM(Entity_Metrics[[#This Row],[Turnover from social housing lettings]]),"")</f>
        <v>0.37242073477604432</v>
      </c>
      <c r="BE70" s="32">
        <v>1480</v>
      </c>
      <c r="BF70" s="32">
        <v>3974</v>
      </c>
      <c r="BG70" s="34">
        <f>IFERROR(SUM(Entity_Metrics[[#This Row],[Operating surplus/(deficit) (overall)2]],-Entity_Metrics[[#This Row],[Gain/(loss) on disposal of fixed assets (housing properties)2]])/SUM(Entity_Metrics[[#This Row],[Turnover (overall)]]),"")</f>
        <v>0.37242073477604432</v>
      </c>
      <c r="BH70" s="32">
        <v>1498</v>
      </c>
      <c r="BI70" s="32">
        <v>18</v>
      </c>
      <c r="BJ70" s="32">
        <v>3974</v>
      </c>
      <c r="BK70" s="34">
        <f>IFERROR(SUM(Entity_Metrics[[#This Row],[Operating surplus/(deficit) (overall)3]],Entity_Metrics[[#This Row],[Share of operating surplus/(deficit) in joint ventures or associates]])/SUM(Entity_Metrics[[#This Row],[Total assets less current liabilities]]),"")</f>
        <v>5.0492112714035323E-2</v>
      </c>
      <c r="BL70" s="32">
        <v>1498</v>
      </c>
      <c r="BM70" s="32">
        <v>0</v>
      </c>
      <c r="BN70" s="32">
        <v>29668</v>
      </c>
      <c r="BO70" s="34">
        <v>7.1111111111111115E-3</v>
      </c>
      <c r="BP70" s="34">
        <v>0</v>
      </c>
      <c r="BQ70" s="6" t="s">
        <v>93</v>
      </c>
      <c r="BR70" s="6">
        <v>1998</v>
      </c>
      <c r="BS70" s="6" t="s">
        <v>94</v>
      </c>
      <c r="BT70" s="6" t="s">
        <v>90</v>
      </c>
      <c r="BU70" s="8">
        <v>0.91571558169387279</v>
      </c>
      <c r="BV70" s="37" t="s">
        <v>199</v>
      </c>
      <c r="BW70" s="19" t="s">
        <v>200</v>
      </c>
    </row>
    <row r="71" spans="1:75" x14ac:dyDescent="0.25">
      <c r="A71" s="33" t="s">
        <v>643</v>
      </c>
      <c r="B71" s="7" t="s">
        <v>644</v>
      </c>
      <c r="C71" s="7" t="s">
        <v>81</v>
      </c>
      <c r="D7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3.0622530819752188E-2</v>
      </c>
      <c r="E71" s="32">
        <v>3051</v>
      </c>
      <c r="F71" s="32">
        <v>738</v>
      </c>
      <c r="G71" s="32">
        <v>1041</v>
      </c>
      <c r="H71" s="32">
        <v>61</v>
      </c>
      <c r="I71" s="32">
        <v>0</v>
      </c>
      <c r="J71" s="32">
        <v>159719</v>
      </c>
      <c r="K71" s="32">
        <v>0</v>
      </c>
      <c r="L7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6.4386317907444666E-3</v>
      </c>
      <c r="M71" s="32">
        <v>16</v>
      </c>
      <c r="N71" s="32">
        <v>0</v>
      </c>
      <c r="O71" s="32">
        <v>2484</v>
      </c>
      <c r="P71" s="32">
        <v>1</v>
      </c>
      <c r="Q7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1" s="32">
        <v>0</v>
      </c>
      <c r="S71" s="32">
        <v>0</v>
      </c>
      <c r="T71" s="32">
        <v>0</v>
      </c>
      <c r="U71" s="32">
        <v>2484</v>
      </c>
      <c r="V71" s="32">
        <v>0</v>
      </c>
      <c r="W71" s="32">
        <v>1</v>
      </c>
      <c r="X71" s="32">
        <v>0</v>
      </c>
      <c r="Y7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0.42010656214977554</v>
      </c>
      <c r="Z71" s="32">
        <v>1181</v>
      </c>
      <c r="AA71" s="32">
        <v>66747</v>
      </c>
      <c r="AB71" s="32">
        <v>829</v>
      </c>
      <c r="AC71" s="32">
        <v>0</v>
      </c>
      <c r="AD71" s="32">
        <v>0</v>
      </c>
      <c r="AE71" s="32">
        <v>159719</v>
      </c>
      <c r="AF71" s="32">
        <v>0</v>
      </c>
      <c r="AG7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2.0216576426488961</v>
      </c>
      <c r="AH71" s="32">
        <v>4695</v>
      </c>
      <c r="AI71" s="32">
        <v>18</v>
      </c>
      <c r="AJ71" s="32">
        <v>818</v>
      </c>
      <c r="AK71" s="32">
        <v>0</v>
      </c>
      <c r="AL71" s="32">
        <v>6</v>
      </c>
      <c r="AM71" s="32">
        <v>1041</v>
      </c>
      <c r="AN71" s="32">
        <v>2030</v>
      </c>
      <c r="AO71" s="32">
        <v>-61</v>
      </c>
      <c r="AP71" s="32">
        <v>-2340</v>
      </c>
      <c r="AQ7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3.4285198555956677</v>
      </c>
      <c r="AR71" s="32">
        <v>2754</v>
      </c>
      <c r="AS71" s="32">
        <v>1440</v>
      </c>
      <c r="AT71" s="32">
        <v>1902</v>
      </c>
      <c r="AU71" s="32">
        <v>1394</v>
      </c>
      <c r="AV71" s="32">
        <v>511</v>
      </c>
      <c r="AW71" s="32">
        <v>1041</v>
      </c>
      <c r="AX71" s="32">
        <v>317</v>
      </c>
      <c r="AY71" s="32">
        <v>0</v>
      </c>
      <c r="AZ71" s="32">
        <v>0</v>
      </c>
      <c r="BA71" s="32">
        <v>138</v>
      </c>
      <c r="BB71" s="32">
        <v>0</v>
      </c>
      <c r="BC71" s="32">
        <v>2770</v>
      </c>
      <c r="BD71" s="34">
        <f>IFERROR(SUM(Entity_Metrics[[#This Row],[Operating surplus/(deficit) (social housing lettings)]])/SUM(Entity_Metrics[[#This Row],[Turnover from social housing lettings]]),"")</f>
        <v>0.30867950016886186</v>
      </c>
      <c r="BE71" s="32">
        <v>4570</v>
      </c>
      <c r="BF71" s="32">
        <v>14805</v>
      </c>
      <c r="BG71" s="34">
        <f>IFERROR(SUM(Entity_Metrics[[#This Row],[Operating surplus/(deficit) (overall)2]],-Entity_Metrics[[#This Row],[Gain/(loss) on disposal of fixed assets (housing properties)2]])/SUM(Entity_Metrics[[#This Row],[Turnover (overall)]]),"")</f>
        <v>0.31070218561084167</v>
      </c>
      <c r="BH71" s="32">
        <v>4695</v>
      </c>
      <c r="BI71" s="32">
        <v>18</v>
      </c>
      <c r="BJ71" s="32">
        <v>15053</v>
      </c>
      <c r="BK71" s="34">
        <f>IFERROR(SUM(Entity_Metrics[[#This Row],[Operating surplus/(deficit) (overall)3]],Entity_Metrics[[#This Row],[Share of operating surplus/(deficit) in joint ventures or associates]])/SUM(Entity_Metrics[[#This Row],[Total assets less current liabilities]]),"")</f>
        <v>2.9534245885964473E-2</v>
      </c>
      <c r="BL71" s="32">
        <v>4695</v>
      </c>
      <c r="BM71" s="32">
        <v>0</v>
      </c>
      <c r="BN71" s="32">
        <v>158968</v>
      </c>
      <c r="BO71" s="34">
        <v>0.15338164251207728</v>
      </c>
      <c r="BP71" s="34">
        <v>6.5217391304347824E-2</v>
      </c>
      <c r="BQ71" s="6" t="s">
        <v>82</v>
      </c>
      <c r="BR71" s="6" t="s">
        <v>83</v>
      </c>
      <c r="BS71" s="6" t="s">
        <v>83</v>
      </c>
      <c r="BT71" s="6" t="s">
        <v>121</v>
      </c>
      <c r="BU71" s="8">
        <v>0.9044220304707592</v>
      </c>
      <c r="BV71" s="37" t="s">
        <v>645</v>
      </c>
      <c r="BW71" s="19" t="s">
        <v>334</v>
      </c>
    </row>
    <row r="72" spans="1:75" x14ac:dyDescent="0.25">
      <c r="A72" s="33" t="s">
        <v>201</v>
      </c>
      <c r="B72" s="7" t="s">
        <v>202</v>
      </c>
      <c r="C72" s="7" t="s">
        <v>81</v>
      </c>
      <c r="D7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2.2217951182010379E-2</v>
      </c>
      <c r="E72" s="32">
        <v>1441</v>
      </c>
      <c r="F72" s="32">
        <v>0</v>
      </c>
      <c r="G72" s="32">
        <v>293</v>
      </c>
      <c r="H72" s="32">
        <v>0</v>
      </c>
      <c r="I72" s="32">
        <v>0</v>
      </c>
      <c r="J72" s="32">
        <v>78045</v>
      </c>
      <c r="K72" s="32">
        <v>0</v>
      </c>
      <c r="L7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1.5597920277296361E-2</v>
      </c>
      <c r="M72" s="32">
        <v>18</v>
      </c>
      <c r="N72" s="32">
        <v>0</v>
      </c>
      <c r="O72" s="32">
        <v>1154</v>
      </c>
      <c r="P72" s="32">
        <v>0</v>
      </c>
      <c r="Q7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1.7331022530329288E-3</v>
      </c>
      <c r="R72" s="32">
        <v>0</v>
      </c>
      <c r="S72" s="32">
        <v>0</v>
      </c>
      <c r="T72" s="32">
        <v>2</v>
      </c>
      <c r="U72" s="32">
        <v>1154</v>
      </c>
      <c r="V72" s="32">
        <v>0</v>
      </c>
      <c r="W72" s="32">
        <v>0</v>
      </c>
      <c r="X72" s="32">
        <v>0</v>
      </c>
      <c r="Y7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0.32632455634569801</v>
      </c>
      <c r="Z72" s="32">
        <v>1068</v>
      </c>
      <c r="AA72" s="32">
        <v>31906</v>
      </c>
      <c r="AB72" s="32">
        <v>7506</v>
      </c>
      <c r="AC72" s="32">
        <v>0</v>
      </c>
      <c r="AD72" s="32">
        <v>0</v>
      </c>
      <c r="AE72" s="32">
        <v>78045</v>
      </c>
      <c r="AF72" s="32">
        <v>0</v>
      </c>
      <c r="AG7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1.8085569253081943</v>
      </c>
      <c r="AH72" s="32">
        <v>1796</v>
      </c>
      <c r="AI72" s="32">
        <v>0</v>
      </c>
      <c r="AJ72" s="32">
        <v>428</v>
      </c>
      <c r="AK72" s="32">
        <v>0</v>
      </c>
      <c r="AL72" s="32">
        <v>22</v>
      </c>
      <c r="AM72" s="32">
        <v>293</v>
      </c>
      <c r="AN72" s="32">
        <v>1397</v>
      </c>
      <c r="AO72" s="32">
        <v>0</v>
      </c>
      <c r="AP72" s="32">
        <v>-1379</v>
      </c>
      <c r="AQ7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2.3306386418755052</v>
      </c>
      <c r="AR72" s="32">
        <v>826</v>
      </c>
      <c r="AS72" s="32">
        <v>491</v>
      </c>
      <c r="AT72" s="32">
        <v>485</v>
      </c>
      <c r="AU72" s="32">
        <v>323</v>
      </c>
      <c r="AV72" s="32">
        <v>228</v>
      </c>
      <c r="AW72" s="32">
        <v>293</v>
      </c>
      <c r="AX72" s="32">
        <v>0</v>
      </c>
      <c r="AY72" s="32">
        <v>124</v>
      </c>
      <c r="AZ72" s="32">
        <v>0</v>
      </c>
      <c r="BA72" s="32">
        <v>113</v>
      </c>
      <c r="BB72" s="32">
        <v>0</v>
      </c>
      <c r="BC72" s="32">
        <v>1237</v>
      </c>
      <c r="BD72" s="34">
        <f>IFERROR(SUM(Entity_Metrics[[#This Row],[Operating surplus/(deficit) (social housing lettings)]])/SUM(Entity_Metrics[[#This Row],[Turnover from social housing lettings]]),"")</f>
        <v>0.32450090744101634</v>
      </c>
      <c r="BE72" s="32">
        <v>1788</v>
      </c>
      <c r="BF72" s="32">
        <v>5510</v>
      </c>
      <c r="BG72" s="34">
        <f>IFERROR(SUM(Entity_Metrics[[#This Row],[Operating surplus/(deficit) (overall)2]],-Entity_Metrics[[#This Row],[Gain/(loss) on disposal of fixed assets (housing properties)2]])/SUM(Entity_Metrics[[#This Row],[Turnover (overall)]]),"")</f>
        <v>0.27879540515367895</v>
      </c>
      <c r="BH72" s="32">
        <v>1796</v>
      </c>
      <c r="BI72" s="32">
        <v>0</v>
      </c>
      <c r="BJ72" s="32">
        <v>6442</v>
      </c>
      <c r="BK72" s="34">
        <f>IFERROR(SUM(Entity_Metrics[[#This Row],[Operating surplus/(deficit) (overall)3]],Entity_Metrics[[#This Row],[Share of operating surplus/(deficit) in joint ventures or associates]])/SUM(Entity_Metrics[[#This Row],[Total assets less current liabilities]]),"")</f>
        <v>2.1634123131406821E-2</v>
      </c>
      <c r="BL72" s="32">
        <v>1796</v>
      </c>
      <c r="BM72" s="32">
        <v>0</v>
      </c>
      <c r="BN72" s="32">
        <v>83017</v>
      </c>
      <c r="BO72" s="34">
        <v>0</v>
      </c>
      <c r="BP72" s="34">
        <v>0</v>
      </c>
      <c r="BQ72" s="6" t="s">
        <v>82</v>
      </c>
      <c r="BR72" s="6" t="s">
        <v>83</v>
      </c>
      <c r="BS72" s="6" t="s">
        <v>83</v>
      </c>
      <c r="BT72" s="6" t="s">
        <v>84</v>
      </c>
      <c r="BU72" s="8">
        <v>1.003710607532728</v>
      </c>
      <c r="BV72" s="37" t="s">
        <v>201</v>
      </c>
      <c r="BW72" s="19" t="s">
        <v>202</v>
      </c>
    </row>
    <row r="73" spans="1:75" x14ac:dyDescent="0.25">
      <c r="A73" s="33" t="s">
        <v>646</v>
      </c>
      <c r="B73" s="7" t="s">
        <v>204</v>
      </c>
      <c r="C73" s="7" t="s">
        <v>81</v>
      </c>
      <c r="D7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9.1012115717464759E-2</v>
      </c>
      <c r="E73" s="32">
        <v>14566</v>
      </c>
      <c r="F73" s="32">
        <v>0</v>
      </c>
      <c r="G73" s="32">
        <v>2876</v>
      </c>
      <c r="H73" s="32">
        <v>226</v>
      </c>
      <c r="I73" s="32">
        <v>0</v>
      </c>
      <c r="J73" s="32">
        <v>194128</v>
      </c>
      <c r="K73" s="32">
        <v>0</v>
      </c>
      <c r="L7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2.4950320158975491E-2</v>
      </c>
      <c r="M73" s="32">
        <v>113</v>
      </c>
      <c r="N73" s="32">
        <v>0</v>
      </c>
      <c r="O73" s="32">
        <v>4529</v>
      </c>
      <c r="P73" s="32">
        <v>0</v>
      </c>
      <c r="Q7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3" s="32">
        <v>0</v>
      </c>
      <c r="S73" s="32">
        <v>0</v>
      </c>
      <c r="T73" s="32">
        <v>0</v>
      </c>
      <c r="U73" s="32">
        <v>4529</v>
      </c>
      <c r="V73" s="32">
        <v>126</v>
      </c>
      <c r="W73" s="32">
        <v>0</v>
      </c>
      <c r="X73" s="32">
        <v>0</v>
      </c>
      <c r="Y7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0.22860174730075003</v>
      </c>
      <c r="Z73" s="32">
        <v>5377</v>
      </c>
      <c r="AA73" s="32">
        <v>47683</v>
      </c>
      <c r="AB73" s="32">
        <v>8682</v>
      </c>
      <c r="AC73" s="32">
        <v>0</v>
      </c>
      <c r="AD73" s="32">
        <v>0</v>
      </c>
      <c r="AE73" s="32">
        <v>194128</v>
      </c>
      <c r="AF73" s="32">
        <v>0</v>
      </c>
      <c r="AG7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2.1121009651076466</v>
      </c>
      <c r="AH73" s="32">
        <v>6441</v>
      </c>
      <c r="AI73" s="32">
        <v>719</v>
      </c>
      <c r="AJ73" s="32">
        <v>943</v>
      </c>
      <c r="AK73" s="32">
        <v>0</v>
      </c>
      <c r="AL73" s="32">
        <v>38</v>
      </c>
      <c r="AM73" s="32">
        <v>2876</v>
      </c>
      <c r="AN73" s="32">
        <v>3749</v>
      </c>
      <c r="AO73" s="32">
        <v>-226</v>
      </c>
      <c r="AP73" s="32">
        <v>-2468</v>
      </c>
      <c r="AQ7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3.3863987635239567</v>
      </c>
      <c r="AR73" s="32">
        <v>6581</v>
      </c>
      <c r="AS73" s="32">
        <v>2730</v>
      </c>
      <c r="AT73" s="32">
        <v>1737</v>
      </c>
      <c r="AU73" s="32">
        <v>439</v>
      </c>
      <c r="AV73" s="32">
        <v>340</v>
      </c>
      <c r="AW73" s="32">
        <v>2876</v>
      </c>
      <c r="AX73" s="32">
        <v>254</v>
      </c>
      <c r="AY73" s="32">
        <v>0</v>
      </c>
      <c r="AZ73" s="32">
        <v>0</v>
      </c>
      <c r="BA73" s="32">
        <v>380</v>
      </c>
      <c r="BB73" s="32">
        <v>0</v>
      </c>
      <c r="BC73" s="32">
        <v>4529</v>
      </c>
      <c r="BD73" s="34">
        <f>IFERROR(SUM(Entity_Metrics[[#This Row],[Operating surplus/(deficit) (social housing lettings)]])/SUM(Entity_Metrics[[#This Row],[Turnover from social housing lettings]]),"")</f>
        <v>0.16655955441302486</v>
      </c>
      <c r="BE73" s="32">
        <v>3110</v>
      </c>
      <c r="BF73" s="32">
        <v>18672</v>
      </c>
      <c r="BG73" s="34">
        <f>IFERROR(SUM(Entity_Metrics[[#This Row],[Operating surplus/(deficit) (overall)2]],-Entity_Metrics[[#This Row],[Gain/(loss) on disposal of fixed assets (housing properties)2]])/SUM(Entity_Metrics[[#This Row],[Turnover (overall)]]),"")</f>
        <v>0.23390426358173569</v>
      </c>
      <c r="BH73" s="32">
        <v>6441</v>
      </c>
      <c r="BI73" s="32">
        <v>719</v>
      </c>
      <c r="BJ73" s="32">
        <v>24463</v>
      </c>
      <c r="BK73" s="34">
        <f>IFERROR(SUM(Entity_Metrics[[#This Row],[Operating surplus/(deficit) (overall)3]],Entity_Metrics[[#This Row],[Share of operating surplus/(deficit) in joint ventures or associates]])/SUM(Entity_Metrics[[#This Row],[Total assets less current liabilities]]),"")</f>
        <v>3.2161421274173492E-2</v>
      </c>
      <c r="BL73" s="32">
        <v>6441</v>
      </c>
      <c r="BM73" s="32">
        <v>0</v>
      </c>
      <c r="BN73" s="32">
        <v>200271</v>
      </c>
      <c r="BO73" s="34">
        <v>2.6063437423162035E-2</v>
      </c>
      <c r="BP73" s="34">
        <v>7.4747971477747727E-2</v>
      </c>
      <c r="BQ73" s="6" t="s">
        <v>82</v>
      </c>
      <c r="BR73" s="6" t="s">
        <v>83</v>
      </c>
      <c r="BS73" s="6" t="s">
        <v>83</v>
      </c>
      <c r="BT73" s="6" t="s">
        <v>105</v>
      </c>
      <c r="BU73" s="8">
        <v>0.92187381168793348</v>
      </c>
      <c r="BV73" s="37" t="s">
        <v>646</v>
      </c>
      <c r="BW73" s="19" t="s">
        <v>204</v>
      </c>
    </row>
    <row r="74" spans="1:75" x14ac:dyDescent="0.25">
      <c r="A74" s="33" t="s">
        <v>647</v>
      </c>
      <c r="B74" s="7" t="s">
        <v>206</v>
      </c>
      <c r="C74" s="7" t="s">
        <v>81</v>
      </c>
      <c r="D7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7.5455663711970405E-2</v>
      </c>
      <c r="E74" s="32">
        <v>2204</v>
      </c>
      <c r="F74" s="32">
        <v>20209</v>
      </c>
      <c r="G74" s="32">
        <v>3780</v>
      </c>
      <c r="H74" s="32">
        <v>0</v>
      </c>
      <c r="I74" s="32">
        <v>0</v>
      </c>
      <c r="J74" s="32">
        <v>347131</v>
      </c>
      <c r="K74" s="32">
        <v>0</v>
      </c>
      <c r="L7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9.2039800995024883E-3</v>
      </c>
      <c r="M74" s="32">
        <v>37</v>
      </c>
      <c r="N74" s="32">
        <v>0</v>
      </c>
      <c r="O74" s="32">
        <v>4020</v>
      </c>
      <c r="P74" s="32">
        <v>0</v>
      </c>
      <c r="Q7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4" s="32">
        <v>0</v>
      </c>
      <c r="S74" s="32">
        <v>0</v>
      </c>
      <c r="T74" s="32">
        <v>0</v>
      </c>
      <c r="U74" s="32">
        <v>4020</v>
      </c>
      <c r="V74" s="32">
        <v>0</v>
      </c>
      <c r="W74" s="32">
        <v>0</v>
      </c>
      <c r="X74" s="32">
        <v>0</v>
      </c>
      <c r="Y7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0.5364977486885355</v>
      </c>
      <c r="Z74" s="32">
        <v>1372</v>
      </c>
      <c r="AA74" s="32">
        <v>186473</v>
      </c>
      <c r="AB74" s="32">
        <v>1610</v>
      </c>
      <c r="AC74" s="32">
        <v>0</v>
      </c>
      <c r="AD74" s="32">
        <v>0</v>
      </c>
      <c r="AE74" s="32">
        <v>347131</v>
      </c>
      <c r="AF74" s="32">
        <v>0</v>
      </c>
      <c r="AG7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1.2183385579937305</v>
      </c>
      <c r="AH74" s="32">
        <v>10132</v>
      </c>
      <c r="AI74" s="32">
        <v>1735</v>
      </c>
      <c r="AJ74" s="32">
        <v>1803</v>
      </c>
      <c r="AK74" s="32">
        <v>0</v>
      </c>
      <c r="AL74" s="32">
        <v>31</v>
      </c>
      <c r="AM74" s="32">
        <v>3896</v>
      </c>
      <c r="AN74" s="32">
        <v>5044</v>
      </c>
      <c r="AO74" s="32">
        <v>0</v>
      </c>
      <c r="AP74" s="32">
        <v>-6380</v>
      </c>
      <c r="AQ7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5.801990049751244</v>
      </c>
      <c r="AR74" s="32">
        <v>3700</v>
      </c>
      <c r="AS74" s="32">
        <v>2921</v>
      </c>
      <c r="AT74" s="32">
        <v>3715</v>
      </c>
      <c r="AU74" s="32">
        <v>1389</v>
      </c>
      <c r="AV74" s="32">
        <v>2759</v>
      </c>
      <c r="AW74" s="32">
        <v>3896</v>
      </c>
      <c r="AX74" s="32">
        <v>3878</v>
      </c>
      <c r="AY74" s="32">
        <v>7</v>
      </c>
      <c r="AZ74" s="32">
        <v>529</v>
      </c>
      <c r="BA74" s="32">
        <v>78</v>
      </c>
      <c r="BB74" s="32">
        <v>452</v>
      </c>
      <c r="BC74" s="32">
        <v>4020</v>
      </c>
      <c r="BD74" s="34">
        <f>IFERROR(SUM(Entity_Metrics[[#This Row],[Operating surplus/(deficit) (social housing lettings)]])/SUM(Entity_Metrics[[#This Row],[Turnover from social housing lettings]]),"")</f>
        <v>0.22542478719558287</v>
      </c>
      <c r="BE74" s="32">
        <v>6859</v>
      </c>
      <c r="BF74" s="32">
        <v>30427</v>
      </c>
      <c r="BG74" s="34">
        <f>IFERROR(SUM(Entity_Metrics[[#This Row],[Operating surplus/(deficit) (overall)2]],-Entity_Metrics[[#This Row],[Gain/(loss) on disposal of fixed assets (housing properties)2]])/SUM(Entity_Metrics[[#This Row],[Turnover (overall)]]),"")</f>
        <v>0.21763470958712386</v>
      </c>
      <c r="BH74" s="32">
        <v>10132</v>
      </c>
      <c r="BI74" s="32">
        <v>1735</v>
      </c>
      <c r="BJ74" s="32">
        <v>38583</v>
      </c>
      <c r="BK74" s="34">
        <f>IFERROR(SUM(Entity_Metrics[[#This Row],[Operating surplus/(deficit) (overall)3]],Entity_Metrics[[#This Row],[Share of operating surplus/(deficit) in joint ventures or associates]])/SUM(Entity_Metrics[[#This Row],[Total assets less current liabilities]]),"")</f>
        <v>2.5525332607781046E-2</v>
      </c>
      <c r="BL74" s="32">
        <v>10132</v>
      </c>
      <c r="BM74" s="32">
        <v>0</v>
      </c>
      <c r="BN74" s="32">
        <v>396939</v>
      </c>
      <c r="BO74" s="34">
        <v>2.4201596806387227E-2</v>
      </c>
      <c r="BP74" s="34">
        <v>1.9461077844311378E-2</v>
      </c>
      <c r="BQ74" s="6" t="s">
        <v>82</v>
      </c>
      <c r="BR74" s="6" t="s">
        <v>83</v>
      </c>
      <c r="BS74" s="6" t="s">
        <v>83</v>
      </c>
      <c r="BT74" s="6" t="s">
        <v>100</v>
      </c>
      <c r="BU74" s="8">
        <v>1.0449187624896137</v>
      </c>
      <c r="BV74" s="37" t="s">
        <v>647</v>
      </c>
      <c r="BW74" s="19" t="s">
        <v>206</v>
      </c>
    </row>
    <row r="75" spans="1:75" x14ac:dyDescent="0.25">
      <c r="A75" s="33" t="s">
        <v>648</v>
      </c>
      <c r="B75" s="7" t="s">
        <v>649</v>
      </c>
      <c r="C75" s="7" t="s">
        <v>81</v>
      </c>
      <c r="D7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7.1042582318610855E-3</v>
      </c>
      <c r="E75" s="32">
        <v>0</v>
      </c>
      <c r="F75" s="32">
        <v>0</v>
      </c>
      <c r="G75" s="32">
        <v>986</v>
      </c>
      <c r="H75" s="32">
        <v>0</v>
      </c>
      <c r="I75" s="32">
        <v>0</v>
      </c>
      <c r="J75" s="32">
        <v>138790</v>
      </c>
      <c r="K75" s="32">
        <v>0</v>
      </c>
      <c r="L7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75" s="32">
        <v>0</v>
      </c>
      <c r="N75" s="32">
        <v>0</v>
      </c>
      <c r="O75" s="32">
        <v>2301</v>
      </c>
      <c r="P75" s="32">
        <v>0</v>
      </c>
      <c r="Q7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5" s="32">
        <v>0</v>
      </c>
      <c r="S75" s="32">
        <v>0</v>
      </c>
      <c r="T75" s="32">
        <v>0</v>
      </c>
      <c r="U75" s="32">
        <v>2301</v>
      </c>
      <c r="V75" s="32">
        <v>76</v>
      </c>
      <c r="W75" s="32">
        <v>0</v>
      </c>
      <c r="X75" s="32">
        <v>92</v>
      </c>
      <c r="Y7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0.4336551624756827</v>
      </c>
      <c r="Z75" s="32">
        <v>1167</v>
      </c>
      <c r="AA75" s="32">
        <v>60466</v>
      </c>
      <c r="AB75" s="32">
        <v>3860</v>
      </c>
      <c r="AC75" s="32">
        <v>2414</v>
      </c>
      <c r="AD75" s="32">
        <v>0</v>
      </c>
      <c r="AE75" s="32">
        <v>138790</v>
      </c>
      <c r="AF75" s="32">
        <v>0</v>
      </c>
      <c r="AG7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1.1520886222017077</v>
      </c>
      <c r="AH75" s="32">
        <v>4555</v>
      </c>
      <c r="AI75" s="32">
        <v>-5</v>
      </c>
      <c r="AJ75" s="32">
        <v>691</v>
      </c>
      <c r="AK75" s="32">
        <v>0</v>
      </c>
      <c r="AL75" s="32">
        <v>6</v>
      </c>
      <c r="AM75" s="32">
        <v>986</v>
      </c>
      <c r="AN75" s="32">
        <v>2103</v>
      </c>
      <c r="AO75" s="32">
        <v>0</v>
      </c>
      <c r="AP75" s="32">
        <v>-4333</v>
      </c>
      <c r="AQ7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2.7966101694915255</v>
      </c>
      <c r="AR75" s="32">
        <v>1765</v>
      </c>
      <c r="AS75" s="32">
        <v>695</v>
      </c>
      <c r="AT75" s="32">
        <v>1858</v>
      </c>
      <c r="AU75" s="32">
        <v>538</v>
      </c>
      <c r="AV75" s="32">
        <v>415</v>
      </c>
      <c r="AW75" s="32">
        <v>986</v>
      </c>
      <c r="AX75" s="32">
        <v>0</v>
      </c>
      <c r="AY75" s="32">
        <v>0</v>
      </c>
      <c r="AZ75" s="32">
        <v>0</v>
      </c>
      <c r="BA75" s="32">
        <v>178</v>
      </c>
      <c r="BB75" s="32">
        <v>0</v>
      </c>
      <c r="BC75" s="32">
        <v>2301</v>
      </c>
      <c r="BD75" s="34">
        <f>IFERROR(SUM(Entity_Metrics[[#This Row],[Operating surplus/(deficit) (social housing lettings)]])/SUM(Entity_Metrics[[#This Row],[Turnover from social housing lettings]]),"")</f>
        <v>0.35545508828798089</v>
      </c>
      <c r="BE75" s="32">
        <v>4167</v>
      </c>
      <c r="BF75" s="32">
        <v>11723</v>
      </c>
      <c r="BG75" s="34">
        <f>IFERROR(SUM(Entity_Metrics[[#This Row],[Operating surplus/(deficit) (overall)2]],-Entity_Metrics[[#This Row],[Gain/(loss) on disposal of fixed assets (housing properties)2]])/SUM(Entity_Metrics[[#This Row],[Turnover (overall)]]),"")</f>
        <v>0.35605528226750993</v>
      </c>
      <c r="BH75" s="32">
        <v>4555</v>
      </c>
      <c r="BI75" s="32">
        <v>-5</v>
      </c>
      <c r="BJ75" s="32">
        <v>12807</v>
      </c>
      <c r="BK75" s="34">
        <f>IFERROR(SUM(Entity_Metrics[[#This Row],[Operating surplus/(deficit) (overall)3]],Entity_Metrics[[#This Row],[Share of operating surplus/(deficit) in joint ventures or associates]])/SUM(Entity_Metrics[[#This Row],[Total assets less current liabilities]]),"")</f>
        <v>3.2858905087900278E-2</v>
      </c>
      <c r="BL75" s="32">
        <v>4555</v>
      </c>
      <c r="BM75" s="32">
        <v>0</v>
      </c>
      <c r="BN75" s="32">
        <v>138623</v>
      </c>
      <c r="BO75" s="34">
        <v>4.4397463002114168E-2</v>
      </c>
      <c r="BP75" s="34">
        <v>1.8181818181818181E-2</v>
      </c>
      <c r="BQ75" s="6" t="s">
        <v>82</v>
      </c>
      <c r="BR75" s="6" t="s">
        <v>83</v>
      </c>
      <c r="BS75" s="6" t="s">
        <v>83</v>
      </c>
      <c r="BT75" s="6" t="s">
        <v>90</v>
      </c>
      <c r="BU75" s="8">
        <v>0.91571558169387279</v>
      </c>
      <c r="BV75" s="37" t="s">
        <v>650</v>
      </c>
      <c r="BW75" s="19" t="s">
        <v>544</v>
      </c>
    </row>
    <row r="76" spans="1:75" x14ac:dyDescent="0.25">
      <c r="A76" s="33" t="s">
        <v>912</v>
      </c>
      <c r="B76" s="7" t="s">
        <v>208</v>
      </c>
      <c r="C76" s="7" t="s">
        <v>81</v>
      </c>
      <c r="D7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0.13992439553858821</v>
      </c>
      <c r="E76" s="32">
        <v>2358</v>
      </c>
      <c r="F76" s="32">
        <v>0</v>
      </c>
      <c r="G76" s="32">
        <v>12596</v>
      </c>
      <c r="H76" s="32">
        <v>0</v>
      </c>
      <c r="I76" s="32">
        <v>0</v>
      </c>
      <c r="J76" s="32">
        <v>106872</v>
      </c>
      <c r="K76" s="32">
        <v>0</v>
      </c>
      <c r="L7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1.6626485992185552E-4</v>
      </c>
      <c r="M76" s="32">
        <v>2</v>
      </c>
      <c r="N76" s="32">
        <v>0</v>
      </c>
      <c r="O76" s="32">
        <v>11484</v>
      </c>
      <c r="P76" s="32">
        <v>545</v>
      </c>
      <c r="Q7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6" s="32">
        <v>0</v>
      </c>
      <c r="S76" s="32">
        <v>0</v>
      </c>
      <c r="T76" s="32">
        <v>0</v>
      </c>
      <c r="U76" s="32">
        <v>11484</v>
      </c>
      <c r="V76" s="32">
        <v>0</v>
      </c>
      <c r="W76" s="32">
        <v>545</v>
      </c>
      <c r="X76" s="32">
        <v>0</v>
      </c>
      <c r="Y7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9.3831873643236766E-2</v>
      </c>
      <c r="Z76" s="32">
        <v>0</v>
      </c>
      <c r="AA76" s="32">
        <v>32000</v>
      </c>
      <c r="AB76" s="32">
        <v>21972</v>
      </c>
      <c r="AC76" s="32">
        <v>0</v>
      </c>
      <c r="AD76" s="32">
        <v>0</v>
      </c>
      <c r="AE76" s="32">
        <v>106872</v>
      </c>
      <c r="AF76" s="32">
        <v>0</v>
      </c>
      <c r="AG7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3.1075058639562156</v>
      </c>
      <c r="AH76" s="32">
        <v>17448</v>
      </c>
      <c r="AI76" s="32">
        <v>1988</v>
      </c>
      <c r="AJ76" s="32">
        <v>76</v>
      </c>
      <c r="AK76" s="32">
        <v>0</v>
      </c>
      <c r="AL76" s="32">
        <v>100</v>
      </c>
      <c r="AM76" s="32">
        <v>12579</v>
      </c>
      <c r="AN76" s="32">
        <v>5044</v>
      </c>
      <c r="AO76" s="32">
        <v>0</v>
      </c>
      <c r="AP76" s="32">
        <v>-2558</v>
      </c>
      <c r="AQ7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3.6368861024033436</v>
      </c>
      <c r="AR76" s="32">
        <v>11580</v>
      </c>
      <c r="AS76" s="32">
        <v>3428</v>
      </c>
      <c r="AT76" s="32">
        <v>6155</v>
      </c>
      <c r="AU76" s="32">
        <v>3020</v>
      </c>
      <c r="AV76" s="32">
        <v>3087</v>
      </c>
      <c r="AW76" s="32">
        <v>12579</v>
      </c>
      <c r="AX76" s="32">
        <v>38</v>
      </c>
      <c r="AY76" s="32">
        <v>0</v>
      </c>
      <c r="AZ76" s="32">
        <v>0</v>
      </c>
      <c r="BA76" s="32">
        <v>1879</v>
      </c>
      <c r="BB76" s="32">
        <v>0</v>
      </c>
      <c r="BC76" s="32">
        <v>11484</v>
      </c>
      <c r="BD76" s="34">
        <f>IFERROR(SUM(Entity_Metrics[[#This Row],[Operating surplus/(deficit) (social housing lettings)]])/SUM(Entity_Metrics[[#This Row],[Turnover from social housing lettings]]),"")</f>
        <v>0.29872935740566442</v>
      </c>
      <c r="BE76" s="32">
        <v>13965</v>
      </c>
      <c r="BF76" s="32">
        <v>46748</v>
      </c>
      <c r="BG76" s="34">
        <f>IFERROR(SUM(Entity_Metrics[[#This Row],[Operating surplus/(deficit) (overall)2]],-Entity_Metrics[[#This Row],[Gain/(loss) on disposal of fixed assets (housing properties)2]])/SUM(Entity_Metrics[[#This Row],[Turnover (overall)]]),"")</f>
        <v>0.30719707507054006</v>
      </c>
      <c r="BH76" s="32">
        <v>17448</v>
      </c>
      <c r="BI76" s="32">
        <v>1988</v>
      </c>
      <c r="BJ76" s="32">
        <v>50326</v>
      </c>
      <c r="BK76" s="34">
        <f>IFERROR(SUM(Entity_Metrics[[#This Row],[Operating surplus/(deficit) (overall)3]],Entity_Metrics[[#This Row],[Share of operating surplus/(deficit) in joint ventures or associates]])/SUM(Entity_Metrics[[#This Row],[Total assets less current liabilities]]),"")</f>
        <v>7.4857775375189853E-2</v>
      </c>
      <c r="BL76" s="32">
        <v>17448</v>
      </c>
      <c r="BM76" s="32">
        <v>0</v>
      </c>
      <c r="BN76" s="32">
        <v>233082</v>
      </c>
      <c r="BO76" s="34">
        <v>0</v>
      </c>
      <c r="BP76" s="34">
        <v>0</v>
      </c>
      <c r="BQ76" s="6" t="s">
        <v>93</v>
      </c>
      <c r="BR76" s="6">
        <v>2011</v>
      </c>
      <c r="BS76" s="6" t="s">
        <v>120</v>
      </c>
      <c r="BT76" s="6" t="s">
        <v>105</v>
      </c>
      <c r="BU76" s="8">
        <v>0.9156653862445665</v>
      </c>
      <c r="BV76" s="37">
        <v>4582</v>
      </c>
      <c r="BW76" s="19" t="s">
        <v>208</v>
      </c>
    </row>
    <row r="77" spans="1:75" x14ac:dyDescent="0.25">
      <c r="A77" s="33" t="s">
        <v>913</v>
      </c>
      <c r="B77" s="7" t="s">
        <v>210</v>
      </c>
      <c r="C77" s="7" t="s">
        <v>81</v>
      </c>
      <c r="D7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3.8687809249230529E-2</v>
      </c>
      <c r="E77" s="32">
        <v>36008</v>
      </c>
      <c r="F77" s="32">
        <v>0</v>
      </c>
      <c r="G77" s="32">
        <v>14635</v>
      </c>
      <c r="H77" s="32">
        <v>0</v>
      </c>
      <c r="I77" s="32">
        <v>0</v>
      </c>
      <c r="J77" s="32">
        <v>1309017</v>
      </c>
      <c r="K77" s="32">
        <v>0</v>
      </c>
      <c r="L7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1.1200282211835258E-2</v>
      </c>
      <c r="M77" s="32">
        <v>254</v>
      </c>
      <c r="N77" s="32">
        <v>0</v>
      </c>
      <c r="O77" s="32">
        <v>21805</v>
      </c>
      <c r="P77" s="32">
        <v>873</v>
      </c>
      <c r="Q7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7" s="32">
        <v>0</v>
      </c>
      <c r="S77" s="32">
        <v>0</v>
      </c>
      <c r="T77" s="32">
        <v>0</v>
      </c>
      <c r="U77" s="32">
        <v>21805</v>
      </c>
      <c r="V77" s="32">
        <v>900</v>
      </c>
      <c r="W77" s="32">
        <v>873</v>
      </c>
      <c r="X77" s="32">
        <v>0</v>
      </c>
      <c r="Y7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0.4549100584637174</v>
      </c>
      <c r="Z77" s="32">
        <v>7627</v>
      </c>
      <c r="AA77" s="32">
        <v>615035</v>
      </c>
      <c r="AB77" s="32">
        <v>42727</v>
      </c>
      <c r="AC77" s="32">
        <v>0</v>
      </c>
      <c r="AD77" s="32">
        <v>15550</v>
      </c>
      <c r="AE77" s="32">
        <v>1309017</v>
      </c>
      <c r="AF77" s="32">
        <v>0</v>
      </c>
      <c r="AG7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2.3508125850612442</v>
      </c>
      <c r="AH77" s="32">
        <v>57382</v>
      </c>
      <c r="AI77" s="32">
        <v>2955</v>
      </c>
      <c r="AJ77" s="32">
        <v>2388</v>
      </c>
      <c r="AK77" s="32">
        <v>0</v>
      </c>
      <c r="AL77" s="32">
        <v>2674</v>
      </c>
      <c r="AM77" s="32">
        <v>14635</v>
      </c>
      <c r="AN77" s="32">
        <v>18650</v>
      </c>
      <c r="AO77" s="32">
        <v>-485</v>
      </c>
      <c r="AP77" s="32">
        <v>-24497</v>
      </c>
      <c r="AQ7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2.6562714973629902</v>
      </c>
      <c r="AR77" s="32">
        <v>18875</v>
      </c>
      <c r="AS77" s="32">
        <v>4393</v>
      </c>
      <c r="AT77" s="32">
        <v>17360</v>
      </c>
      <c r="AU77" s="32">
        <v>2555</v>
      </c>
      <c r="AV77" s="32">
        <v>0</v>
      </c>
      <c r="AW77" s="32">
        <v>14635</v>
      </c>
      <c r="AX77" s="32">
        <v>0</v>
      </c>
      <c r="AY77" s="32">
        <v>0</v>
      </c>
      <c r="AZ77" s="32">
        <v>0</v>
      </c>
      <c r="BA77" s="32">
        <v>4</v>
      </c>
      <c r="BB77" s="32">
        <v>98</v>
      </c>
      <c r="BC77" s="32">
        <v>21805</v>
      </c>
      <c r="BD77" s="34">
        <f>IFERROR(SUM(Entity_Metrics[[#This Row],[Operating surplus/(deficit) (social housing lettings)]])/SUM(Entity_Metrics[[#This Row],[Turnover from social housing lettings]]),"")</f>
        <v>0.43012059455922219</v>
      </c>
      <c r="BE77" s="32">
        <v>46010</v>
      </c>
      <c r="BF77" s="32">
        <v>106970</v>
      </c>
      <c r="BG77" s="34">
        <f>IFERROR(SUM(Entity_Metrics[[#This Row],[Operating surplus/(deficit) (overall)2]],-Entity_Metrics[[#This Row],[Gain/(loss) on disposal of fixed assets (housing properties)2]])/SUM(Entity_Metrics[[#This Row],[Turnover (overall)]]),"")</f>
        <v>0.44385999249726804</v>
      </c>
      <c r="BH77" s="32">
        <v>57382</v>
      </c>
      <c r="BI77" s="32">
        <v>2955</v>
      </c>
      <c r="BJ77" s="32">
        <v>122622</v>
      </c>
      <c r="BK77" s="34">
        <f>IFERROR(SUM(Entity_Metrics[[#This Row],[Operating surplus/(deficit) (overall)3]],Entity_Metrics[[#This Row],[Share of operating surplus/(deficit) in joint ventures or associates]])/SUM(Entity_Metrics[[#This Row],[Total assets less current liabilities]]),"")</f>
        <v>3.8829156987346791E-2</v>
      </c>
      <c r="BL77" s="32">
        <v>57382</v>
      </c>
      <c r="BM77" s="32">
        <v>0</v>
      </c>
      <c r="BN77" s="32">
        <v>1477807</v>
      </c>
      <c r="BO77" s="34">
        <v>1.4480135636713558E-2</v>
      </c>
      <c r="BP77" s="34">
        <v>6.859735141822848E-2</v>
      </c>
      <c r="BQ77" s="6" t="s">
        <v>93</v>
      </c>
      <c r="BR77" s="6">
        <v>1993</v>
      </c>
      <c r="BS77" s="6" t="s">
        <v>94</v>
      </c>
      <c r="BT77" s="6" t="s">
        <v>100</v>
      </c>
      <c r="BU77" s="8">
        <v>1.0022399874355168</v>
      </c>
      <c r="BV77" s="37">
        <v>4651</v>
      </c>
      <c r="BW77" s="19" t="s">
        <v>210</v>
      </c>
    </row>
    <row r="78" spans="1:75" x14ac:dyDescent="0.25">
      <c r="A78" s="33" t="s">
        <v>914</v>
      </c>
      <c r="B78" s="7" t="s">
        <v>651</v>
      </c>
      <c r="C78" s="7" t="s">
        <v>81</v>
      </c>
      <c r="D7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0.10755884035651445</v>
      </c>
      <c r="E78" s="32">
        <v>69646</v>
      </c>
      <c r="F78" s="32">
        <v>7573</v>
      </c>
      <c r="G78" s="32">
        <v>10908</v>
      </c>
      <c r="H78" s="32">
        <v>1549</v>
      </c>
      <c r="I78" s="32">
        <v>0</v>
      </c>
      <c r="J78" s="32">
        <v>833739</v>
      </c>
      <c r="K78" s="32">
        <v>0</v>
      </c>
      <c r="L7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4.1158069067042877E-2</v>
      </c>
      <c r="M78" s="32">
        <v>671</v>
      </c>
      <c r="N78" s="32">
        <v>0</v>
      </c>
      <c r="O78" s="32">
        <v>15833</v>
      </c>
      <c r="P78" s="32">
        <v>470</v>
      </c>
      <c r="Q7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8" s="32">
        <v>0</v>
      </c>
      <c r="S78" s="32">
        <v>0</v>
      </c>
      <c r="T78" s="32">
        <v>0</v>
      </c>
      <c r="U78" s="32">
        <v>15833</v>
      </c>
      <c r="V78" s="32">
        <v>104</v>
      </c>
      <c r="W78" s="32">
        <v>470</v>
      </c>
      <c r="X78" s="32">
        <v>11</v>
      </c>
      <c r="Y7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0.33240018758868184</v>
      </c>
      <c r="Z78" s="32">
        <v>0</v>
      </c>
      <c r="AA78" s="32">
        <v>289733</v>
      </c>
      <c r="AB78" s="32">
        <v>12598</v>
      </c>
      <c r="AC78" s="32">
        <v>0</v>
      </c>
      <c r="AD78" s="32">
        <v>0</v>
      </c>
      <c r="AE78" s="32">
        <v>833739</v>
      </c>
      <c r="AF78" s="32">
        <v>0</v>
      </c>
      <c r="AG7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3.6397647860916993</v>
      </c>
      <c r="AH78" s="32">
        <v>42920</v>
      </c>
      <c r="AI78" s="32">
        <v>1009</v>
      </c>
      <c r="AJ78" s="32">
        <v>144</v>
      </c>
      <c r="AK78" s="32">
        <v>0</v>
      </c>
      <c r="AL78" s="32">
        <v>203</v>
      </c>
      <c r="AM78" s="32">
        <v>10908</v>
      </c>
      <c r="AN78" s="32">
        <v>11647</v>
      </c>
      <c r="AO78" s="32">
        <v>-1549</v>
      </c>
      <c r="AP78" s="32">
        <v>-10185</v>
      </c>
      <c r="AQ7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2.6494572077758143</v>
      </c>
      <c r="AR78" s="32">
        <v>6938</v>
      </c>
      <c r="AS78" s="32">
        <v>7092</v>
      </c>
      <c r="AT78" s="32">
        <v>8885</v>
      </c>
      <c r="AU78" s="32">
        <v>2971</v>
      </c>
      <c r="AV78" s="32">
        <v>4010</v>
      </c>
      <c r="AW78" s="32">
        <v>10908</v>
      </c>
      <c r="AX78" s="32">
        <v>48</v>
      </c>
      <c r="AY78" s="32">
        <v>0</v>
      </c>
      <c r="AZ78" s="32">
        <v>0</v>
      </c>
      <c r="BA78" s="32">
        <v>445</v>
      </c>
      <c r="BB78" s="32">
        <v>681</v>
      </c>
      <c r="BC78" s="32">
        <v>15844</v>
      </c>
      <c r="BD78" s="34">
        <f>IFERROR(SUM(Entity_Metrics[[#This Row],[Operating surplus/(deficit) (social housing lettings)]])/SUM(Entity_Metrics[[#This Row],[Turnover from social housing lettings]]),"")</f>
        <v>0.47691320270321291</v>
      </c>
      <c r="BE78" s="32">
        <v>37896</v>
      </c>
      <c r="BF78" s="32">
        <v>79461</v>
      </c>
      <c r="BG78" s="34">
        <f>IFERROR(SUM(Entity_Metrics[[#This Row],[Operating surplus/(deficit) (overall)2]],-Entity_Metrics[[#This Row],[Gain/(loss) on disposal of fixed assets (housing properties)2]])/SUM(Entity_Metrics[[#This Row],[Turnover (overall)]]),"")</f>
        <v>0.44366696660138677</v>
      </c>
      <c r="BH78" s="32">
        <v>42920</v>
      </c>
      <c r="BI78" s="32">
        <v>1009</v>
      </c>
      <c r="BJ78" s="32">
        <v>94465</v>
      </c>
      <c r="BK78" s="34">
        <f>IFERROR(SUM(Entity_Metrics[[#This Row],[Operating surplus/(deficit) (overall)3]],Entity_Metrics[[#This Row],[Share of operating surplus/(deficit) in joint ventures or associates]])/SUM(Entity_Metrics[[#This Row],[Total assets less current liabilities]]),"")</f>
        <v>4.8573245783792469E-2</v>
      </c>
      <c r="BL78" s="32">
        <v>42920</v>
      </c>
      <c r="BM78" s="32">
        <v>0</v>
      </c>
      <c r="BN78" s="32">
        <v>883614</v>
      </c>
      <c r="BO78" s="34">
        <v>1.0610749699993684E-2</v>
      </c>
      <c r="BP78" s="34">
        <v>0.11229710099159983</v>
      </c>
      <c r="BQ78" s="6" t="s">
        <v>93</v>
      </c>
      <c r="BR78" s="6">
        <v>2004</v>
      </c>
      <c r="BS78" s="6" t="s">
        <v>94</v>
      </c>
      <c r="BT78" s="6" t="s">
        <v>90</v>
      </c>
      <c r="BU78" s="8">
        <v>0.91624780230236913</v>
      </c>
      <c r="BV78" s="37">
        <v>4789</v>
      </c>
      <c r="BW78" s="19" t="s">
        <v>212</v>
      </c>
    </row>
    <row r="79" spans="1:75" x14ac:dyDescent="0.25">
      <c r="A79" s="33" t="s">
        <v>215</v>
      </c>
      <c r="B79" s="7" t="s">
        <v>216</v>
      </c>
      <c r="C79" s="7" t="s">
        <v>81</v>
      </c>
      <c r="D7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7.5990953064896907E-2</v>
      </c>
      <c r="E79" s="32">
        <v>4374</v>
      </c>
      <c r="F79" s="32">
        <v>0</v>
      </c>
      <c r="G79" s="32">
        <v>158</v>
      </c>
      <c r="H79" s="32">
        <v>71</v>
      </c>
      <c r="I79" s="32">
        <v>0</v>
      </c>
      <c r="J79" s="32">
        <v>60573</v>
      </c>
      <c r="K79" s="32">
        <v>0</v>
      </c>
      <c r="L7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7.841239109390126E-2</v>
      </c>
      <c r="M79" s="32">
        <v>81</v>
      </c>
      <c r="N79" s="32">
        <v>0</v>
      </c>
      <c r="O79" s="32">
        <v>1033</v>
      </c>
      <c r="P79" s="32">
        <v>0</v>
      </c>
      <c r="Q7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79" s="32">
        <v>0</v>
      </c>
      <c r="S79" s="32">
        <v>0</v>
      </c>
      <c r="T79" s="32">
        <v>0</v>
      </c>
      <c r="U79" s="32">
        <v>1033</v>
      </c>
      <c r="V79" s="32">
        <v>0</v>
      </c>
      <c r="W79" s="32">
        <v>0</v>
      </c>
      <c r="X79" s="32">
        <v>0</v>
      </c>
      <c r="Y7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4.3864428045498817E-2</v>
      </c>
      <c r="Z79" s="32">
        <v>272</v>
      </c>
      <c r="AA79" s="32">
        <v>6500</v>
      </c>
      <c r="AB79" s="32">
        <v>4115</v>
      </c>
      <c r="AC79" s="32">
        <v>0</v>
      </c>
      <c r="AD79" s="32">
        <v>0</v>
      </c>
      <c r="AE79" s="32">
        <v>60573</v>
      </c>
      <c r="AF79" s="32">
        <v>0</v>
      </c>
      <c r="AG7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3.6958333333333333</v>
      </c>
      <c r="AH79" s="32">
        <v>336</v>
      </c>
      <c r="AI79" s="32">
        <v>103</v>
      </c>
      <c r="AJ79" s="32">
        <v>443</v>
      </c>
      <c r="AK79" s="32">
        <v>78</v>
      </c>
      <c r="AL79" s="32">
        <v>55</v>
      </c>
      <c r="AM79" s="32">
        <v>158</v>
      </c>
      <c r="AN79" s="32">
        <v>1278</v>
      </c>
      <c r="AO79" s="32">
        <v>-71</v>
      </c>
      <c r="AP79" s="32">
        <v>-169</v>
      </c>
      <c r="AQ7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20.682251082251081</v>
      </c>
      <c r="AR79" s="32">
        <v>3916</v>
      </c>
      <c r="AS79" s="32">
        <v>6547</v>
      </c>
      <c r="AT79" s="32">
        <v>2131</v>
      </c>
      <c r="AU79" s="32">
        <v>581</v>
      </c>
      <c r="AV79" s="32">
        <v>0</v>
      </c>
      <c r="AW79" s="32">
        <v>158</v>
      </c>
      <c r="AX79" s="32">
        <v>708</v>
      </c>
      <c r="AY79" s="32">
        <v>0</v>
      </c>
      <c r="AZ79" s="32">
        <v>0</v>
      </c>
      <c r="BA79" s="32">
        <v>0</v>
      </c>
      <c r="BB79" s="32">
        <v>9847</v>
      </c>
      <c r="BC79" s="32">
        <v>1155</v>
      </c>
      <c r="BD79" s="34">
        <f>IFERROR(SUM(Entity_Metrics[[#This Row],[Operating surplus/(deficit) (social housing lettings)]])/SUM(Entity_Metrics[[#This Row],[Turnover from social housing lettings]]),"")</f>
        <v>9.9253973402530001E-3</v>
      </c>
      <c r="BE79" s="32">
        <v>153</v>
      </c>
      <c r="BF79" s="32">
        <v>15415</v>
      </c>
      <c r="BG79" s="34">
        <f>IFERROR(SUM(Entity_Metrics[[#This Row],[Operating surplus/(deficit) (overall)2]],-Entity_Metrics[[#This Row],[Gain/(loss) on disposal of fixed assets (housing properties)2]])/SUM(Entity_Metrics[[#This Row],[Turnover (overall)]]),"")</f>
        <v>6.083392078535808E-3</v>
      </c>
      <c r="BH79" s="32">
        <v>336</v>
      </c>
      <c r="BI79" s="32">
        <v>103</v>
      </c>
      <c r="BJ79" s="32">
        <v>38301</v>
      </c>
      <c r="BK79" s="34">
        <f>IFERROR(SUM(Entity_Metrics[[#This Row],[Operating surplus/(deficit) (overall)3]],Entity_Metrics[[#This Row],[Share of operating surplus/(deficit) in joint ventures or associates]])/SUM(Entity_Metrics[[#This Row],[Total assets less current liabilities]]),"")</f>
        <v>5.2980132450331126E-3</v>
      </c>
      <c r="BL79" s="32">
        <v>336</v>
      </c>
      <c r="BM79" s="32">
        <v>0</v>
      </c>
      <c r="BN79" s="32">
        <v>63420</v>
      </c>
      <c r="BO79" s="34">
        <v>0.81994191674733785</v>
      </c>
      <c r="BP79" s="34">
        <v>0</v>
      </c>
      <c r="BQ79" s="6" t="s">
        <v>82</v>
      </c>
      <c r="BR79" s="6" t="s">
        <v>83</v>
      </c>
      <c r="BS79" s="6" t="s">
        <v>83</v>
      </c>
      <c r="BT79" s="6" t="s">
        <v>95</v>
      </c>
      <c r="BU79" s="8">
        <v>0.92095479640006972</v>
      </c>
      <c r="BV79" s="37" t="s">
        <v>215</v>
      </c>
      <c r="BW79" s="19" t="s">
        <v>216</v>
      </c>
    </row>
    <row r="80" spans="1:75" x14ac:dyDescent="0.25">
      <c r="A80" s="33" t="s">
        <v>217</v>
      </c>
      <c r="B80" s="7" t="s">
        <v>218</v>
      </c>
      <c r="C80" s="7" t="s">
        <v>81</v>
      </c>
      <c r="D8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9.6064100670032765E-2</v>
      </c>
      <c r="E80" s="32">
        <v>0</v>
      </c>
      <c r="F80" s="32">
        <v>9421</v>
      </c>
      <c r="G80" s="32">
        <v>1633</v>
      </c>
      <c r="H80" s="32">
        <v>0</v>
      </c>
      <c r="I80" s="32">
        <v>0</v>
      </c>
      <c r="J80" s="32">
        <v>115069</v>
      </c>
      <c r="K80" s="32">
        <v>0</v>
      </c>
      <c r="L8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6.3114633788345807E-3</v>
      </c>
      <c r="M80" s="32">
        <v>43</v>
      </c>
      <c r="N80" s="32">
        <v>0</v>
      </c>
      <c r="O80" s="32">
        <v>6813</v>
      </c>
      <c r="P80" s="32">
        <v>0</v>
      </c>
      <c r="Q8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1.1728485559302155E-3</v>
      </c>
      <c r="R80" s="32">
        <v>0</v>
      </c>
      <c r="S80" s="32">
        <v>8</v>
      </c>
      <c r="T80" s="32">
        <v>0</v>
      </c>
      <c r="U80" s="32">
        <v>6813</v>
      </c>
      <c r="V80" s="32">
        <v>0</v>
      </c>
      <c r="W80" s="32">
        <v>0</v>
      </c>
      <c r="X80" s="32">
        <v>8</v>
      </c>
      <c r="Y8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0.43479998957147453</v>
      </c>
      <c r="Z80" s="32">
        <v>0</v>
      </c>
      <c r="AA80" s="32">
        <v>57500</v>
      </c>
      <c r="AB80" s="32">
        <v>7468</v>
      </c>
      <c r="AC80" s="32">
        <v>0</v>
      </c>
      <c r="AD80" s="32">
        <v>0</v>
      </c>
      <c r="AE80" s="32">
        <v>115069</v>
      </c>
      <c r="AF80" s="32">
        <v>0</v>
      </c>
      <c r="AG8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6.0510715914272684</v>
      </c>
      <c r="AH80" s="32">
        <v>12314</v>
      </c>
      <c r="AI80" s="32">
        <v>991</v>
      </c>
      <c r="AJ80" s="32">
        <v>74</v>
      </c>
      <c r="AK80" s="32">
        <v>0</v>
      </c>
      <c r="AL80" s="32">
        <v>0</v>
      </c>
      <c r="AM80" s="32">
        <v>2738</v>
      </c>
      <c r="AN80" s="32">
        <v>4759</v>
      </c>
      <c r="AO80" s="32">
        <v>0</v>
      </c>
      <c r="AP80" s="32">
        <v>-2193</v>
      </c>
      <c r="AQ8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2.546455306032585</v>
      </c>
      <c r="AR80" s="32">
        <v>4491</v>
      </c>
      <c r="AS80" s="32">
        <v>2478</v>
      </c>
      <c r="AT80" s="32">
        <v>3808</v>
      </c>
      <c r="AU80" s="32">
        <v>1234</v>
      </c>
      <c r="AV80" s="32">
        <v>2427</v>
      </c>
      <c r="AW80" s="32">
        <v>2738</v>
      </c>
      <c r="AX80" s="32">
        <v>173</v>
      </c>
      <c r="AY80" s="32">
        <v>0</v>
      </c>
      <c r="AZ80" s="32">
        <v>0</v>
      </c>
      <c r="BA80" s="32">
        <v>0</v>
      </c>
      <c r="BB80" s="32">
        <v>0</v>
      </c>
      <c r="BC80" s="32">
        <v>6813</v>
      </c>
      <c r="BD80" s="34">
        <f>IFERROR(SUM(Entity_Metrics[[#This Row],[Operating surplus/(deficit) (social housing lettings)]])/SUM(Entity_Metrics[[#This Row],[Turnover from social housing lettings]]),"")</f>
        <v>0.35905074307136164</v>
      </c>
      <c r="BE80" s="32">
        <v>10727</v>
      </c>
      <c r="BF80" s="32">
        <v>29876</v>
      </c>
      <c r="BG80" s="34">
        <f>IFERROR(SUM(Entity_Metrics[[#This Row],[Operating surplus/(deficit) (overall)2]],-Entity_Metrics[[#This Row],[Gain/(loss) on disposal of fixed assets (housing properties)2]])/SUM(Entity_Metrics[[#This Row],[Turnover (overall)]]),"")</f>
        <v>0.36747476714373806</v>
      </c>
      <c r="BH80" s="32">
        <v>12314</v>
      </c>
      <c r="BI80" s="32">
        <v>991</v>
      </c>
      <c r="BJ80" s="32">
        <v>30813</v>
      </c>
      <c r="BK80" s="34">
        <f>IFERROR(SUM(Entity_Metrics[[#This Row],[Operating surplus/(deficit) (overall)3]],Entity_Metrics[[#This Row],[Share of operating surplus/(deficit) in joint ventures or associates]])/SUM(Entity_Metrics[[#This Row],[Total assets less current liabilities]]),"")</f>
        <v>9.798211273433273E-2</v>
      </c>
      <c r="BL80" s="32">
        <v>12314</v>
      </c>
      <c r="BM80" s="32">
        <v>0</v>
      </c>
      <c r="BN80" s="32">
        <v>125676</v>
      </c>
      <c r="BO80" s="34">
        <v>0</v>
      </c>
      <c r="BP80" s="34">
        <v>8.9681491266696028E-2</v>
      </c>
      <c r="BQ80" s="6" t="s">
        <v>93</v>
      </c>
      <c r="BR80" s="6">
        <v>2006</v>
      </c>
      <c r="BS80" s="6" t="s">
        <v>94</v>
      </c>
      <c r="BT80" s="6" t="s">
        <v>100</v>
      </c>
      <c r="BU80" s="8">
        <v>1.0022399874355168</v>
      </c>
      <c r="BV80" s="37" t="s">
        <v>217</v>
      </c>
      <c r="BW80" s="19" t="s">
        <v>218</v>
      </c>
    </row>
    <row r="81" spans="1:75" x14ac:dyDescent="0.25">
      <c r="A81" s="33" t="s">
        <v>915</v>
      </c>
      <c r="B81" s="7" t="s">
        <v>652</v>
      </c>
      <c r="C81" s="7" t="s">
        <v>81</v>
      </c>
      <c r="D8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2.1049272683259613E-2</v>
      </c>
      <c r="E81" s="32">
        <v>20</v>
      </c>
      <c r="F81" s="32">
        <v>0</v>
      </c>
      <c r="G81" s="32">
        <v>3806</v>
      </c>
      <c r="H81" s="32">
        <v>0</v>
      </c>
      <c r="I81" s="32">
        <v>0</v>
      </c>
      <c r="J81" s="32">
        <v>181764</v>
      </c>
      <c r="K81" s="32">
        <v>0</v>
      </c>
      <c r="L8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81" s="32">
        <v>0</v>
      </c>
      <c r="N81" s="32">
        <v>0</v>
      </c>
      <c r="O81" s="32">
        <v>4359</v>
      </c>
      <c r="P81" s="32">
        <v>140</v>
      </c>
      <c r="Q8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1" s="32">
        <v>0</v>
      </c>
      <c r="S81" s="32">
        <v>0</v>
      </c>
      <c r="T81" s="32">
        <v>0</v>
      </c>
      <c r="U81" s="32">
        <v>4359</v>
      </c>
      <c r="V81" s="32">
        <v>6</v>
      </c>
      <c r="W81" s="32">
        <v>140</v>
      </c>
      <c r="X81" s="32">
        <v>0</v>
      </c>
      <c r="Y8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0.37026033758059901</v>
      </c>
      <c r="Z81" s="32">
        <v>2794</v>
      </c>
      <c r="AA81" s="32">
        <v>70668</v>
      </c>
      <c r="AB81" s="32">
        <v>6162</v>
      </c>
      <c r="AC81" s="32">
        <v>0</v>
      </c>
      <c r="AD81" s="32">
        <v>0</v>
      </c>
      <c r="AE81" s="32">
        <v>181764</v>
      </c>
      <c r="AF81" s="32">
        <v>0</v>
      </c>
      <c r="AG8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1.9897420867526376</v>
      </c>
      <c r="AH81" s="32">
        <v>8385</v>
      </c>
      <c r="AI81" s="32">
        <v>311</v>
      </c>
      <c r="AJ81" s="32">
        <v>720</v>
      </c>
      <c r="AK81" s="32">
        <v>0</v>
      </c>
      <c r="AL81" s="32">
        <v>19</v>
      </c>
      <c r="AM81" s="32">
        <v>3806</v>
      </c>
      <c r="AN81" s="32">
        <v>3222</v>
      </c>
      <c r="AO81" s="32">
        <v>0</v>
      </c>
      <c r="AP81" s="32">
        <v>-3412</v>
      </c>
      <c r="AQ8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4.4613443450332646</v>
      </c>
      <c r="AR81" s="32">
        <v>4383</v>
      </c>
      <c r="AS81" s="32">
        <v>4696</v>
      </c>
      <c r="AT81" s="32">
        <v>3263</v>
      </c>
      <c r="AU81" s="32">
        <v>1425</v>
      </c>
      <c r="AV81" s="32">
        <v>317</v>
      </c>
      <c r="AW81" s="32">
        <v>3806</v>
      </c>
      <c r="AX81" s="32">
        <v>57</v>
      </c>
      <c r="AY81" s="32">
        <v>78</v>
      </c>
      <c r="AZ81" s="32">
        <v>1296</v>
      </c>
      <c r="BA81" s="32">
        <v>126</v>
      </c>
      <c r="BB81" s="32">
        <v>0</v>
      </c>
      <c r="BC81" s="32">
        <v>4359</v>
      </c>
      <c r="BD81" s="34">
        <f>IFERROR(SUM(Entity_Metrics[[#This Row],[Operating surplus/(deficit) (social housing lettings)]])/SUM(Entity_Metrics[[#This Row],[Turnover from social housing lettings]]),"")</f>
        <v>0.31681800236873275</v>
      </c>
      <c r="BE81" s="32">
        <v>8025</v>
      </c>
      <c r="BF81" s="32">
        <v>25330</v>
      </c>
      <c r="BG81" s="34">
        <f>IFERROR(SUM(Entity_Metrics[[#This Row],[Operating surplus/(deficit) (overall)2]],-Entity_Metrics[[#This Row],[Gain/(loss) on disposal of fixed assets (housing properties)2]])/SUM(Entity_Metrics[[#This Row],[Turnover (overall)]]),"")</f>
        <v>0.28358680762881527</v>
      </c>
      <c r="BH81" s="32">
        <v>8385</v>
      </c>
      <c r="BI81" s="32">
        <v>311</v>
      </c>
      <c r="BJ81" s="32">
        <v>28471</v>
      </c>
      <c r="BK81" s="34">
        <f>IFERROR(SUM(Entity_Metrics[[#This Row],[Operating surplus/(deficit) (overall)3]],Entity_Metrics[[#This Row],[Share of operating surplus/(deficit) in joint ventures or associates]])/SUM(Entity_Metrics[[#This Row],[Total assets less current liabilities]]),"")</f>
        <v>4.5311588094157321E-2</v>
      </c>
      <c r="BL81" s="32">
        <v>8385</v>
      </c>
      <c r="BM81" s="32">
        <v>0</v>
      </c>
      <c r="BN81" s="32">
        <v>185052</v>
      </c>
      <c r="BO81" s="34">
        <v>3.3402441833678874E-2</v>
      </c>
      <c r="BP81" s="34">
        <v>0</v>
      </c>
      <c r="BQ81" s="6" t="s">
        <v>82</v>
      </c>
      <c r="BR81" s="6" t="s">
        <v>83</v>
      </c>
      <c r="BS81" s="6" t="s">
        <v>83</v>
      </c>
      <c r="BT81" s="6" t="s">
        <v>90</v>
      </c>
      <c r="BU81" s="8">
        <v>0.91727848123311184</v>
      </c>
      <c r="BV81" s="37" t="s">
        <v>590</v>
      </c>
      <c r="BW81" s="19" t="s">
        <v>300</v>
      </c>
    </row>
    <row r="82" spans="1:75" x14ac:dyDescent="0.25">
      <c r="A82" s="33" t="s">
        <v>653</v>
      </c>
      <c r="B82" s="7" t="s">
        <v>654</v>
      </c>
      <c r="C82" s="7" t="s">
        <v>81</v>
      </c>
      <c r="D8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2.3265949939811549E-2</v>
      </c>
      <c r="E82" s="32">
        <v>0</v>
      </c>
      <c r="F82" s="32">
        <v>0</v>
      </c>
      <c r="G82" s="32">
        <v>1121</v>
      </c>
      <c r="H82" s="32">
        <v>0</v>
      </c>
      <c r="I82" s="32">
        <v>0</v>
      </c>
      <c r="J82" s="32">
        <v>48182</v>
      </c>
      <c r="K82" s="32">
        <v>0</v>
      </c>
      <c r="L8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82" s="32">
        <v>0</v>
      </c>
      <c r="N82" s="32">
        <v>0</v>
      </c>
      <c r="O82" s="32">
        <v>2059</v>
      </c>
      <c r="P82" s="32">
        <v>66</v>
      </c>
      <c r="Q8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2" s="32">
        <v>0</v>
      </c>
      <c r="S82" s="32">
        <v>0</v>
      </c>
      <c r="T82" s="32">
        <v>0</v>
      </c>
      <c r="U82" s="32">
        <v>2059</v>
      </c>
      <c r="V82" s="32">
        <v>0</v>
      </c>
      <c r="W82" s="32">
        <v>66</v>
      </c>
      <c r="X82" s="32">
        <v>11</v>
      </c>
      <c r="Y8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0.85660620148603217</v>
      </c>
      <c r="Z82" s="32">
        <v>1397</v>
      </c>
      <c r="AA82" s="32">
        <v>40916</v>
      </c>
      <c r="AB82" s="32">
        <v>1040</v>
      </c>
      <c r="AC82" s="32">
        <v>0</v>
      </c>
      <c r="AD82" s="32">
        <v>0</v>
      </c>
      <c r="AE82" s="32">
        <v>48182</v>
      </c>
      <c r="AF82" s="32">
        <v>0</v>
      </c>
      <c r="AG8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2.2689694224235559</v>
      </c>
      <c r="AH82" s="32">
        <v>4481</v>
      </c>
      <c r="AI82" s="32">
        <v>139</v>
      </c>
      <c r="AJ82" s="32">
        <v>0</v>
      </c>
      <c r="AK82" s="32">
        <v>0</v>
      </c>
      <c r="AL82" s="32">
        <v>3</v>
      </c>
      <c r="AM82" s="32">
        <v>1121</v>
      </c>
      <c r="AN82" s="32">
        <v>783</v>
      </c>
      <c r="AO82" s="32">
        <v>0</v>
      </c>
      <c r="AP82" s="32">
        <v>-1766</v>
      </c>
      <c r="AQ8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2.9518536350505538</v>
      </c>
      <c r="AR82" s="32">
        <v>2862</v>
      </c>
      <c r="AS82" s="32">
        <v>1083</v>
      </c>
      <c r="AT82" s="32">
        <v>670</v>
      </c>
      <c r="AU82" s="32">
        <v>315</v>
      </c>
      <c r="AV82" s="32">
        <v>66</v>
      </c>
      <c r="AW82" s="32">
        <v>1121</v>
      </c>
      <c r="AX82" s="32">
        <v>14</v>
      </c>
      <c r="AY82" s="32">
        <v>0</v>
      </c>
      <c r="AZ82" s="32">
        <v>0</v>
      </c>
      <c r="BA82" s="32">
        <v>0</v>
      </c>
      <c r="BB82" s="32">
        <v>0</v>
      </c>
      <c r="BC82" s="32">
        <v>2077</v>
      </c>
      <c r="BD82" s="34">
        <f>IFERROR(SUM(Entity_Metrics[[#This Row],[Operating surplus/(deficit) (social housing lettings)]])/SUM(Entity_Metrics[[#This Row],[Turnover from social housing lettings]]),"")</f>
        <v>0.31529607214904476</v>
      </c>
      <c r="BE82" s="32">
        <v>2657</v>
      </c>
      <c r="BF82" s="32">
        <v>8427</v>
      </c>
      <c r="BG82" s="34">
        <f>IFERROR(SUM(Entity_Metrics[[#This Row],[Operating surplus/(deficit) (overall)2]],-Entity_Metrics[[#This Row],[Gain/(loss) on disposal of fixed assets (housing properties)2]])/SUM(Entity_Metrics[[#This Row],[Turnover (overall)]]),"")</f>
        <v>0.38695303448890472</v>
      </c>
      <c r="BH82" s="32">
        <v>4481</v>
      </c>
      <c r="BI82" s="32">
        <v>139</v>
      </c>
      <c r="BJ82" s="32">
        <v>11221</v>
      </c>
      <c r="BK82" s="34">
        <f>IFERROR(SUM(Entity_Metrics[[#This Row],[Operating surplus/(deficit) (overall)3]],Entity_Metrics[[#This Row],[Share of operating surplus/(deficit) in joint ventures or associates]])/SUM(Entity_Metrics[[#This Row],[Total assets less current liabilities]]),"")</f>
        <v>7.5945290917410979E-2</v>
      </c>
      <c r="BL82" s="32">
        <v>4481</v>
      </c>
      <c r="BM82" s="32">
        <v>0</v>
      </c>
      <c r="BN82" s="32">
        <v>59003</v>
      </c>
      <c r="BO82" s="34">
        <v>1.6288951841359773E-2</v>
      </c>
      <c r="BP82" s="34">
        <v>8.640226628895184E-2</v>
      </c>
      <c r="BQ82" s="6" t="s">
        <v>82</v>
      </c>
      <c r="BR82" s="6" t="s">
        <v>83</v>
      </c>
      <c r="BS82" s="6" t="s">
        <v>83</v>
      </c>
      <c r="BT82" s="6" t="s">
        <v>105</v>
      </c>
      <c r="BU82" s="8">
        <v>0.91994740516658136</v>
      </c>
      <c r="BV82" s="37" t="s">
        <v>655</v>
      </c>
      <c r="BW82" s="19" t="s">
        <v>556</v>
      </c>
    </row>
    <row r="83" spans="1:75" x14ac:dyDescent="0.25">
      <c r="A83" s="33" t="s">
        <v>656</v>
      </c>
      <c r="B83" s="7" t="s">
        <v>657</v>
      </c>
      <c r="C83" s="7" t="s">
        <v>81</v>
      </c>
      <c r="D8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0.12002746355636308</v>
      </c>
      <c r="E83" s="32">
        <v>12904</v>
      </c>
      <c r="F83" s="32">
        <v>0</v>
      </c>
      <c r="G83" s="32">
        <v>1431</v>
      </c>
      <c r="H83" s="32">
        <v>0</v>
      </c>
      <c r="I83" s="32">
        <v>0</v>
      </c>
      <c r="J83" s="32">
        <v>119431</v>
      </c>
      <c r="K83" s="32">
        <v>0</v>
      </c>
      <c r="L8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3.7165510406342916E-2</v>
      </c>
      <c r="M83" s="32">
        <v>225</v>
      </c>
      <c r="N83" s="32">
        <v>0</v>
      </c>
      <c r="O83" s="32">
        <v>6054</v>
      </c>
      <c r="P83" s="32">
        <v>0</v>
      </c>
      <c r="Q8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3" s="32">
        <v>0</v>
      </c>
      <c r="S83" s="32">
        <v>0</v>
      </c>
      <c r="T83" s="32">
        <v>0</v>
      </c>
      <c r="U83" s="32">
        <v>6054</v>
      </c>
      <c r="V83" s="32">
        <v>0</v>
      </c>
      <c r="W83" s="32">
        <v>0</v>
      </c>
      <c r="X83" s="32">
        <v>0</v>
      </c>
      <c r="Y8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0.79799214609272295</v>
      </c>
      <c r="Z83" s="32">
        <v>0</v>
      </c>
      <c r="AA83" s="32">
        <v>98265</v>
      </c>
      <c r="AB83" s="32">
        <v>2960</v>
      </c>
      <c r="AC83" s="32">
        <v>0</v>
      </c>
      <c r="AD83" s="32">
        <v>0</v>
      </c>
      <c r="AE83" s="32">
        <v>119431</v>
      </c>
      <c r="AF83" s="32">
        <v>0</v>
      </c>
      <c r="AG8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2.236456947348413</v>
      </c>
      <c r="AH83" s="32">
        <v>10080</v>
      </c>
      <c r="AI83" s="32">
        <v>509</v>
      </c>
      <c r="AJ83" s="32">
        <v>439</v>
      </c>
      <c r="AK83" s="32">
        <v>0</v>
      </c>
      <c r="AL83" s="32">
        <v>98</v>
      </c>
      <c r="AM83" s="32">
        <v>1431</v>
      </c>
      <c r="AN83" s="32">
        <v>3967</v>
      </c>
      <c r="AO83" s="32">
        <v>0</v>
      </c>
      <c r="AP83" s="32">
        <v>-5261</v>
      </c>
      <c r="AQ8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2.5743341404358353</v>
      </c>
      <c r="AR83" s="32">
        <v>6087</v>
      </c>
      <c r="AS83" s="32">
        <v>642</v>
      </c>
      <c r="AT83" s="32">
        <v>2653</v>
      </c>
      <c r="AU83" s="32">
        <v>2794</v>
      </c>
      <c r="AV83" s="32">
        <v>968</v>
      </c>
      <c r="AW83" s="32">
        <v>1431</v>
      </c>
      <c r="AX83" s="32">
        <v>527</v>
      </c>
      <c r="AY83" s="32">
        <v>0</v>
      </c>
      <c r="AZ83" s="32">
        <v>0</v>
      </c>
      <c r="BA83" s="32">
        <v>846</v>
      </c>
      <c r="BB83" s="32">
        <v>0</v>
      </c>
      <c r="BC83" s="32">
        <v>6195</v>
      </c>
      <c r="BD83" s="34">
        <f>IFERROR(SUM(Entity_Metrics[[#This Row],[Operating surplus/(deficit) (social housing lettings)]])/SUM(Entity_Metrics[[#This Row],[Turnover from social housing lettings]]),"")</f>
        <v>0.33899368747462072</v>
      </c>
      <c r="BE83" s="32">
        <v>9183</v>
      </c>
      <c r="BF83" s="32">
        <v>27089</v>
      </c>
      <c r="BG83" s="34">
        <f>IFERROR(SUM(Entity_Metrics[[#This Row],[Operating surplus/(deficit) (overall)2]],-Entity_Metrics[[#This Row],[Gain/(loss) on disposal of fixed assets (housing properties)2]])/SUM(Entity_Metrics[[#This Row],[Turnover (overall)]]),"")</f>
        <v>0.31000194338278164</v>
      </c>
      <c r="BH83" s="32">
        <v>10080</v>
      </c>
      <c r="BI83" s="32">
        <v>509</v>
      </c>
      <c r="BJ83" s="32">
        <v>30874</v>
      </c>
      <c r="BK83" s="34">
        <f>IFERROR(SUM(Entity_Metrics[[#This Row],[Operating surplus/(deficit) (overall)3]],Entity_Metrics[[#This Row],[Share of operating surplus/(deficit) in joint ventures or associates]])/SUM(Entity_Metrics[[#This Row],[Total assets less current liabilities]]),"")</f>
        <v>7.0762664270470621E-2</v>
      </c>
      <c r="BL83" s="32">
        <v>10080</v>
      </c>
      <c r="BM83" s="32">
        <v>0</v>
      </c>
      <c r="BN83" s="32">
        <v>142448</v>
      </c>
      <c r="BO83" s="34">
        <v>3.211629479377958E-3</v>
      </c>
      <c r="BP83" s="34">
        <v>0.37407031778228533</v>
      </c>
      <c r="BQ83" s="6" t="s">
        <v>93</v>
      </c>
      <c r="BR83" s="6">
        <v>2003</v>
      </c>
      <c r="BS83" s="6" t="s">
        <v>94</v>
      </c>
      <c r="BT83" s="6" t="s">
        <v>95</v>
      </c>
      <c r="BU83" s="8">
        <v>0.92038375847935383</v>
      </c>
      <c r="BV83" s="37" t="s">
        <v>658</v>
      </c>
      <c r="BW83" s="19" t="s">
        <v>220</v>
      </c>
    </row>
    <row r="84" spans="1:75" x14ac:dyDescent="0.25">
      <c r="A84" s="33" t="s">
        <v>659</v>
      </c>
      <c r="B84" s="7" t="s">
        <v>660</v>
      </c>
      <c r="C84" s="7" t="s">
        <v>81</v>
      </c>
      <c r="D8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8.4261907109752496E-2</v>
      </c>
      <c r="E84" s="32">
        <v>2235</v>
      </c>
      <c r="F84" s="32">
        <v>0</v>
      </c>
      <c r="G84" s="32">
        <v>1183</v>
      </c>
      <c r="H84" s="32">
        <v>0</v>
      </c>
      <c r="I84" s="32">
        <v>0</v>
      </c>
      <c r="J84" s="32">
        <v>40564</v>
      </c>
      <c r="K84" s="32">
        <v>0</v>
      </c>
      <c r="L8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2.8462998102466793E-3</v>
      </c>
      <c r="M84" s="32">
        <v>9</v>
      </c>
      <c r="N84" s="32">
        <v>0</v>
      </c>
      <c r="O84" s="32">
        <v>3077</v>
      </c>
      <c r="P84" s="32">
        <v>85</v>
      </c>
      <c r="Q8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4" s="32">
        <v>0</v>
      </c>
      <c r="S84" s="32">
        <v>0</v>
      </c>
      <c r="T84" s="32">
        <v>0</v>
      </c>
      <c r="U84" s="32">
        <v>3077</v>
      </c>
      <c r="V84" s="32">
        <v>0</v>
      </c>
      <c r="W84" s="32">
        <v>85</v>
      </c>
      <c r="X84" s="32">
        <v>0</v>
      </c>
      <c r="Y8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0.92293659402425798</v>
      </c>
      <c r="Z84" s="32">
        <v>0</v>
      </c>
      <c r="AA84" s="32">
        <v>44309</v>
      </c>
      <c r="AB84" s="32">
        <v>6871</v>
      </c>
      <c r="AC84" s="32">
        <v>0</v>
      </c>
      <c r="AD84" s="32">
        <v>0</v>
      </c>
      <c r="AE84" s="32">
        <v>40564</v>
      </c>
      <c r="AF84" s="32">
        <v>0</v>
      </c>
      <c r="AG8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3.8076681332495288</v>
      </c>
      <c r="AH84" s="32">
        <v>5823</v>
      </c>
      <c r="AI84" s="32">
        <v>279</v>
      </c>
      <c r="AJ84" s="32">
        <v>21</v>
      </c>
      <c r="AK84" s="32">
        <v>0</v>
      </c>
      <c r="AL84" s="32">
        <v>8</v>
      </c>
      <c r="AM84" s="32">
        <v>1183</v>
      </c>
      <c r="AN84" s="32">
        <v>1710</v>
      </c>
      <c r="AO84" s="32">
        <v>0</v>
      </c>
      <c r="AP84" s="32">
        <v>-1591</v>
      </c>
      <c r="AQ8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2.9437764055898601</v>
      </c>
      <c r="AR84" s="32">
        <v>3358</v>
      </c>
      <c r="AS84" s="32">
        <v>646</v>
      </c>
      <c r="AT84" s="32">
        <v>1829</v>
      </c>
      <c r="AU84" s="32">
        <v>806</v>
      </c>
      <c r="AV84" s="32">
        <v>930</v>
      </c>
      <c r="AW84" s="32">
        <v>1183</v>
      </c>
      <c r="AX84" s="32">
        <v>268</v>
      </c>
      <c r="AY84" s="32">
        <v>0</v>
      </c>
      <c r="AZ84" s="32">
        <v>0</v>
      </c>
      <c r="BA84" s="32">
        <v>38</v>
      </c>
      <c r="BB84" s="32">
        <v>0</v>
      </c>
      <c r="BC84" s="32">
        <v>3077</v>
      </c>
      <c r="BD84" s="34">
        <f>IFERROR(SUM(Entity_Metrics[[#This Row],[Operating surplus/(deficit) (social housing lettings)]])/SUM(Entity_Metrics[[#This Row],[Turnover from social housing lettings]]),"")</f>
        <v>0.36699232837191004</v>
      </c>
      <c r="BE84" s="32">
        <v>5597</v>
      </c>
      <c r="BF84" s="32">
        <v>15251</v>
      </c>
      <c r="BG84" s="34">
        <f>IFERROR(SUM(Entity_Metrics[[#This Row],[Operating surplus/(deficit) (overall)2]],-Entity_Metrics[[#This Row],[Gain/(loss) on disposal of fixed assets (housing properties)2]])/SUM(Entity_Metrics[[#This Row],[Turnover (overall)]]),"")</f>
        <v>0.34949252978629514</v>
      </c>
      <c r="BH84" s="32">
        <v>5823</v>
      </c>
      <c r="BI84" s="32">
        <v>279</v>
      </c>
      <c r="BJ84" s="32">
        <v>15863</v>
      </c>
      <c r="BK84" s="34">
        <f>IFERROR(SUM(Entity_Metrics[[#This Row],[Operating surplus/(deficit) (overall)3]],Entity_Metrics[[#This Row],[Share of operating surplus/(deficit) in joint ventures or associates]])/SUM(Entity_Metrics[[#This Row],[Total assets less current liabilities]]),"")</f>
        <v>0.12935400746401279</v>
      </c>
      <c r="BL84" s="32">
        <v>5823</v>
      </c>
      <c r="BM84" s="32">
        <v>0</v>
      </c>
      <c r="BN84" s="32">
        <v>45016</v>
      </c>
      <c r="BO84" s="34">
        <v>0</v>
      </c>
      <c r="BP84" s="34">
        <v>0.28775113415424497</v>
      </c>
      <c r="BQ84" s="6" t="s">
        <v>93</v>
      </c>
      <c r="BR84" s="6">
        <v>2007</v>
      </c>
      <c r="BS84" s="6" t="s">
        <v>120</v>
      </c>
      <c r="BT84" s="6" t="s">
        <v>95</v>
      </c>
      <c r="BU84" s="8">
        <v>0.92038375847935383</v>
      </c>
      <c r="BV84" s="37" t="s">
        <v>658</v>
      </c>
      <c r="BW84" s="19" t="s">
        <v>220</v>
      </c>
    </row>
    <row r="85" spans="1:75" x14ac:dyDescent="0.25">
      <c r="A85" s="33" t="s">
        <v>661</v>
      </c>
      <c r="B85" s="7" t="s">
        <v>222</v>
      </c>
      <c r="C85" s="7" t="s">
        <v>81</v>
      </c>
      <c r="D8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6.3584367304927891E-2</v>
      </c>
      <c r="E85" s="32">
        <v>13691</v>
      </c>
      <c r="F85" s="32">
        <v>0</v>
      </c>
      <c r="G85" s="32">
        <v>921</v>
      </c>
      <c r="H85" s="32">
        <v>29</v>
      </c>
      <c r="I85" s="32">
        <v>0</v>
      </c>
      <c r="J85" s="32">
        <v>230261</v>
      </c>
      <c r="K85" s="32">
        <v>0</v>
      </c>
      <c r="L8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1.0023387905111927E-3</v>
      </c>
      <c r="M85" s="32">
        <v>3</v>
      </c>
      <c r="N85" s="32">
        <v>0</v>
      </c>
      <c r="O85" s="32">
        <v>2758</v>
      </c>
      <c r="P85" s="32">
        <v>235</v>
      </c>
      <c r="Q8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5" s="32">
        <v>0</v>
      </c>
      <c r="S85" s="32">
        <v>0</v>
      </c>
      <c r="T85" s="32">
        <v>0</v>
      </c>
      <c r="U85" s="32">
        <v>2758</v>
      </c>
      <c r="V85" s="32">
        <v>0</v>
      </c>
      <c r="W85" s="32">
        <v>235</v>
      </c>
      <c r="X85" s="32">
        <v>0</v>
      </c>
      <c r="Y8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0.17835412857583352</v>
      </c>
      <c r="Z85" s="32">
        <v>3234</v>
      </c>
      <c r="AA85" s="32">
        <v>102618</v>
      </c>
      <c r="AB85" s="32">
        <v>64784</v>
      </c>
      <c r="AC85" s="32">
        <v>0</v>
      </c>
      <c r="AD85" s="32">
        <v>0</v>
      </c>
      <c r="AE85" s="32">
        <v>230261</v>
      </c>
      <c r="AF85" s="32">
        <v>0</v>
      </c>
      <c r="AG8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2.2731432594156988</v>
      </c>
      <c r="AH85" s="32">
        <v>6436</v>
      </c>
      <c r="AI85" s="32">
        <v>1109</v>
      </c>
      <c r="AJ85" s="32">
        <v>1193</v>
      </c>
      <c r="AK85" s="32">
        <v>0</v>
      </c>
      <c r="AL85" s="32">
        <v>244</v>
      </c>
      <c r="AM85" s="32">
        <v>921</v>
      </c>
      <c r="AN85" s="32">
        <v>3001</v>
      </c>
      <c r="AO85" s="32">
        <v>-29</v>
      </c>
      <c r="AP85" s="32">
        <v>-2812</v>
      </c>
      <c r="AQ8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5.7548948513415521</v>
      </c>
      <c r="AR85" s="32">
        <v>3559</v>
      </c>
      <c r="AS85" s="32">
        <v>2229</v>
      </c>
      <c r="AT85" s="32">
        <v>3410</v>
      </c>
      <c r="AU85" s="32">
        <v>1270</v>
      </c>
      <c r="AV85" s="32">
        <v>683</v>
      </c>
      <c r="AW85" s="32">
        <v>921</v>
      </c>
      <c r="AX85" s="32">
        <v>0</v>
      </c>
      <c r="AY85" s="32">
        <v>358</v>
      </c>
      <c r="AZ85" s="32">
        <v>0</v>
      </c>
      <c r="BA85" s="32">
        <v>0</v>
      </c>
      <c r="BB85" s="32">
        <v>3442</v>
      </c>
      <c r="BC85" s="32">
        <v>2758</v>
      </c>
      <c r="BD85" s="34">
        <f>IFERROR(SUM(Entity_Metrics[[#This Row],[Operating surplus/(deficit) (social housing lettings)]])/SUM(Entity_Metrics[[#This Row],[Turnover from social housing lettings]]),"")</f>
        <v>0.28810703160904866</v>
      </c>
      <c r="BE85" s="32">
        <v>5642</v>
      </c>
      <c r="BF85" s="32">
        <v>19583</v>
      </c>
      <c r="BG85" s="34">
        <f>IFERROR(SUM(Entity_Metrics[[#This Row],[Operating surplus/(deficit) (overall)2]],-Entity_Metrics[[#This Row],[Gain/(loss) on disposal of fixed assets (housing properties)2]])/SUM(Entity_Metrics[[#This Row],[Turnover (overall)]]),"")</f>
        <v>0.2272029344024567</v>
      </c>
      <c r="BH85" s="32">
        <v>6436</v>
      </c>
      <c r="BI85" s="32">
        <v>1109</v>
      </c>
      <c r="BJ85" s="32">
        <v>23446</v>
      </c>
      <c r="BK85" s="34">
        <f>IFERROR(SUM(Entity_Metrics[[#This Row],[Operating surplus/(deficit) (overall)3]],Entity_Metrics[[#This Row],[Share of operating surplus/(deficit) in joint ventures or associates]])/SUM(Entity_Metrics[[#This Row],[Total assets less current liabilities]]),"")</f>
        <v>2.228385251662806E-2</v>
      </c>
      <c r="BL85" s="32">
        <v>6436</v>
      </c>
      <c r="BM85" s="32">
        <v>0</v>
      </c>
      <c r="BN85" s="32">
        <v>288819</v>
      </c>
      <c r="BO85" s="34">
        <v>3.8586368553912731E-2</v>
      </c>
      <c r="BP85" s="34">
        <v>0.144248106743599</v>
      </c>
      <c r="BQ85" s="6" t="s">
        <v>82</v>
      </c>
      <c r="BR85" s="6" t="s">
        <v>83</v>
      </c>
      <c r="BS85" s="6" t="s">
        <v>83</v>
      </c>
      <c r="BT85" s="6" t="s">
        <v>156</v>
      </c>
      <c r="BU85" s="8">
        <v>1.2487711995373192</v>
      </c>
      <c r="BV85" s="37" t="s">
        <v>661</v>
      </c>
      <c r="BW85" s="19" t="s">
        <v>222</v>
      </c>
    </row>
    <row r="86" spans="1:75" x14ac:dyDescent="0.25">
      <c r="A86" s="33" t="s">
        <v>662</v>
      </c>
      <c r="B86" s="7" t="s">
        <v>663</v>
      </c>
      <c r="C86" s="7" t="s">
        <v>81</v>
      </c>
      <c r="D8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0.17061252320163642</v>
      </c>
      <c r="E86" s="32">
        <v>7779</v>
      </c>
      <c r="F86" s="32">
        <v>0</v>
      </c>
      <c r="G86" s="32">
        <v>1229</v>
      </c>
      <c r="H86" s="32">
        <v>0</v>
      </c>
      <c r="I86" s="32">
        <v>0</v>
      </c>
      <c r="J86" s="32">
        <v>52798</v>
      </c>
      <c r="K86" s="32">
        <v>0</v>
      </c>
      <c r="L8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1.1830635118306352E-2</v>
      </c>
      <c r="M86" s="32">
        <v>38</v>
      </c>
      <c r="N86" s="32">
        <v>0</v>
      </c>
      <c r="O86" s="32">
        <v>3212</v>
      </c>
      <c r="P86" s="32">
        <v>0</v>
      </c>
      <c r="Q8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6" s="32">
        <v>0</v>
      </c>
      <c r="S86" s="32">
        <v>0</v>
      </c>
      <c r="T86" s="32">
        <v>0</v>
      </c>
      <c r="U86" s="32">
        <v>3212</v>
      </c>
      <c r="V86" s="32">
        <v>0</v>
      </c>
      <c r="W86" s="32">
        <v>0</v>
      </c>
      <c r="X86" s="32">
        <v>294</v>
      </c>
      <c r="Y8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0.22819046175991514</v>
      </c>
      <c r="Z86" s="32">
        <v>618</v>
      </c>
      <c r="AA86" s="32">
        <v>21894</v>
      </c>
      <c r="AB86" s="32">
        <v>10464</v>
      </c>
      <c r="AC86" s="32">
        <v>0</v>
      </c>
      <c r="AD86" s="32">
        <v>0</v>
      </c>
      <c r="AE86" s="32">
        <v>52798</v>
      </c>
      <c r="AF86" s="32">
        <v>0</v>
      </c>
      <c r="AG8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2.7607585703865793</v>
      </c>
      <c r="AH86" s="32">
        <v>4645</v>
      </c>
      <c r="AI86" s="32">
        <v>755</v>
      </c>
      <c r="AJ86" s="32">
        <v>15</v>
      </c>
      <c r="AK86" s="32">
        <v>0</v>
      </c>
      <c r="AL86" s="32">
        <v>20</v>
      </c>
      <c r="AM86" s="32">
        <v>1229</v>
      </c>
      <c r="AN86" s="32">
        <v>1119</v>
      </c>
      <c r="AO86" s="32">
        <v>-199</v>
      </c>
      <c r="AP86" s="32">
        <v>-1172</v>
      </c>
      <c r="AQ8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3.3876089663760895</v>
      </c>
      <c r="AR86" s="32">
        <v>2994</v>
      </c>
      <c r="AS86" s="32">
        <v>1357</v>
      </c>
      <c r="AT86" s="32">
        <v>2018</v>
      </c>
      <c r="AU86" s="32">
        <v>1066</v>
      </c>
      <c r="AV86" s="32">
        <v>1892</v>
      </c>
      <c r="AW86" s="32">
        <v>1229</v>
      </c>
      <c r="AX86" s="32">
        <v>31</v>
      </c>
      <c r="AY86" s="32">
        <v>0</v>
      </c>
      <c r="AZ86" s="32">
        <v>0</v>
      </c>
      <c r="BA86" s="32">
        <v>294</v>
      </c>
      <c r="BB86" s="32">
        <v>0</v>
      </c>
      <c r="BC86" s="32">
        <v>3212</v>
      </c>
      <c r="BD86" s="34">
        <f>IFERROR(SUM(Entity_Metrics[[#This Row],[Operating surplus/(deficit) (social housing lettings)]])/SUM(Entity_Metrics[[#This Row],[Turnover from social housing lettings]]),"")</f>
        <v>0.2620718697361033</v>
      </c>
      <c r="BE86" s="32">
        <v>3734</v>
      </c>
      <c r="BF86" s="32">
        <v>14248</v>
      </c>
      <c r="BG86" s="34">
        <f>IFERROR(SUM(Entity_Metrics[[#This Row],[Operating surplus/(deficit) (overall)2]],-Entity_Metrics[[#This Row],[Gain/(loss) on disposal of fixed assets (housing properties)2]])/SUM(Entity_Metrics[[#This Row],[Turnover (overall)]]),"")</f>
        <v>0.26378246423001289</v>
      </c>
      <c r="BH86" s="32">
        <v>4645</v>
      </c>
      <c r="BI86" s="32">
        <v>755</v>
      </c>
      <c r="BJ86" s="32">
        <v>14747</v>
      </c>
      <c r="BK86" s="34">
        <f>IFERROR(SUM(Entity_Metrics[[#This Row],[Operating surplus/(deficit) (overall)3]],Entity_Metrics[[#This Row],[Share of operating surplus/(deficit) in joint ventures or associates]])/SUM(Entity_Metrics[[#This Row],[Total assets less current liabilities]]),"")</f>
        <v>6.9622435061528543E-2</v>
      </c>
      <c r="BL86" s="32">
        <v>4645</v>
      </c>
      <c r="BM86" s="32">
        <v>0</v>
      </c>
      <c r="BN86" s="32">
        <v>66717</v>
      </c>
      <c r="BO86" s="34">
        <v>0</v>
      </c>
      <c r="BP86" s="34">
        <v>0.2608695652173913</v>
      </c>
      <c r="BQ86" s="6" t="s">
        <v>93</v>
      </c>
      <c r="BR86" s="6">
        <v>2008</v>
      </c>
      <c r="BS86" s="6" t="s">
        <v>120</v>
      </c>
      <c r="BT86" s="6" t="s">
        <v>95</v>
      </c>
      <c r="BU86" s="8">
        <v>0.92038375847935383</v>
      </c>
      <c r="BV86" s="37" t="s">
        <v>664</v>
      </c>
      <c r="BW86" s="19" t="s">
        <v>326</v>
      </c>
    </row>
    <row r="87" spans="1:75" x14ac:dyDescent="0.25">
      <c r="A87" s="33" t="s">
        <v>916</v>
      </c>
      <c r="B87" s="7" t="s">
        <v>224</v>
      </c>
      <c r="C87" s="7" t="s">
        <v>81</v>
      </c>
      <c r="D8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3.162539048661879E-2</v>
      </c>
      <c r="E87" s="32">
        <v>71900</v>
      </c>
      <c r="F87" s="32">
        <v>0</v>
      </c>
      <c r="G87" s="32">
        <v>18600</v>
      </c>
      <c r="H87" s="32">
        <v>7700</v>
      </c>
      <c r="I87" s="32">
        <v>0</v>
      </c>
      <c r="J87" s="32">
        <v>3105100</v>
      </c>
      <c r="K87" s="32">
        <v>0</v>
      </c>
      <c r="L8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5.7200057200057202E-3</v>
      </c>
      <c r="M87" s="32">
        <v>160</v>
      </c>
      <c r="N87" s="32">
        <v>0</v>
      </c>
      <c r="O87" s="32">
        <v>24764</v>
      </c>
      <c r="P87" s="32">
        <v>3208</v>
      </c>
      <c r="Q8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2.887718702225242E-3</v>
      </c>
      <c r="R87" s="32">
        <v>61</v>
      </c>
      <c r="S87" s="32">
        <v>0</v>
      </c>
      <c r="T87" s="32">
        <v>24</v>
      </c>
      <c r="U87" s="32">
        <v>24764</v>
      </c>
      <c r="V87" s="32">
        <v>1463</v>
      </c>
      <c r="W87" s="32">
        <v>3208</v>
      </c>
      <c r="X87" s="32">
        <v>0</v>
      </c>
      <c r="Y8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0.49280216418150785</v>
      </c>
      <c r="Z87" s="32">
        <v>22900</v>
      </c>
      <c r="AA87" s="32">
        <v>1022900</v>
      </c>
      <c r="AB87" s="32">
        <v>59500</v>
      </c>
      <c r="AC87" s="32">
        <v>543900</v>
      </c>
      <c r="AD87" s="32">
        <v>0</v>
      </c>
      <c r="AE87" s="32">
        <v>3105100</v>
      </c>
      <c r="AF87" s="32">
        <v>0</v>
      </c>
      <c r="AG8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0.41695702671312429</v>
      </c>
      <c r="AH87" s="32">
        <v>77700</v>
      </c>
      <c r="AI87" s="32">
        <v>39000</v>
      </c>
      <c r="AJ87" s="32">
        <v>7600</v>
      </c>
      <c r="AK87" s="32">
        <v>800</v>
      </c>
      <c r="AL87" s="32">
        <v>2300</v>
      </c>
      <c r="AM87" s="32">
        <v>26300</v>
      </c>
      <c r="AN87" s="32">
        <v>29600</v>
      </c>
      <c r="AO87" s="32">
        <v>-7700</v>
      </c>
      <c r="AP87" s="32">
        <v>-78400</v>
      </c>
      <c r="AQ8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7.527197882975595</v>
      </c>
      <c r="AR87" s="32">
        <v>76300</v>
      </c>
      <c r="AS87" s="32">
        <v>27500</v>
      </c>
      <c r="AT87" s="32">
        <v>20300</v>
      </c>
      <c r="AU87" s="32">
        <v>9800</v>
      </c>
      <c r="AV87" s="32">
        <v>0</v>
      </c>
      <c r="AW87" s="32">
        <v>26300</v>
      </c>
      <c r="AX87" s="32">
        <v>44300</v>
      </c>
      <c r="AY87" s="32">
        <v>0</v>
      </c>
      <c r="AZ87" s="32">
        <v>0</v>
      </c>
      <c r="BA87" s="32">
        <v>300</v>
      </c>
      <c r="BB87" s="32">
        <v>0</v>
      </c>
      <c r="BC87" s="32">
        <v>27208</v>
      </c>
      <c r="BD87" s="34">
        <f>IFERROR(SUM(Entity_Metrics[[#This Row],[Operating surplus/(deficit) (social housing lettings)]])/SUM(Entity_Metrics[[#This Row],[Turnover from social housing lettings]]),"")</f>
        <v>0.17751004016064256</v>
      </c>
      <c r="BE87" s="32">
        <v>44200</v>
      </c>
      <c r="BF87" s="32">
        <v>249000</v>
      </c>
      <c r="BG87" s="34">
        <f>IFERROR(SUM(Entity_Metrics[[#This Row],[Operating surplus/(deficit) (overall)2]],-Entity_Metrics[[#This Row],[Gain/(loss) on disposal of fixed assets (housing properties)2]])/SUM(Entity_Metrics[[#This Row],[Turnover (overall)]]),"")</f>
        <v>0.11842105263157894</v>
      </c>
      <c r="BH87" s="32">
        <v>77700</v>
      </c>
      <c r="BI87" s="32">
        <v>39000</v>
      </c>
      <c r="BJ87" s="32">
        <v>326800</v>
      </c>
      <c r="BK87" s="34">
        <f>IFERROR(SUM(Entity_Metrics[[#This Row],[Operating surplus/(deficit) (overall)3]],Entity_Metrics[[#This Row],[Share of operating surplus/(deficit) in joint ventures or associates]])/SUM(Entity_Metrics[[#This Row],[Total assets less current liabilities]]),"")</f>
        <v>2.2846221699500149E-2</v>
      </c>
      <c r="BL87" s="32">
        <v>77700</v>
      </c>
      <c r="BM87" s="32">
        <v>0</v>
      </c>
      <c r="BN87" s="32">
        <v>3401000</v>
      </c>
      <c r="BO87" s="34">
        <v>7.8582122769392623E-2</v>
      </c>
      <c r="BP87" s="34">
        <v>5.3413183344798283E-2</v>
      </c>
      <c r="BQ87" s="6" t="s">
        <v>82</v>
      </c>
      <c r="BR87" s="6" t="s">
        <v>83</v>
      </c>
      <c r="BS87" s="6" t="s">
        <v>83</v>
      </c>
      <c r="BT87" s="6" t="s">
        <v>156</v>
      </c>
      <c r="BU87" s="8">
        <v>1.1843269787653574</v>
      </c>
      <c r="BV87" s="37">
        <v>4655</v>
      </c>
      <c r="BW87" s="19" t="s">
        <v>224</v>
      </c>
    </row>
    <row r="88" spans="1:75" x14ac:dyDescent="0.25">
      <c r="A88" s="33" t="s">
        <v>665</v>
      </c>
      <c r="B88" s="7" t="s">
        <v>226</v>
      </c>
      <c r="C88" s="7" t="s">
        <v>81</v>
      </c>
      <c r="D8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2.0892696913077439E-2</v>
      </c>
      <c r="E88" s="32">
        <v>5857</v>
      </c>
      <c r="F88" s="32">
        <v>0</v>
      </c>
      <c r="G88" s="32">
        <v>15355</v>
      </c>
      <c r="H88" s="32">
        <v>0</v>
      </c>
      <c r="I88" s="32">
        <v>0</v>
      </c>
      <c r="J88" s="32">
        <v>1015283</v>
      </c>
      <c r="K88" s="32">
        <v>0</v>
      </c>
      <c r="L8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3.8645070233214599E-3</v>
      </c>
      <c r="M88" s="32">
        <v>115</v>
      </c>
      <c r="N88" s="32">
        <v>0</v>
      </c>
      <c r="O88" s="32">
        <v>29020</v>
      </c>
      <c r="P88" s="32">
        <v>738</v>
      </c>
      <c r="Q8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8" s="32">
        <v>0</v>
      </c>
      <c r="S88" s="32">
        <v>0</v>
      </c>
      <c r="T88" s="32">
        <v>0</v>
      </c>
      <c r="U88" s="32">
        <v>29020</v>
      </c>
      <c r="V88" s="32">
        <v>70</v>
      </c>
      <c r="W88" s="32">
        <v>738</v>
      </c>
      <c r="X88" s="32">
        <v>246</v>
      </c>
      <c r="Y8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0.59768754130621704</v>
      </c>
      <c r="Z88" s="32">
        <v>11415</v>
      </c>
      <c r="AA88" s="32">
        <v>548414</v>
      </c>
      <c r="AB88" s="32">
        <v>8964</v>
      </c>
      <c r="AC88" s="32">
        <v>55957</v>
      </c>
      <c r="AD88" s="32">
        <v>0</v>
      </c>
      <c r="AE88" s="32">
        <v>1015283</v>
      </c>
      <c r="AF88" s="32">
        <v>0</v>
      </c>
      <c r="AG8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2.1015218341478921</v>
      </c>
      <c r="AH88" s="32">
        <v>39065</v>
      </c>
      <c r="AI88" s="32">
        <v>-59</v>
      </c>
      <c r="AJ88" s="32">
        <v>87</v>
      </c>
      <c r="AK88" s="32">
        <v>0</v>
      </c>
      <c r="AL88" s="32">
        <v>2707</v>
      </c>
      <c r="AM88" s="32">
        <v>15355</v>
      </c>
      <c r="AN88" s="32">
        <v>26500</v>
      </c>
      <c r="AO88" s="32">
        <v>0</v>
      </c>
      <c r="AP88" s="32">
        <v>-25167</v>
      </c>
      <c r="AQ8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2.5841860465116278</v>
      </c>
      <c r="AR88" s="32">
        <v>21644</v>
      </c>
      <c r="AS88" s="32">
        <v>2611</v>
      </c>
      <c r="AT88" s="32">
        <v>23869</v>
      </c>
      <c r="AU88" s="32">
        <v>8267</v>
      </c>
      <c r="AV88" s="32">
        <v>3011</v>
      </c>
      <c r="AW88" s="32">
        <v>15355</v>
      </c>
      <c r="AX88" s="32">
        <v>219</v>
      </c>
      <c r="AY88" s="32">
        <v>0</v>
      </c>
      <c r="AZ88" s="32">
        <v>0</v>
      </c>
      <c r="BA88" s="32">
        <v>30</v>
      </c>
      <c r="BB88" s="32">
        <v>0</v>
      </c>
      <c r="BC88" s="32">
        <v>29025</v>
      </c>
      <c r="BD88" s="34">
        <f>IFERROR(SUM(Entity_Metrics[[#This Row],[Operating surplus/(deficit) (social housing lettings)]])/SUM(Entity_Metrics[[#This Row],[Turnover from social housing lettings]]),"")</f>
        <v>0.30362296391710553</v>
      </c>
      <c r="BE88" s="32">
        <v>37243</v>
      </c>
      <c r="BF88" s="32">
        <v>122662</v>
      </c>
      <c r="BG88" s="34">
        <f>IFERROR(SUM(Entity_Metrics[[#This Row],[Operating surplus/(deficit) (overall)2]],-Entity_Metrics[[#This Row],[Gain/(loss) on disposal of fixed assets (housing properties)2]])/SUM(Entity_Metrics[[#This Row],[Turnover (overall)]]),"")</f>
        <v>0.29338672545799493</v>
      </c>
      <c r="BH88" s="32">
        <v>39065</v>
      </c>
      <c r="BI88" s="32">
        <v>-59</v>
      </c>
      <c r="BJ88" s="32">
        <v>133353</v>
      </c>
      <c r="BK88" s="34">
        <f>IFERROR(SUM(Entity_Metrics[[#This Row],[Operating surplus/(deficit) (overall)3]],Entity_Metrics[[#This Row],[Share of operating surplus/(deficit) in joint ventures or associates]])/SUM(Entity_Metrics[[#This Row],[Total assets less current liabilities]]),"")</f>
        <v>3.4028301023941325E-2</v>
      </c>
      <c r="BL88" s="32">
        <v>39065</v>
      </c>
      <c r="BM88" s="32">
        <v>0</v>
      </c>
      <c r="BN88" s="32">
        <v>1148015</v>
      </c>
      <c r="BO88" s="34">
        <v>4.1006202618883532E-3</v>
      </c>
      <c r="BP88" s="34">
        <v>6.5816678152997932E-3</v>
      </c>
      <c r="BQ88" s="6" t="s">
        <v>93</v>
      </c>
      <c r="BR88" s="6">
        <v>2001</v>
      </c>
      <c r="BS88" s="6" t="s">
        <v>94</v>
      </c>
      <c r="BT88" s="6" t="s">
        <v>121</v>
      </c>
      <c r="BU88" s="8">
        <v>0.9026647648742484</v>
      </c>
      <c r="BV88" s="37" t="s">
        <v>665</v>
      </c>
      <c r="BW88" s="19" t="s">
        <v>226</v>
      </c>
    </row>
    <row r="89" spans="1:75" x14ac:dyDescent="0.25">
      <c r="A89" s="33" t="s">
        <v>227</v>
      </c>
      <c r="B89" s="7" t="s">
        <v>228</v>
      </c>
      <c r="C89" s="7" t="s">
        <v>81</v>
      </c>
      <c r="D8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0.25941243276833736</v>
      </c>
      <c r="E89" s="32">
        <v>7203</v>
      </c>
      <c r="F89" s="32">
        <v>0</v>
      </c>
      <c r="G89" s="32">
        <v>4903</v>
      </c>
      <c r="H89" s="32">
        <v>0</v>
      </c>
      <c r="I89" s="32">
        <v>0</v>
      </c>
      <c r="J89" s="32">
        <v>46667</v>
      </c>
      <c r="K89" s="32">
        <v>0</v>
      </c>
      <c r="L8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4.8278757346767419E-3</v>
      </c>
      <c r="M89" s="32">
        <v>23</v>
      </c>
      <c r="N89" s="32">
        <v>0</v>
      </c>
      <c r="O89" s="32">
        <v>4466</v>
      </c>
      <c r="P89" s="32">
        <v>298</v>
      </c>
      <c r="Q8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89" s="32">
        <v>0</v>
      </c>
      <c r="S89" s="32">
        <v>0</v>
      </c>
      <c r="T89" s="32">
        <v>0</v>
      </c>
      <c r="U89" s="32">
        <v>4466</v>
      </c>
      <c r="V89" s="32">
        <v>0</v>
      </c>
      <c r="W89" s="32">
        <v>298</v>
      </c>
      <c r="X89" s="32">
        <v>0</v>
      </c>
      <c r="Y8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0.39479718002014269</v>
      </c>
      <c r="Z89" s="32">
        <v>0</v>
      </c>
      <c r="AA89" s="32">
        <v>25160</v>
      </c>
      <c r="AB89" s="32">
        <v>6736</v>
      </c>
      <c r="AC89" s="32">
        <v>0</v>
      </c>
      <c r="AD89" s="32">
        <v>0</v>
      </c>
      <c r="AE89" s="32">
        <v>46667</v>
      </c>
      <c r="AF89" s="32">
        <v>0</v>
      </c>
      <c r="AG8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1.2308243727598567</v>
      </c>
      <c r="AH89" s="32">
        <v>7065</v>
      </c>
      <c r="AI89" s="32">
        <v>1990</v>
      </c>
      <c r="AJ89" s="32">
        <v>8</v>
      </c>
      <c r="AK89" s="32">
        <v>0</v>
      </c>
      <c r="AL89" s="32">
        <v>16</v>
      </c>
      <c r="AM89" s="32">
        <v>4903</v>
      </c>
      <c r="AN89" s="32">
        <v>1537</v>
      </c>
      <c r="AO89" s="32">
        <v>-25</v>
      </c>
      <c r="AP89" s="32">
        <v>-1370</v>
      </c>
      <c r="AQ8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4.2997772828507799</v>
      </c>
      <c r="AR89" s="32">
        <v>7525</v>
      </c>
      <c r="AS89" s="32">
        <v>1254</v>
      </c>
      <c r="AT89" s="32">
        <v>3816</v>
      </c>
      <c r="AU89" s="32">
        <v>371</v>
      </c>
      <c r="AV89" s="32">
        <v>189</v>
      </c>
      <c r="AW89" s="32">
        <v>4903</v>
      </c>
      <c r="AX89" s="32">
        <v>384</v>
      </c>
      <c r="AY89" s="32">
        <v>0</v>
      </c>
      <c r="AZ89" s="32">
        <v>653</v>
      </c>
      <c r="BA89" s="32">
        <v>211</v>
      </c>
      <c r="BB89" s="32">
        <v>0</v>
      </c>
      <c r="BC89" s="32">
        <v>4490</v>
      </c>
      <c r="BD89" s="34">
        <f>IFERROR(SUM(Entity_Metrics[[#This Row],[Operating surplus/(deficit) (social housing lettings)]])/SUM(Entity_Metrics[[#This Row],[Turnover from social housing lettings]]),"")</f>
        <v>0.25578244945060458</v>
      </c>
      <c r="BE89" s="32">
        <v>5098</v>
      </c>
      <c r="BF89" s="32">
        <v>19931</v>
      </c>
      <c r="BG89" s="34">
        <f>IFERROR(SUM(Entity_Metrics[[#This Row],[Operating surplus/(deficit) (overall)2]],-Entity_Metrics[[#This Row],[Gain/(loss) on disposal of fixed assets (housing properties)2]])/SUM(Entity_Metrics[[#This Row],[Turnover (overall)]]),"")</f>
        <v>0.23826291079812206</v>
      </c>
      <c r="BH89" s="32">
        <v>7065</v>
      </c>
      <c r="BI89" s="32">
        <v>1990</v>
      </c>
      <c r="BJ89" s="32">
        <v>21300</v>
      </c>
      <c r="BK89" s="34">
        <f>IFERROR(SUM(Entity_Metrics[[#This Row],[Operating surplus/(deficit) (overall)3]],Entity_Metrics[[#This Row],[Share of operating surplus/(deficit) in joint ventures or associates]])/SUM(Entity_Metrics[[#This Row],[Total assets less current liabilities]]),"")</f>
        <v>4.4167015710079333E-2</v>
      </c>
      <c r="BL89" s="32">
        <v>7065</v>
      </c>
      <c r="BM89" s="32">
        <v>0</v>
      </c>
      <c r="BN89" s="32">
        <v>159961</v>
      </c>
      <c r="BO89" s="34">
        <v>2.0270270270270271E-3</v>
      </c>
      <c r="BP89" s="34">
        <v>0.10653153153153153</v>
      </c>
      <c r="BQ89" s="6" t="s">
        <v>93</v>
      </c>
      <c r="BR89" s="6">
        <v>2015</v>
      </c>
      <c r="BS89" s="6" t="s">
        <v>149</v>
      </c>
      <c r="BT89" s="6" t="s">
        <v>115</v>
      </c>
      <c r="BU89" s="8">
        <v>0.96617455710897804</v>
      </c>
      <c r="BV89" s="37">
        <v>4584</v>
      </c>
      <c r="BW89" s="19" t="s">
        <v>228</v>
      </c>
    </row>
    <row r="90" spans="1:75" x14ac:dyDescent="0.25">
      <c r="A90" s="33" t="s">
        <v>917</v>
      </c>
      <c r="B90" s="7" t="s">
        <v>666</v>
      </c>
      <c r="C90" s="7" t="s">
        <v>81</v>
      </c>
      <c r="D9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4.9237714082696789E-2</v>
      </c>
      <c r="E90" s="32">
        <v>383</v>
      </c>
      <c r="F90" s="32">
        <v>1005</v>
      </c>
      <c r="G90" s="32">
        <v>3324</v>
      </c>
      <c r="H90" s="32">
        <v>0</v>
      </c>
      <c r="I90" s="32">
        <v>0</v>
      </c>
      <c r="J90" s="32">
        <v>95699</v>
      </c>
      <c r="K90" s="32">
        <v>0</v>
      </c>
      <c r="L9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1.6245068461359943E-3</v>
      </c>
      <c r="M90" s="32">
        <v>14</v>
      </c>
      <c r="N90" s="32">
        <v>0</v>
      </c>
      <c r="O90" s="32">
        <v>8350</v>
      </c>
      <c r="P90" s="32">
        <v>268</v>
      </c>
      <c r="Q9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0" s="32">
        <v>0</v>
      </c>
      <c r="S90" s="32">
        <v>0</v>
      </c>
      <c r="T90" s="32">
        <v>0</v>
      </c>
      <c r="U90" s="32">
        <v>8350</v>
      </c>
      <c r="V90" s="32">
        <v>0</v>
      </c>
      <c r="W90" s="32">
        <v>268</v>
      </c>
      <c r="X90" s="32">
        <v>0</v>
      </c>
      <c r="Y9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3.5454915934335779E-2</v>
      </c>
      <c r="Z90" s="32">
        <v>51</v>
      </c>
      <c r="AA90" s="32">
        <v>36578</v>
      </c>
      <c r="AB90" s="32">
        <v>33236</v>
      </c>
      <c r="AC90" s="32">
        <v>0</v>
      </c>
      <c r="AD90" s="32">
        <v>0</v>
      </c>
      <c r="AE90" s="32">
        <v>95699</v>
      </c>
      <c r="AF90" s="32">
        <v>0</v>
      </c>
      <c r="AG9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4.7096893491124261</v>
      </c>
      <c r="AH90" s="32">
        <v>12924</v>
      </c>
      <c r="AI90" s="32">
        <v>1162</v>
      </c>
      <c r="AJ90" s="32">
        <v>4</v>
      </c>
      <c r="AK90" s="32">
        <v>0</v>
      </c>
      <c r="AL90" s="32">
        <v>24</v>
      </c>
      <c r="AM90" s="32">
        <v>3324</v>
      </c>
      <c r="AN90" s="32">
        <v>4277</v>
      </c>
      <c r="AO90" s="32">
        <v>0</v>
      </c>
      <c r="AP90" s="32">
        <v>-2704</v>
      </c>
      <c r="AQ9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2.9482512491077801</v>
      </c>
      <c r="AR90" s="32">
        <v>7971</v>
      </c>
      <c r="AS90" s="32">
        <v>1525</v>
      </c>
      <c r="AT90" s="32">
        <v>5041</v>
      </c>
      <c r="AU90" s="32">
        <v>2312</v>
      </c>
      <c r="AV90" s="32">
        <v>2702</v>
      </c>
      <c r="AW90" s="32">
        <v>3324</v>
      </c>
      <c r="AX90" s="32">
        <v>295</v>
      </c>
      <c r="AY90" s="32">
        <v>0</v>
      </c>
      <c r="AZ90" s="32">
        <v>1613</v>
      </c>
      <c r="BA90" s="32">
        <v>0</v>
      </c>
      <c r="BB90" s="32">
        <v>0</v>
      </c>
      <c r="BC90" s="32">
        <v>8406</v>
      </c>
      <c r="BD90" s="34">
        <f>IFERROR(SUM(Entity_Metrics[[#This Row],[Operating surplus/(deficit) (social housing lettings)]])/SUM(Entity_Metrics[[#This Row],[Turnover from social housing lettings]]),"")</f>
        <v>0.32237318336210258</v>
      </c>
      <c r="BE90" s="32">
        <v>11579</v>
      </c>
      <c r="BF90" s="32">
        <v>35918</v>
      </c>
      <c r="BG90" s="34">
        <f>IFERROR(SUM(Entity_Metrics[[#This Row],[Operating surplus/(deficit) (overall)2]],-Entity_Metrics[[#This Row],[Gain/(loss) on disposal of fixed assets (housing properties)2]])/SUM(Entity_Metrics[[#This Row],[Turnover (overall)]]),"")</f>
        <v>0.30903024092903497</v>
      </c>
      <c r="BH90" s="32">
        <v>12924</v>
      </c>
      <c r="BI90" s="32">
        <v>1162</v>
      </c>
      <c r="BJ90" s="32">
        <v>38061</v>
      </c>
      <c r="BK90" s="34">
        <f>IFERROR(SUM(Entity_Metrics[[#This Row],[Operating surplus/(deficit) (overall)3]],Entity_Metrics[[#This Row],[Share of operating surplus/(deficit) in joint ventures or associates]])/SUM(Entity_Metrics[[#This Row],[Total assets less current liabilities]]),"")</f>
        <v>9.5906675769539013E-2</v>
      </c>
      <c r="BL90" s="32">
        <v>12924</v>
      </c>
      <c r="BM90" s="32">
        <v>0</v>
      </c>
      <c r="BN90" s="32">
        <v>134756</v>
      </c>
      <c r="BO90" s="34">
        <v>0</v>
      </c>
      <c r="BP90" s="34">
        <v>0.17077844311377247</v>
      </c>
      <c r="BQ90" s="6" t="s">
        <v>93</v>
      </c>
      <c r="BR90" s="6">
        <v>2010</v>
      </c>
      <c r="BS90" s="6" t="s">
        <v>120</v>
      </c>
      <c r="BT90" s="6" t="s">
        <v>105</v>
      </c>
      <c r="BU90" s="8">
        <v>0.9156653862445665</v>
      </c>
      <c r="BV90" s="37">
        <v>4802</v>
      </c>
      <c r="BW90" s="19" t="s">
        <v>494</v>
      </c>
    </row>
    <row r="91" spans="1:75" x14ac:dyDescent="0.25">
      <c r="A91" s="33" t="s">
        <v>229</v>
      </c>
      <c r="B91" s="7" t="s">
        <v>230</v>
      </c>
      <c r="C91" s="7" t="s">
        <v>81</v>
      </c>
      <c r="D9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5.7716959364184077E-2</v>
      </c>
      <c r="E91" s="32">
        <v>4837</v>
      </c>
      <c r="F91" s="32">
        <v>0</v>
      </c>
      <c r="G91" s="32">
        <v>566</v>
      </c>
      <c r="H91" s="32">
        <v>0</v>
      </c>
      <c r="I91" s="32">
        <v>0</v>
      </c>
      <c r="J91" s="32">
        <v>93612</v>
      </c>
      <c r="K91" s="32">
        <v>0</v>
      </c>
      <c r="L9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4.1058887088060506E-2</v>
      </c>
      <c r="M91" s="32">
        <v>76</v>
      </c>
      <c r="N91" s="32">
        <v>0</v>
      </c>
      <c r="O91" s="32">
        <v>1851</v>
      </c>
      <c r="P91" s="32">
        <v>0</v>
      </c>
      <c r="Q9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1" s="32">
        <v>0</v>
      </c>
      <c r="S91" s="32">
        <v>0</v>
      </c>
      <c r="T91" s="32">
        <v>0</v>
      </c>
      <c r="U91" s="32">
        <v>1851</v>
      </c>
      <c r="V91" s="32">
        <v>0</v>
      </c>
      <c r="W91" s="32">
        <v>0</v>
      </c>
      <c r="X91" s="32">
        <v>0</v>
      </c>
      <c r="Y9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0.43969790197837882</v>
      </c>
      <c r="Z91" s="32">
        <v>1499</v>
      </c>
      <c r="AA91" s="32">
        <v>43479</v>
      </c>
      <c r="AB91" s="32">
        <v>6995</v>
      </c>
      <c r="AC91" s="32">
        <v>3178</v>
      </c>
      <c r="AD91" s="32">
        <v>0</v>
      </c>
      <c r="AE91" s="32">
        <v>93612</v>
      </c>
      <c r="AF91" s="32">
        <v>0</v>
      </c>
      <c r="AG9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2.0221456692913384</v>
      </c>
      <c r="AH91" s="32">
        <v>3923</v>
      </c>
      <c r="AI91" s="32">
        <v>0</v>
      </c>
      <c r="AJ91" s="32">
        <v>193</v>
      </c>
      <c r="AK91" s="32">
        <v>0</v>
      </c>
      <c r="AL91" s="32">
        <v>12</v>
      </c>
      <c r="AM91" s="32">
        <v>566</v>
      </c>
      <c r="AN91" s="32">
        <v>933</v>
      </c>
      <c r="AO91" s="32">
        <v>0</v>
      </c>
      <c r="AP91" s="32">
        <v>-2032</v>
      </c>
      <c r="AQ9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6.0669908157752568</v>
      </c>
      <c r="AR91" s="32">
        <v>4150</v>
      </c>
      <c r="AS91" s="32">
        <v>497</v>
      </c>
      <c r="AT91" s="32">
        <v>712</v>
      </c>
      <c r="AU91" s="32">
        <v>920</v>
      </c>
      <c r="AV91" s="32">
        <v>130</v>
      </c>
      <c r="AW91" s="32">
        <v>566</v>
      </c>
      <c r="AX91" s="32">
        <v>4255</v>
      </c>
      <c r="AY91" s="32">
        <v>0</v>
      </c>
      <c r="AZ91" s="32">
        <v>0</v>
      </c>
      <c r="BA91" s="32">
        <v>0</v>
      </c>
      <c r="BB91" s="32">
        <v>0</v>
      </c>
      <c r="BC91" s="32">
        <v>1851</v>
      </c>
      <c r="BD91" s="34">
        <f>IFERROR(SUM(Entity_Metrics[[#This Row],[Operating surplus/(deficit) (social housing lettings)]])/SUM(Entity_Metrics[[#This Row],[Turnover from social housing lettings]]),"")</f>
        <v>0.22948751991502922</v>
      </c>
      <c r="BE91" s="32">
        <v>3457</v>
      </c>
      <c r="BF91" s="32">
        <v>15064</v>
      </c>
      <c r="BG91" s="34">
        <f>IFERROR(SUM(Entity_Metrics[[#This Row],[Operating surplus/(deficit) (overall)2]],-Entity_Metrics[[#This Row],[Gain/(loss) on disposal of fixed assets (housing properties)2]])/SUM(Entity_Metrics[[#This Row],[Turnover (overall)]]),"")</f>
        <v>0.25160338635197538</v>
      </c>
      <c r="BH91" s="32">
        <v>3923</v>
      </c>
      <c r="BI91" s="32">
        <v>0</v>
      </c>
      <c r="BJ91" s="32">
        <v>15592</v>
      </c>
      <c r="BK91" s="34">
        <f>IFERROR(SUM(Entity_Metrics[[#This Row],[Operating surplus/(deficit) (overall)3]],Entity_Metrics[[#This Row],[Share of operating surplus/(deficit) in joint ventures or associates]])/SUM(Entity_Metrics[[#This Row],[Total assets less current liabilities]]),"")</f>
        <v>3.9931598180023002E-2</v>
      </c>
      <c r="BL91" s="32">
        <v>3923</v>
      </c>
      <c r="BM91" s="32">
        <v>0</v>
      </c>
      <c r="BN91" s="32">
        <v>98243</v>
      </c>
      <c r="BO91" s="34">
        <v>0.95990836197021767</v>
      </c>
      <c r="BP91" s="34">
        <v>0</v>
      </c>
      <c r="BQ91" s="6" t="s">
        <v>82</v>
      </c>
      <c r="BR91" s="6" t="s">
        <v>83</v>
      </c>
      <c r="BS91" s="6" t="s">
        <v>83</v>
      </c>
      <c r="BT91" s="6" t="s">
        <v>87</v>
      </c>
      <c r="BU91" s="8">
        <v>0.98679079734796771</v>
      </c>
      <c r="BV91" s="37">
        <v>4803</v>
      </c>
      <c r="BW91" s="19" t="s">
        <v>230</v>
      </c>
    </row>
    <row r="92" spans="1:75" x14ac:dyDescent="0.25">
      <c r="A92" s="33" t="s">
        <v>667</v>
      </c>
      <c r="B92" s="7" t="s">
        <v>232</v>
      </c>
      <c r="C92" s="7" t="s">
        <v>81</v>
      </c>
      <c r="D9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7.799016385257429E-2</v>
      </c>
      <c r="E92" s="32">
        <v>22394</v>
      </c>
      <c r="F92" s="32">
        <v>0</v>
      </c>
      <c r="G92" s="32">
        <v>5136</v>
      </c>
      <c r="H92" s="32">
        <v>586</v>
      </c>
      <c r="I92" s="32">
        <v>0</v>
      </c>
      <c r="J92" s="32">
        <v>360507</v>
      </c>
      <c r="K92" s="32">
        <v>0</v>
      </c>
      <c r="L9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1.2589664763577807E-2</v>
      </c>
      <c r="M92" s="32">
        <v>86</v>
      </c>
      <c r="N92" s="32">
        <v>0</v>
      </c>
      <c r="O92" s="32">
        <v>6831</v>
      </c>
      <c r="P92" s="32">
        <v>0</v>
      </c>
      <c r="Q9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2.0494803103498754E-3</v>
      </c>
      <c r="R92" s="32">
        <v>0</v>
      </c>
      <c r="S92" s="32">
        <v>0</v>
      </c>
      <c r="T92" s="32">
        <v>14</v>
      </c>
      <c r="U92" s="32">
        <v>6831</v>
      </c>
      <c r="V92" s="32">
        <v>0</v>
      </c>
      <c r="W92" s="32">
        <v>0</v>
      </c>
      <c r="X92" s="32">
        <v>0</v>
      </c>
      <c r="Y9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0.40507673914792225</v>
      </c>
      <c r="Z92" s="32">
        <v>2702</v>
      </c>
      <c r="AA92" s="32">
        <v>212001</v>
      </c>
      <c r="AB92" s="32">
        <v>68670</v>
      </c>
      <c r="AC92" s="32">
        <v>0</v>
      </c>
      <c r="AD92" s="32">
        <v>0</v>
      </c>
      <c r="AE92" s="32">
        <v>360507</v>
      </c>
      <c r="AF92" s="32">
        <v>0</v>
      </c>
      <c r="AG9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3.0016781339150866</v>
      </c>
      <c r="AH92" s="32">
        <v>15083</v>
      </c>
      <c r="AI92" s="32">
        <v>529</v>
      </c>
      <c r="AJ92" s="32">
        <v>387</v>
      </c>
      <c r="AK92" s="32">
        <v>0</v>
      </c>
      <c r="AL92" s="32">
        <v>101</v>
      </c>
      <c r="AM92" s="32">
        <v>5136</v>
      </c>
      <c r="AN92" s="32">
        <v>8755</v>
      </c>
      <c r="AO92" s="32">
        <v>-1060</v>
      </c>
      <c r="AP92" s="32">
        <v>-4899</v>
      </c>
      <c r="AQ9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3.361733274776753</v>
      </c>
      <c r="AR92" s="32">
        <v>6164</v>
      </c>
      <c r="AS92" s="32">
        <v>1931</v>
      </c>
      <c r="AT92" s="32">
        <v>4597</v>
      </c>
      <c r="AU92" s="32">
        <v>1858</v>
      </c>
      <c r="AV92" s="32">
        <v>2448</v>
      </c>
      <c r="AW92" s="32">
        <v>5136</v>
      </c>
      <c r="AX92" s="32">
        <v>0</v>
      </c>
      <c r="AY92" s="32">
        <v>0</v>
      </c>
      <c r="AZ92" s="32">
        <v>0</v>
      </c>
      <c r="BA92" s="32">
        <v>60</v>
      </c>
      <c r="BB92" s="32">
        <v>770</v>
      </c>
      <c r="BC92" s="32">
        <v>6831</v>
      </c>
      <c r="BD92" s="34">
        <f>IFERROR(SUM(Entity_Metrics[[#This Row],[Operating surplus/(deficit) (social housing lettings)]])/SUM(Entity_Metrics[[#This Row],[Turnover from social housing lettings]]),"")</f>
        <v>0.32717905802976022</v>
      </c>
      <c r="BE92" s="32">
        <v>12511</v>
      </c>
      <c r="BF92" s="32">
        <v>38239</v>
      </c>
      <c r="BG92" s="34">
        <f>IFERROR(SUM(Entity_Metrics[[#This Row],[Operating surplus/(deficit) (overall)2]],-Entity_Metrics[[#This Row],[Gain/(loss) on disposal of fixed assets (housing properties)2]])/SUM(Entity_Metrics[[#This Row],[Turnover (overall)]]),"")</f>
        <v>0.31569814103815536</v>
      </c>
      <c r="BH92" s="32">
        <v>15083</v>
      </c>
      <c r="BI92" s="32">
        <v>529</v>
      </c>
      <c r="BJ92" s="32">
        <v>46101</v>
      </c>
      <c r="BK92" s="34">
        <f>IFERROR(SUM(Entity_Metrics[[#This Row],[Operating surplus/(deficit) (overall)3]],Entity_Metrics[[#This Row],[Share of operating surplus/(deficit) in joint ventures or associates]])/SUM(Entity_Metrics[[#This Row],[Total assets less current liabilities]]),"")</f>
        <v>3.3145225443789582E-2</v>
      </c>
      <c r="BL92" s="32">
        <v>15083</v>
      </c>
      <c r="BM92" s="32">
        <v>0</v>
      </c>
      <c r="BN92" s="32">
        <v>455058</v>
      </c>
      <c r="BO92" s="34">
        <v>0</v>
      </c>
      <c r="BP92" s="34">
        <v>0.14306654939900323</v>
      </c>
      <c r="BQ92" s="6" t="s">
        <v>93</v>
      </c>
      <c r="BR92" s="6">
        <v>2004</v>
      </c>
      <c r="BS92" s="6" t="s">
        <v>94</v>
      </c>
      <c r="BT92" s="6" t="s">
        <v>84</v>
      </c>
      <c r="BU92" s="8">
        <v>1.0118524159776632</v>
      </c>
      <c r="BV92" s="37" t="s">
        <v>667</v>
      </c>
      <c r="BW92" s="19" t="s">
        <v>232</v>
      </c>
    </row>
    <row r="93" spans="1:75" x14ac:dyDescent="0.25">
      <c r="A93" s="33" t="s">
        <v>668</v>
      </c>
      <c r="B93" s="7" t="s">
        <v>669</v>
      </c>
      <c r="C93" s="7" t="s">
        <v>81</v>
      </c>
      <c r="D9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3.6063718192967165E-2</v>
      </c>
      <c r="E93" s="32">
        <v>24929</v>
      </c>
      <c r="F93" s="32">
        <v>0</v>
      </c>
      <c r="G93" s="32">
        <v>11676</v>
      </c>
      <c r="H93" s="32">
        <v>800</v>
      </c>
      <c r="I93" s="32">
        <v>0</v>
      </c>
      <c r="J93" s="32">
        <v>1037192</v>
      </c>
      <c r="K93" s="32">
        <v>0</v>
      </c>
      <c r="L9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1.6313906240523986E-2</v>
      </c>
      <c r="M93" s="32">
        <v>269</v>
      </c>
      <c r="N93" s="32">
        <v>0</v>
      </c>
      <c r="O93" s="32">
        <v>15816</v>
      </c>
      <c r="P93" s="32">
        <v>673</v>
      </c>
      <c r="Q9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3" s="32">
        <v>0</v>
      </c>
      <c r="S93" s="32">
        <v>0</v>
      </c>
      <c r="T93" s="32">
        <v>0</v>
      </c>
      <c r="U93" s="32">
        <v>15816</v>
      </c>
      <c r="V93" s="32">
        <v>99</v>
      </c>
      <c r="W93" s="32">
        <v>673</v>
      </c>
      <c r="X93" s="32">
        <v>49</v>
      </c>
      <c r="Y9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0.45835872239662473</v>
      </c>
      <c r="Z93" s="32">
        <v>554</v>
      </c>
      <c r="AA93" s="32">
        <v>72495</v>
      </c>
      <c r="AB93" s="32">
        <v>70558</v>
      </c>
      <c r="AC93" s="32">
        <v>469866</v>
      </c>
      <c r="AD93" s="32">
        <v>3049</v>
      </c>
      <c r="AE93" s="32">
        <v>1037192</v>
      </c>
      <c r="AF93" s="32">
        <v>0</v>
      </c>
      <c r="AG9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1.2294832826747721</v>
      </c>
      <c r="AH93" s="32">
        <v>31458</v>
      </c>
      <c r="AI93" s="32">
        <v>1781</v>
      </c>
      <c r="AJ93" s="32">
        <v>5378</v>
      </c>
      <c r="AK93" s="32">
        <v>0</v>
      </c>
      <c r="AL93" s="32">
        <v>698</v>
      </c>
      <c r="AM93" s="32">
        <v>11676</v>
      </c>
      <c r="AN93" s="32">
        <v>16612</v>
      </c>
      <c r="AO93" s="32">
        <v>-800</v>
      </c>
      <c r="AP93" s="32">
        <v>-23546</v>
      </c>
      <c r="AQ9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3.0521275306097708</v>
      </c>
      <c r="AR93" s="32">
        <v>14231</v>
      </c>
      <c r="AS93" s="32">
        <v>4407</v>
      </c>
      <c r="AT93" s="32">
        <v>7390</v>
      </c>
      <c r="AU93" s="32">
        <v>3017</v>
      </c>
      <c r="AV93" s="32">
        <v>4755</v>
      </c>
      <c r="AW93" s="32">
        <v>11676</v>
      </c>
      <c r="AX93" s="32">
        <v>270</v>
      </c>
      <c r="AY93" s="32">
        <v>0</v>
      </c>
      <c r="AZ93" s="32">
        <v>0</v>
      </c>
      <c r="BA93" s="32">
        <v>780</v>
      </c>
      <c r="BB93" s="32">
        <v>3828</v>
      </c>
      <c r="BC93" s="32">
        <v>16498</v>
      </c>
      <c r="BD93" s="34">
        <f>IFERROR(SUM(Entity_Metrics[[#This Row],[Operating surplus/(deficit) (social housing lettings)]])/SUM(Entity_Metrics[[#This Row],[Turnover from social housing lettings]]),"")</f>
        <v>0.35481103750655291</v>
      </c>
      <c r="BE93" s="32">
        <v>29780</v>
      </c>
      <c r="BF93" s="32">
        <v>83932</v>
      </c>
      <c r="BG93" s="34">
        <f>IFERROR(SUM(Entity_Metrics[[#This Row],[Operating surplus/(deficit) (overall)2]],-Entity_Metrics[[#This Row],[Gain/(loss) on disposal of fixed assets (housing properties)2]])/SUM(Entity_Metrics[[#This Row],[Turnover (overall)]]),"")</f>
        <v>0.31118078201512023</v>
      </c>
      <c r="BH93" s="32">
        <v>31458</v>
      </c>
      <c r="BI93" s="32">
        <v>1781</v>
      </c>
      <c r="BJ93" s="32">
        <v>95369</v>
      </c>
      <c r="BK93" s="34">
        <f>IFERROR(SUM(Entity_Metrics[[#This Row],[Operating surplus/(deficit) (overall)3]],Entity_Metrics[[#This Row],[Share of operating surplus/(deficit) in joint ventures or associates]])/SUM(Entity_Metrics[[#This Row],[Total assets less current liabilities]]),"")</f>
        <v>2.7776502375192046E-2</v>
      </c>
      <c r="BL93" s="32">
        <v>31458</v>
      </c>
      <c r="BM93" s="32">
        <v>0</v>
      </c>
      <c r="BN93" s="32">
        <v>1132540</v>
      </c>
      <c r="BO93" s="34">
        <v>6.99238578680203E-2</v>
      </c>
      <c r="BP93" s="34">
        <v>1.9035532994923859E-2</v>
      </c>
      <c r="BQ93" s="6" t="s">
        <v>82</v>
      </c>
      <c r="BR93" s="6" t="s">
        <v>83</v>
      </c>
      <c r="BS93" s="6" t="s">
        <v>83</v>
      </c>
      <c r="BT93" s="6" t="s">
        <v>105</v>
      </c>
      <c r="BU93" s="8">
        <v>0.92002479174327201</v>
      </c>
      <c r="BV93" s="37" t="s">
        <v>670</v>
      </c>
      <c r="BW93" s="19" t="s">
        <v>234</v>
      </c>
    </row>
    <row r="94" spans="1:75" x14ac:dyDescent="0.25">
      <c r="A94" s="33" t="s">
        <v>235</v>
      </c>
      <c r="B94" s="7" t="s">
        <v>236</v>
      </c>
      <c r="C94" s="7" t="s">
        <v>81</v>
      </c>
      <c r="D9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0.1081854551541029</v>
      </c>
      <c r="E94" s="32">
        <v>8431</v>
      </c>
      <c r="F94" s="32">
        <v>19586</v>
      </c>
      <c r="G94" s="32">
        <v>3840</v>
      </c>
      <c r="H94" s="32">
        <v>1107</v>
      </c>
      <c r="I94" s="32">
        <v>0</v>
      </c>
      <c r="J94" s="32">
        <v>304699</v>
      </c>
      <c r="K94" s="32">
        <v>0</v>
      </c>
      <c r="L9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2.4239426168686618E-2</v>
      </c>
      <c r="M94" s="32">
        <v>196</v>
      </c>
      <c r="N94" s="32">
        <v>0</v>
      </c>
      <c r="O94" s="32">
        <v>8086</v>
      </c>
      <c r="P94" s="32">
        <v>0</v>
      </c>
      <c r="Q9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4" s="32">
        <v>0</v>
      </c>
      <c r="S94" s="32">
        <v>0</v>
      </c>
      <c r="T94" s="32">
        <v>0</v>
      </c>
      <c r="U94" s="32">
        <v>8086</v>
      </c>
      <c r="V94" s="32">
        <v>0</v>
      </c>
      <c r="W94" s="32">
        <v>0</v>
      </c>
      <c r="X94" s="32">
        <v>0</v>
      </c>
      <c r="Y9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0.49450113062399287</v>
      </c>
      <c r="Z94" s="32">
        <v>0</v>
      </c>
      <c r="AA94" s="32">
        <v>156000</v>
      </c>
      <c r="AB94" s="32">
        <v>5326</v>
      </c>
      <c r="AC94" s="32">
        <v>0</v>
      </c>
      <c r="AD94" s="32">
        <v>0</v>
      </c>
      <c r="AE94" s="32">
        <v>304699</v>
      </c>
      <c r="AF94" s="32">
        <v>0</v>
      </c>
      <c r="AG9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2.7429753244900872</v>
      </c>
      <c r="AH94" s="32">
        <v>18384</v>
      </c>
      <c r="AI94" s="32">
        <v>878</v>
      </c>
      <c r="AJ94" s="32">
        <v>40</v>
      </c>
      <c r="AK94" s="32">
        <v>0</v>
      </c>
      <c r="AL94" s="32">
        <v>177</v>
      </c>
      <c r="AM94" s="32">
        <v>3840</v>
      </c>
      <c r="AN94" s="32">
        <v>5428</v>
      </c>
      <c r="AO94" s="32">
        <v>-1107</v>
      </c>
      <c r="AP94" s="32">
        <v>-5904</v>
      </c>
      <c r="AQ9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3.0116250309176356</v>
      </c>
      <c r="AR94" s="32">
        <v>8512</v>
      </c>
      <c r="AS94" s="32">
        <v>1000</v>
      </c>
      <c r="AT94" s="32">
        <v>4554</v>
      </c>
      <c r="AU94" s="32">
        <v>3778</v>
      </c>
      <c r="AV94" s="32">
        <v>2336</v>
      </c>
      <c r="AW94" s="32">
        <v>3840</v>
      </c>
      <c r="AX94" s="32">
        <v>0</v>
      </c>
      <c r="AY94" s="32">
        <v>262</v>
      </c>
      <c r="AZ94" s="32">
        <v>0</v>
      </c>
      <c r="BA94" s="32">
        <v>0</v>
      </c>
      <c r="BB94" s="32">
        <v>70</v>
      </c>
      <c r="BC94" s="32">
        <v>8086</v>
      </c>
      <c r="BD94" s="34">
        <f>IFERROR(SUM(Entity_Metrics[[#This Row],[Operating surplus/(deficit) (social housing lettings)]])/SUM(Entity_Metrics[[#This Row],[Turnover from social housing lettings]]),"")</f>
        <v>0.37467511962884698</v>
      </c>
      <c r="BE94" s="32">
        <v>15425</v>
      </c>
      <c r="BF94" s="32">
        <v>41169</v>
      </c>
      <c r="BG94" s="34">
        <f>IFERROR(SUM(Entity_Metrics[[#This Row],[Operating surplus/(deficit) (overall)2]],-Entity_Metrics[[#This Row],[Gain/(loss) on disposal of fixed assets (housing properties)2]])/SUM(Entity_Metrics[[#This Row],[Turnover (overall)]]),"")</f>
        <v>0.37174831708819095</v>
      </c>
      <c r="BH94" s="32">
        <v>18384</v>
      </c>
      <c r="BI94" s="32">
        <v>878</v>
      </c>
      <c r="BJ94" s="32">
        <v>47091</v>
      </c>
      <c r="BK94" s="34">
        <f>IFERROR(SUM(Entity_Metrics[[#This Row],[Operating surplus/(deficit) (overall)3]],Entity_Metrics[[#This Row],[Share of operating surplus/(deficit) in joint ventures or associates]])/SUM(Entity_Metrics[[#This Row],[Total assets less current liabilities]]),"")</f>
        <v>5.2223563667353173E-2</v>
      </c>
      <c r="BL94" s="32">
        <v>18384</v>
      </c>
      <c r="BM94" s="32">
        <v>0</v>
      </c>
      <c r="BN94" s="32">
        <v>352025</v>
      </c>
      <c r="BO94" s="34">
        <v>0</v>
      </c>
      <c r="BP94" s="34">
        <v>5.0333910462527824E-2</v>
      </c>
      <c r="BQ94" s="6" t="s">
        <v>93</v>
      </c>
      <c r="BR94" s="6">
        <v>2007</v>
      </c>
      <c r="BS94" s="6" t="s">
        <v>120</v>
      </c>
      <c r="BT94" s="6" t="s">
        <v>100</v>
      </c>
      <c r="BU94" s="8">
        <v>1.0022399874355168</v>
      </c>
      <c r="BV94" s="37" t="s">
        <v>235</v>
      </c>
      <c r="BW94" s="19" t="s">
        <v>236</v>
      </c>
    </row>
    <row r="95" spans="1:75" x14ac:dyDescent="0.25">
      <c r="A95" s="33" t="s">
        <v>918</v>
      </c>
      <c r="B95" s="7" t="s">
        <v>238</v>
      </c>
      <c r="C95" s="7" t="s">
        <v>81</v>
      </c>
      <c r="D9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0.13451155043300891</v>
      </c>
      <c r="E95" s="32">
        <v>13500</v>
      </c>
      <c r="F95" s="32">
        <v>22206</v>
      </c>
      <c r="G95" s="32">
        <v>1951</v>
      </c>
      <c r="H95" s="32">
        <v>459</v>
      </c>
      <c r="I95" s="32">
        <v>0</v>
      </c>
      <c r="J95" s="32">
        <v>283366</v>
      </c>
      <c r="K95" s="32">
        <v>0</v>
      </c>
      <c r="L9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5.1072522982635343E-2</v>
      </c>
      <c r="M95" s="32">
        <v>187</v>
      </c>
      <c r="N95" s="32">
        <v>13</v>
      </c>
      <c r="O95" s="32">
        <v>3765</v>
      </c>
      <c r="P95" s="32">
        <v>151</v>
      </c>
      <c r="Q9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5" s="32">
        <v>0</v>
      </c>
      <c r="S95" s="32">
        <v>0</v>
      </c>
      <c r="T95" s="32">
        <v>0</v>
      </c>
      <c r="U95" s="32">
        <v>3765</v>
      </c>
      <c r="V95" s="32">
        <v>39</v>
      </c>
      <c r="W95" s="32">
        <v>151</v>
      </c>
      <c r="X95" s="32">
        <v>0</v>
      </c>
      <c r="Y9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0.38509207173761145</v>
      </c>
      <c r="Z95" s="32">
        <v>1782</v>
      </c>
      <c r="AA95" s="32">
        <v>162959</v>
      </c>
      <c r="AB95" s="32">
        <v>55619</v>
      </c>
      <c r="AC95" s="32">
        <v>0</v>
      </c>
      <c r="AD95" s="32">
        <v>0</v>
      </c>
      <c r="AE95" s="32">
        <v>283366</v>
      </c>
      <c r="AF95" s="32">
        <v>0</v>
      </c>
      <c r="AG9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2.2132397803538741</v>
      </c>
      <c r="AH95" s="32">
        <v>13015</v>
      </c>
      <c r="AI95" s="32">
        <v>505</v>
      </c>
      <c r="AJ95" s="32">
        <v>30</v>
      </c>
      <c r="AK95" s="32">
        <v>0</v>
      </c>
      <c r="AL95" s="32">
        <v>154</v>
      </c>
      <c r="AM95" s="32">
        <v>1951</v>
      </c>
      <c r="AN95" s="32">
        <v>3827</v>
      </c>
      <c r="AO95" s="32">
        <v>-506</v>
      </c>
      <c r="AP95" s="32">
        <v>-6050</v>
      </c>
      <c r="AQ9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2.6456946039035589</v>
      </c>
      <c r="AR95" s="32">
        <v>3985</v>
      </c>
      <c r="AS95" s="32">
        <v>1517</v>
      </c>
      <c r="AT95" s="32">
        <v>1989</v>
      </c>
      <c r="AU95" s="32">
        <v>1685</v>
      </c>
      <c r="AV95" s="32">
        <v>0</v>
      </c>
      <c r="AW95" s="32">
        <v>1951</v>
      </c>
      <c r="AX95" s="32">
        <v>0</v>
      </c>
      <c r="AY95" s="32">
        <v>0</v>
      </c>
      <c r="AZ95" s="32">
        <v>0</v>
      </c>
      <c r="BA95" s="32">
        <v>386</v>
      </c>
      <c r="BB95" s="32">
        <v>9</v>
      </c>
      <c r="BC95" s="32">
        <v>4355</v>
      </c>
      <c r="BD95" s="34">
        <f>IFERROR(SUM(Entity_Metrics[[#This Row],[Operating surplus/(deficit) (social housing lettings)]])/SUM(Entity_Metrics[[#This Row],[Turnover from social housing lettings]]),"")</f>
        <v>0.48632698861275042</v>
      </c>
      <c r="BE95" s="32">
        <v>11702</v>
      </c>
      <c r="BF95" s="32">
        <v>24062</v>
      </c>
      <c r="BG95" s="34">
        <f>IFERROR(SUM(Entity_Metrics[[#This Row],[Operating surplus/(deficit) (overall)2]],-Entity_Metrics[[#This Row],[Gain/(loss) on disposal of fixed assets (housing properties)2]])/SUM(Entity_Metrics[[#This Row],[Turnover (overall)]]),"")</f>
        <v>0.40993544581708558</v>
      </c>
      <c r="BH95" s="32">
        <v>13015</v>
      </c>
      <c r="BI95" s="32">
        <v>505</v>
      </c>
      <c r="BJ95" s="32">
        <v>30517</v>
      </c>
      <c r="BK95" s="34">
        <f>IFERROR(SUM(Entity_Metrics[[#This Row],[Operating surplus/(deficit) (overall)3]],Entity_Metrics[[#This Row],[Share of operating surplus/(deficit) in joint ventures or associates]])/SUM(Entity_Metrics[[#This Row],[Total assets less current liabilities]]),"")</f>
        <v>3.7932662601862968E-2</v>
      </c>
      <c r="BL95" s="32">
        <v>13015</v>
      </c>
      <c r="BM95" s="32">
        <v>0</v>
      </c>
      <c r="BN95" s="32">
        <v>343108</v>
      </c>
      <c r="BO95" s="34">
        <v>5.7758850146393398E-2</v>
      </c>
      <c r="BP95" s="34">
        <v>0.14319936119244078</v>
      </c>
      <c r="BQ95" s="6" t="s">
        <v>82</v>
      </c>
      <c r="BR95" s="6" t="s">
        <v>83</v>
      </c>
      <c r="BS95" s="6" t="s">
        <v>83</v>
      </c>
      <c r="BT95" s="6" t="s">
        <v>84</v>
      </c>
      <c r="BU95" s="8">
        <v>1.0007034682580507</v>
      </c>
      <c r="BV95" s="37">
        <v>4833</v>
      </c>
      <c r="BW95" s="19" t="s">
        <v>238</v>
      </c>
    </row>
    <row r="96" spans="1:75" x14ac:dyDescent="0.25">
      <c r="A96" s="33" t="s">
        <v>671</v>
      </c>
      <c r="B96" s="7" t="s">
        <v>672</v>
      </c>
      <c r="C96" s="7" t="s">
        <v>81</v>
      </c>
      <c r="D9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3.9202072262130475E-2</v>
      </c>
      <c r="E96" s="32">
        <v>0</v>
      </c>
      <c r="F96" s="32">
        <v>0</v>
      </c>
      <c r="G96" s="32">
        <v>1468</v>
      </c>
      <c r="H96" s="32">
        <v>0</v>
      </c>
      <c r="I96" s="32">
        <v>0</v>
      </c>
      <c r="J96" s="32">
        <v>37447</v>
      </c>
      <c r="K96" s="32">
        <v>0</v>
      </c>
      <c r="L9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96" s="32">
        <v>0</v>
      </c>
      <c r="N96" s="32">
        <v>0</v>
      </c>
      <c r="O96" s="32">
        <v>840</v>
      </c>
      <c r="P96" s="32">
        <v>0</v>
      </c>
      <c r="Q9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6" s="32">
        <v>0</v>
      </c>
      <c r="S96" s="32">
        <v>0</v>
      </c>
      <c r="T96" s="32">
        <v>0</v>
      </c>
      <c r="U96" s="32">
        <v>840</v>
      </c>
      <c r="V96" s="32">
        <v>15</v>
      </c>
      <c r="W96" s="32">
        <v>0</v>
      </c>
      <c r="X96" s="32">
        <v>0</v>
      </c>
      <c r="Y9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-8.5801265788981756E-2</v>
      </c>
      <c r="Z96" s="32">
        <v>15</v>
      </c>
      <c r="AA96" s="32">
        <v>1834</v>
      </c>
      <c r="AB96" s="32">
        <v>5062</v>
      </c>
      <c r="AC96" s="32">
        <v>0</v>
      </c>
      <c r="AD96" s="32">
        <v>0</v>
      </c>
      <c r="AE96" s="32">
        <v>37447</v>
      </c>
      <c r="AF96" s="32">
        <v>0</v>
      </c>
      <c r="AG9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-15.85</v>
      </c>
      <c r="AH96" s="32">
        <v>-3531</v>
      </c>
      <c r="AI96" s="32">
        <v>-374</v>
      </c>
      <c r="AJ96" s="32">
        <v>263</v>
      </c>
      <c r="AK96" s="32">
        <v>0</v>
      </c>
      <c r="AL96" s="32">
        <v>10</v>
      </c>
      <c r="AM96" s="32">
        <v>1468</v>
      </c>
      <c r="AN96" s="32">
        <v>1074</v>
      </c>
      <c r="AO96" s="32">
        <v>0</v>
      </c>
      <c r="AP96" s="32">
        <v>-240</v>
      </c>
      <c r="AQ9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9.5345238095238098</v>
      </c>
      <c r="AR96" s="32">
        <v>27</v>
      </c>
      <c r="AS96" s="32">
        <v>5347</v>
      </c>
      <c r="AT96" s="32">
        <v>738</v>
      </c>
      <c r="AU96" s="32">
        <v>313</v>
      </c>
      <c r="AV96" s="32">
        <v>0</v>
      </c>
      <c r="AW96" s="32">
        <v>1468</v>
      </c>
      <c r="AX96" s="32">
        <v>116</v>
      </c>
      <c r="AY96" s="32">
        <v>0</v>
      </c>
      <c r="AZ96" s="32">
        <v>0</v>
      </c>
      <c r="BA96" s="32">
        <v>0</v>
      </c>
      <c r="BB96" s="32">
        <v>0</v>
      </c>
      <c r="BC96" s="32">
        <v>840</v>
      </c>
      <c r="BD96" s="34">
        <f>IFERROR(SUM(Entity_Metrics[[#This Row],[Operating surplus/(deficit) (social housing lettings)]])/SUM(Entity_Metrics[[#This Row],[Turnover from social housing lettings]]),"")</f>
        <v>-0.28619528619528617</v>
      </c>
      <c r="BE96" s="32">
        <v>-1955</v>
      </c>
      <c r="BF96" s="32">
        <v>6831</v>
      </c>
      <c r="BG96" s="34">
        <f>IFERROR(SUM(Entity_Metrics[[#This Row],[Operating surplus/(deficit) (overall)2]],-Entity_Metrics[[#This Row],[Gain/(loss) on disposal of fixed assets (housing properties)2]])/SUM(Entity_Metrics[[#This Row],[Turnover (overall)]]),"")</f>
        <v>-0.18180247624532106</v>
      </c>
      <c r="BH96" s="32">
        <v>-3531</v>
      </c>
      <c r="BI96" s="32">
        <v>-374</v>
      </c>
      <c r="BJ96" s="32">
        <v>17365</v>
      </c>
      <c r="BK96" s="34">
        <f>IFERROR(SUM(Entity_Metrics[[#This Row],[Operating surplus/(deficit) (overall)3]],Entity_Metrics[[#This Row],[Share of operating surplus/(deficit) in joint ventures or associates]])/SUM(Entity_Metrics[[#This Row],[Total assets less current liabilities]]),"")</f>
        <v>-9.0743215460526314E-2</v>
      </c>
      <c r="BL96" s="32">
        <v>-3531</v>
      </c>
      <c r="BM96" s="32">
        <v>0</v>
      </c>
      <c r="BN96" s="32">
        <v>38912</v>
      </c>
      <c r="BO96" s="34">
        <v>0.16666666666666666</v>
      </c>
      <c r="BP96" s="34">
        <v>0.67261904761904767</v>
      </c>
      <c r="BQ96" s="6" t="s">
        <v>82</v>
      </c>
      <c r="BR96" s="6" t="s">
        <v>83</v>
      </c>
      <c r="BS96" s="6" t="s">
        <v>83</v>
      </c>
      <c r="BT96" s="6" t="s">
        <v>115</v>
      </c>
      <c r="BU96" s="8">
        <v>0.96617455710897804</v>
      </c>
      <c r="BV96" s="37">
        <v>4729</v>
      </c>
      <c r="BW96" s="19" t="s">
        <v>472</v>
      </c>
    </row>
    <row r="97" spans="1:75" x14ac:dyDescent="0.25">
      <c r="A97" s="33" t="s">
        <v>673</v>
      </c>
      <c r="B97" s="7" t="s">
        <v>674</v>
      </c>
      <c r="C97" s="7" t="s">
        <v>81</v>
      </c>
      <c r="D9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7.8416728902165802E-3</v>
      </c>
      <c r="E97" s="32">
        <v>0</v>
      </c>
      <c r="F97" s="32">
        <v>0</v>
      </c>
      <c r="G97" s="32">
        <v>168</v>
      </c>
      <c r="H97" s="32">
        <v>0</v>
      </c>
      <c r="I97" s="32">
        <v>0</v>
      </c>
      <c r="J97" s="32">
        <v>21424</v>
      </c>
      <c r="K97" s="32">
        <v>0</v>
      </c>
      <c r="L9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97" s="32">
        <v>0</v>
      </c>
      <c r="N97" s="32">
        <v>0</v>
      </c>
      <c r="O97" s="32">
        <v>589</v>
      </c>
      <c r="P97" s="32">
        <v>166</v>
      </c>
      <c r="Q9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7" s="32">
        <v>0</v>
      </c>
      <c r="S97" s="32">
        <v>0</v>
      </c>
      <c r="T97" s="32">
        <v>0</v>
      </c>
      <c r="U97" s="32">
        <v>589</v>
      </c>
      <c r="V97" s="32">
        <v>0</v>
      </c>
      <c r="W97" s="32">
        <v>166</v>
      </c>
      <c r="X97" s="32">
        <v>0</v>
      </c>
      <c r="Y9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-0.18693988050784166</v>
      </c>
      <c r="Z97" s="32">
        <v>463</v>
      </c>
      <c r="AA97" s="32">
        <v>2312</v>
      </c>
      <c r="AB97" s="32">
        <v>6780</v>
      </c>
      <c r="AC97" s="32">
        <v>0</v>
      </c>
      <c r="AD97" s="32">
        <v>0</v>
      </c>
      <c r="AE97" s="32">
        <v>21424</v>
      </c>
      <c r="AF97" s="32">
        <v>0</v>
      </c>
      <c r="AG9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9.516556291390728</v>
      </c>
      <c r="AH97" s="32">
        <v>1224</v>
      </c>
      <c r="AI97" s="32">
        <v>0</v>
      </c>
      <c r="AJ97" s="32">
        <v>166</v>
      </c>
      <c r="AK97" s="32">
        <v>0</v>
      </c>
      <c r="AL97" s="32">
        <v>2</v>
      </c>
      <c r="AM97" s="32">
        <v>168</v>
      </c>
      <c r="AN97" s="32">
        <v>545</v>
      </c>
      <c r="AO97" s="32">
        <v>0</v>
      </c>
      <c r="AP97" s="32">
        <v>-151</v>
      </c>
      <c r="AQ9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3.4142614601018675</v>
      </c>
      <c r="AR97" s="32">
        <v>742</v>
      </c>
      <c r="AS97" s="32">
        <v>467</v>
      </c>
      <c r="AT97" s="32">
        <v>376</v>
      </c>
      <c r="AU97" s="32">
        <v>0</v>
      </c>
      <c r="AV97" s="32">
        <v>125</v>
      </c>
      <c r="AW97" s="32">
        <v>168</v>
      </c>
      <c r="AX97" s="32">
        <v>0</v>
      </c>
      <c r="AY97" s="32">
        <v>0</v>
      </c>
      <c r="AZ97" s="32">
        <v>0</v>
      </c>
      <c r="BA97" s="32">
        <v>0</v>
      </c>
      <c r="BB97" s="32">
        <v>133</v>
      </c>
      <c r="BC97" s="32">
        <v>589</v>
      </c>
      <c r="BD97" s="34">
        <f>IFERROR(SUM(Entity_Metrics[[#This Row],[Operating surplus/(deficit) (social housing lettings)]])/SUM(Entity_Metrics[[#This Row],[Turnover from social housing lettings]]),"")</f>
        <v>0.32677400119260586</v>
      </c>
      <c r="BE97" s="32">
        <v>1096</v>
      </c>
      <c r="BF97" s="32">
        <v>3354</v>
      </c>
      <c r="BG97" s="34">
        <f>IFERROR(SUM(Entity_Metrics[[#This Row],[Operating surplus/(deficit) (overall)2]],-Entity_Metrics[[#This Row],[Gain/(loss) on disposal of fixed assets (housing properties)2]])/SUM(Entity_Metrics[[#This Row],[Turnover (overall)]]),"")</f>
        <v>0.28471737613398462</v>
      </c>
      <c r="BH97" s="32">
        <v>1224</v>
      </c>
      <c r="BI97" s="32">
        <v>0</v>
      </c>
      <c r="BJ97" s="32">
        <v>4299</v>
      </c>
      <c r="BK97" s="34">
        <f>IFERROR(SUM(Entity_Metrics[[#This Row],[Operating surplus/(deficit) (overall)3]],Entity_Metrics[[#This Row],[Share of operating surplus/(deficit) in joint ventures or associates]])/SUM(Entity_Metrics[[#This Row],[Total assets less current liabilities]]),"")</f>
        <v>6.3380281690140844E-2</v>
      </c>
      <c r="BL97" s="32">
        <v>1224</v>
      </c>
      <c r="BM97" s="32">
        <v>0</v>
      </c>
      <c r="BN97" s="32">
        <v>19312</v>
      </c>
      <c r="BO97" s="34">
        <v>1.0186757215619695E-2</v>
      </c>
      <c r="BP97" s="34">
        <v>0.5585738539898133</v>
      </c>
      <c r="BQ97" s="6" t="s">
        <v>82</v>
      </c>
      <c r="BR97" s="6" t="s">
        <v>83</v>
      </c>
      <c r="BS97" s="6" t="s">
        <v>83</v>
      </c>
      <c r="BT97" s="6" t="s">
        <v>115</v>
      </c>
      <c r="BU97" s="8">
        <v>0.96617455710897804</v>
      </c>
      <c r="BV97" s="37">
        <v>4729</v>
      </c>
      <c r="BW97" s="19" t="s">
        <v>472</v>
      </c>
    </row>
    <row r="98" spans="1:75" x14ac:dyDescent="0.25">
      <c r="A98" s="33" t="s">
        <v>241</v>
      </c>
      <c r="B98" s="7" t="s">
        <v>242</v>
      </c>
      <c r="C98" s="7" t="s">
        <v>81</v>
      </c>
      <c r="D9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1.4914107103958013E-2</v>
      </c>
      <c r="E98" s="32">
        <v>1742</v>
      </c>
      <c r="F98" s="32">
        <v>0</v>
      </c>
      <c r="G98" s="32">
        <v>1202</v>
      </c>
      <c r="H98" s="32">
        <v>0</v>
      </c>
      <c r="I98" s="32">
        <v>0</v>
      </c>
      <c r="J98" s="32">
        <v>197397</v>
      </c>
      <c r="K98" s="32">
        <v>0</v>
      </c>
      <c r="L9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98" s="32">
        <v>0</v>
      </c>
      <c r="N98" s="32">
        <v>0</v>
      </c>
      <c r="O98" s="32">
        <v>3324</v>
      </c>
      <c r="P98" s="32">
        <v>0</v>
      </c>
      <c r="Q9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8" s="32">
        <v>0</v>
      </c>
      <c r="S98" s="32">
        <v>0</v>
      </c>
      <c r="T98" s="32">
        <v>0</v>
      </c>
      <c r="U98" s="32">
        <v>3324</v>
      </c>
      <c r="V98" s="32">
        <v>12</v>
      </c>
      <c r="W98" s="32">
        <v>0</v>
      </c>
      <c r="X98" s="32">
        <v>0</v>
      </c>
      <c r="Y9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0.20266265444763598</v>
      </c>
      <c r="Z98" s="32">
        <v>2394</v>
      </c>
      <c r="AA98" s="32">
        <v>43278</v>
      </c>
      <c r="AB98" s="32">
        <v>5667</v>
      </c>
      <c r="AC98" s="32">
        <v>0</v>
      </c>
      <c r="AD98" s="32">
        <v>0</v>
      </c>
      <c r="AE98" s="32">
        <v>197397</v>
      </c>
      <c r="AF98" s="32">
        <v>0</v>
      </c>
      <c r="AG9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2.3511367737278959</v>
      </c>
      <c r="AH98" s="32">
        <v>5086</v>
      </c>
      <c r="AI98" s="32">
        <v>0</v>
      </c>
      <c r="AJ98" s="32">
        <v>1336</v>
      </c>
      <c r="AK98" s="32">
        <v>0</v>
      </c>
      <c r="AL98" s="32">
        <v>3</v>
      </c>
      <c r="AM98" s="32">
        <v>1202</v>
      </c>
      <c r="AN98" s="32">
        <v>3964</v>
      </c>
      <c r="AO98" s="32">
        <v>-49</v>
      </c>
      <c r="AP98" s="32">
        <v>-2722</v>
      </c>
      <c r="AQ9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4.2442839951865219</v>
      </c>
      <c r="AR98" s="32">
        <v>3969</v>
      </c>
      <c r="AS98" s="32">
        <v>3370</v>
      </c>
      <c r="AT98" s="32">
        <v>3052</v>
      </c>
      <c r="AU98" s="32">
        <v>1765</v>
      </c>
      <c r="AV98" s="32">
        <v>587</v>
      </c>
      <c r="AW98" s="32">
        <v>1202</v>
      </c>
      <c r="AX98" s="32">
        <v>163</v>
      </c>
      <c r="AY98" s="32">
        <v>0</v>
      </c>
      <c r="AZ98" s="32">
        <v>0</v>
      </c>
      <c r="BA98" s="32">
        <v>0</v>
      </c>
      <c r="BB98" s="32">
        <v>0</v>
      </c>
      <c r="BC98" s="32">
        <v>3324</v>
      </c>
      <c r="BD98" s="34">
        <f>IFERROR(SUM(Entity_Metrics[[#This Row],[Operating surplus/(deficit) (social housing lettings)]])/SUM(Entity_Metrics[[#This Row],[Turnover from social housing lettings]]),"")</f>
        <v>0.22944756554307116</v>
      </c>
      <c r="BE98" s="32">
        <v>4901</v>
      </c>
      <c r="BF98" s="32">
        <v>21360</v>
      </c>
      <c r="BG98" s="34">
        <f>IFERROR(SUM(Entity_Metrics[[#This Row],[Operating surplus/(deficit) (overall)2]],-Entity_Metrics[[#This Row],[Gain/(loss) on disposal of fixed assets (housing properties)2]])/SUM(Entity_Metrics[[#This Row],[Turnover (overall)]]),"")</f>
        <v>0.2233738855461373</v>
      </c>
      <c r="BH98" s="32">
        <v>5086</v>
      </c>
      <c r="BI98" s="32">
        <v>0</v>
      </c>
      <c r="BJ98" s="32">
        <v>22769</v>
      </c>
      <c r="BK98" s="34">
        <f>IFERROR(SUM(Entity_Metrics[[#This Row],[Operating surplus/(deficit) (overall)3]],Entity_Metrics[[#This Row],[Share of operating surplus/(deficit) in joint ventures or associates]])/SUM(Entity_Metrics[[#This Row],[Total assets less current liabilities]]),"")</f>
        <v>2.5102909094498683E-2</v>
      </c>
      <c r="BL98" s="32">
        <v>5086</v>
      </c>
      <c r="BM98" s="32">
        <v>0</v>
      </c>
      <c r="BN98" s="32">
        <v>202606</v>
      </c>
      <c r="BO98" s="34">
        <v>0.38585109669447021</v>
      </c>
      <c r="BP98" s="34">
        <v>7.4451652764905771E-2</v>
      </c>
      <c r="BQ98" s="6" t="s">
        <v>82</v>
      </c>
      <c r="BR98" s="6" t="s">
        <v>83</v>
      </c>
      <c r="BS98" s="6" t="s">
        <v>83</v>
      </c>
      <c r="BT98" s="6" t="s">
        <v>87</v>
      </c>
      <c r="BU98" s="8">
        <v>1.043656454945292</v>
      </c>
      <c r="BV98" s="37" t="s">
        <v>241</v>
      </c>
      <c r="BW98" s="19" t="s">
        <v>242</v>
      </c>
    </row>
    <row r="99" spans="1:75" x14ac:dyDescent="0.25">
      <c r="A99" s="33" t="s">
        <v>675</v>
      </c>
      <c r="B99" s="7" t="s">
        <v>244</v>
      </c>
      <c r="C99" s="7" t="s">
        <v>81</v>
      </c>
      <c r="D9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0.12322697325926883</v>
      </c>
      <c r="E99" s="32">
        <v>13655</v>
      </c>
      <c r="F99" s="32">
        <v>0</v>
      </c>
      <c r="G99" s="32">
        <v>4830</v>
      </c>
      <c r="H99" s="32">
        <v>593</v>
      </c>
      <c r="I99" s="32">
        <v>0</v>
      </c>
      <c r="J99" s="32">
        <v>154820</v>
      </c>
      <c r="K99" s="32">
        <v>0</v>
      </c>
      <c r="L9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3.1804628709356811E-2</v>
      </c>
      <c r="M99" s="32">
        <v>224</v>
      </c>
      <c r="N99" s="32">
        <v>0</v>
      </c>
      <c r="O99" s="32">
        <v>7043</v>
      </c>
      <c r="P99" s="32">
        <v>0</v>
      </c>
      <c r="Q9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99" s="32">
        <v>0</v>
      </c>
      <c r="S99" s="32">
        <v>0</v>
      </c>
      <c r="T99" s="32">
        <v>0</v>
      </c>
      <c r="U99" s="32">
        <v>7043</v>
      </c>
      <c r="V99" s="32">
        <v>10</v>
      </c>
      <c r="W99" s="32">
        <v>0</v>
      </c>
      <c r="X99" s="32">
        <v>0</v>
      </c>
      <c r="Y9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0.77185118201782721</v>
      </c>
      <c r="Z99" s="32">
        <v>0</v>
      </c>
      <c r="AA99" s="32">
        <v>120952</v>
      </c>
      <c r="AB99" s="32">
        <v>1454</v>
      </c>
      <c r="AC99" s="32">
        <v>0</v>
      </c>
      <c r="AD99" s="32">
        <v>0</v>
      </c>
      <c r="AE99" s="32">
        <v>154820</v>
      </c>
      <c r="AF99" s="32">
        <v>0</v>
      </c>
      <c r="AG9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1.5914975227744925</v>
      </c>
      <c r="AH99" s="32">
        <v>11349</v>
      </c>
      <c r="AI99" s="32">
        <v>1444</v>
      </c>
      <c r="AJ99" s="32">
        <v>216</v>
      </c>
      <c r="AK99" s="32">
        <v>0</v>
      </c>
      <c r="AL99" s="32">
        <v>568</v>
      </c>
      <c r="AM99" s="32">
        <v>4830</v>
      </c>
      <c r="AN99" s="32">
        <v>4531</v>
      </c>
      <c r="AO99" s="32">
        <v>-703</v>
      </c>
      <c r="AP99" s="32">
        <v>-5554</v>
      </c>
      <c r="AQ9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3.3162077774623899</v>
      </c>
      <c r="AR99" s="32">
        <v>7658</v>
      </c>
      <c r="AS99" s="32">
        <v>1547</v>
      </c>
      <c r="AT99" s="32">
        <v>5577</v>
      </c>
      <c r="AU99" s="32">
        <v>854</v>
      </c>
      <c r="AV99" s="32">
        <v>2452</v>
      </c>
      <c r="AW99" s="32">
        <v>4830</v>
      </c>
      <c r="AX99" s="32">
        <v>448</v>
      </c>
      <c r="AY99" s="32">
        <v>0</v>
      </c>
      <c r="AZ99" s="32">
        <v>0</v>
      </c>
      <c r="BA99" s="32">
        <v>0</v>
      </c>
      <c r="BB99" s="32">
        <v>0</v>
      </c>
      <c r="BC99" s="32">
        <v>7046</v>
      </c>
      <c r="BD99" s="34">
        <f>IFERROR(SUM(Entity_Metrics[[#This Row],[Operating surplus/(deficit) (social housing lettings)]])/SUM(Entity_Metrics[[#This Row],[Turnover from social housing lettings]]),"")</f>
        <v>0.29730139478471801</v>
      </c>
      <c r="BE99" s="32">
        <v>9805</v>
      </c>
      <c r="BF99" s="32">
        <v>32980</v>
      </c>
      <c r="BG99" s="34">
        <f>IFERROR(SUM(Entity_Metrics[[#This Row],[Operating surplus/(deficit) (overall)2]],-Entity_Metrics[[#This Row],[Gain/(loss) on disposal of fixed assets (housing properties)2]])/SUM(Entity_Metrics[[#This Row],[Turnover (overall)]]),"")</f>
        <v>0.28698499159761254</v>
      </c>
      <c r="BH99" s="32">
        <v>11349</v>
      </c>
      <c r="BI99" s="32">
        <v>1444</v>
      </c>
      <c r="BJ99" s="32">
        <v>34514</v>
      </c>
      <c r="BK99" s="34">
        <f>IFERROR(SUM(Entity_Metrics[[#This Row],[Operating surplus/(deficit) (overall)3]],Entity_Metrics[[#This Row],[Share of operating surplus/(deficit) in joint ventures or associates]])/SUM(Entity_Metrics[[#This Row],[Total assets less current liabilities]]),"")</f>
        <v>6.3810048578625406E-2</v>
      </c>
      <c r="BL99" s="32">
        <v>11349</v>
      </c>
      <c r="BM99" s="32">
        <v>0</v>
      </c>
      <c r="BN99" s="32">
        <v>177856</v>
      </c>
      <c r="BO99" s="34">
        <v>1.816891412349184E-2</v>
      </c>
      <c r="BP99" s="34">
        <v>0</v>
      </c>
      <c r="BQ99" s="6" t="s">
        <v>93</v>
      </c>
      <c r="BR99" s="6">
        <v>2005</v>
      </c>
      <c r="BS99" s="6" t="s">
        <v>94</v>
      </c>
      <c r="BT99" s="6" t="s">
        <v>105</v>
      </c>
      <c r="BU99" s="8">
        <v>0.9156653862445665</v>
      </c>
      <c r="BV99" s="37" t="s">
        <v>675</v>
      </c>
      <c r="BW99" s="19" t="s">
        <v>676</v>
      </c>
    </row>
    <row r="100" spans="1:75" x14ac:dyDescent="0.25">
      <c r="A100" s="33" t="s">
        <v>677</v>
      </c>
      <c r="B100" s="7" t="s">
        <v>246</v>
      </c>
      <c r="C100" s="7" t="s">
        <v>81</v>
      </c>
      <c r="D10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6.2592249062386585E-2</v>
      </c>
      <c r="E100" s="32">
        <v>6923</v>
      </c>
      <c r="F100" s="32">
        <v>15561</v>
      </c>
      <c r="G100" s="32">
        <v>8501</v>
      </c>
      <c r="H100" s="32">
        <v>57</v>
      </c>
      <c r="I100" s="32">
        <v>0</v>
      </c>
      <c r="J100" s="32">
        <v>495940</v>
      </c>
      <c r="K100" s="32">
        <v>0</v>
      </c>
      <c r="L10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4.4665369930120312E-3</v>
      </c>
      <c r="M100" s="32">
        <v>62</v>
      </c>
      <c r="N100" s="32">
        <v>0</v>
      </c>
      <c r="O100" s="32">
        <v>13881</v>
      </c>
      <c r="P100" s="32">
        <v>0</v>
      </c>
      <c r="Q10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00" s="32">
        <v>0</v>
      </c>
      <c r="S100" s="32">
        <v>0</v>
      </c>
      <c r="T100" s="32">
        <v>0</v>
      </c>
      <c r="U100" s="32">
        <v>13881</v>
      </c>
      <c r="V100" s="32">
        <v>0</v>
      </c>
      <c r="W100" s="32">
        <v>0</v>
      </c>
      <c r="X100" s="32">
        <v>0</v>
      </c>
      <c r="Y10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0.53243739161995407</v>
      </c>
      <c r="Z100" s="32">
        <v>17032</v>
      </c>
      <c r="AA100" s="32">
        <v>242064</v>
      </c>
      <c r="AB100" s="32">
        <v>1363</v>
      </c>
      <c r="AC100" s="32">
        <v>0</v>
      </c>
      <c r="AD100" s="32">
        <v>6324</v>
      </c>
      <c r="AE100" s="32">
        <v>495940</v>
      </c>
      <c r="AF100" s="32">
        <v>0</v>
      </c>
      <c r="AG10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2.3865098735300645</v>
      </c>
      <c r="AH100" s="32">
        <v>25983</v>
      </c>
      <c r="AI100" s="32">
        <v>0</v>
      </c>
      <c r="AJ100" s="32">
        <v>6174</v>
      </c>
      <c r="AK100" s="32">
        <v>0</v>
      </c>
      <c r="AL100" s="32">
        <v>381</v>
      </c>
      <c r="AM100" s="32">
        <v>8558</v>
      </c>
      <c r="AN100" s="32">
        <v>20636</v>
      </c>
      <c r="AO100" s="32">
        <v>-57</v>
      </c>
      <c r="AP100" s="32">
        <v>-13464</v>
      </c>
      <c r="AQ10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5.2509185217203376</v>
      </c>
      <c r="AR100" s="32">
        <v>23430</v>
      </c>
      <c r="AS100" s="32">
        <v>25887</v>
      </c>
      <c r="AT100" s="32">
        <v>8329</v>
      </c>
      <c r="AU100" s="32">
        <v>3180</v>
      </c>
      <c r="AV100" s="32">
        <v>0</v>
      </c>
      <c r="AW100" s="32">
        <v>8558</v>
      </c>
      <c r="AX100" s="32">
        <v>1313</v>
      </c>
      <c r="AY100" s="32">
        <v>0</v>
      </c>
      <c r="AZ100" s="32">
        <v>0</v>
      </c>
      <c r="BA100" s="32">
        <v>1504</v>
      </c>
      <c r="BB100" s="32">
        <v>687</v>
      </c>
      <c r="BC100" s="32">
        <v>13881</v>
      </c>
      <c r="BD100" s="34">
        <f>IFERROR(SUM(Entity_Metrics[[#This Row],[Operating surplus/(deficit) (social housing lettings)]])/SUM(Entity_Metrics[[#This Row],[Turnover from social housing lettings]]),"")</f>
        <v>0.22808443887555119</v>
      </c>
      <c r="BE100" s="32">
        <v>23846</v>
      </c>
      <c r="BF100" s="32">
        <v>104549</v>
      </c>
      <c r="BG100" s="34">
        <f>IFERROR(SUM(Entity_Metrics[[#This Row],[Operating surplus/(deficit) (overall)2]],-Entity_Metrics[[#This Row],[Gain/(loss) on disposal of fixed assets (housing properties)2]])/SUM(Entity_Metrics[[#This Row],[Turnover (overall)]]),"")</f>
        <v>0.23265163589477267</v>
      </c>
      <c r="BH100" s="32">
        <v>25983</v>
      </c>
      <c r="BI100" s="32">
        <v>0</v>
      </c>
      <c r="BJ100" s="32">
        <v>111682</v>
      </c>
      <c r="BK100" s="34">
        <f>IFERROR(SUM(Entity_Metrics[[#This Row],[Operating surplus/(deficit) (overall)3]],Entity_Metrics[[#This Row],[Share of operating surplus/(deficit) in joint ventures or associates]])/SUM(Entity_Metrics[[#This Row],[Total assets less current liabilities]]),"")</f>
        <v>4.3663110276114601E-2</v>
      </c>
      <c r="BL100" s="32">
        <v>25983</v>
      </c>
      <c r="BM100" s="32">
        <v>0</v>
      </c>
      <c r="BN100" s="32">
        <v>595079</v>
      </c>
      <c r="BO100" s="34">
        <v>0</v>
      </c>
      <c r="BP100" s="34">
        <v>0.95306778267692993</v>
      </c>
      <c r="BQ100" s="6" t="s">
        <v>82</v>
      </c>
      <c r="BR100" s="6" t="s">
        <v>83</v>
      </c>
      <c r="BS100" s="6" t="s">
        <v>83</v>
      </c>
      <c r="BT100" s="6" t="s">
        <v>87</v>
      </c>
      <c r="BU100" s="8">
        <v>1.0125590094886925</v>
      </c>
      <c r="BV100" s="37" t="s">
        <v>677</v>
      </c>
      <c r="BW100" s="19" t="s">
        <v>246</v>
      </c>
    </row>
    <row r="101" spans="1:75" x14ac:dyDescent="0.25">
      <c r="A101" s="33" t="s">
        <v>678</v>
      </c>
      <c r="B101" s="7" t="s">
        <v>248</v>
      </c>
      <c r="C101" s="7" t="s">
        <v>81</v>
      </c>
      <c r="D10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2.424117177459079E-2</v>
      </c>
      <c r="E101" s="32">
        <v>5882</v>
      </c>
      <c r="F101" s="32">
        <v>0</v>
      </c>
      <c r="G101" s="32">
        <v>2542</v>
      </c>
      <c r="H101" s="32">
        <v>139</v>
      </c>
      <c r="I101" s="32">
        <v>0</v>
      </c>
      <c r="J101" s="32">
        <v>353242</v>
      </c>
      <c r="K101" s="32">
        <v>0</v>
      </c>
      <c r="L10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5.9396893085592447E-3</v>
      </c>
      <c r="M101" s="32">
        <v>26</v>
      </c>
      <c r="N101" s="32">
        <v>13</v>
      </c>
      <c r="O101" s="32">
        <v>4507</v>
      </c>
      <c r="P101" s="32">
        <v>2059</v>
      </c>
      <c r="Q10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01" s="32">
        <v>0</v>
      </c>
      <c r="S101" s="32">
        <v>0</v>
      </c>
      <c r="T101" s="32">
        <v>0</v>
      </c>
      <c r="U101" s="32">
        <v>4507</v>
      </c>
      <c r="V101" s="32">
        <v>9</v>
      </c>
      <c r="W101" s="32">
        <v>2059</v>
      </c>
      <c r="X101" s="32">
        <v>0</v>
      </c>
      <c r="Y10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0.62796609689674499</v>
      </c>
      <c r="Z101" s="32">
        <v>4987</v>
      </c>
      <c r="AA101" s="32">
        <v>221243</v>
      </c>
      <c r="AB101" s="32">
        <v>4406</v>
      </c>
      <c r="AC101" s="32">
        <v>0</v>
      </c>
      <c r="AD101" s="32">
        <v>0</v>
      </c>
      <c r="AE101" s="32">
        <v>353242</v>
      </c>
      <c r="AF101" s="32">
        <v>0</v>
      </c>
      <c r="AG10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1.2290138549307252</v>
      </c>
      <c r="AH101" s="32">
        <v>15968</v>
      </c>
      <c r="AI101" s="32">
        <v>3601</v>
      </c>
      <c r="AJ101" s="32">
        <v>1680</v>
      </c>
      <c r="AK101" s="32">
        <v>0</v>
      </c>
      <c r="AL101" s="32">
        <v>461</v>
      </c>
      <c r="AM101" s="32">
        <v>2542</v>
      </c>
      <c r="AN101" s="32">
        <v>4966</v>
      </c>
      <c r="AO101" s="32">
        <v>-139</v>
      </c>
      <c r="AP101" s="32">
        <v>-10904</v>
      </c>
      <c r="AQ10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2.4982804738249906</v>
      </c>
      <c r="AR101" s="32">
        <v>2797</v>
      </c>
      <c r="AS101" s="32">
        <v>894</v>
      </c>
      <c r="AT101" s="32">
        <v>3189</v>
      </c>
      <c r="AU101" s="32">
        <v>739</v>
      </c>
      <c r="AV101" s="32">
        <v>1063</v>
      </c>
      <c r="AW101" s="32">
        <v>2542</v>
      </c>
      <c r="AX101" s="32">
        <v>173</v>
      </c>
      <c r="AY101" s="32">
        <v>71</v>
      </c>
      <c r="AZ101" s="32">
        <v>0</v>
      </c>
      <c r="BA101" s="32">
        <v>0</v>
      </c>
      <c r="BB101" s="32">
        <v>1608</v>
      </c>
      <c r="BC101" s="32">
        <v>5234</v>
      </c>
      <c r="BD101" s="34">
        <f>IFERROR(SUM(Entity_Metrics[[#This Row],[Operating surplus/(deficit) (social housing lettings)]])/SUM(Entity_Metrics[[#This Row],[Turnover from social housing lettings]]),"")</f>
        <v>0.47175796966883315</v>
      </c>
      <c r="BE101" s="32">
        <v>12194</v>
      </c>
      <c r="BF101" s="32">
        <v>25848</v>
      </c>
      <c r="BG101" s="34">
        <f>IFERROR(SUM(Entity_Metrics[[#This Row],[Operating surplus/(deficit) (overall)2]],-Entity_Metrics[[#This Row],[Gain/(loss) on disposal of fixed assets (housing properties)2]])/SUM(Entity_Metrics[[#This Row],[Turnover (overall)]]),"")</f>
        <v>0.41373657622695792</v>
      </c>
      <c r="BH101" s="32">
        <v>15968</v>
      </c>
      <c r="BI101" s="32">
        <v>3601</v>
      </c>
      <c r="BJ101" s="32">
        <v>29891</v>
      </c>
      <c r="BK101" s="34">
        <f>IFERROR(SUM(Entity_Metrics[[#This Row],[Operating surplus/(deficit) (overall)3]],Entity_Metrics[[#This Row],[Share of operating surplus/(deficit) in joint ventures or associates]])/SUM(Entity_Metrics[[#This Row],[Total assets less current liabilities]]),"")</f>
        <v>4.4999295476962096E-2</v>
      </c>
      <c r="BL101" s="32">
        <v>15968</v>
      </c>
      <c r="BM101" s="32">
        <v>0</v>
      </c>
      <c r="BN101" s="32">
        <v>354850</v>
      </c>
      <c r="BO101" s="34">
        <v>0</v>
      </c>
      <c r="BP101" s="34">
        <v>0</v>
      </c>
      <c r="BQ101" s="6" t="s">
        <v>82</v>
      </c>
      <c r="BR101" s="6" t="s">
        <v>83</v>
      </c>
      <c r="BS101" s="6" t="s">
        <v>83</v>
      </c>
      <c r="BT101" s="6" t="s">
        <v>87</v>
      </c>
      <c r="BU101" s="8">
        <v>1.0084079099898717</v>
      </c>
      <c r="BV101" s="37" t="s">
        <v>678</v>
      </c>
      <c r="BW101" s="19" t="s">
        <v>248</v>
      </c>
    </row>
    <row r="102" spans="1:75" x14ac:dyDescent="0.25">
      <c r="A102" s="33" t="s">
        <v>679</v>
      </c>
      <c r="B102" s="7" t="s">
        <v>680</v>
      </c>
      <c r="C102" s="7" t="s">
        <v>81</v>
      </c>
      <c r="D10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8.6706969048966395E-2</v>
      </c>
      <c r="E102" s="32">
        <v>65121</v>
      </c>
      <c r="F102" s="32">
        <v>0</v>
      </c>
      <c r="G102" s="32">
        <v>8722</v>
      </c>
      <c r="H102" s="32">
        <v>4454</v>
      </c>
      <c r="I102" s="32">
        <v>0</v>
      </c>
      <c r="J102" s="32">
        <v>903007</v>
      </c>
      <c r="K102" s="32">
        <v>0</v>
      </c>
      <c r="L10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3.755841121495327E-2</v>
      </c>
      <c r="M102" s="32">
        <v>643</v>
      </c>
      <c r="N102" s="32">
        <v>0</v>
      </c>
      <c r="O102" s="32">
        <v>16280</v>
      </c>
      <c r="P102" s="32">
        <v>840</v>
      </c>
      <c r="Q10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4.7638412827514087E-3</v>
      </c>
      <c r="R102" s="32">
        <v>82</v>
      </c>
      <c r="S102" s="32">
        <v>0</v>
      </c>
      <c r="T102" s="32">
        <v>0</v>
      </c>
      <c r="U102" s="32">
        <v>16280</v>
      </c>
      <c r="V102" s="32">
        <v>93</v>
      </c>
      <c r="W102" s="32">
        <v>840</v>
      </c>
      <c r="X102" s="32">
        <v>0</v>
      </c>
      <c r="Y10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0.60923226508764605</v>
      </c>
      <c r="Z102" s="32">
        <v>13400</v>
      </c>
      <c r="AA102" s="32">
        <v>49495</v>
      </c>
      <c r="AB102" s="32">
        <v>1049</v>
      </c>
      <c r="AC102" s="32">
        <v>488295</v>
      </c>
      <c r="AD102" s="32">
        <v>0</v>
      </c>
      <c r="AE102" s="32">
        <v>903007</v>
      </c>
      <c r="AF102" s="32">
        <v>0</v>
      </c>
      <c r="AG10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1.2046905537459283</v>
      </c>
      <c r="AH102" s="32">
        <v>36988</v>
      </c>
      <c r="AI102" s="32">
        <v>11206</v>
      </c>
      <c r="AJ102" s="32">
        <v>3070</v>
      </c>
      <c r="AK102" s="32">
        <v>0</v>
      </c>
      <c r="AL102" s="32">
        <v>5</v>
      </c>
      <c r="AM102" s="32">
        <v>8722</v>
      </c>
      <c r="AN102" s="32">
        <v>13743</v>
      </c>
      <c r="AO102" s="32">
        <v>-4454</v>
      </c>
      <c r="AP102" s="32">
        <v>-18571</v>
      </c>
      <c r="AQ10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3.6774570024570026</v>
      </c>
      <c r="AR102" s="32">
        <v>12268</v>
      </c>
      <c r="AS102" s="32">
        <v>6633</v>
      </c>
      <c r="AT102" s="32">
        <v>13330</v>
      </c>
      <c r="AU102" s="32">
        <v>12045</v>
      </c>
      <c r="AV102" s="32">
        <v>0</v>
      </c>
      <c r="AW102" s="32">
        <v>8722</v>
      </c>
      <c r="AX102" s="32">
        <v>161</v>
      </c>
      <c r="AY102" s="32">
        <v>0</v>
      </c>
      <c r="AZ102" s="32">
        <v>0</v>
      </c>
      <c r="BA102" s="32">
        <v>5962</v>
      </c>
      <c r="BB102" s="32">
        <v>748</v>
      </c>
      <c r="BC102" s="32">
        <v>16280</v>
      </c>
      <c r="BD102" s="34">
        <f>IFERROR(SUM(Entity_Metrics[[#This Row],[Operating surplus/(deficit) (social housing lettings)]])/SUM(Entity_Metrics[[#This Row],[Turnover from social housing lettings]]),"")</f>
        <v>0.34420205384401886</v>
      </c>
      <c r="BE102" s="32">
        <v>31004</v>
      </c>
      <c r="BF102" s="32">
        <v>90075</v>
      </c>
      <c r="BG102" s="34">
        <f>IFERROR(SUM(Entity_Metrics[[#This Row],[Operating surplus/(deficit) (overall)2]],-Entity_Metrics[[#This Row],[Gain/(loss) on disposal of fixed assets (housing properties)2]])/SUM(Entity_Metrics[[#This Row],[Turnover (overall)]]),"")</f>
        <v>0.2801569104719267</v>
      </c>
      <c r="BH102" s="32">
        <v>36988</v>
      </c>
      <c r="BI102" s="32">
        <v>11206</v>
      </c>
      <c r="BJ102" s="32">
        <v>92027</v>
      </c>
      <c r="BK102" s="34">
        <f>IFERROR(SUM(Entity_Metrics[[#This Row],[Operating surplus/(deficit) (overall)3]],Entity_Metrics[[#This Row],[Share of operating surplus/(deficit) in joint ventures or associates]])/SUM(Entity_Metrics[[#This Row],[Total assets less current liabilities]]),"")</f>
        <v>4.1469296598302348E-2</v>
      </c>
      <c r="BL102" s="32">
        <v>36988</v>
      </c>
      <c r="BM102" s="32">
        <v>0</v>
      </c>
      <c r="BN102" s="32">
        <v>891937</v>
      </c>
      <c r="BO102" s="34">
        <v>2.2533308773868728E-2</v>
      </c>
      <c r="BP102" s="34">
        <v>8.8291275250199544E-2</v>
      </c>
      <c r="BQ102" s="6" t="s">
        <v>82</v>
      </c>
      <c r="BR102" s="6" t="s">
        <v>83</v>
      </c>
      <c r="BS102" s="6" t="s">
        <v>83</v>
      </c>
      <c r="BT102" s="6" t="s">
        <v>90</v>
      </c>
      <c r="BU102" s="8">
        <v>0.91964209682060005</v>
      </c>
      <c r="BV102" s="37" t="s">
        <v>681</v>
      </c>
      <c r="BW102" s="19" t="s">
        <v>360</v>
      </c>
    </row>
    <row r="103" spans="1:75" x14ac:dyDescent="0.25">
      <c r="A103" s="33" t="s">
        <v>682</v>
      </c>
      <c r="B103" s="7" t="s">
        <v>683</v>
      </c>
      <c r="C103" s="7" t="s">
        <v>81</v>
      </c>
      <c r="D10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0.15200192916250654</v>
      </c>
      <c r="E103" s="32">
        <v>23178</v>
      </c>
      <c r="F103" s="32">
        <v>10219</v>
      </c>
      <c r="G103" s="32">
        <v>2532</v>
      </c>
      <c r="H103" s="32">
        <v>0</v>
      </c>
      <c r="I103" s="32">
        <v>0</v>
      </c>
      <c r="J103" s="32">
        <v>236372</v>
      </c>
      <c r="K103" s="32">
        <v>0</v>
      </c>
      <c r="L10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8.5755813953488375E-3</v>
      </c>
      <c r="M103" s="32">
        <v>118</v>
      </c>
      <c r="N103" s="32">
        <v>0</v>
      </c>
      <c r="O103" s="32">
        <v>13381</v>
      </c>
      <c r="P103" s="32">
        <v>379</v>
      </c>
      <c r="Q10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7.2621641249092229E-4</v>
      </c>
      <c r="R103" s="32">
        <v>0</v>
      </c>
      <c r="S103" s="32">
        <v>0</v>
      </c>
      <c r="T103" s="32">
        <v>10</v>
      </c>
      <c r="U103" s="32">
        <v>13381</v>
      </c>
      <c r="V103" s="32">
        <v>10</v>
      </c>
      <c r="W103" s="32">
        <v>379</v>
      </c>
      <c r="X103" s="32">
        <v>0</v>
      </c>
      <c r="Y10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0.30809909803191582</v>
      </c>
      <c r="Z103" s="32">
        <v>372</v>
      </c>
      <c r="AA103" s="32">
        <v>84240</v>
      </c>
      <c r="AB103" s="32">
        <v>11786</v>
      </c>
      <c r="AC103" s="32">
        <v>0</v>
      </c>
      <c r="AD103" s="32">
        <v>0</v>
      </c>
      <c r="AE103" s="32">
        <v>236372</v>
      </c>
      <c r="AF103" s="32">
        <v>0</v>
      </c>
      <c r="AG10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5.5873579545454541</v>
      </c>
      <c r="AH103" s="32">
        <v>28714</v>
      </c>
      <c r="AI103" s="32">
        <v>2333</v>
      </c>
      <c r="AJ103" s="32">
        <v>212</v>
      </c>
      <c r="AK103" s="32">
        <v>0</v>
      </c>
      <c r="AL103" s="32">
        <v>66</v>
      </c>
      <c r="AM103" s="32">
        <v>2532</v>
      </c>
      <c r="AN103" s="32">
        <v>7765</v>
      </c>
      <c r="AO103" s="32">
        <v>0</v>
      </c>
      <c r="AP103" s="32">
        <v>-5632</v>
      </c>
      <c r="AQ10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2.5273405445729207</v>
      </c>
      <c r="AR103" s="32">
        <v>13069</v>
      </c>
      <c r="AS103" s="32">
        <v>2908</v>
      </c>
      <c r="AT103" s="32">
        <v>6827</v>
      </c>
      <c r="AU103" s="32">
        <v>2825</v>
      </c>
      <c r="AV103" s="32">
        <v>3391</v>
      </c>
      <c r="AW103" s="32">
        <v>2532</v>
      </c>
      <c r="AX103" s="32">
        <v>1259</v>
      </c>
      <c r="AY103" s="32">
        <v>0</v>
      </c>
      <c r="AZ103" s="32">
        <v>789</v>
      </c>
      <c r="BA103" s="32">
        <v>0</v>
      </c>
      <c r="BB103" s="32">
        <v>279</v>
      </c>
      <c r="BC103" s="32">
        <v>13405</v>
      </c>
      <c r="BD103" s="34">
        <f>IFERROR(SUM(Entity_Metrics[[#This Row],[Operating surplus/(deficit) (social housing lettings)]])/SUM(Entity_Metrics[[#This Row],[Turnover from social housing lettings]]),"")</f>
        <v>0.40311313235500962</v>
      </c>
      <c r="BE103" s="32">
        <v>25794</v>
      </c>
      <c r="BF103" s="32">
        <v>63987</v>
      </c>
      <c r="BG103" s="34">
        <f>IFERROR(SUM(Entity_Metrics[[#This Row],[Operating surplus/(deficit) (overall)2]],-Entity_Metrics[[#This Row],[Gain/(loss) on disposal of fixed assets (housing properties)2]])/SUM(Entity_Metrics[[#This Row],[Turnover (overall)]]),"")</f>
        <v>0.37303450226244345</v>
      </c>
      <c r="BH103" s="32">
        <v>28714</v>
      </c>
      <c r="BI103" s="32">
        <v>2333</v>
      </c>
      <c r="BJ103" s="32">
        <v>70720</v>
      </c>
      <c r="BK103" s="34">
        <f>IFERROR(SUM(Entity_Metrics[[#This Row],[Operating surplus/(deficit) (overall)3]],Entity_Metrics[[#This Row],[Share of operating surplus/(deficit) in joint ventures or associates]])/SUM(Entity_Metrics[[#This Row],[Total assets less current liabilities]]),"")</f>
        <v>0.10755032174453709</v>
      </c>
      <c r="BL103" s="32">
        <v>28714</v>
      </c>
      <c r="BM103" s="32">
        <v>0</v>
      </c>
      <c r="BN103" s="32">
        <v>266982</v>
      </c>
      <c r="BO103" s="34">
        <v>6.2028249009789998E-3</v>
      </c>
      <c r="BP103" s="34">
        <v>0.10066512218817726</v>
      </c>
      <c r="BQ103" s="6" t="s">
        <v>93</v>
      </c>
      <c r="BR103" s="6">
        <v>2002</v>
      </c>
      <c r="BS103" s="6" t="s">
        <v>94</v>
      </c>
      <c r="BT103" s="6" t="s">
        <v>105</v>
      </c>
      <c r="BU103" s="8">
        <v>0.9156653862445665</v>
      </c>
      <c r="BV103" s="37">
        <v>4802</v>
      </c>
      <c r="BW103" s="19" t="s">
        <v>494</v>
      </c>
    </row>
    <row r="104" spans="1:75" x14ac:dyDescent="0.25">
      <c r="A104" s="33" t="s">
        <v>684</v>
      </c>
      <c r="B104" s="7" t="s">
        <v>685</v>
      </c>
      <c r="C104" s="7" t="s">
        <v>81</v>
      </c>
      <c r="D10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0.16219563508760787</v>
      </c>
      <c r="E104" s="32">
        <v>14259</v>
      </c>
      <c r="F104" s="32">
        <v>0</v>
      </c>
      <c r="G104" s="32">
        <v>5680</v>
      </c>
      <c r="H104" s="32">
        <v>491</v>
      </c>
      <c r="I104" s="32">
        <v>0</v>
      </c>
      <c r="J104" s="32">
        <v>125959</v>
      </c>
      <c r="K104" s="32">
        <v>0</v>
      </c>
      <c r="L10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1.6920788397173672E-2</v>
      </c>
      <c r="M104" s="32">
        <v>91</v>
      </c>
      <c r="N104" s="32">
        <v>0</v>
      </c>
      <c r="O104" s="32">
        <v>5378</v>
      </c>
      <c r="P104" s="32">
        <v>0</v>
      </c>
      <c r="Q10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2.0438498699368265E-3</v>
      </c>
      <c r="R104" s="32">
        <v>4</v>
      </c>
      <c r="S104" s="32">
        <v>0</v>
      </c>
      <c r="T104" s="32">
        <v>7</v>
      </c>
      <c r="U104" s="32">
        <v>5378</v>
      </c>
      <c r="V104" s="32">
        <v>4</v>
      </c>
      <c r="W104" s="32">
        <v>0</v>
      </c>
      <c r="X104" s="32">
        <v>0</v>
      </c>
      <c r="Y10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0.82722155622067495</v>
      </c>
      <c r="Z104" s="32">
        <v>0</v>
      </c>
      <c r="AA104" s="32">
        <v>104196</v>
      </c>
      <c r="AB104" s="32">
        <v>0</v>
      </c>
      <c r="AC104" s="32">
        <v>0</v>
      </c>
      <c r="AD104" s="32">
        <v>0</v>
      </c>
      <c r="AE104" s="32">
        <v>125959</v>
      </c>
      <c r="AF104" s="32">
        <v>0</v>
      </c>
      <c r="AG10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2.0444591904445919</v>
      </c>
      <c r="AH104" s="32">
        <v>11090</v>
      </c>
      <c r="AI104" s="32">
        <v>1144</v>
      </c>
      <c r="AJ104" s="32">
        <v>108</v>
      </c>
      <c r="AK104" s="32">
        <v>0</v>
      </c>
      <c r="AL104" s="32">
        <v>43</v>
      </c>
      <c r="AM104" s="32">
        <v>5680</v>
      </c>
      <c r="AN104" s="32">
        <v>5042</v>
      </c>
      <c r="AO104" s="32">
        <v>-491</v>
      </c>
      <c r="AP104" s="32">
        <v>-4030</v>
      </c>
      <c r="AQ10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3.2101152844923764</v>
      </c>
      <c r="AR104" s="32">
        <v>5224</v>
      </c>
      <c r="AS104" s="32">
        <v>824</v>
      </c>
      <c r="AT104" s="32">
        <v>3622</v>
      </c>
      <c r="AU104" s="32">
        <v>0</v>
      </c>
      <c r="AV104" s="32">
        <v>547</v>
      </c>
      <c r="AW104" s="32">
        <v>5680</v>
      </c>
      <c r="AX104" s="32">
        <v>703</v>
      </c>
      <c r="AY104" s="32">
        <v>319</v>
      </c>
      <c r="AZ104" s="32">
        <v>0</v>
      </c>
      <c r="BA104" s="32">
        <v>0</v>
      </c>
      <c r="BB104" s="32">
        <v>345</v>
      </c>
      <c r="BC104" s="32">
        <v>5378</v>
      </c>
      <c r="BD104" s="34">
        <f>IFERROR(SUM(Entity_Metrics[[#This Row],[Operating surplus/(deficit) (social housing lettings)]])/SUM(Entity_Metrics[[#This Row],[Turnover from social housing lettings]]),"")</f>
        <v>0.38198458574181116</v>
      </c>
      <c r="BE104" s="32">
        <v>9516</v>
      </c>
      <c r="BF104" s="32">
        <v>24912</v>
      </c>
      <c r="BG104" s="34">
        <f>IFERROR(SUM(Entity_Metrics[[#This Row],[Operating surplus/(deficit) (overall)2]],-Entity_Metrics[[#This Row],[Gain/(loss) on disposal of fixed assets (housing properties)2]])/SUM(Entity_Metrics[[#This Row],[Turnover (overall)]]),"")</f>
        <v>0.33300967623129207</v>
      </c>
      <c r="BH104" s="32">
        <v>11090</v>
      </c>
      <c r="BI104" s="32">
        <v>1144</v>
      </c>
      <c r="BJ104" s="32">
        <v>29867</v>
      </c>
      <c r="BK104" s="34">
        <f>IFERROR(SUM(Entity_Metrics[[#This Row],[Operating surplus/(deficit) (overall)3]],Entity_Metrics[[#This Row],[Share of operating surplus/(deficit) in joint ventures or associates]])/SUM(Entity_Metrics[[#This Row],[Total assets less current liabilities]]),"")</f>
        <v>6.8518541401510008E-2</v>
      </c>
      <c r="BL104" s="32">
        <v>11090</v>
      </c>
      <c r="BM104" s="32">
        <v>0</v>
      </c>
      <c r="BN104" s="32">
        <v>161854</v>
      </c>
      <c r="BO104" s="34">
        <v>9.670820159940488E-3</v>
      </c>
      <c r="BP104" s="34">
        <v>0.16998326204203087</v>
      </c>
      <c r="BQ104" s="6" t="s">
        <v>93</v>
      </c>
      <c r="BR104" s="6">
        <v>2002</v>
      </c>
      <c r="BS104" s="6" t="s">
        <v>94</v>
      </c>
      <c r="BT104" s="6" t="s">
        <v>90</v>
      </c>
      <c r="BU104" s="8">
        <v>0.91571558169387279</v>
      </c>
      <c r="BV104" s="37" t="s">
        <v>686</v>
      </c>
      <c r="BW104" s="19" t="s">
        <v>180</v>
      </c>
    </row>
    <row r="105" spans="1:75" x14ac:dyDescent="0.25">
      <c r="A105" s="33" t="s">
        <v>687</v>
      </c>
      <c r="B105" s="7" t="s">
        <v>250</v>
      </c>
      <c r="C105" s="7" t="s">
        <v>81</v>
      </c>
      <c r="D10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6.3028449850979079E-2</v>
      </c>
      <c r="E105" s="32">
        <v>0</v>
      </c>
      <c r="F105" s="32">
        <v>23061</v>
      </c>
      <c r="G105" s="32">
        <v>3992</v>
      </c>
      <c r="H105" s="32">
        <v>1032</v>
      </c>
      <c r="I105" s="32">
        <v>443</v>
      </c>
      <c r="J105" s="32">
        <v>452621</v>
      </c>
      <c r="K105" s="32">
        <v>0</v>
      </c>
      <c r="L10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1.5180265654648957E-2</v>
      </c>
      <c r="M105" s="32">
        <v>64</v>
      </c>
      <c r="N105" s="32">
        <v>0</v>
      </c>
      <c r="O105" s="32">
        <v>4135</v>
      </c>
      <c r="P105" s="32">
        <v>81</v>
      </c>
      <c r="Q10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1.6478342749529191E-3</v>
      </c>
      <c r="R105" s="32">
        <v>7</v>
      </c>
      <c r="S105" s="32">
        <v>0</v>
      </c>
      <c r="T105" s="32">
        <v>0</v>
      </c>
      <c r="U105" s="32">
        <v>4135</v>
      </c>
      <c r="V105" s="32">
        <v>7</v>
      </c>
      <c r="W105" s="32">
        <v>81</v>
      </c>
      <c r="X105" s="32">
        <v>25</v>
      </c>
      <c r="Y10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0.41900839775441262</v>
      </c>
      <c r="Z105" s="32">
        <v>9673</v>
      </c>
      <c r="AA105" s="32">
        <v>185252</v>
      </c>
      <c r="AB105" s="32">
        <v>5273</v>
      </c>
      <c r="AC105" s="32">
        <v>0</v>
      </c>
      <c r="AD105" s="32">
        <v>0</v>
      </c>
      <c r="AE105" s="32">
        <v>452621</v>
      </c>
      <c r="AF105" s="32">
        <v>0</v>
      </c>
      <c r="AG10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1.6701590271281572</v>
      </c>
      <c r="AH105" s="32">
        <v>9125</v>
      </c>
      <c r="AI105" s="32">
        <v>1659</v>
      </c>
      <c r="AJ105" s="32">
        <v>1766</v>
      </c>
      <c r="AK105" s="32">
        <v>0</v>
      </c>
      <c r="AL105" s="32">
        <v>293</v>
      </c>
      <c r="AM105" s="32">
        <v>3501</v>
      </c>
      <c r="AN105" s="32">
        <v>6435</v>
      </c>
      <c r="AO105" s="32">
        <v>-1272</v>
      </c>
      <c r="AP105" s="32">
        <v>-4073</v>
      </c>
      <c r="AQ10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5.0319788410675645</v>
      </c>
      <c r="AR105" s="32">
        <v>3466</v>
      </c>
      <c r="AS105" s="32">
        <v>1663</v>
      </c>
      <c r="AT105" s="32">
        <v>3702</v>
      </c>
      <c r="AU105" s="32">
        <v>1366</v>
      </c>
      <c r="AV105" s="32">
        <v>3756</v>
      </c>
      <c r="AW105" s="32">
        <v>3501</v>
      </c>
      <c r="AX105" s="32">
        <v>15</v>
      </c>
      <c r="AY105" s="32">
        <v>838</v>
      </c>
      <c r="AZ105" s="32">
        <v>441</v>
      </c>
      <c r="BA105" s="32">
        <v>1212</v>
      </c>
      <c r="BB105" s="32">
        <v>968</v>
      </c>
      <c r="BC105" s="32">
        <v>4159</v>
      </c>
      <c r="BD105" s="34">
        <f>IFERROR(SUM(Entity_Metrics[[#This Row],[Operating surplus/(deficit) (social housing lettings)]])/SUM(Entity_Metrics[[#This Row],[Turnover from social housing lettings]]),"")</f>
        <v>0.2693612627231155</v>
      </c>
      <c r="BE105" s="32">
        <v>7304</v>
      </c>
      <c r="BF105" s="32">
        <v>27116</v>
      </c>
      <c r="BG105" s="34">
        <f>IFERROR(SUM(Entity_Metrics[[#This Row],[Operating surplus/(deficit) (overall)2]],-Entity_Metrics[[#This Row],[Gain/(loss) on disposal of fixed assets (housing properties)2]])/SUM(Entity_Metrics[[#This Row],[Turnover (overall)]]),"")</f>
        <v>0.22315210568789789</v>
      </c>
      <c r="BH105" s="32">
        <v>9125</v>
      </c>
      <c r="BI105" s="32">
        <v>1659</v>
      </c>
      <c r="BJ105" s="32">
        <v>33457</v>
      </c>
      <c r="BK105" s="34">
        <f>IFERROR(SUM(Entity_Metrics[[#This Row],[Operating surplus/(deficit) (overall)3]],Entity_Metrics[[#This Row],[Share of operating surplus/(deficit) in joint ventures or associates]])/SUM(Entity_Metrics[[#This Row],[Total assets less current liabilities]]),"")</f>
        <v>1.9360190780093694E-2</v>
      </c>
      <c r="BL105" s="32">
        <v>9125</v>
      </c>
      <c r="BM105" s="32">
        <v>0</v>
      </c>
      <c r="BN105" s="32">
        <v>471328</v>
      </c>
      <c r="BO105" s="34">
        <v>6.3488202383848211E-2</v>
      </c>
      <c r="BP105" s="34">
        <v>0</v>
      </c>
      <c r="BQ105" s="6" t="s">
        <v>82</v>
      </c>
      <c r="BR105" s="6" t="s">
        <v>83</v>
      </c>
      <c r="BS105" s="6" t="s">
        <v>83</v>
      </c>
      <c r="BT105" s="6" t="s">
        <v>156</v>
      </c>
      <c r="BU105" s="8">
        <v>1.2482810154533257</v>
      </c>
      <c r="BV105" s="37" t="s">
        <v>687</v>
      </c>
      <c r="BW105" s="19" t="s">
        <v>250</v>
      </c>
    </row>
    <row r="106" spans="1:75" x14ac:dyDescent="0.25">
      <c r="A106" s="33" t="s">
        <v>251</v>
      </c>
      <c r="B106" s="7" t="s">
        <v>252</v>
      </c>
      <c r="C106" s="7" t="s">
        <v>81</v>
      </c>
      <c r="D10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0.11552415439426254</v>
      </c>
      <c r="E106" s="32">
        <v>63853</v>
      </c>
      <c r="F106" s="32">
        <v>0</v>
      </c>
      <c r="G106" s="32">
        <v>1130</v>
      </c>
      <c r="H106" s="32">
        <v>2236</v>
      </c>
      <c r="I106" s="32">
        <v>0</v>
      </c>
      <c r="J106" s="32">
        <v>581861</v>
      </c>
      <c r="K106" s="32">
        <v>0</v>
      </c>
      <c r="L10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0.11204481792717087</v>
      </c>
      <c r="M106" s="32">
        <v>560</v>
      </c>
      <c r="N106" s="32">
        <v>0</v>
      </c>
      <c r="O106" s="32">
        <v>4884</v>
      </c>
      <c r="P106" s="32">
        <v>114</v>
      </c>
      <c r="Q10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06" s="32">
        <v>0</v>
      </c>
      <c r="S106" s="32">
        <v>0</v>
      </c>
      <c r="T106" s="32">
        <v>0</v>
      </c>
      <c r="U106" s="32">
        <v>4884</v>
      </c>
      <c r="V106" s="32">
        <v>0</v>
      </c>
      <c r="W106" s="32">
        <v>114</v>
      </c>
      <c r="X106" s="32">
        <v>618</v>
      </c>
      <c r="Y10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0.5712618649471265</v>
      </c>
      <c r="Z106" s="32">
        <v>3609</v>
      </c>
      <c r="AA106" s="32">
        <v>350705</v>
      </c>
      <c r="AB106" s="32">
        <v>21919</v>
      </c>
      <c r="AC106" s="32">
        <v>0</v>
      </c>
      <c r="AD106" s="32">
        <v>0</v>
      </c>
      <c r="AE106" s="32">
        <v>581861</v>
      </c>
      <c r="AF106" s="32">
        <v>0</v>
      </c>
      <c r="AG10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2.4742846094354216</v>
      </c>
      <c r="AH106" s="32">
        <v>24532</v>
      </c>
      <c r="AI106" s="32">
        <v>2521</v>
      </c>
      <c r="AJ106" s="32">
        <v>1699</v>
      </c>
      <c r="AK106" s="32">
        <v>0</v>
      </c>
      <c r="AL106" s="32">
        <v>278</v>
      </c>
      <c r="AM106" s="32">
        <v>1130</v>
      </c>
      <c r="AN106" s="32">
        <v>6134</v>
      </c>
      <c r="AO106" s="32">
        <v>-2236</v>
      </c>
      <c r="AP106" s="32">
        <v>-8108</v>
      </c>
      <c r="AQ10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6.8980289621882545</v>
      </c>
      <c r="AR106" s="32">
        <v>4673</v>
      </c>
      <c r="AS106" s="32">
        <v>3658</v>
      </c>
      <c r="AT106" s="32">
        <v>2932</v>
      </c>
      <c r="AU106" s="32">
        <v>784</v>
      </c>
      <c r="AV106" s="32">
        <v>850</v>
      </c>
      <c r="AW106" s="32">
        <v>1130</v>
      </c>
      <c r="AX106" s="32">
        <v>17963</v>
      </c>
      <c r="AY106" s="32">
        <v>93</v>
      </c>
      <c r="AZ106" s="32">
        <v>0</v>
      </c>
      <c r="BA106" s="32">
        <v>1217</v>
      </c>
      <c r="BB106" s="32">
        <v>997</v>
      </c>
      <c r="BC106" s="32">
        <v>4972</v>
      </c>
      <c r="BD106" s="34">
        <f>IFERROR(SUM(Entity_Metrics[[#This Row],[Operating surplus/(deficit) (social housing lettings)]])/SUM(Entity_Metrics[[#This Row],[Turnover from social housing lettings]]),"")</f>
        <v>0.33485973894858295</v>
      </c>
      <c r="BE106" s="32">
        <v>18574</v>
      </c>
      <c r="BF106" s="32">
        <v>55468</v>
      </c>
      <c r="BG106" s="34">
        <f>IFERROR(SUM(Entity_Metrics[[#This Row],[Operating surplus/(deficit) (overall)2]],-Entity_Metrics[[#This Row],[Gain/(loss) on disposal of fixed assets (housing properties)2]])/SUM(Entity_Metrics[[#This Row],[Turnover (overall)]]),"")</f>
        <v>0.31709284736728371</v>
      </c>
      <c r="BH106" s="32">
        <v>24532</v>
      </c>
      <c r="BI106" s="32">
        <v>2521</v>
      </c>
      <c r="BJ106" s="32">
        <v>69415</v>
      </c>
      <c r="BK106" s="34">
        <f>IFERROR(SUM(Entity_Metrics[[#This Row],[Operating surplus/(deficit) (overall)3]],Entity_Metrics[[#This Row],[Share of operating surplus/(deficit) in joint ventures or associates]])/SUM(Entity_Metrics[[#This Row],[Total assets less current liabilities]]),"")</f>
        <v>4.0010307563337691E-2</v>
      </c>
      <c r="BL106" s="32">
        <v>24532</v>
      </c>
      <c r="BM106" s="32">
        <v>0</v>
      </c>
      <c r="BN106" s="32">
        <v>613142</v>
      </c>
      <c r="BO106" s="34">
        <v>8.9257812500000006E-2</v>
      </c>
      <c r="BP106" s="34">
        <v>1.5820312499999999E-2</v>
      </c>
      <c r="BQ106" s="6" t="s">
        <v>82</v>
      </c>
      <c r="BR106" s="6" t="s">
        <v>83</v>
      </c>
      <c r="BS106" s="6" t="s">
        <v>83</v>
      </c>
      <c r="BT106" s="6" t="s">
        <v>100</v>
      </c>
      <c r="BU106" s="8">
        <v>1.0040323914988438</v>
      </c>
      <c r="BV106" s="37" t="s">
        <v>251</v>
      </c>
      <c r="BW106" s="19" t="s">
        <v>252</v>
      </c>
    </row>
    <row r="107" spans="1:75" x14ac:dyDescent="0.25">
      <c r="A107" s="33" t="s">
        <v>688</v>
      </c>
      <c r="B107" s="7" t="s">
        <v>689</v>
      </c>
      <c r="C107" s="7" t="s">
        <v>81</v>
      </c>
      <c r="D10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2.8534934913172268E-3</v>
      </c>
      <c r="E107" s="32">
        <v>0</v>
      </c>
      <c r="F107" s="32">
        <v>0</v>
      </c>
      <c r="G107" s="32">
        <v>105</v>
      </c>
      <c r="H107" s="32">
        <v>0</v>
      </c>
      <c r="I107" s="32">
        <v>0</v>
      </c>
      <c r="J107" s="32">
        <v>36797</v>
      </c>
      <c r="K107" s="32">
        <v>0</v>
      </c>
      <c r="L10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07" s="32">
        <v>0</v>
      </c>
      <c r="N107" s="32">
        <v>0</v>
      </c>
      <c r="O107" s="32">
        <v>722</v>
      </c>
      <c r="P107" s="32">
        <v>0</v>
      </c>
      <c r="Q10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07" s="32">
        <v>0</v>
      </c>
      <c r="S107" s="32">
        <v>0</v>
      </c>
      <c r="T107" s="32">
        <v>0</v>
      </c>
      <c r="U107" s="32">
        <v>722</v>
      </c>
      <c r="V107" s="32">
        <v>0</v>
      </c>
      <c r="W107" s="32">
        <v>0</v>
      </c>
      <c r="X107" s="32">
        <v>80</v>
      </c>
      <c r="Y10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0.94852841264233501</v>
      </c>
      <c r="Z107" s="32">
        <v>0</v>
      </c>
      <c r="AA107" s="32">
        <v>40572</v>
      </c>
      <c r="AB107" s="32">
        <v>6239</v>
      </c>
      <c r="AC107" s="32">
        <v>570</v>
      </c>
      <c r="AD107" s="32">
        <v>0</v>
      </c>
      <c r="AE107" s="32">
        <v>36797</v>
      </c>
      <c r="AF107" s="32">
        <v>0</v>
      </c>
      <c r="AG10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2.6605856937109937</v>
      </c>
      <c r="AH107" s="32">
        <v>4864</v>
      </c>
      <c r="AI107" s="32">
        <v>863</v>
      </c>
      <c r="AJ107" s="32">
        <v>176</v>
      </c>
      <c r="AK107" s="32">
        <v>0</v>
      </c>
      <c r="AL107" s="32">
        <v>1205</v>
      </c>
      <c r="AM107" s="32">
        <v>112</v>
      </c>
      <c r="AN107" s="32">
        <v>624</v>
      </c>
      <c r="AO107" s="32">
        <v>0</v>
      </c>
      <c r="AP107" s="32">
        <v>-2083</v>
      </c>
      <c r="AQ10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3.3670411985018727</v>
      </c>
      <c r="AR107" s="32">
        <v>823</v>
      </c>
      <c r="AS107" s="32">
        <v>251</v>
      </c>
      <c r="AT107" s="32">
        <v>534</v>
      </c>
      <c r="AU107" s="32">
        <v>579</v>
      </c>
      <c r="AV107" s="32">
        <v>9</v>
      </c>
      <c r="AW107" s="32">
        <v>112</v>
      </c>
      <c r="AX107" s="32">
        <v>0</v>
      </c>
      <c r="AY107" s="32">
        <v>0</v>
      </c>
      <c r="AZ107" s="32">
        <v>136</v>
      </c>
      <c r="BA107" s="32">
        <v>1152</v>
      </c>
      <c r="BB107" s="32">
        <v>0</v>
      </c>
      <c r="BC107" s="32">
        <v>1068</v>
      </c>
      <c r="BD107" s="34">
        <f>IFERROR(SUM(Entity_Metrics[[#This Row],[Operating surplus/(deficit) (social housing lettings)]])/SUM(Entity_Metrics[[#This Row],[Turnover from social housing lettings]]),"")</f>
        <v>0.45426535721163103</v>
      </c>
      <c r="BE107" s="32">
        <v>2359</v>
      </c>
      <c r="BF107" s="32">
        <v>5193</v>
      </c>
      <c r="BG107" s="34">
        <f>IFERROR(SUM(Entity_Metrics[[#This Row],[Operating surplus/(deficit) (overall)2]],-Entity_Metrics[[#This Row],[Gain/(loss) on disposal of fixed assets (housing properties)2]])/SUM(Entity_Metrics[[#This Row],[Turnover (overall)]]),"")</f>
        <v>0.49110101877991896</v>
      </c>
      <c r="BH107" s="32">
        <v>4864</v>
      </c>
      <c r="BI107" s="32">
        <v>863</v>
      </c>
      <c r="BJ107" s="32">
        <v>8147</v>
      </c>
      <c r="BK107" s="34">
        <f>IFERROR(SUM(Entity_Metrics[[#This Row],[Operating surplus/(deficit) (overall)3]],Entity_Metrics[[#This Row],[Share of operating surplus/(deficit) in joint ventures or associates]])/SUM(Entity_Metrics[[#This Row],[Total assets less current liabilities]]),"")</f>
        <v>5.7468276660601621E-2</v>
      </c>
      <c r="BL107" s="32">
        <v>4864</v>
      </c>
      <c r="BM107" s="32">
        <v>0</v>
      </c>
      <c r="BN107" s="32">
        <v>84638</v>
      </c>
      <c r="BO107" s="34">
        <v>0</v>
      </c>
      <c r="BP107" s="34">
        <v>0</v>
      </c>
      <c r="BQ107" s="6" t="s">
        <v>82</v>
      </c>
      <c r="BR107" s="6" t="s">
        <v>83</v>
      </c>
      <c r="BS107" s="6" t="s">
        <v>83</v>
      </c>
      <c r="BT107" s="6" t="s">
        <v>156</v>
      </c>
      <c r="BU107" s="8">
        <v>1.2488627787394371</v>
      </c>
      <c r="BV107" s="37" t="s">
        <v>690</v>
      </c>
      <c r="BW107" s="19" t="s">
        <v>264</v>
      </c>
    </row>
    <row r="108" spans="1:75" x14ac:dyDescent="0.25">
      <c r="A108" s="33" t="s">
        <v>691</v>
      </c>
      <c r="B108" s="7" t="s">
        <v>254</v>
      </c>
      <c r="C108" s="7" t="s">
        <v>81</v>
      </c>
      <c r="D10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5.5519071947891997E-2</v>
      </c>
      <c r="E108" s="32">
        <v>96673</v>
      </c>
      <c r="F108" s="32">
        <v>0</v>
      </c>
      <c r="G108" s="32">
        <v>14741</v>
      </c>
      <c r="H108" s="32">
        <v>2633</v>
      </c>
      <c r="I108" s="32">
        <v>0</v>
      </c>
      <c r="J108" s="32">
        <v>2054195</v>
      </c>
      <c r="K108" s="32">
        <v>0</v>
      </c>
      <c r="L10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2.1551816296422999E-2</v>
      </c>
      <c r="M108" s="32">
        <v>996</v>
      </c>
      <c r="N108" s="32">
        <v>12</v>
      </c>
      <c r="O108" s="32">
        <v>44986</v>
      </c>
      <c r="P108" s="32">
        <v>1785</v>
      </c>
      <c r="Q10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2.583720557602948E-3</v>
      </c>
      <c r="R108" s="32">
        <v>0</v>
      </c>
      <c r="S108" s="32">
        <v>64</v>
      </c>
      <c r="T108" s="32">
        <v>65</v>
      </c>
      <c r="U108" s="32">
        <v>44986</v>
      </c>
      <c r="V108" s="32">
        <v>68</v>
      </c>
      <c r="W108" s="32">
        <v>1785</v>
      </c>
      <c r="X108" s="32">
        <v>3089</v>
      </c>
      <c r="Y10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0.42711573146658421</v>
      </c>
      <c r="Z108" s="32">
        <v>39642</v>
      </c>
      <c r="AA108" s="32">
        <v>862269</v>
      </c>
      <c r="AB108" s="32">
        <v>24532</v>
      </c>
      <c r="AC108" s="32">
        <v>0</v>
      </c>
      <c r="AD108" s="32">
        <v>0</v>
      </c>
      <c r="AE108" s="32">
        <v>2054195</v>
      </c>
      <c r="AF108" s="32">
        <v>0</v>
      </c>
      <c r="AG10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1.8047736588237959</v>
      </c>
      <c r="AH108" s="32">
        <v>78490</v>
      </c>
      <c r="AI108" s="32">
        <v>7582</v>
      </c>
      <c r="AJ108" s="32">
        <v>9593</v>
      </c>
      <c r="AK108" s="32">
        <v>8456</v>
      </c>
      <c r="AL108" s="32">
        <v>1059</v>
      </c>
      <c r="AM108" s="32">
        <v>14741</v>
      </c>
      <c r="AN108" s="32">
        <v>40520</v>
      </c>
      <c r="AO108" s="32">
        <v>-2833</v>
      </c>
      <c r="AP108" s="32">
        <v>-41326</v>
      </c>
      <c r="AQ10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4.5585751009915532</v>
      </c>
      <c r="AR108" s="32">
        <v>58008</v>
      </c>
      <c r="AS108" s="32">
        <v>29256</v>
      </c>
      <c r="AT108" s="32">
        <v>36435</v>
      </c>
      <c r="AU108" s="32">
        <v>17766</v>
      </c>
      <c r="AV108" s="32">
        <v>1725</v>
      </c>
      <c r="AW108" s="32">
        <v>14741</v>
      </c>
      <c r="AX108" s="32">
        <v>3725</v>
      </c>
      <c r="AY108" s="32">
        <v>6052</v>
      </c>
      <c r="AZ108" s="32">
        <v>1114</v>
      </c>
      <c r="BA108" s="32">
        <v>5034</v>
      </c>
      <c r="BB108" s="32">
        <v>37165</v>
      </c>
      <c r="BC108" s="32">
        <v>46291</v>
      </c>
      <c r="BD108" s="34">
        <f>IFERROR(SUM(Entity_Metrics[[#This Row],[Operating surplus/(deficit) (social housing lettings)]])/SUM(Entity_Metrics[[#This Row],[Turnover from social housing lettings]]),"")</f>
        <v>0.26405046353818218</v>
      </c>
      <c r="BE108" s="32">
        <v>69069</v>
      </c>
      <c r="BF108" s="32">
        <v>261575</v>
      </c>
      <c r="BG108" s="34">
        <f>IFERROR(SUM(Entity_Metrics[[#This Row],[Operating surplus/(deficit) (overall)2]],-Entity_Metrics[[#This Row],[Gain/(loss) on disposal of fixed assets (housing properties)2]])/SUM(Entity_Metrics[[#This Row],[Turnover (overall)]]),"")</f>
        <v>0.21676316481312782</v>
      </c>
      <c r="BH108" s="32">
        <v>78490</v>
      </c>
      <c r="BI108" s="32">
        <v>7582</v>
      </c>
      <c r="BJ108" s="32">
        <v>327122</v>
      </c>
      <c r="BK108" s="34">
        <f>IFERROR(SUM(Entity_Metrics[[#This Row],[Operating surplus/(deficit) (overall)3]],Entity_Metrics[[#This Row],[Share of operating surplus/(deficit) in joint ventures or associates]])/SUM(Entity_Metrics[[#This Row],[Total assets less current liabilities]]),"")</f>
        <v>3.5743788668549561E-2</v>
      </c>
      <c r="BL108" s="32">
        <v>78490</v>
      </c>
      <c r="BM108" s="32">
        <v>0</v>
      </c>
      <c r="BN108" s="32">
        <v>2195906</v>
      </c>
      <c r="BO108" s="34">
        <v>0.10506940384157301</v>
      </c>
      <c r="BP108" s="34">
        <v>3.4106412005457026E-2</v>
      </c>
      <c r="BQ108" s="6" t="s">
        <v>82</v>
      </c>
      <c r="BR108" s="6" t="s">
        <v>83</v>
      </c>
      <c r="BS108" s="6" t="s">
        <v>83</v>
      </c>
      <c r="BT108" s="6" t="s">
        <v>87</v>
      </c>
      <c r="BU108" s="8">
        <v>0.96425130461279074</v>
      </c>
      <c r="BV108" s="37" t="s">
        <v>691</v>
      </c>
      <c r="BW108" s="19" t="s">
        <v>254</v>
      </c>
    </row>
    <row r="109" spans="1:75" x14ac:dyDescent="0.25">
      <c r="A109" s="33" t="s">
        <v>692</v>
      </c>
      <c r="B109" s="7" t="s">
        <v>256</v>
      </c>
      <c r="C109" s="7" t="s">
        <v>81</v>
      </c>
      <c r="D10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5.5322093461722364E-2</v>
      </c>
      <c r="E109" s="32">
        <v>0</v>
      </c>
      <c r="F109" s="32">
        <v>28279</v>
      </c>
      <c r="G109" s="32">
        <v>28645</v>
      </c>
      <c r="H109" s="32">
        <v>0</v>
      </c>
      <c r="I109" s="32">
        <v>0</v>
      </c>
      <c r="J109" s="32">
        <v>1028956</v>
      </c>
      <c r="K109" s="32">
        <v>0</v>
      </c>
      <c r="L10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3.3957961530834822E-2</v>
      </c>
      <c r="M109" s="32">
        <v>685</v>
      </c>
      <c r="N109" s="32">
        <v>0</v>
      </c>
      <c r="O109" s="32">
        <v>18776</v>
      </c>
      <c r="P109" s="32">
        <v>1396</v>
      </c>
      <c r="Q10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09" s="32">
        <v>0</v>
      </c>
      <c r="S109" s="32">
        <v>0</v>
      </c>
      <c r="T109" s="32">
        <v>0</v>
      </c>
      <c r="U109" s="32">
        <v>18776</v>
      </c>
      <c r="V109" s="32">
        <v>8</v>
      </c>
      <c r="W109" s="32">
        <v>1396</v>
      </c>
      <c r="X109" s="32">
        <v>0</v>
      </c>
      <c r="Y10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0.32074354977277941</v>
      </c>
      <c r="Z109" s="32">
        <v>12165</v>
      </c>
      <c r="AA109" s="32">
        <v>481091</v>
      </c>
      <c r="AB109" s="32">
        <v>165230</v>
      </c>
      <c r="AC109" s="32">
        <v>0</v>
      </c>
      <c r="AD109" s="32">
        <v>2005</v>
      </c>
      <c r="AE109" s="32">
        <v>1028956</v>
      </c>
      <c r="AF109" s="32">
        <v>0</v>
      </c>
      <c r="AG10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1.7457077344667524</v>
      </c>
      <c r="AH109" s="32">
        <v>34287</v>
      </c>
      <c r="AI109" s="32">
        <v>1215</v>
      </c>
      <c r="AJ109" s="32">
        <v>309</v>
      </c>
      <c r="AK109" s="32">
        <v>0</v>
      </c>
      <c r="AL109" s="32">
        <v>2299</v>
      </c>
      <c r="AM109" s="32">
        <v>28645</v>
      </c>
      <c r="AN109" s="32">
        <v>24798</v>
      </c>
      <c r="AO109" s="32">
        <v>-259</v>
      </c>
      <c r="AP109" s="32">
        <v>-17622</v>
      </c>
      <c r="AQ10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5.9993079216354346</v>
      </c>
      <c r="AR109" s="32">
        <v>28382</v>
      </c>
      <c r="AS109" s="32">
        <v>31593</v>
      </c>
      <c r="AT109" s="32">
        <v>11233</v>
      </c>
      <c r="AU109" s="32">
        <v>8239</v>
      </c>
      <c r="AV109" s="32">
        <v>658</v>
      </c>
      <c r="AW109" s="32">
        <v>28645</v>
      </c>
      <c r="AX109" s="32">
        <v>642</v>
      </c>
      <c r="AY109" s="32">
        <v>0</v>
      </c>
      <c r="AZ109" s="32">
        <v>0</v>
      </c>
      <c r="BA109" s="32">
        <v>0</v>
      </c>
      <c r="BB109" s="32">
        <v>3299</v>
      </c>
      <c r="BC109" s="32">
        <v>18784</v>
      </c>
      <c r="BD109" s="34">
        <f>IFERROR(SUM(Entity_Metrics[[#This Row],[Operating surplus/(deficit) (social housing lettings)]])/SUM(Entity_Metrics[[#This Row],[Turnover from social housing lettings]]),"")</f>
        <v>0.22964999083745649</v>
      </c>
      <c r="BE109" s="32">
        <v>31330</v>
      </c>
      <c r="BF109" s="32">
        <v>136425</v>
      </c>
      <c r="BG109" s="34">
        <f>IFERROR(SUM(Entity_Metrics[[#This Row],[Operating surplus/(deficit) (overall)2]],-Entity_Metrics[[#This Row],[Gain/(loss) on disposal of fixed assets (housing properties)2]])/SUM(Entity_Metrics[[#This Row],[Turnover (overall)]]),"")</f>
        <v>0.19162953477457223</v>
      </c>
      <c r="BH109" s="32">
        <v>34287</v>
      </c>
      <c r="BI109" s="32">
        <v>1215</v>
      </c>
      <c r="BJ109" s="32">
        <v>172583</v>
      </c>
      <c r="BK109" s="34">
        <f>IFERROR(SUM(Entity_Metrics[[#This Row],[Operating surplus/(deficit) (overall)3]],Entity_Metrics[[#This Row],[Share of operating surplus/(deficit) in joint ventures or associates]])/SUM(Entity_Metrics[[#This Row],[Total assets less current liabilities]]),"")</f>
        <v>2.7705278604223466E-2</v>
      </c>
      <c r="BL109" s="32">
        <v>34287</v>
      </c>
      <c r="BM109" s="32">
        <v>0</v>
      </c>
      <c r="BN109" s="32">
        <v>1237562</v>
      </c>
      <c r="BO109" s="34">
        <v>3.1526976384510142E-3</v>
      </c>
      <c r="BP109" s="34">
        <v>0.7892451371126048</v>
      </c>
      <c r="BQ109" s="6" t="s">
        <v>82</v>
      </c>
      <c r="BR109" s="6" t="s">
        <v>83</v>
      </c>
      <c r="BS109" s="6" t="s">
        <v>83</v>
      </c>
      <c r="BT109" s="6" t="s">
        <v>87</v>
      </c>
      <c r="BU109" s="8">
        <v>0.96970886101552134</v>
      </c>
      <c r="BV109" s="37" t="s">
        <v>692</v>
      </c>
      <c r="BW109" s="19" t="s">
        <v>256</v>
      </c>
    </row>
    <row r="110" spans="1:75" x14ac:dyDescent="0.25">
      <c r="A110" s="33" t="s">
        <v>693</v>
      </c>
      <c r="B110" s="7" t="s">
        <v>258</v>
      </c>
      <c r="C110" s="7" t="s">
        <v>81</v>
      </c>
      <c r="D11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4.2696081609475502E-2</v>
      </c>
      <c r="E110" s="32">
        <v>0</v>
      </c>
      <c r="F110" s="32">
        <v>17181</v>
      </c>
      <c r="G110" s="32">
        <v>1917</v>
      </c>
      <c r="H110" s="32">
        <v>0</v>
      </c>
      <c r="I110" s="32">
        <v>0</v>
      </c>
      <c r="J110" s="32">
        <v>0</v>
      </c>
      <c r="K110" s="32">
        <v>447301</v>
      </c>
      <c r="L11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3.8169319826338637E-2</v>
      </c>
      <c r="M110" s="32">
        <v>211</v>
      </c>
      <c r="N110" s="32">
        <v>0</v>
      </c>
      <c r="O110" s="32">
        <v>5528</v>
      </c>
      <c r="P110" s="32">
        <v>0</v>
      </c>
      <c r="Q11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0" s="32">
        <v>0</v>
      </c>
      <c r="S110" s="32">
        <v>0</v>
      </c>
      <c r="T110" s="32">
        <v>0</v>
      </c>
      <c r="U110" s="32">
        <v>5528</v>
      </c>
      <c r="V110" s="32">
        <v>78</v>
      </c>
      <c r="W110" s="32">
        <v>0</v>
      </c>
      <c r="X110" s="32">
        <v>0</v>
      </c>
      <c r="Y11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0.52148329648268166</v>
      </c>
      <c r="Z110" s="32">
        <v>0</v>
      </c>
      <c r="AA110" s="32">
        <v>290598</v>
      </c>
      <c r="AB110" s="32">
        <v>57338</v>
      </c>
      <c r="AC110" s="32">
        <v>0</v>
      </c>
      <c r="AD110" s="32">
        <v>0</v>
      </c>
      <c r="AE110" s="32">
        <v>0</v>
      </c>
      <c r="AF110" s="32">
        <v>447301</v>
      </c>
      <c r="AG11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1.5872566848521588</v>
      </c>
      <c r="AH110" s="32">
        <v>21700</v>
      </c>
      <c r="AI110" s="32">
        <v>1924</v>
      </c>
      <c r="AJ110" s="32">
        <v>0</v>
      </c>
      <c r="AK110" s="32">
        <v>0</v>
      </c>
      <c r="AL110" s="32">
        <v>296</v>
      </c>
      <c r="AM110" s="32">
        <v>1917</v>
      </c>
      <c r="AN110" s="32">
        <v>5411</v>
      </c>
      <c r="AO110" s="32">
        <v>-828</v>
      </c>
      <c r="AP110" s="32">
        <v>-14019</v>
      </c>
      <c r="AQ11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2.8722044728434506</v>
      </c>
      <c r="AR110" s="32">
        <v>6005</v>
      </c>
      <c r="AS110" s="32">
        <v>1840</v>
      </c>
      <c r="AT110" s="32">
        <v>2737</v>
      </c>
      <c r="AU110" s="32">
        <v>3058</v>
      </c>
      <c r="AV110" s="32">
        <v>0</v>
      </c>
      <c r="AW110" s="32">
        <v>1917</v>
      </c>
      <c r="AX110" s="32">
        <v>497</v>
      </c>
      <c r="AY110" s="32">
        <v>0</v>
      </c>
      <c r="AZ110" s="32">
        <v>0</v>
      </c>
      <c r="BA110" s="32">
        <v>128</v>
      </c>
      <c r="BB110" s="32">
        <v>0</v>
      </c>
      <c r="BC110" s="32">
        <v>5634</v>
      </c>
      <c r="BD110" s="34">
        <f>IFERROR(SUM(Entity_Metrics[[#This Row],[Operating surplus/(deficit) (social housing lettings)]])/SUM(Entity_Metrics[[#This Row],[Turnover from social housing lettings]]),"")</f>
        <v>0.45598710990502034</v>
      </c>
      <c r="BE110" s="32">
        <v>16131</v>
      </c>
      <c r="BF110" s="32">
        <v>35376</v>
      </c>
      <c r="BG110" s="34">
        <f>IFERROR(SUM(Entity_Metrics[[#This Row],[Operating surplus/(deficit) (overall)2]],-Entity_Metrics[[#This Row],[Gain/(loss) on disposal of fixed assets (housing properties)2]])/SUM(Entity_Metrics[[#This Row],[Turnover (overall)]]),"")</f>
        <v>0.45990697674418607</v>
      </c>
      <c r="BH110" s="32">
        <v>21700</v>
      </c>
      <c r="BI110" s="32">
        <v>1924</v>
      </c>
      <c r="BJ110" s="32">
        <v>43000</v>
      </c>
      <c r="BK110" s="34">
        <f>IFERROR(SUM(Entity_Metrics[[#This Row],[Operating surplus/(deficit) (overall)3]],Entity_Metrics[[#This Row],[Share of operating surplus/(deficit) in joint ventures or associates]])/SUM(Entity_Metrics[[#This Row],[Total assets less current liabilities]]),"")</f>
        <v>4.1045390148728066E-2</v>
      </c>
      <c r="BL110" s="32">
        <v>21700</v>
      </c>
      <c r="BM110" s="32">
        <v>0</v>
      </c>
      <c r="BN110" s="32">
        <v>528683</v>
      </c>
      <c r="BO110" s="34">
        <v>4.7627704053808395E-2</v>
      </c>
      <c r="BP110" s="34">
        <v>4.8354844573713869E-2</v>
      </c>
      <c r="BQ110" s="6" t="s">
        <v>93</v>
      </c>
      <c r="BR110" s="6">
        <v>1995</v>
      </c>
      <c r="BS110" s="6" t="s">
        <v>94</v>
      </c>
      <c r="BT110" s="6" t="s">
        <v>84</v>
      </c>
      <c r="BU110" s="8">
        <v>1.011828101234302</v>
      </c>
      <c r="BV110" s="37" t="s">
        <v>693</v>
      </c>
      <c r="BW110" s="19" t="s">
        <v>258</v>
      </c>
    </row>
    <row r="111" spans="1:75" x14ac:dyDescent="0.25">
      <c r="A111" s="33" t="s">
        <v>694</v>
      </c>
      <c r="B111" s="7" t="s">
        <v>260</v>
      </c>
      <c r="C111" s="7" t="s">
        <v>81</v>
      </c>
      <c r="D11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6.2480159841652193E-2</v>
      </c>
      <c r="E111" s="32">
        <v>5288</v>
      </c>
      <c r="F111" s="32">
        <v>0</v>
      </c>
      <c r="G111" s="32">
        <v>1381</v>
      </c>
      <c r="H111" s="32">
        <v>23</v>
      </c>
      <c r="I111" s="32">
        <v>0</v>
      </c>
      <c r="J111" s="32">
        <v>107106</v>
      </c>
      <c r="K111" s="32">
        <v>0</v>
      </c>
      <c r="L11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1.5566625155666251E-2</v>
      </c>
      <c r="M111" s="32">
        <v>25</v>
      </c>
      <c r="N111" s="32">
        <v>0</v>
      </c>
      <c r="O111" s="32">
        <v>1606</v>
      </c>
      <c r="P111" s="32">
        <v>0</v>
      </c>
      <c r="Q11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1" s="32">
        <v>0</v>
      </c>
      <c r="S111" s="32">
        <v>0</v>
      </c>
      <c r="T111" s="32">
        <v>0</v>
      </c>
      <c r="U111" s="32">
        <v>1606</v>
      </c>
      <c r="V111" s="32">
        <v>0</v>
      </c>
      <c r="W111" s="32">
        <v>0</v>
      </c>
      <c r="X111" s="32">
        <v>0</v>
      </c>
      <c r="Y11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0.51559203032509848</v>
      </c>
      <c r="Z111" s="32">
        <v>1224</v>
      </c>
      <c r="AA111" s="32">
        <v>22317</v>
      </c>
      <c r="AB111" s="32">
        <v>1639</v>
      </c>
      <c r="AC111" s="32">
        <v>0</v>
      </c>
      <c r="AD111" s="32">
        <v>33321</v>
      </c>
      <c r="AE111" s="32">
        <v>107106</v>
      </c>
      <c r="AF111" s="32">
        <v>0</v>
      </c>
      <c r="AG11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5.0531914893617023</v>
      </c>
      <c r="AH111" s="32">
        <v>4240</v>
      </c>
      <c r="AI111" s="32">
        <v>288</v>
      </c>
      <c r="AJ111" s="32">
        <v>214</v>
      </c>
      <c r="AK111" s="32">
        <v>0</v>
      </c>
      <c r="AL111" s="32">
        <v>7</v>
      </c>
      <c r="AM111" s="32">
        <v>1381</v>
      </c>
      <c r="AN111" s="32">
        <v>1436</v>
      </c>
      <c r="AO111" s="32">
        <v>-23</v>
      </c>
      <c r="AP111" s="32">
        <v>-729</v>
      </c>
      <c r="AQ11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3.6662553979025292</v>
      </c>
      <c r="AR111" s="32">
        <v>1433</v>
      </c>
      <c r="AS111" s="32">
        <v>463</v>
      </c>
      <c r="AT111" s="32">
        <v>1360</v>
      </c>
      <c r="AU111" s="32">
        <v>716</v>
      </c>
      <c r="AV111" s="32">
        <v>0</v>
      </c>
      <c r="AW111" s="32">
        <v>1381</v>
      </c>
      <c r="AX111" s="32">
        <v>534</v>
      </c>
      <c r="AY111" s="32">
        <v>0</v>
      </c>
      <c r="AZ111" s="32">
        <v>0</v>
      </c>
      <c r="BA111" s="32">
        <v>56</v>
      </c>
      <c r="BB111" s="32">
        <v>0</v>
      </c>
      <c r="BC111" s="32">
        <v>1621</v>
      </c>
      <c r="BD111" s="34">
        <f>IFERROR(SUM(Entity_Metrics[[#This Row],[Operating surplus/(deficit) (social housing lettings)]])/SUM(Entity_Metrics[[#This Row],[Turnover from social housing lettings]]),"")</f>
        <v>0.37540862596224822</v>
      </c>
      <c r="BE111" s="32">
        <v>3560</v>
      </c>
      <c r="BF111" s="32">
        <v>9483</v>
      </c>
      <c r="BG111" s="34">
        <f>IFERROR(SUM(Entity_Metrics[[#This Row],[Operating surplus/(deficit) (overall)2]],-Entity_Metrics[[#This Row],[Gain/(loss) on disposal of fixed assets (housing properties)2]])/SUM(Entity_Metrics[[#This Row],[Turnover (overall)]]),"")</f>
        <v>0.38832661884641839</v>
      </c>
      <c r="BH111" s="32">
        <v>4240</v>
      </c>
      <c r="BI111" s="32">
        <v>288</v>
      </c>
      <c r="BJ111" s="32">
        <v>10177</v>
      </c>
      <c r="BK111" s="34">
        <f>IFERROR(SUM(Entity_Metrics[[#This Row],[Operating surplus/(deficit) (overall)3]],Entity_Metrics[[#This Row],[Share of operating surplus/(deficit) in joint ventures or associates]])/SUM(Entity_Metrics[[#This Row],[Total assets less current liabilities]]),"")</f>
        <v>3.9255987926932016E-2</v>
      </c>
      <c r="BL111" s="32">
        <v>4240</v>
      </c>
      <c r="BM111" s="32">
        <v>0</v>
      </c>
      <c r="BN111" s="32">
        <v>108009</v>
      </c>
      <c r="BO111" s="34">
        <v>4.9875311720698253E-3</v>
      </c>
      <c r="BP111" s="34">
        <v>8.4788029925187039E-2</v>
      </c>
      <c r="BQ111" s="6" t="s">
        <v>82</v>
      </c>
      <c r="BR111" s="6" t="s">
        <v>83</v>
      </c>
      <c r="BS111" s="6" t="s">
        <v>83</v>
      </c>
      <c r="BT111" s="6" t="s">
        <v>100</v>
      </c>
      <c r="BU111" s="8">
        <v>1.0022399874355168</v>
      </c>
      <c r="BV111" s="37" t="s">
        <v>694</v>
      </c>
      <c r="BW111" s="19" t="s">
        <v>260</v>
      </c>
    </row>
    <row r="112" spans="1:75" x14ac:dyDescent="0.25">
      <c r="A112" s="33" t="s">
        <v>261</v>
      </c>
      <c r="B112" s="7" t="s">
        <v>262</v>
      </c>
      <c r="C112" s="7" t="s">
        <v>81</v>
      </c>
      <c r="D11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7.0085876830560903E-2</v>
      </c>
      <c r="E112" s="32">
        <v>6166</v>
      </c>
      <c r="F112" s="32">
        <v>0</v>
      </c>
      <c r="G112" s="32">
        <v>232</v>
      </c>
      <c r="H112" s="32">
        <v>82</v>
      </c>
      <c r="I112" s="32">
        <v>0</v>
      </c>
      <c r="J112" s="32">
        <v>92458</v>
      </c>
      <c r="K112" s="32">
        <v>0</v>
      </c>
      <c r="L11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4.6677215189873417E-2</v>
      </c>
      <c r="M112" s="32">
        <v>59</v>
      </c>
      <c r="N112" s="32">
        <v>0</v>
      </c>
      <c r="O112" s="32">
        <v>1252</v>
      </c>
      <c r="P112" s="32">
        <v>12</v>
      </c>
      <c r="Q11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2" s="32">
        <v>0</v>
      </c>
      <c r="S112" s="32">
        <v>0</v>
      </c>
      <c r="T112" s="32">
        <v>0</v>
      </c>
      <c r="U112" s="32">
        <v>1252</v>
      </c>
      <c r="V112" s="32">
        <v>0</v>
      </c>
      <c r="W112" s="32">
        <v>12</v>
      </c>
      <c r="X112" s="32">
        <v>0</v>
      </c>
      <c r="Y11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0.45284345324363495</v>
      </c>
      <c r="Z112" s="32">
        <v>1437</v>
      </c>
      <c r="AA112" s="32">
        <v>49554</v>
      </c>
      <c r="AB112" s="32">
        <v>9122</v>
      </c>
      <c r="AC112" s="32">
        <v>0</v>
      </c>
      <c r="AD112" s="32">
        <v>0</v>
      </c>
      <c r="AE112" s="32">
        <v>92458</v>
      </c>
      <c r="AF112" s="32">
        <v>0</v>
      </c>
      <c r="AG11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2.250892857142857</v>
      </c>
      <c r="AH112" s="32">
        <v>3916</v>
      </c>
      <c r="AI112" s="32">
        <v>15</v>
      </c>
      <c r="AJ112" s="32">
        <v>17</v>
      </c>
      <c r="AK112" s="32">
        <v>0</v>
      </c>
      <c r="AL112" s="32">
        <v>22</v>
      </c>
      <c r="AM112" s="32">
        <v>232</v>
      </c>
      <c r="AN112" s="32">
        <v>1368</v>
      </c>
      <c r="AO112" s="32">
        <v>-82</v>
      </c>
      <c r="AP112" s="32">
        <v>-2158</v>
      </c>
      <c r="AQ11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2.4935714285714288</v>
      </c>
      <c r="AR112" s="32">
        <v>1316</v>
      </c>
      <c r="AS112" s="32">
        <v>727</v>
      </c>
      <c r="AT112" s="32">
        <v>973</v>
      </c>
      <c r="AU112" s="32">
        <v>67</v>
      </c>
      <c r="AV112" s="32">
        <v>0</v>
      </c>
      <c r="AW112" s="32">
        <v>232</v>
      </c>
      <c r="AX112" s="32">
        <v>176</v>
      </c>
      <c r="AY112" s="32">
        <v>0</v>
      </c>
      <c r="AZ112" s="32">
        <v>0</v>
      </c>
      <c r="BA112" s="32">
        <v>0</v>
      </c>
      <c r="BB112" s="32">
        <v>0</v>
      </c>
      <c r="BC112" s="32">
        <v>1400</v>
      </c>
      <c r="BD112" s="34">
        <f>IFERROR(SUM(Entity_Metrics[[#This Row],[Operating surplus/(deficit) (social housing lettings)]])/SUM(Entity_Metrics[[#This Row],[Turnover from social housing lettings]]),"")</f>
        <v>0.37089266155531214</v>
      </c>
      <c r="BE112" s="32">
        <v>2709</v>
      </c>
      <c r="BF112" s="32">
        <v>7304</v>
      </c>
      <c r="BG112" s="34">
        <f>IFERROR(SUM(Entity_Metrics[[#This Row],[Operating surplus/(deficit) (overall)2]],-Entity_Metrics[[#This Row],[Gain/(loss) on disposal of fixed assets (housing properties)2]])/SUM(Entity_Metrics[[#This Row],[Turnover (overall)]]),"")</f>
        <v>0.40899559656112394</v>
      </c>
      <c r="BH112" s="32">
        <v>3916</v>
      </c>
      <c r="BI112" s="32">
        <v>15</v>
      </c>
      <c r="BJ112" s="32">
        <v>9538</v>
      </c>
      <c r="BK112" s="34">
        <f>IFERROR(SUM(Entity_Metrics[[#This Row],[Operating surplus/(deficit) (overall)3]],Entity_Metrics[[#This Row],[Share of operating surplus/(deficit) in joint ventures or associates]])/SUM(Entity_Metrics[[#This Row],[Total assets less current liabilities]]),"")</f>
        <v>3.9604058597740598E-2</v>
      </c>
      <c r="BL112" s="32">
        <v>3916</v>
      </c>
      <c r="BM112" s="32">
        <v>77</v>
      </c>
      <c r="BN112" s="32">
        <v>100823</v>
      </c>
      <c r="BO112" s="34">
        <v>0</v>
      </c>
      <c r="BP112" s="34">
        <v>0</v>
      </c>
      <c r="BQ112" s="6" t="s">
        <v>82</v>
      </c>
      <c r="BR112" s="6" t="s">
        <v>83</v>
      </c>
      <c r="BS112" s="6" t="s">
        <v>83</v>
      </c>
      <c r="BT112" s="6" t="s">
        <v>100</v>
      </c>
      <c r="BU112" s="8">
        <v>1.0022399874355168</v>
      </c>
      <c r="BV112" s="37" t="s">
        <v>261</v>
      </c>
      <c r="BW112" s="19" t="s">
        <v>262</v>
      </c>
    </row>
    <row r="113" spans="1:75" x14ac:dyDescent="0.25">
      <c r="A113" s="33" t="s">
        <v>690</v>
      </c>
      <c r="B113" s="7" t="s">
        <v>264</v>
      </c>
      <c r="C113" s="7" t="s">
        <v>81</v>
      </c>
      <c r="D11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6.6649847867534279E-2</v>
      </c>
      <c r="E113" s="32">
        <v>142308</v>
      </c>
      <c r="F113" s="32">
        <v>0</v>
      </c>
      <c r="G113" s="32">
        <v>16894</v>
      </c>
      <c r="H113" s="32">
        <v>6708</v>
      </c>
      <c r="I113" s="32">
        <v>0</v>
      </c>
      <c r="J113" s="32">
        <v>2489278</v>
      </c>
      <c r="K113" s="32">
        <v>0</v>
      </c>
      <c r="L11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3.1802517231045851E-2</v>
      </c>
      <c r="M113" s="32">
        <v>849</v>
      </c>
      <c r="N113" s="32">
        <v>0</v>
      </c>
      <c r="O113" s="32">
        <v>26696</v>
      </c>
      <c r="P113" s="32">
        <v>0</v>
      </c>
      <c r="Q11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2.5340005132152938E-3</v>
      </c>
      <c r="R113" s="32">
        <v>0</v>
      </c>
      <c r="S113" s="32">
        <v>79</v>
      </c>
      <c r="T113" s="32">
        <v>0</v>
      </c>
      <c r="U113" s="32">
        <v>26696</v>
      </c>
      <c r="V113" s="32">
        <v>424</v>
      </c>
      <c r="W113" s="32">
        <v>0</v>
      </c>
      <c r="X113" s="32">
        <v>4056</v>
      </c>
      <c r="Y11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0.49382029648757592</v>
      </c>
      <c r="Z113" s="32">
        <v>58101</v>
      </c>
      <c r="AA113" s="32">
        <v>1003291</v>
      </c>
      <c r="AB113" s="32">
        <v>51511</v>
      </c>
      <c r="AC113" s="32">
        <v>219375</v>
      </c>
      <c r="AD113" s="32">
        <v>0</v>
      </c>
      <c r="AE113" s="32">
        <v>2489278</v>
      </c>
      <c r="AF113" s="32">
        <v>0</v>
      </c>
      <c r="AG11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0.56424722567951291</v>
      </c>
      <c r="AH113" s="32">
        <v>133138</v>
      </c>
      <c r="AI113" s="32">
        <v>70167</v>
      </c>
      <c r="AJ113" s="32">
        <v>10164</v>
      </c>
      <c r="AK113" s="32">
        <v>0</v>
      </c>
      <c r="AL113" s="32">
        <v>5365</v>
      </c>
      <c r="AM113" s="32">
        <v>16364</v>
      </c>
      <c r="AN113" s="32">
        <v>33901</v>
      </c>
      <c r="AO113" s="32">
        <v>-6708</v>
      </c>
      <c r="AP113" s="32">
        <v>-127469</v>
      </c>
      <c r="AQ11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3.7996465584376686</v>
      </c>
      <c r="AR113" s="32">
        <v>33829</v>
      </c>
      <c r="AS113" s="32">
        <v>16779</v>
      </c>
      <c r="AT113" s="32">
        <v>15308</v>
      </c>
      <c r="AU113" s="32">
        <v>10487</v>
      </c>
      <c r="AV113" s="32">
        <v>2285</v>
      </c>
      <c r="AW113" s="32">
        <v>16364</v>
      </c>
      <c r="AX113" s="32">
        <v>24</v>
      </c>
      <c r="AY113" s="32">
        <v>0</v>
      </c>
      <c r="AZ113" s="32">
        <v>2342</v>
      </c>
      <c r="BA113" s="32">
        <v>29437</v>
      </c>
      <c r="BB113" s="32">
        <v>0</v>
      </c>
      <c r="BC113" s="32">
        <v>33386</v>
      </c>
      <c r="BD113" s="34">
        <f>IFERROR(SUM(Entity_Metrics[[#This Row],[Operating surplus/(deficit) (social housing lettings)]])/SUM(Entity_Metrics[[#This Row],[Turnover from social housing lettings]]),"")</f>
        <v>0.34497558881914264</v>
      </c>
      <c r="BE113" s="32">
        <v>57870</v>
      </c>
      <c r="BF113" s="32">
        <v>167751</v>
      </c>
      <c r="BG113" s="34">
        <f>IFERROR(SUM(Entity_Metrics[[#This Row],[Operating surplus/(deficit) (overall)2]],-Entity_Metrics[[#This Row],[Gain/(loss) on disposal of fixed assets (housing properties)2]])/SUM(Entity_Metrics[[#This Row],[Turnover (overall)]]),"")</f>
        <v>0.25977706638504316</v>
      </c>
      <c r="BH113" s="32">
        <v>133138</v>
      </c>
      <c r="BI113" s="32">
        <v>70167</v>
      </c>
      <c r="BJ113" s="32">
        <v>242404</v>
      </c>
      <c r="BK113" s="34">
        <f>IFERROR(SUM(Entity_Metrics[[#This Row],[Operating surplus/(deficit) (overall)3]],Entity_Metrics[[#This Row],[Share of operating surplus/(deficit) in joint ventures or associates]])/SUM(Entity_Metrics[[#This Row],[Total assets less current liabilities]]),"")</f>
        <v>4.9866081678378041E-2</v>
      </c>
      <c r="BL113" s="32">
        <v>133138</v>
      </c>
      <c r="BM113" s="32">
        <v>0</v>
      </c>
      <c r="BN113" s="32">
        <v>2669911</v>
      </c>
      <c r="BO113" s="34">
        <v>7.1709306637004075E-2</v>
      </c>
      <c r="BP113" s="34">
        <v>2.146829810901001E-2</v>
      </c>
      <c r="BQ113" s="6" t="s">
        <v>82</v>
      </c>
      <c r="BR113" s="6" t="s">
        <v>83</v>
      </c>
      <c r="BS113" s="6" t="s">
        <v>83</v>
      </c>
      <c r="BT113" s="6" t="s">
        <v>156</v>
      </c>
      <c r="BU113" s="8">
        <v>1.1294588057918478</v>
      </c>
      <c r="BV113" s="37" t="s">
        <v>690</v>
      </c>
      <c r="BW113" s="19" t="s">
        <v>264</v>
      </c>
    </row>
    <row r="114" spans="1:75" x14ac:dyDescent="0.25">
      <c r="A114" s="33" t="s">
        <v>695</v>
      </c>
      <c r="B114" s="7" t="s">
        <v>696</v>
      </c>
      <c r="C114" s="7" t="s">
        <v>81</v>
      </c>
      <c r="D11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2.1603964856949764E-2</v>
      </c>
      <c r="E114" s="32">
        <v>0</v>
      </c>
      <c r="F114" s="32">
        <v>0</v>
      </c>
      <c r="G114" s="32">
        <v>1918</v>
      </c>
      <c r="H114" s="32">
        <v>0</v>
      </c>
      <c r="I114" s="32">
        <v>0</v>
      </c>
      <c r="J114" s="32">
        <v>88780</v>
      </c>
      <c r="K114" s="32">
        <v>0</v>
      </c>
      <c r="L11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14" s="32">
        <v>0</v>
      </c>
      <c r="N114" s="32">
        <v>0</v>
      </c>
      <c r="O114" s="32">
        <v>2286</v>
      </c>
      <c r="P114" s="32">
        <v>0</v>
      </c>
      <c r="Q11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4" s="32">
        <v>0</v>
      </c>
      <c r="S114" s="32">
        <v>0</v>
      </c>
      <c r="T114" s="32">
        <v>0</v>
      </c>
      <c r="U114" s="32">
        <v>2286</v>
      </c>
      <c r="V114" s="32">
        <v>0</v>
      </c>
      <c r="W114" s="32">
        <v>0</v>
      </c>
      <c r="X114" s="32">
        <v>916</v>
      </c>
      <c r="Y11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0.58895021401216485</v>
      </c>
      <c r="Z114" s="32">
        <v>0</v>
      </c>
      <c r="AA114" s="32">
        <v>60332</v>
      </c>
      <c r="AB114" s="32">
        <v>8045</v>
      </c>
      <c r="AC114" s="32">
        <v>0</v>
      </c>
      <c r="AD114" s="32">
        <v>0</v>
      </c>
      <c r="AE114" s="32">
        <v>88780</v>
      </c>
      <c r="AF114" s="32">
        <v>0</v>
      </c>
      <c r="AG11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1.2036140690545338</v>
      </c>
      <c r="AH114" s="32">
        <v>4483</v>
      </c>
      <c r="AI114" s="32">
        <v>951</v>
      </c>
      <c r="AJ114" s="32">
        <v>162</v>
      </c>
      <c r="AK114" s="32">
        <v>0</v>
      </c>
      <c r="AL114" s="32">
        <v>1075</v>
      </c>
      <c r="AM114" s="32">
        <v>1751</v>
      </c>
      <c r="AN114" s="32">
        <v>1036</v>
      </c>
      <c r="AO114" s="32">
        <v>0</v>
      </c>
      <c r="AP114" s="32">
        <v>-3099</v>
      </c>
      <c r="AQ11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5.8805774278215219</v>
      </c>
      <c r="AR114" s="32">
        <v>3988</v>
      </c>
      <c r="AS114" s="32">
        <v>1696</v>
      </c>
      <c r="AT114" s="32">
        <v>1638</v>
      </c>
      <c r="AU114" s="32">
        <v>1313</v>
      </c>
      <c r="AV114" s="32">
        <v>270</v>
      </c>
      <c r="AW114" s="32">
        <v>1751</v>
      </c>
      <c r="AX114" s="32">
        <v>0</v>
      </c>
      <c r="AY114" s="32">
        <v>0</v>
      </c>
      <c r="AZ114" s="32">
        <v>38</v>
      </c>
      <c r="BA114" s="32">
        <v>2749</v>
      </c>
      <c r="BB114" s="32">
        <v>0</v>
      </c>
      <c r="BC114" s="32">
        <v>2286</v>
      </c>
      <c r="BD114" s="34">
        <f>IFERROR(SUM(Entity_Metrics[[#This Row],[Operating surplus/(deficit) (social housing lettings)]])/SUM(Entity_Metrics[[#This Row],[Turnover from social housing lettings]]),"")</f>
        <v>0.3431186662307944</v>
      </c>
      <c r="BE114" s="32">
        <v>5248</v>
      </c>
      <c r="BF114" s="32">
        <v>15295</v>
      </c>
      <c r="BG114" s="34">
        <f>IFERROR(SUM(Entity_Metrics[[#This Row],[Operating surplus/(deficit) (overall)2]],-Entity_Metrics[[#This Row],[Gain/(loss) on disposal of fixed assets (housing properties)2]])/SUM(Entity_Metrics[[#This Row],[Turnover (overall)]]),"")</f>
        <v>0.21475041040919315</v>
      </c>
      <c r="BH114" s="32">
        <v>4483</v>
      </c>
      <c r="BI114" s="32">
        <v>951</v>
      </c>
      <c r="BJ114" s="32">
        <v>16447</v>
      </c>
      <c r="BK114" s="34">
        <f>IFERROR(SUM(Entity_Metrics[[#This Row],[Operating surplus/(deficit) (overall)3]],Entity_Metrics[[#This Row],[Share of operating surplus/(deficit) in joint ventures or associates]])/SUM(Entity_Metrics[[#This Row],[Total assets less current liabilities]]),"")</f>
        <v>3.5510879811157844E-2</v>
      </c>
      <c r="BL114" s="32">
        <v>4483</v>
      </c>
      <c r="BM114" s="32">
        <v>0</v>
      </c>
      <c r="BN114" s="32">
        <v>126243</v>
      </c>
      <c r="BO114" s="34">
        <v>0</v>
      </c>
      <c r="BP114" s="34">
        <v>1.8453427065026361E-2</v>
      </c>
      <c r="BQ114" s="6" t="s">
        <v>93</v>
      </c>
      <c r="BR114" s="6">
        <v>1999</v>
      </c>
      <c r="BS114" s="6" t="s">
        <v>94</v>
      </c>
      <c r="BT114" s="6" t="s">
        <v>156</v>
      </c>
      <c r="BU114" s="8">
        <v>1.2488627787394371</v>
      </c>
      <c r="BV114" s="37" t="s">
        <v>690</v>
      </c>
      <c r="BW114" s="19" t="s">
        <v>264</v>
      </c>
    </row>
    <row r="115" spans="1:75" x14ac:dyDescent="0.25">
      <c r="A115" s="33" t="s">
        <v>697</v>
      </c>
      <c r="B115" s="7" t="s">
        <v>698</v>
      </c>
      <c r="C115" s="7" t="s">
        <v>81</v>
      </c>
      <c r="D11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2.0690355329949239E-2</v>
      </c>
      <c r="E115" s="32">
        <v>0</v>
      </c>
      <c r="F115" s="32">
        <v>0</v>
      </c>
      <c r="G115" s="32">
        <v>1019</v>
      </c>
      <c r="H115" s="32">
        <v>0</v>
      </c>
      <c r="I115" s="32">
        <v>0</v>
      </c>
      <c r="J115" s="32">
        <v>49250</v>
      </c>
      <c r="K115" s="32">
        <v>0</v>
      </c>
      <c r="L11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15" s="32">
        <v>0</v>
      </c>
      <c r="N115" s="32">
        <v>0</v>
      </c>
      <c r="O115" s="32">
        <v>3096</v>
      </c>
      <c r="P115" s="32">
        <v>0</v>
      </c>
      <c r="Q11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5" s="32">
        <v>0</v>
      </c>
      <c r="S115" s="32">
        <v>0</v>
      </c>
      <c r="T115" s="32">
        <v>0</v>
      </c>
      <c r="U115" s="32">
        <v>3096</v>
      </c>
      <c r="V115" s="32">
        <v>0</v>
      </c>
      <c r="W115" s="32">
        <v>0</v>
      </c>
      <c r="X115" s="32">
        <v>0</v>
      </c>
      <c r="Y11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0.36475126903553301</v>
      </c>
      <c r="Z115" s="32">
        <v>0</v>
      </c>
      <c r="AA115" s="32">
        <v>27500</v>
      </c>
      <c r="AB115" s="32">
        <v>9945</v>
      </c>
      <c r="AC115" s="32">
        <v>409</v>
      </c>
      <c r="AD115" s="32">
        <v>0</v>
      </c>
      <c r="AE115" s="32">
        <v>49250</v>
      </c>
      <c r="AF115" s="32">
        <v>0</v>
      </c>
      <c r="AG11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5.4460059171597637</v>
      </c>
      <c r="AH115" s="32">
        <v>5901</v>
      </c>
      <c r="AI115" s="32">
        <v>171</v>
      </c>
      <c r="AJ115" s="32">
        <v>68</v>
      </c>
      <c r="AK115" s="32">
        <v>0</v>
      </c>
      <c r="AL115" s="32">
        <v>460</v>
      </c>
      <c r="AM115" s="32">
        <v>1019</v>
      </c>
      <c r="AN115" s="32">
        <v>2260</v>
      </c>
      <c r="AO115" s="32">
        <v>0</v>
      </c>
      <c r="AP115" s="32">
        <v>-1352</v>
      </c>
      <c r="AQ11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3.0208203853325046</v>
      </c>
      <c r="AR115" s="32">
        <v>3297</v>
      </c>
      <c r="AS115" s="32">
        <v>774</v>
      </c>
      <c r="AT115" s="32">
        <v>2311</v>
      </c>
      <c r="AU115" s="32">
        <v>2120</v>
      </c>
      <c r="AV115" s="32">
        <v>0</v>
      </c>
      <c r="AW115" s="32">
        <v>1019</v>
      </c>
      <c r="AX115" s="32">
        <v>0</v>
      </c>
      <c r="AY115" s="32">
        <v>4</v>
      </c>
      <c r="AZ115" s="32">
        <v>0</v>
      </c>
      <c r="BA115" s="32">
        <v>0</v>
      </c>
      <c r="BB115" s="32">
        <v>196</v>
      </c>
      <c r="BC115" s="32">
        <v>3218</v>
      </c>
      <c r="BD115" s="34">
        <f>IFERROR(SUM(Entity_Metrics[[#This Row],[Operating surplus/(deficit) (social housing lettings)]])/SUM(Entity_Metrics[[#This Row],[Turnover from social housing lettings]]),"")</f>
        <v>0.13887783525666533</v>
      </c>
      <c r="BE115" s="32">
        <v>1745</v>
      </c>
      <c r="BF115" s="32">
        <v>12565</v>
      </c>
      <c r="BG115" s="34">
        <f>IFERROR(SUM(Entity_Metrics[[#This Row],[Operating surplus/(deficit) (overall)2]],-Entity_Metrics[[#This Row],[Gain/(loss) on disposal of fixed assets (housing properties)2]])/SUM(Entity_Metrics[[#This Row],[Turnover (overall)]]),"")</f>
        <v>0.32163906820095423</v>
      </c>
      <c r="BH115" s="32">
        <v>5901</v>
      </c>
      <c r="BI115" s="32">
        <v>171</v>
      </c>
      <c r="BJ115" s="32">
        <v>17815</v>
      </c>
      <c r="BK115" s="34">
        <f>IFERROR(SUM(Entity_Metrics[[#This Row],[Operating surplus/(deficit) (overall)3]],Entity_Metrics[[#This Row],[Share of operating surplus/(deficit) in joint ventures or associates]])/SUM(Entity_Metrics[[#This Row],[Total assets less current liabilities]]),"")</f>
        <v>9.6472011509285902E-2</v>
      </c>
      <c r="BL115" s="32">
        <v>5901</v>
      </c>
      <c r="BM115" s="32">
        <v>0</v>
      </c>
      <c r="BN115" s="32">
        <v>61168</v>
      </c>
      <c r="BO115" s="34">
        <v>0</v>
      </c>
      <c r="BP115" s="34">
        <v>0.36304909560723514</v>
      </c>
      <c r="BQ115" s="6" t="s">
        <v>93</v>
      </c>
      <c r="BR115" s="6">
        <v>2006</v>
      </c>
      <c r="BS115" s="6" t="s">
        <v>94</v>
      </c>
      <c r="BT115" s="6" t="s">
        <v>105</v>
      </c>
      <c r="BU115" s="8">
        <v>0.9156653862445665</v>
      </c>
      <c r="BV115" s="37">
        <v>4649</v>
      </c>
      <c r="BW115" s="19" t="s">
        <v>620</v>
      </c>
    </row>
    <row r="116" spans="1:75" x14ac:dyDescent="0.25">
      <c r="A116" s="33" t="s">
        <v>265</v>
      </c>
      <c r="B116" s="7" t="s">
        <v>266</v>
      </c>
      <c r="C116" s="7" t="s">
        <v>134</v>
      </c>
      <c r="D11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3.6842478881238018E-2</v>
      </c>
      <c r="E116" s="32">
        <v>4261</v>
      </c>
      <c r="F116" s="32">
        <v>0</v>
      </c>
      <c r="G116" s="32">
        <v>1448</v>
      </c>
      <c r="H116" s="32">
        <v>0</v>
      </c>
      <c r="I116" s="32">
        <v>0</v>
      </c>
      <c r="J116" s="32">
        <v>154957</v>
      </c>
      <c r="K116" s="32">
        <v>0</v>
      </c>
      <c r="L11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1.2066365007541479E-2</v>
      </c>
      <c r="M116" s="32">
        <v>32</v>
      </c>
      <c r="N116" s="32">
        <v>0</v>
      </c>
      <c r="O116" s="32">
        <v>2652</v>
      </c>
      <c r="P116" s="32">
        <v>0</v>
      </c>
      <c r="Q11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1.5082956259426848E-3</v>
      </c>
      <c r="R116" s="32">
        <v>0</v>
      </c>
      <c r="S116" s="32">
        <v>0</v>
      </c>
      <c r="T116" s="32">
        <v>4</v>
      </c>
      <c r="U116" s="32">
        <v>2652</v>
      </c>
      <c r="V116" s="32">
        <v>0</v>
      </c>
      <c r="W116" s="32">
        <v>0</v>
      </c>
      <c r="X116" s="32">
        <v>0</v>
      </c>
      <c r="Y11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0.42895771084881612</v>
      </c>
      <c r="Z116" s="32">
        <v>2285</v>
      </c>
      <c r="AA116" s="32">
        <v>65017</v>
      </c>
      <c r="AB116" s="32">
        <v>2108</v>
      </c>
      <c r="AC116" s="32">
        <v>0</v>
      </c>
      <c r="AD116" s="32">
        <v>1276</v>
      </c>
      <c r="AE116" s="32">
        <v>154957</v>
      </c>
      <c r="AF116" s="32">
        <v>0</v>
      </c>
      <c r="AG11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0.16037420648179085</v>
      </c>
      <c r="AH116" s="32">
        <v>-25</v>
      </c>
      <c r="AI116" s="32">
        <v>0</v>
      </c>
      <c r="AJ116" s="32">
        <v>810</v>
      </c>
      <c r="AK116" s="32">
        <v>0</v>
      </c>
      <c r="AL116" s="32">
        <v>1</v>
      </c>
      <c r="AM116" s="32">
        <v>1448</v>
      </c>
      <c r="AN116" s="32">
        <v>2762</v>
      </c>
      <c r="AO116" s="32">
        <v>0</v>
      </c>
      <c r="AP116" s="32">
        <v>-2993</v>
      </c>
      <c r="AQ11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4.2881234302116971</v>
      </c>
      <c r="AR116" s="32">
        <v>4196</v>
      </c>
      <c r="AS116" s="32">
        <v>799</v>
      </c>
      <c r="AT116" s="32">
        <v>2049</v>
      </c>
      <c r="AU116" s="32">
        <v>1021</v>
      </c>
      <c r="AV116" s="32">
        <v>11</v>
      </c>
      <c r="AW116" s="32">
        <v>1448</v>
      </c>
      <c r="AX116" s="32">
        <v>0</v>
      </c>
      <c r="AY116" s="32">
        <v>1682</v>
      </c>
      <c r="AZ116" s="32">
        <v>0</v>
      </c>
      <c r="BA116" s="32">
        <v>745</v>
      </c>
      <c r="BB116" s="32">
        <v>0</v>
      </c>
      <c r="BC116" s="32">
        <v>2787</v>
      </c>
      <c r="BD116" s="34">
        <f>IFERROR(SUM(Entity_Metrics[[#This Row],[Operating surplus/(deficit) (social housing lettings)]])/SUM(Entity_Metrics[[#This Row],[Turnover from social housing lettings]]),"")</f>
        <v>0.29451515549140533</v>
      </c>
      <c r="BE116" s="32">
        <v>4489</v>
      </c>
      <c r="BF116" s="32">
        <v>15242</v>
      </c>
      <c r="BG116" s="34">
        <f>IFERROR(SUM(Entity_Metrics[[#This Row],[Operating surplus/(deficit) (overall)2]],-Entity_Metrics[[#This Row],[Gain/(loss) on disposal of fixed assets (housing properties)2]])/SUM(Entity_Metrics[[#This Row],[Turnover (overall)]]),"")</f>
        <v>-1.4311065315702101E-3</v>
      </c>
      <c r="BH116" s="32">
        <v>-25</v>
      </c>
      <c r="BI116" s="32">
        <v>0</v>
      </c>
      <c r="BJ116" s="32">
        <v>17469</v>
      </c>
      <c r="BK116" s="34">
        <f>IFERROR(SUM(Entity_Metrics[[#This Row],[Operating surplus/(deficit) (overall)3]],Entity_Metrics[[#This Row],[Share of operating surplus/(deficit) in joint ventures or associates]])/SUM(Entity_Metrics[[#This Row],[Total assets less current liabilities]]),"")</f>
        <v>-1.6265452179570593E-4</v>
      </c>
      <c r="BL116" s="32">
        <v>-25</v>
      </c>
      <c r="BM116" s="32">
        <v>0</v>
      </c>
      <c r="BN116" s="32">
        <v>153700</v>
      </c>
      <c r="BO116" s="34">
        <v>0.1169709263015551</v>
      </c>
      <c r="BP116" s="34">
        <v>3.1440162271805273E-2</v>
      </c>
      <c r="BQ116" s="6" t="s">
        <v>82</v>
      </c>
      <c r="BR116" s="6" t="s">
        <v>83</v>
      </c>
      <c r="BS116" s="6" t="s">
        <v>83</v>
      </c>
      <c r="BT116" s="6" t="s">
        <v>105</v>
      </c>
      <c r="BU116" s="8">
        <v>0.9156653862445665</v>
      </c>
      <c r="BV116" s="37" t="s">
        <v>265</v>
      </c>
      <c r="BW116" s="19" t="s">
        <v>266</v>
      </c>
    </row>
    <row r="117" spans="1:75" x14ac:dyDescent="0.25">
      <c r="A117" s="33" t="s">
        <v>267</v>
      </c>
      <c r="B117" s="7" t="s">
        <v>268</v>
      </c>
      <c r="C117" s="7" t="s">
        <v>81</v>
      </c>
      <c r="D11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0.15939597315436241</v>
      </c>
      <c r="E117" s="32">
        <v>0</v>
      </c>
      <c r="F117" s="32">
        <v>190</v>
      </c>
      <c r="G117" s="32">
        <v>0</v>
      </c>
      <c r="H117" s="32">
        <v>0</v>
      </c>
      <c r="I117" s="32">
        <v>0</v>
      </c>
      <c r="J117" s="32">
        <v>1192</v>
      </c>
      <c r="K117" s="32">
        <v>0</v>
      </c>
      <c r="L11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0.14853672004417448</v>
      </c>
      <c r="M117" s="32">
        <v>269</v>
      </c>
      <c r="N117" s="32">
        <v>269</v>
      </c>
      <c r="O117" s="32">
        <v>1814</v>
      </c>
      <c r="P117" s="32">
        <v>1808</v>
      </c>
      <c r="Q11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7" s="32">
        <v>0</v>
      </c>
      <c r="S117" s="32">
        <v>0</v>
      </c>
      <c r="T117" s="32">
        <v>0</v>
      </c>
      <c r="U117" s="32">
        <v>1814</v>
      </c>
      <c r="V117" s="32">
        <v>0</v>
      </c>
      <c r="W117" s="32">
        <v>1808</v>
      </c>
      <c r="X117" s="32">
        <v>0</v>
      </c>
      <c r="Y11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-3.651006711409396</v>
      </c>
      <c r="Z117" s="32">
        <v>30</v>
      </c>
      <c r="AA117" s="32">
        <v>397</v>
      </c>
      <c r="AB117" s="32">
        <v>4779</v>
      </c>
      <c r="AC117" s="32">
        <v>0</v>
      </c>
      <c r="AD117" s="32">
        <v>0</v>
      </c>
      <c r="AE117" s="32">
        <v>1192</v>
      </c>
      <c r="AF117" s="32">
        <v>0</v>
      </c>
      <c r="AG11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62.185185185185183</v>
      </c>
      <c r="AH117" s="32">
        <v>1592</v>
      </c>
      <c r="AI117" s="32">
        <v>0</v>
      </c>
      <c r="AJ117" s="32">
        <v>0</v>
      </c>
      <c r="AK117" s="32">
        <v>0</v>
      </c>
      <c r="AL117" s="32">
        <v>19</v>
      </c>
      <c r="AM117" s="32">
        <v>0</v>
      </c>
      <c r="AN117" s="32">
        <v>68</v>
      </c>
      <c r="AO117" s="32">
        <v>0</v>
      </c>
      <c r="AP117" s="32">
        <v>-27</v>
      </c>
      <c r="AQ11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11.013230429988974</v>
      </c>
      <c r="AR117" s="32">
        <v>2231</v>
      </c>
      <c r="AS117" s="32">
        <v>1497</v>
      </c>
      <c r="AT117" s="32">
        <v>664</v>
      </c>
      <c r="AU117" s="32">
        <v>325</v>
      </c>
      <c r="AV117" s="32">
        <v>558</v>
      </c>
      <c r="AW117" s="32">
        <v>0</v>
      </c>
      <c r="AX117" s="32">
        <v>14703</v>
      </c>
      <c r="AY117" s="32">
        <v>0</v>
      </c>
      <c r="AZ117" s="32">
        <v>0</v>
      </c>
      <c r="BA117" s="32">
        <v>0</v>
      </c>
      <c r="BB117" s="32">
        <v>0</v>
      </c>
      <c r="BC117" s="32">
        <v>1814</v>
      </c>
      <c r="BD117" s="34">
        <f>IFERROR(SUM(Entity_Metrics[[#This Row],[Operating surplus/(deficit) (social housing lettings)]])/SUM(Entity_Metrics[[#This Row],[Turnover from social housing lettings]]),"")</f>
        <v>7.3673006617613029E-2</v>
      </c>
      <c r="BE117" s="32">
        <v>1592</v>
      </c>
      <c r="BF117" s="32">
        <v>21609</v>
      </c>
      <c r="BG117" s="34">
        <f>IFERROR(SUM(Entity_Metrics[[#This Row],[Operating surplus/(deficit) (overall)2]],-Entity_Metrics[[#This Row],[Gain/(loss) on disposal of fixed assets (housing properties)2]])/SUM(Entity_Metrics[[#This Row],[Turnover (overall)]]),"")</f>
        <v>7.3673006617613029E-2</v>
      </c>
      <c r="BH117" s="32">
        <v>1592</v>
      </c>
      <c r="BI117" s="32">
        <v>0</v>
      </c>
      <c r="BJ117" s="32">
        <v>21609</v>
      </c>
      <c r="BK117" s="34">
        <f>IFERROR(SUM(Entity_Metrics[[#This Row],[Operating surplus/(deficit) (overall)3]],Entity_Metrics[[#This Row],[Share of operating surplus/(deficit) in joint ventures or associates]])/SUM(Entity_Metrics[[#This Row],[Total assets less current liabilities]]),"")</f>
        <v>0.28107344632768361</v>
      </c>
      <c r="BL117" s="32">
        <v>1592</v>
      </c>
      <c r="BM117" s="32">
        <v>0</v>
      </c>
      <c r="BN117" s="32">
        <v>5664</v>
      </c>
      <c r="BO117" s="34">
        <v>0.93441558441558437</v>
      </c>
      <c r="BP117" s="34">
        <v>6.363636363636363E-2</v>
      </c>
      <c r="BQ117" s="6" t="s">
        <v>82</v>
      </c>
      <c r="BR117" s="6" t="s">
        <v>83</v>
      </c>
      <c r="BS117" s="6" t="s">
        <v>83</v>
      </c>
      <c r="BT117" s="6" t="s">
        <v>87</v>
      </c>
      <c r="BU117" s="8">
        <v>0.94863795899164427</v>
      </c>
      <c r="BV117" s="37">
        <v>4662</v>
      </c>
      <c r="BW117" s="19" t="s">
        <v>268</v>
      </c>
    </row>
    <row r="118" spans="1:75" x14ac:dyDescent="0.25">
      <c r="A118" s="33" t="s">
        <v>699</v>
      </c>
      <c r="B118" s="7" t="s">
        <v>700</v>
      </c>
      <c r="C118" s="7" t="s">
        <v>81</v>
      </c>
      <c r="D11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6.9503406616562471E-2</v>
      </c>
      <c r="E118" s="32">
        <v>15301</v>
      </c>
      <c r="F118" s="32">
        <v>0</v>
      </c>
      <c r="G118" s="32">
        <v>9437</v>
      </c>
      <c r="H118" s="32">
        <v>0</v>
      </c>
      <c r="I118" s="32">
        <v>0</v>
      </c>
      <c r="J118" s="32">
        <v>355925</v>
      </c>
      <c r="K118" s="32">
        <v>0</v>
      </c>
      <c r="L11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6.2982130651303581E-3</v>
      </c>
      <c r="M118" s="32">
        <v>129</v>
      </c>
      <c r="N118" s="32">
        <v>0</v>
      </c>
      <c r="O118" s="32">
        <v>20482</v>
      </c>
      <c r="P118" s="32">
        <v>0</v>
      </c>
      <c r="Q11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8" s="32">
        <v>0</v>
      </c>
      <c r="S118" s="32">
        <v>0</v>
      </c>
      <c r="T118" s="32">
        <v>0</v>
      </c>
      <c r="U118" s="32">
        <v>20482</v>
      </c>
      <c r="V118" s="32">
        <v>0</v>
      </c>
      <c r="W118" s="32">
        <v>0</v>
      </c>
      <c r="X118" s="32">
        <v>0</v>
      </c>
      <c r="Y11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0.69146027955327671</v>
      </c>
      <c r="Z118" s="32">
        <v>0</v>
      </c>
      <c r="AA118" s="32">
        <v>252798</v>
      </c>
      <c r="AB118" s="32">
        <v>6690</v>
      </c>
      <c r="AC118" s="32">
        <v>0</v>
      </c>
      <c r="AD118" s="32">
        <v>0</v>
      </c>
      <c r="AE118" s="32">
        <v>355925</v>
      </c>
      <c r="AF118" s="32">
        <v>0</v>
      </c>
      <c r="AG11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1.4969226465239893</v>
      </c>
      <c r="AH118" s="32">
        <v>15335</v>
      </c>
      <c r="AI118" s="32">
        <v>0</v>
      </c>
      <c r="AJ118" s="32">
        <v>378</v>
      </c>
      <c r="AK118" s="32">
        <v>0</v>
      </c>
      <c r="AL118" s="32">
        <v>11</v>
      </c>
      <c r="AM118" s="32">
        <v>9437</v>
      </c>
      <c r="AN118" s="32">
        <v>15872</v>
      </c>
      <c r="AO118" s="32">
        <v>0</v>
      </c>
      <c r="AP118" s="32">
        <v>-14298</v>
      </c>
      <c r="AQ11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3.0712050454961246</v>
      </c>
      <c r="AR118" s="32">
        <v>22000</v>
      </c>
      <c r="AS118" s="32">
        <v>3154</v>
      </c>
      <c r="AT118" s="32">
        <v>18893</v>
      </c>
      <c r="AU118" s="32">
        <v>4085</v>
      </c>
      <c r="AV118" s="32">
        <v>2275</v>
      </c>
      <c r="AW118" s="32">
        <v>9437</v>
      </c>
      <c r="AX118" s="32">
        <v>866</v>
      </c>
      <c r="AY118" s="32">
        <v>0</v>
      </c>
      <c r="AZ118" s="32">
        <v>0</v>
      </c>
      <c r="BA118" s="32">
        <v>2042</v>
      </c>
      <c r="BB118" s="32">
        <v>1040</v>
      </c>
      <c r="BC118" s="32">
        <v>20771</v>
      </c>
      <c r="BD118" s="34">
        <f>IFERROR(SUM(Entity_Metrics[[#This Row],[Operating surplus/(deficit) (social housing lettings)]])/SUM(Entity_Metrics[[#This Row],[Turnover from social housing lettings]]),"")</f>
        <v>0.18788507978063149</v>
      </c>
      <c r="BE118" s="32">
        <v>16650</v>
      </c>
      <c r="BF118" s="32">
        <v>88618</v>
      </c>
      <c r="BG118" s="34">
        <f>IFERROR(SUM(Entity_Metrics[[#This Row],[Operating surplus/(deficit) (overall)2]],-Entity_Metrics[[#This Row],[Gain/(loss) on disposal of fixed assets (housing properties)2]])/SUM(Entity_Metrics[[#This Row],[Turnover (overall)]]),"")</f>
        <v>0.16913727306818432</v>
      </c>
      <c r="BH118" s="32">
        <v>15335</v>
      </c>
      <c r="BI118" s="32">
        <v>0</v>
      </c>
      <c r="BJ118" s="32">
        <v>90666</v>
      </c>
      <c r="BK118" s="34">
        <f>IFERROR(SUM(Entity_Metrics[[#This Row],[Operating surplus/(deficit) (overall)3]],Entity_Metrics[[#This Row],[Share of operating surplus/(deficit) in joint ventures or associates]])/SUM(Entity_Metrics[[#This Row],[Total assets less current liabilities]]),"")</f>
        <v>4.2331240925076327E-2</v>
      </c>
      <c r="BL118" s="32">
        <v>15335</v>
      </c>
      <c r="BM118" s="32">
        <v>0</v>
      </c>
      <c r="BN118" s="32">
        <v>362262</v>
      </c>
      <c r="BO118" s="34">
        <v>4.1011619958988381E-3</v>
      </c>
      <c r="BP118" s="34">
        <v>4.0669856459330141E-2</v>
      </c>
      <c r="BQ118" s="6" t="s">
        <v>93</v>
      </c>
      <c r="BR118" s="6">
        <v>2003</v>
      </c>
      <c r="BS118" s="6" t="s">
        <v>94</v>
      </c>
      <c r="BT118" s="6" t="s">
        <v>108</v>
      </c>
      <c r="BU118" s="8">
        <v>0.94807909763407583</v>
      </c>
      <c r="BV118" s="37" t="s">
        <v>701</v>
      </c>
      <c r="BW118" s="19" t="s">
        <v>270</v>
      </c>
    </row>
    <row r="119" spans="1:75" x14ac:dyDescent="0.25">
      <c r="A119" s="33" t="s">
        <v>271</v>
      </c>
      <c r="B119" s="7" t="s">
        <v>272</v>
      </c>
      <c r="C119" s="7" t="s">
        <v>81</v>
      </c>
      <c r="D11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4.1173612114366763E-3</v>
      </c>
      <c r="E119" s="32">
        <v>0</v>
      </c>
      <c r="F119" s="32">
        <v>0</v>
      </c>
      <c r="G119" s="32">
        <v>412</v>
      </c>
      <c r="H119" s="32">
        <v>215</v>
      </c>
      <c r="I119" s="32">
        <v>0</v>
      </c>
      <c r="J119" s="32">
        <v>152282</v>
      </c>
      <c r="K119" s="32">
        <v>0</v>
      </c>
      <c r="L11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19" s="32">
        <v>0</v>
      </c>
      <c r="N119" s="32">
        <v>0</v>
      </c>
      <c r="O119" s="32">
        <v>1270</v>
      </c>
      <c r="P119" s="32">
        <v>0</v>
      </c>
      <c r="Q11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19" s="32">
        <v>0</v>
      </c>
      <c r="S119" s="32">
        <v>0</v>
      </c>
      <c r="T119" s="32">
        <v>0</v>
      </c>
      <c r="U119" s="32">
        <v>1270</v>
      </c>
      <c r="V119" s="32">
        <v>0</v>
      </c>
      <c r="W119" s="32">
        <v>0</v>
      </c>
      <c r="X119" s="32">
        <v>0</v>
      </c>
      <c r="Y11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0.34250272520718139</v>
      </c>
      <c r="Z119" s="32">
        <v>0</v>
      </c>
      <c r="AA119" s="32">
        <v>55447</v>
      </c>
      <c r="AB119" s="32">
        <v>3290</v>
      </c>
      <c r="AC119" s="32">
        <v>0</v>
      </c>
      <c r="AD119" s="32">
        <v>0</v>
      </c>
      <c r="AE119" s="32">
        <v>152282</v>
      </c>
      <c r="AF119" s="32">
        <v>0</v>
      </c>
      <c r="AG11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2.2800552740672502</v>
      </c>
      <c r="AH119" s="32">
        <v>4872</v>
      </c>
      <c r="AI119" s="32">
        <v>697</v>
      </c>
      <c r="AJ119" s="32">
        <v>799</v>
      </c>
      <c r="AK119" s="32">
        <v>0</v>
      </c>
      <c r="AL119" s="32">
        <v>38</v>
      </c>
      <c r="AM119" s="32">
        <v>412</v>
      </c>
      <c r="AN119" s="32">
        <v>1948</v>
      </c>
      <c r="AO119" s="32">
        <v>-294</v>
      </c>
      <c r="AP119" s="32">
        <v>-1877</v>
      </c>
      <c r="AQ11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3.1929133858267718</v>
      </c>
      <c r="AR119" s="32">
        <v>951</v>
      </c>
      <c r="AS119" s="32">
        <v>671</v>
      </c>
      <c r="AT119" s="32">
        <v>1179</v>
      </c>
      <c r="AU119" s="32">
        <v>347</v>
      </c>
      <c r="AV119" s="32">
        <v>255</v>
      </c>
      <c r="AW119" s="32">
        <v>412</v>
      </c>
      <c r="AX119" s="32">
        <v>75</v>
      </c>
      <c r="AY119" s="32">
        <v>165</v>
      </c>
      <c r="AZ119" s="32">
        <v>0</v>
      </c>
      <c r="BA119" s="32">
        <v>0</v>
      </c>
      <c r="BB119" s="32">
        <v>0</v>
      </c>
      <c r="BC119" s="32">
        <v>1270</v>
      </c>
      <c r="BD119" s="34">
        <f>IFERROR(SUM(Entity_Metrics[[#This Row],[Operating surplus/(deficit) (social housing lettings)]])/SUM(Entity_Metrics[[#This Row],[Turnover from social housing lettings]]),"")</f>
        <v>0.45296534288423046</v>
      </c>
      <c r="BE119" s="32">
        <v>4300</v>
      </c>
      <c r="BF119" s="32">
        <v>9493</v>
      </c>
      <c r="BG119" s="34">
        <f>IFERROR(SUM(Entity_Metrics[[#This Row],[Operating surplus/(deficit) (overall)2]],-Entity_Metrics[[#This Row],[Gain/(loss) on disposal of fixed assets (housing properties)2]])/SUM(Entity_Metrics[[#This Row],[Turnover (overall)]]),"")</f>
        <v>0.43795237595720132</v>
      </c>
      <c r="BH119" s="32">
        <v>4872</v>
      </c>
      <c r="BI119" s="32">
        <v>697</v>
      </c>
      <c r="BJ119" s="32">
        <v>9533</v>
      </c>
      <c r="BK119" s="34">
        <f>IFERROR(SUM(Entity_Metrics[[#This Row],[Operating surplus/(deficit) (overall)3]],Entity_Metrics[[#This Row],[Share of operating surplus/(deficit) in joint ventures or associates]])/SUM(Entity_Metrics[[#This Row],[Total assets less current liabilities]]),"")</f>
        <v>3.1419892816375493E-2</v>
      </c>
      <c r="BL119" s="32">
        <v>4872</v>
      </c>
      <c r="BM119" s="32">
        <v>0</v>
      </c>
      <c r="BN119" s="32">
        <v>155061</v>
      </c>
      <c r="BO119" s="34">
        <v>4.7244094488188976E-3</v>
      </c>
      <c r="BP119" s="34">
        <v>0</v>
      </c>
      <c r="BQ119" s="6" t="s">
        <v>82</v>
      </c>
      <c r="BR119" s="6" t="s">
        <v>83</v>
      </c>
      <c r="BS119" s="6" t="s">
        <v>83</v>
      </c>
      <c r="BT119" s="6" t="s">
        <v>156</v>
      </c>
      <c r="BU119" s="8">
        <v>1.2354259707718402</v>
      </c>
      <c r="BV119" s="37" t="s">
        <v>271</v>
      </c>
      <c r="BW119" s="19" t="s">
        <v>272</v>
      </c>
    </row>
    <row r="120" spans="1:75" x14ac:dyDescent="0.25">
      <c r="A120" s="33" t="s">
        <v>702</v>
      </c>
      <c r="B120" s="7" t="s">
        <v>274</v>
      </c>
      <c r="C120" s="7" t="s">
        <v>81</v>
      </c>
      <c r="D12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1.5624727587180819E-2</v>
      </c>
      <c r="E120" s="32">
        <v>0</v>
      </c>
      <c r="F120" s="32">
        <v>0</v>
      </c>
      <c r="G120" s="32">
        <v>4481</v>
      </c>
      <c r="H120" s="32">
        <v>0</v>
      </c>
      <c r="I120" s="32">
        <v>0</v>
      </c>
      <c r="J120" s="32">
        <v>286789</v>
      </c>
      <c r="K120" s="32">
        <v>0</v>
      </c>
      <c r="L12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20" s="32">
        <v>0</v>
      </c>
      <c r="N120" s="32">
        <v>0</v>
      </c>
      <c r="O120" s="32">
        <v>7226</v>
      </c>
      <c r="P120" s="32">
        <v>236</v>
      </c>
      <c r="Q12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0" s="32">
        <v>0</v>
      </c>
      <c r="S120" s="32">
        <v>0</v>
      </c>
      <c r="T120" s="32">
        <v>0</v>
      </c>
      <c r="U120" s="32">
        <v>7226</v>
      </c>
      <c r="V120" s="32">
        <v>183</v>
      </c>
      <c r="W120" s="32">
        <v>236</v>
      </c>
      <c r="X120" s="32">
        <v>9</v>
      </c>
      <c r="Y12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0.41388268029805886</v>
      </c>
      <c r="Z120" s="32">
        <v>5701</v>
      </c>
      <c r="AA120" s="32">
        <v>119367</v>
      </c>
      <c r="AB120" s="32">
        <v>6371</v>
      </c>
      <c r="AC120" s="32">
        <v>0</v>
      </c>
      <c r="AD120" s="32">
        <v>0</v>
      </c>
      <c r="AE120" s="32">
        <v>286789</v>
      </c>
      <c r="AF120" s="32">
        <v>0</v>
      </c>
      <c r="AG12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2.2430263660680168</v>
      </c>
      <c r="AH120" s="32">
        <v>11962</v>
      </c>
      <c r="AI120" s="32">
        <v>533</v>
      </c>
      <c r="AJ120" s="32">
        <v>1285</v>
      </c>
      <c r="AK120" s="32">
        <v>0</v>
      </c>
      <c r="AL120" s="32">
        <v>13</v>
      </c>
      <c r="AM120" s="32">
        <v>4481</v>
      </c>
      <c r="AN120" s="32">
        <v>6064</v>
      </c>
      <c r="AO120" s="32">
        <v>0</v>
      </c>
      <c r="AP120" s="32">
        <v>-5234</v>
      </c>
      <c r="AQ12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3.1018544146138942</v>
      </c>
      <c r="AR120" s="32">
        <v>5694</v>
      </c>
      <c r="AS120" s="32">
        <v>2517</v>
      </c>
      <c r="AT120" s="32">
        <v>2767</v>
      </c>
      <c r="AU120" s="32">
        <v>4999</v>
      </c>
      <c r="AV120" s="32">
        <v>318</v>
      </c>
      <c r="AW120" s="32">
        <v>4481</v>
      </c>
      <c r="AX120" s="32">
        <v>624</v>
      </c>
      <c r="AY120" s="32">
        <v>0</v>
      </c>
      <c r="AZ120" s="32">
        <v>448</v>
      </c>
      <c r="BA120" s="32">
        <v>0</v>
      </c>
      <c r="BB120" s="32">
        <v>566</v>
      </c>
      <c r="BC120" s="32">
        <v>7226</v>
      </c>
      <c r="BD120" s="34">
        <f>IFERROR(SUM(Entity_Metrics[[#This Row],[Operating surplus/(deficit) (social housing lettings)]])/SUM(Entity_Metrics[[#This Row],[Turnover from social housing lettings]]),"")</f>
        <v>0.34364673197835943</v>
      </c>
      <c r="BE120" s="32">
        <v>11751</v>
      </c>
      <c r="BF120" s="32">
        <v>34195</v>
      </c>
      <c r="BG120" s="34">
        <f>IFERROR(SUM(Entity_Metrics[[#This Row],[Operating surplus/(deficit) (overall)2]],-Entity_Metrics[[#This Row],[Gain/(loss) on disposal of fixed assets (housing properties)2]])/SUM(Entity_Metrics[[#This Row],[Turnover (overall)]]),"")</f>
        <v>0.32024770230889937</v>
      </c>
      <c r="BH120" s="32">
        <v>11962</v>
      </c>
      <c r="BI120" s="32">
        <v>533</v>
      </c>
      <c r="BJ120" s="32">
        <v>35688</v>
      </c>
      <c r="BK120" s="34">
        <f>IFERROR(SUM(Entity_Metrics[[#This Row],[Operating surplus/(deficit) (overall)3]],Entity_Metrics[[#This Row],[Share of operating surplus/(deficit) in joint ventures or associates]])/SUM(Entity_Metrics[[#This Row],[Total assets less current liabilities]]),"")</f>
        <v>3.9841194769552564E-2</v>
      </c>
      <c r="BL120" s="32">
        <v>11962</v>
      </c>
      <c r="BM120" s="32">
        <v>0</v>
      </c>
      <c r="BN120" s="32">
        <v>300242</v>
      </c>
      <c r="BO120" s="34">
        <v>3.3426573426573424E-2</v>
      </c>
      <c r="BP120" s="34">
        <v>6.3916083916083916E-2</v>
      </c>
      <c r="BQ120" s="6" t="s">
        <v>82</v>
      </c>
      <c r="BR120" s="6" t="s">
        <v>83</v>
      </c>
      <c r="BS120" s="6" t="s">
        <v>83</v>
      </c>
      <c r="BT120" s="6" t="s">
        <v>105</v>
      </c>
      <c r="BU120" s="8">
        <v>0.9156653862445665</v>
      </c>
      <c r="BV120" s="37" t="s">
        <v>702</v>
      </c>
      <c r="BW120" s="19" t="s">
        <v>274</v>
      </c>
    </row>
    <row r="121" spans="1:75" x14ac:dyDescent="0.25">
      <c r="A121" s="33" t="s">
        <v>703</v>
      </c>
      <c r="B121" s="7" t="s">
        <v>276</v>
      </c>
      <c r="C121" s="7" t="s">
        <v>81</v>
      </c>
      <c r="D12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5.7527136736221909E-2</v>
      </c>
      <c r="E121" s="32">
        <v>13588</v>
      </c>
      <c r="F121" s="32">
        <v>0</v>
      </c>
      <c r="G121" s="32">
        <v>744</v>
      </c>
      <c r="H121" s="32">
        <v>343</v>
      </c>
      <c r="I121" s="32">
        <v>0</v>
      </c>
      <c r="J121" s="32">
        <v>255097</v>
      </c>
      <c r="K121" s="32">
        <v>0</v>
      </c>
      <c r="L12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9.4831673779042201E-4</v>
      </c>
      <c r="M121" s="32">
        <v>2</v>
      </c>
      <c r="N121" s="32">
        <v>0</v>
      </c>
      <c r="O121" s="32">
        <v>2109</v>
      </c>
      <c r="P121" s="32">
        <v>0</v>
      </c>
      <c r="Q12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1" s="32">
        <v>0</v>
      </c>
      <c r="S121" s="32">
        <v>0</v>
      </c>
      <c r="T121" s="32">
        <v>0</v>
      </c>
      <c r="U121" s="32">
        <v>2109</v>
      </c>
      <c r="V121" s="32">
        <v>0</v>
      </c>
      <c r="W121" s="32">
        <v>0</v>
      </c>
      <c r="X121" s="32">
        <v>0</v>
      </c>
      <c r="Y12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0.30290830546811603</v>
      </c>
      <c r="Z121" s="32">
        <v>3020</v>
      </c>
      <c r="AA121" s="32">
        <v>84798</v>
      </c>
      <c r="AB121" s="32">
        <v>10547</v>
      </c>
      <c r="AC121" s="32">
        <v>0</v>
      </c>
      <c r="AD121" s="32">
        <v>0</v>
      </c>
      <c r="AE121" s="32">
        <v>255097</v>
      </c>
      <c r="AF121" s="32">
        <v>0</v>
      </c>
      <c r="AG12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1.955078125</v>
      </c>
      <c r="AH121" s="32">
        <v>9283</v>
      </c>
      <c r="AI121" s="32">
        <v>2719</v>
      </c>
      <c r="AJ121" s="32">
        <v>1322</v>
      </c>
      <c r="AK121" s="32">
        <v>0</v>
      </c>
      <c r="AL121" s="32">
        <v>28</v>
      </c>
      <c r="AM121" s="32">
        <v>742</v>
      </c>
      <c r="AN121" s="32">
        <v>3480</v>
      </c>
      <c r="AO121" s="32">
        <v>-343</v>
      </c>
      <c r="AP121" s="32">
        <v>-3753</v>
      </c>
      <c r="AQ12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4.8696064485538173</v>
      </c>
      <c r="AR121" s="32">
        <v>1664</v>
      </c>
      <c r="AS121" s="32">
        <v>2565</v>
      </c>
      <c r="AT121" s="32">
        <v>2870</v>
      </c>
      <c r="AU121" s="32">
        <v>604</v>
      </c>
      <c r="AV121" s="32">
        <v>1088</v>
      </c>
      <c r="AW121" s="32">
        <v>742</v>
      </c>
      <c r="AX121" s="32">
        <v>0</v>
      </c>
      <c r="AY121" s="32">
        <v>82</v>
      </c>
      <c r="AZ121" s="32">
        <v>13</v>
      </c>
      <c r="BA121" s="32">
        <v>642</v>
      </c>
      <c r="BB121" s="32">
        <v>0</v>
      </c>
      <c r="BC121" s="32">
        <v>2109</v>
      </c>
      <c r="BD121" s="34">
        <f>IFERROR(SUM(Entity_Metrics[[#This Row],[Operating surplus/(deficit) (social housing lettings)]])/SUM(Entity_Metrics[[#This Row],[Turnover from social housing lettings]]),"")</f>
        <v>0.24019364448857994</v>
      </c>
      <c r="BE121" s="32">
        <v>3870</v>
      </c>
      <c r="BF121" s="32">
        <v>16112</v>
      </c>
      <c r="BG121" s="34">
        <f>IFERROR(SUM(Entity_Metrics[[#This Row],[Operating surplus/(deficit) (overall)2]],-Entity_Metrics[[#This Row],[Gain/(loss) on disposal of fixed assets (housing properties)2]])/SUM(Entity_Metrics[[#This Row],[Turnover (overall)]]),"")</f>
        <v>0.31103108415466263</v>
      </c>
      <c r="BH121" s="32">
        <v>9283</v>
      </c>
      <c r="BI121" s="32">
        <v>2719</v>
      </c>
      <c r="BJ121" s="32">
        <v>21104</v>
      </c>
      <c r="BK121" s="34">
        <f>IFERROR(SUM(Entity_Metrics[[#This Row],[Operating surplus/(deficit) (overall)3]],Entity_Metrics[[#This Row],[Share of operating surplus/(deficit) in joint ventures or associates]])/SUM(Entity_Metrics[[#This Row],[Total assets less current liabilities]]),"")</f>
        <v>3.3486885535671126E-2</v>
      </c>
      <c r="BL121" s="32">
        <v>9283</v>
      </c>
      <c r="BM121" s="32">
        <v>0</v>
      </c>
      <c r="BN121" s="32">
        <v>277213</v>
      </c>
      <c r="BO121" s="34">
        <v>2.5130393551446185E-2</v>
      </c>
      <c r="BP121" s="34">
        <v>1.9914651493598862E-2</v>
      </c>
      <c r="BQ121" s="6" t="s">
        <v>82</v>
      </c>
      <c r="BR121" s="6" t="s">
        <v>83</v>
      </c>
      <c r="BS121" s="6" t="s">
        <v>83</v>
      </c>
      <c r="BT121" s="6" t="s">
        <v>156</v>
      </c>
      <c r="BU121" s="8">
        <v>1.2488627787394371</v>
      </c>
      <c r="BV121" s="37" t="s">
        <v>703</v>
      </c>
      <c r="BW121" s="19" t="s">
        <v>276</v>
      </c>
    </row>
    <row r="122" spans="1:75" x14ac:dyDescent="0.25">
      <c r="A122" s="33" t="s">
        <v>704</v>
      </c>
      <c r="B122" s="7" t="s">
        <v>280</v>
      </c>
      <c r="C122" s="7" t="s">
        <v>81</v>
      </c>
      <c r="D12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2.5603792165306363E-2</v>
      </c>
      <c r="E122" s="32">
        <v>0</v>
      </c>
      <c r="F122" s="32">
        <v>380</v>
      </c>
      <c r="G122" s="32">
        <v>2688</v>
      </c>
      <c r="H122" s="32">
        <v>0</v>
      </c>
      <c r="I122" s="32">
        <v>0</v>
      </c>
      <c r="J122" s="32">
        <v>119826</v>
      </c>
      <c r="K122" s="32">
        <v>0</v>
      </c>
      <c r="L12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1.2028869286287089E-3</v>
      </c>
      <c r="M122" s="32">
        <v>6</v>
      </c>
      <c r="N122" s="32">
        <v>0</v>
      </c>
      <c r="O122" s="32">
        <v>4910</v>
      </c>
      <c r="P122" s="32">
        <v>78</v>
      </c>
      <c r="Q12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2" s="32">
        <v>0</v>
      </c>
      <c r="S122" s="32">
        <v>0</v>
      </c>
      <c r="T122" s="32">
        <v>0</v>
      </c>
      <c r="U122" s="32">
        <v>4910</v>
      </c>
      <c r="V122" s="32">
        <v>0</v>
      </c>
      <c r="W122" s="32">
        <v>78</v>
      </c>
      <c r="X122" s="32">
        <v>0</v>
      </c>
      <c r="Y12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0.45685410511908936</v>
      </c>
      <c r="Z122" s="32">
        <v>2799</v>
      </c>
      <c r="AA122" s="32">
        <v>64581</v>
      </c>
      <c r="AB122" s="32">
        <v>12637</v>
      </c>
      <c r="AC122" s="32">
        <v>0</v>
      </c>
      <c r="AD122" s="32">
        <v>0</v>
      </c>
      <c r="AE122" s="32">
        <v>119826</v>
      </c>
      <c r="AF122" s="32">
        <v>0</v>
      </c>
      <c r="AG12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2.2224287484510534</v>
      </c>
      <c r="AH122" s="32">
        <v>6418</v>
      </c>
      <c r="AI122" s="32">
        <v>-53</v>
      </c>
      <c r="AJ122" s="32">
        <v>26</v>
      </c>
      <c r="AK122" s="32">
        <v>0</v>
      </c>
      <c r="AL122" s="32">
        <v>29</v>
      </c>
      <c r="AM122" s="32">
        <v>2688</v>
      </c>
      <c r="AN122" s="32">
        <v>3388</v>
      </c>
      <c r="AO122" s="32">
        <v>0</v>
      </c>
      <c r="AP122" s="32">
        <v>-3228</v>
      </c>
      <c r="AQ12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3.4798370672097758</v>
      </c>
      <c r="AR122" s="32">
        <v>5287</v>
      </c>
      <c r="AS122" s="32">
        <v>5005</v>
      </c>
      <c r="AT122" s="32">
        <v>1422</v>
      </c>
      <c r="AU122" s="32">
        <v>2559</v>
      </c>
      <c r="AV122" s="32">
        <v>0</v>
      </c>
      <c r="AW122" s="32">
        <v>2688</v>
      </c>
      <c r="AX122" s="32">
        <v>0</v>
      </c>
      <c r="AY122" s="32">
        <v>80</v>
      </c>
      <c r="AZ122" s="32">
        <v>0</v>
      </c>
      <c r="BA122" s="32">
        <v>45</v>
      </c>
      <c r="BB122" s="32">
        <v>0</v>
      </c>
      <c r="BC122" s="32">
        <v>4910</v>
      </c>
      <c r="BD122" s="34">
        <f>IFERROR(SUM(Entity_Metrics[[#This Row],[Operating surplus/(deficit) (social housing lettings)]])/SUM(Entity_Metrics[[#This Row],[Turnover from social housing lettings]]),"")</f>
        <v>0.26198860919090472</v>
      </c>
      <c r="BE122" s="32">
        <v>6026</v>
      </c>
      <c r="BF122" s="32">
        <v>23001</v>
      </c>
      <c r="BG122" s="34">
        <f>IFERROR(SUM(Entity_Metrics[[#This Row],[Operating surplus/(deficit) (overall)2]],-Entity_Metrics[[#This Row],[Gain/(loss) on disposal of fixed assets (housing properties)2]])/SUM(Entity_Metrics[[#This Row],[Turnover (overall)]]),"")</f>
        <v>0.25828211064101542</v>
      </c>
      <c r="BH122" s="32">
        <v>6418</v>
      </c>
      <c r="BI122" s="32">
        <v>-53</v>
      </c>
      <c r="BJ122" s="32">
        <v>25054</v>
      </c>
      <c r="BK122" s="34">
        <f>IFERROR(SUM(Entity_Metrics[[#This Row],[Operating surplus/(deficit) (overall)3]],Entity_Metrics[[#This Row],[Share of operating surplus/(deficit) in joint ventures or associates]])/SUM(Entity_Metrics[[#This Row],[Total assets less current liabilities]]),"")</f>
        <v>5.0939742205854337E-2</v>
      </c>
      <c r="BL122" s="32">
        <v>6418</v>
      </c>
      <c r="BM122" s="32">
        <v>0</v>
      </c>
      <c r="BN122" s="32">
        <v>125992</v>
      </c>
      <c r="BO122" s="34">
        <v>2.0012378791004745E-2</v>
      </c>
      <c r="BP122" s="34">
        <v>0.50753043119455332</v>
      </c>
      <c r="BQ122" s="6" t="s">
        <v>82</v>
      </c>
      <c r="BR122" s="6" t="s">
        <v>83</v>
      </c>
      <c r="BS122" s="6" t="s">
        <v>83</v>
      </c>
      <c r="BT122" s="6" t="s">
        <v>87</v>
      </c>
      <c r="BU122" s="8">
        <v>0.92179818639617539</v>
      </c>
      <c r="BV122" s="37" t="s">
        <v>704</v>
      </c>
      <c r="BW122" s="19" t="s">
        <v>280</v>
      </c>
    </row>
    <row r="123" spans="1:75" x14ac:dyDescent="0.25">
      <c r="A123" s="33" t="s">
        <v>919</v>
      </c>
      <c r="B123" s="7" t="s">
        <v>282</v>
      </c>
      <c r="C123" s="7" t="s">
        <v>81</v>
      </c>
      <c r="D12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7.1851367414350636E-2</v>
      </c>
      <c r="E123" s="32">
        <v>38823</v>
      </c>
      <c r="F123" s="32">
        <v>30</v>
      </c>
      <c r="G123" s="32">
        <v>8719</v>
      </c>
      <c r="H123" s="32">
        <v>0</v>
      </c>
      <c r="I123" s="32">
        <v>0</v>
      </c>
      <c r="J123" s="32">
        <v>662089</v>
      </c>
      <c r="K123" s="32">
        <v>0</v>
      </c>
      <c r="L12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1.3545576118372805E-2</v>
      </c>
      <c r="M123" s="32">
        <v>314</v>
      </c>
      <c r="N123" s="32">
        <v>0</v>
      </c>
      <c r="O123" s="32">
        <v>23181</v>
      </c>
      <c r="P123" s="32">
        <v>0</v>
      </c>
      <c r="Q12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3" s="32">
        <v>0</v>
      </c>
      <c r="S123" s="32">
        <v>0</v>
      </c>
      <c r="T123" s="32">
        <v>0</v>
      </c>
      <c r="U123" s="32">
        <v>23181</v>
      </c>
      <c r="V123" s="32">
        <v>0</v>
      </c>
      <c r="W123" s="32">
        <v>0</v>
      </c>
      <c r="X123" s="32">
        <v>0</v>
      </c>
      <c r="Y12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0.33716313063651565</v>
      </c>
      <c r="Z123" s="32">
        <v>3491</v>
      </c>
      <c r="AA123" s="32">
        <v>249107</v>
      </c>
      <c r="AB123" s="32">
        <v>29366</v>
      </c>
      <c r="AC123" s="32">
        <v>0</v>
      </c>
      <c r="AD123" s="32">
        <v>0</v>
      </c>
      <c r="AE123" s="32">
        <v>662089</v>
      </c>
      <c r="AF123" s="32">
        <v>0</v>
      </c>
      <c r="AG12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2.6901004304160687</v>
      </c>
      <c r="AH123" s="32">
        <v>27942</v>
      </c>
      <c r="AI123" s="32">
        <v>2428</v>
      </c>
      <c r="AJ123" s="32">
        <v>4189</v>
      </c>
      <c r="AK123" s="32">
        <v>0</v>
      </c>
      <c r="AL123" s="32">
        <v>2205</v>
      </c>
      <c r="AM123" s="32">
        <v>8719</v>
      </c>
      <c r="AN123" s="32">
        <v>18939</v>
      </c>
      <c r="AO123" s="32">
        <v>0</v>
      </c>
      <c r="AP123" s="32">
        <v>-12546</v>
      </c>
      <c r="AQ12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3.2431362423616492</v>
      </c>
      <c r="AR123" s="32">
        <v>14509</v>
      </c>
      <c r="AS123" s="32">
        <v>11746</v>
      </c>
      <c r="AT123" s="32">
        <v>20589</v>
      </c>
      <c r="AU123" s="32">
        <v>13074</v>
      </c>
      <c r="AV123" s="32">
        <v>0</v>
      </c>
      <c r="AW123" s="32">
        <v>8719</v>
      </c>
      <c r="AX123" s="32">
        <v>874</v>
      </c>
      <c r="AY123" s="32">
        <v>828</v>
      </c>
      <c r="AZ123" s="32">
        <v>436</v>
      </c>
      <c r="BA123" s="32">
        <v>2212</v>
      </c>
      <c r="BB123" s="32">
        <v>2377</v>
      </c>
      <c r="BC123" s="32">
        <v>23238</v>
      </c>
      <c r="BD123" s="34">
        <f>IFERROR(SUM(Entity_Metrics[[#This Row],[Operating surplus/(deficit) (social housing lettings)]])/SUM(Entity_Metrics[[#This Row],[Turnover from social housing lettings]]),"")</f>
        <v>0.24685179205682919</v>
      </c>
      <c r="BE123" s="32">
        <v>25993</v>
      </c>
      <c r="BF123" s="32">
        <v>105298</v>
      </c>
      <c r="BG123" s="34">
        <f>IFERROR(SUM(Entity_Metrics[[#This Row],[Operating surplus/(deficit) (overall)2]],-Entity_Metrics[[#This Row],[Gain/(loss) on disposal of fixed assets (housing properties)2]])/SUM(Entity_Metrics[[#This Row],[Turnover (overall)]]),"")</f>
        <v>0.21762197202320027</v>
      </c>
      <c r="BH123" s="32">
        <v>27942</v>
      </c>
      <c r="BI123" s="32">
        <v>2428</v>
      </c>
      <c r="BJ123" s="32">
        <v>117240</v>
      </c>
      <c r="BK123" s="34">
        <f>IFERROR(SUM(Entity_Metrics[[#This Row],[Operating surplus/(deficit) (overall)3]],Entity_Metrics[[#This Row],[Share of operating surplus/(deficit) in joint ventures or associates]])/SUM(Entity_Metrics[[#This Row],[Total assets less current liabilities]]),"")</f>
        <v>3.8023983060534637E-2</v>
      </c>
      <c r="BL123" s="32">
        <v>27942</v>
      </c>
      <c r="BM123" s="32">
        <v>0</v>
      </c>
      <c r="BN123" s="32">
        <v>734852</v>
      </c>
      <c r="BO123" s="34">
        <v>2.1893671769375029E-2</v>
      </c>
      <c r="BP123" s="34">
        <v>2.4815735531423088E-2</v>
      </c>
      <c r="BQ123" s="6" t="s">
        <v>93</v>
      </c>
      <c r="BR123" s="6">
        <v>2006</v>
      </c>
      <c r="BS123" s="6" t="s">
        <v>94</v>
      </c>
      <c r="BT123" s="6" t="s">
        <v>121</v>
      </c>
      <c r="BU123" s="8">
        <v>0.9026647648742484</v>
      </c>
      <c r="BV123" s="37">
        <v>4846</v>
      </c>
      <c r="BW123" s="19" t="s">
        <v>282</v>
      </c>
    </row>
    <row r="124" spans="1:75" x14ac:dyDescent="0.25">
      <c r="A124" s="33" t="s">
        <v>705</v>
      </c>
      <c r="B124" s="7" t="s">
        <v>284</v>
      </c>
      <c r="C124" s="7" t="s">
        <v>81</v>
      </c>
      <c r="D12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7.8370984744861955E-2</v>
      </c>
      <c r="E124" s="32">
        <v>9829</v>
      </c>
      <c r="F124" s="32">
        <v>4738</v>
      </c>
      <c r="G124" s="32">
        <v>4051</v>
      </c>
      <c r="H124" s="32">
        <v>0</v>
      </c>
      <c r="I124" s="32">
        <v>-627</v>
      </c>
      <c r="J124" s="32">
        <v>229562</v>
      </c>
      <c r="K124" s="32">
        <v>0</v>
      </c>
      <c r="L12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1.6440422322775265E-2</v>
      </c>
      <c r="M124" s="32">
        <v>218</v>
      </c>
      <c r="N124" s="32">
        <v>0</v>
      </c>
      <c r="O124" s="32">
        <v>13260</v>
      </c>
      <c r="P124" s="32">
        <v>0</v>
      </c>
      <c r="Q12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1.5082956259426848E-4</v>
      </c>
      <c r="R124" s="32">
        <v>0</v>
      </c>
      <c r="S124" s="32">
        <v>0</v>
      </c>
      <c r="T124" s="32">
        <v>2</v>
      </c>
      <c r="U124" s="32">
        <v>13260</v>
      </c>
      <c r="V124" s="32">
        <v>0</v>
      </c>
      <c r="W124" s="32">
        <v>0</v>
      </c>
      <c r="X124" s="32">
        <v>0</v>
      </c>
      <c r="Y12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0.73480802571854231</v>
      </c>
      <c r="Z124" s="32">
        <v>0</v>
      </c>
      <c r="AA124" s="32">
        <v>183153</v>
      </c>
      <c r="AB124" s="32">
        <v>14469</v>
      </c>
      <c r="AC124" s="32">
        <v>0</v>
      </c>
      <c r="AD124" s="32">
        <v>0</v>
      </c>
      <c r="AE124" s="32">
        <v>229562</v>
      </c>
      <c r="AF124" s="32">
        <v>0</v>
      </c>
      <c r="AG12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2.1429793474275938</v>
      </c>
      <c r="AH124" s="32">
        <v>17122</v>
      </c>
      <c r="AI124" s="32">
        <v>3225</v>
      </c>
      <c r="AJ124" s="32">
        <v>316</v>
      </c>
      <c r="AK124" s="32">
        <v>0</v>
      </c>
      <c r="AL124" s="32">
        <v>51</v>
      </c>
      <c r="AM124" s="32">
        <v>4051</v>
      </c>
      <c r="AN124" s="32">
        <v>7955</v>
      </c>
      <c r="AO124" s="32">
        <v>0</v>
      </c>
      <c r="AP124" s="32">
        <v>-8183</v>
      </c>
      <c r="AQ12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3.0178665661515267</v>
      </c>
      <c r="AR124" s="32">
        <v>13928</v>
      </c>
      <c r="AS124" s="32">
        <v>2291</v>
      </c>
      <c r="AT124" s="32">
        <v>11897</v>
      </c>
      <c r="AU124" s="32">
        <v>0</v>
      </c>
      <c r="AV124" s="32">
        <v>6474</v>
      </c>
      <c r="AW124" s="32">
        <v>4051</v>
      </c>
      <c r="AX124" s="32">
        <v>588</v>
      </c>
      <c r="AY124" s="32">
        <v>0</v>
      </c>
      <c r="AZ124" s="32">
        <v>0</v>
      </c>
      <c r="BA124" s="32">
        <v>500</v>
      </c>
      <c r="BB124" s="32">
        <v>303</v>
      </c>
      <c r="BC124" s="32">
        <v>13265</v>
      </c>
      <c r="BD124" s="34">
        <f>IFERROR(SUM(Entity_Metrics[[#This Row],[Operating surplus/(deficit) (social housing lettings)]])/SUM(Entity_Metrics[[#This Row],[Turnover from social housing lettings]]),"")</f>
        <v>0.23705704123303911</v>
      </c>
      <c r="BE124" s="32">
        <v>14396</v>
      </c>
      <c r="BF124" s="32">
        <v>60728</v>
      </c>
      <c r="BG124" s="34">
        <f>IFERROR(SUM(Entity_Metrics[[#This Row],[Operating surplus/(deficit) (overall)2]],-Entity_Metrics[[#This Row],[Gain/(loss) on disposal of fixed assets (housing properties)2]])/SUM(Entity_Metrics[[#This Row],[Turnover (overall)]]),"")</f>
        <v>0.22702693872216687</v>
      </c>
      <c r="BH124" s="32">
        <v>17122</v>
      </c>
      <c r="BI124" s="32">
        <v>3225</v>
      </c>
      <c r="BJ124" s="32">
        <v>61213</v>
      </c>
      <c r="BK124" s="34">
        <f>IFERROR(SUM(Entity_Metrics[[#This Row],[Operating surplus/(deficit) (overall)3]],Entity_Metrics[[#This Row],[Share of operating surplus/(deficit) in joint ventures or associates]])/SUM(Entity_Metrics[[#This Row],[Total assets less current liabilities]]),"")</f>
        <v>6.9120870692056469E-2</v>
      </c>
      <c r="BL124" s="32">
        <v>17122</v>
      </c>
      <c r="BM124" s="32">
        <v>0</v>
      </c>
      <c r="BN124" s="32">
        <v>247711</v>
      </c>
      <c r="BO124" s="34">
        <v>2.8000605418495536E-3</v>
      </c>
      <c r="BP124" s="34">
        <v>5.070379900105948E-2</v>
      </c>
      <c r="BQ124" s="6" t="s">
        <v>93</v>
      </c>
      <c r="BR124" s="6">
        <v>2002</v>
      </c>
      <c r="BS124" s="6" t="s">
        <v>94</v>
      </c>
      <c r="BT124" s="6" t="s">
        <v>105</v>
      </c>
      <c r="BU124" s="8">
        <v>0.9156653862445665</v>
      </c>
      <c r="BV124" s="37" t="s">
        <v>705</v>
      </c>
      <c r="BW124" s="19" t="s">
        <v>284</v>
      </c>
    </row>
    <row r="125" spans="1:75" x14ac:dyDescent="0.25">
      <c r="A125" s="33" t="s">
        <v>706</v>
      </c>
      <c r="B125" s="7" t="s">
        <v>286</v>
      </c>
      <c r="C125" s="7" t="s">
        <v>81</v>
      </c>
      <c r="D12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0.12268948260553716</v>
      </c>
      <c r="E125" s="32">
        <v>5336</v>
      </c>
      <c r="F125" s="32">
        <v>0</v>
      </c>
      <c r="G125" s="32">
        <v>668</v>
      </c>
      <c r="H125" s="32">
        <v>76</v>
      </c>
      <c r="I125" s="32">
        <v>0</v>
      </c>
      <c r="J125" s="32">
        <v>49556</v>
      </c>
      <c r="K125" s="32">
        <v>0</v>
      </c>
      <c r="L12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6.1433447098976107E-2</v>
      </c>
      <c r="M125" s="32">
        <v>90</v>
      </c>
      <c r="N125" s="32">
        <v>0</v>
      </c>
      <c r="O125" s="32">
        <v>1465</v>
      </c>
      <c r="P125" s="32">
        <v>0</v>
      </c>
      <c r="Q12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5" s="32">
        <v>0</v>
      </c>
      <c r="S125" s="32">
        <v>0</v>
      </c>
      <c r="T125" s="32">
        <v>0</v>
      </c>
      <c r="U125" s="32">
        <v>1465</v>
      </c>
      <c r="V125" s="32">
        <v>13</v>
      </c>
      <c r="W125" s="32">
        <v>0</v>
      </c>
      <c r="X125" s="32">
        <v>0</v>
      </c>
      <c r="Y12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0.33925256275728471</v>
      </c>
      <c r="Z125" s="32">
        <v>611</v>
      </c>
      <c r="AA125" s="32">
        <v>16943</v>
      </c>
      <c r="AB125" s="32">
        <v>742</v>
      </c>
      <c r="AC125" s="32">
        <v>0</v>
      </c>
      <c r="AD125" s="32">
        <v>0</v>
      </c>
      <c r="AE125" s="32">
        <v>49556</v>
      </c>
      <c r="AF125" s="32">
        <v>0</v>
      </c>
      <c r="AG12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3.9797687861271678</v>
      </c>
      <c r="AH125" s="32">
        <v>3010</v>
      </c>
      <c r="AI125" s="32">
        <v>476</v>
      </c>
      <c r="AJ125" s="32">
        <v>80</v>
      </c>
      <c r="AK125" s="32">
        <v>0</v>
      </c>
      <c r="AL125" s="32">
        <v>0</v>
      </c>
      <c r="AM125" s="32">
        <v>668</v>
      </c>
      <c r="AN125" s="32">
        <v>968</v>
      </c>
      <c r="AO125" s="32">
        <v>-76</v>
      </c>
      <c r="AP125" s="32">
        <v>-616</v>
      </c>
      <c r="AQ12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2.7299412915851273</v>
      </c>
      <c r="AR125" s="32">
        <v>1860</v>
      </c>
      <c r="AS125" s="32">
        <v>263</v>
      </c>
      <c r="AT125" s="32">
        <v>796</v>
      </c>
      <c r="AU125" s="32">
        <v>415</v>
      </c>
      <c r="AV125" s="32">
        <v>107</v>
      </c>
      <c r="AW125" s="32">
        <v>668</v>
      </c>
      <c r="AX125" s="32">
        <v>0</v>
      </c>
      <c r="AY125" s="32">
        <v>0</v>
      </c>
      <c r="AZ125" s="32">
        <v>0</v>
      </c>
      <c r="BA125" s="32">
        <v>70</v>
      </c>
      <c r="BB125" s="32">
        <v>6</v>
      </c>
      <c r="BC125" s="32">
        <v>1533</v>
      </c>
      <c r="BD125" s="34">
        <f>IFERROR(SUM(Entity_Metrics[[#This Row],[Operating surplus/(deficit) (social housing lettings)]])/SUM(Entity_Metrics[[#This Row],[Turnover from social housing lettings]]),"")</f>
        <v>0.31727700957301325</v>
      </c>
      <c r="BE125" s="32">
        <v>2088</v>
      </c>
      <c r="BF125" s="32">
        <v>6581</v>
      </c>
      <c r="BG125" s="34">
        <f>IFERROR(SUM(Entity_Metrics[[#This Row],[Operating surplus/(deficit) (overall)2]],-Entity_Metrics[[#This Row],[Gain/(loss) on disposal of fixed assets (housing properties)2]])/SUM(Entity_Metrics[[#This Row],[Turnover (overall)]]),"")</f>
        <v>0.34109570601696054</v>
      </c>
      <c r="BH125" s="32">
        <v>3010</v>
      </c>
      <c r="BI125" s="32">
        <v>476</v>
      </c>
      <c r="BJ125" s="32">
        <v>7429</v>
      </c>
      <c r="BK125" s="34">
        <f>IFERROR(SUM(Entity_Metrics[[#This Row],[Operating surplus/(deficit) (overall)3]],Entity_Metrics[[#This Row],[Share of operating surplus/(deficit) in joint ventures or associates]])/SUM(Entity_Metrics[[#This Row],[Total assets less current liabilities]]),"")</f>
        <v>5.9046236538046568E-2</v>
      </c>
      <c r="BL125" s="32">
        <v>3010</v>
      </c>
      <c r="BM125" s="32">
        <v>0</v>
      </c>
      <c r="BN125" s="32">
        <v>50977</v>
      </c>
      <c r="BO125" s="34">
        <v>0</v>
      </c>
      <c r="BP125" s="34">
        <v>5.1877133105802047E-2</v>
      </c>
      <c r="BQ125" s="6" t="s">
        <v>82</v>
      </c>
      <c r="BR125" s="6" t="s">
        <v>83</v>
      </c>
      <c r="BS125" s="6" t="s">
        <v>83</v>
      </c>
      <c r="BT125" s="6" t="s">
        <v>108</v>
      </c>
      <c r="BU125" s="8">
        <v>0.94796847063274636</v>
      </c>
      <c r="BV125" s="37" t="s">
        <v>706</v>
      </c>
      <c r="BW125" s="19" t="s">
        <v>286</v>
      </c>
    </row>
    <row r="126" spans="1:75" x14ac:dyDescent="0.25">
      <c r="A126" s="33" t="s">
        <v>707</v>
      </c>
      <c r="B126" s="7" t="s">
        <v>288</v>
      </c>
      <c r="C126" s="7" t="s">
        <v>81</v>
      </c>
      <c r="D12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0.10012877288859574</v>
      </c>
      <c r="E126" s="32">
        <v>3290</v>
      </c>
      <c r="F126" s="32">
        <v>13292</v>
      </c>
      <c r="G126" s="32">
        <v>2546</v>
      </c>
      <c r="H126" s="32">
        <v>0</v>
      </c>
      <c r="I126" s="32">
        <v>0</v>
      </c>
      <c r="J126" s="32">
        <v>191034</v>
      </c>
      <c r="K126" s="32">
        <v>0</v>
      </c>
      <c r="L12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3.8177339901477834E-2</v>
      </c>
      <c r="M126" s="32">
        <v>155</v>
      </c>
      <c r="N126" s="32">
        <v>0</v>
      </c>
      <c r="O126" s="32">
        <v>4048</v>
      </c>
      <c r="P126" s="32">
        <v>12</v>
      </c>
      <c r="Q12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6" s="32">
        <v>0</v>
      </c>
      <c r="S126" s="32">
        <v>0</v>
      </c>
      <c r="T126" s="32">
        <v>0</v>
      </c>
      <c r="U126" s="32">
        <v>4048</v>
      </c>
      <c r="V126" s="32">
        <v>85</v>
      </c>
      <c r="W126" s="32">
        <v>12</v>
      </c>
      <c r="X126" s="32">
        <v>0</v>
      </c>
      <c r="Y12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0.22706429222023305</v>
      </c>
      <c r="Z126" s="32">
        <v>2483</v>
      </c>
      <c r="AA126" s="32">
        <v>46367</v>
      </c>
      <c r="AB126" s="32">
        <v>5473</v>
      </c>
      <c r="AC126" s="32">
        <v>0</v>
      </c>
      <c r="AD126" s="32">
        <v>0</v>
      </c>
      <c r="AE126" s="32">
        <v>191034</v>
      </c>
      <c r="AF126" s="32">
        <v>0</v>
      </c>
      <c r="AG12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3.2859457270149859</v>
      </c>
      <c r="AH126" s="32">
        <v>8601</v>
      </c>
      <c r="AI126" s="32">
        <v>412</v>
      </c>
      <c r="AJ126" s="32">
        <v>1857</v>
      </c>
      <c r="AK126" s="32">
        <v>0</v>
      </c>
      <c r="AL126" s="32">
        <v>67</v>
      </c>
      <c r="AM126" s="32">
        <v>2546</v>
      </c>
      <c r="AN126" s="32">
        <v>4260</v>
      </c>
      <c r="AO126" s="32">
        <v>0</v>
      </c>
      <c r="AP126" s="32">
        <v>-2469</v>
      </c>
      <c r="AQ12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2.9860019646365421</v>
      </c>
      <c r="AR126" s="32">
        <v>3910</v>
      </c>
      <c r="AS126" s="32">
        <v>707</v>
      </c>
      <c r="AT126" s="32">
        <v>2383</v>
      </c>
      <c r="AU126" s="32">
        <v>766</v>
      </c>
      <c r="AV126" s="32">
        <v>712</v>
      </c>
      <c r="AW126" s="32">
        <v>2546</v>
      </c>
      <c r="AX126" s="32">
        <v>519</v>
      </c>
      <c r="AY126" s="32">
        <v>163</v>
      </c>
      <c r="AZ126" s="32">
        <v>0</v>
      </c>
      <c r="BA126" s="32">
        <v>453</v>
      </c>
      <c r="BB126" s="32">
        <v>0</v>
      </c>
      <c r="BC126" s="32">
        <v>4072</v>
      </c>
      <c r="BD126" s="34">
        <f>IFERROR(SUM(Entity_Metrics[[#This Row],[Operating surplus/(deficit) (social housing lettings)]])/SUM(Entity_Metrics[[#This Row],[Turnover from social housing lettings]]),"")</f>
        <v>0.32774847450615369</v>
      </c>
      <c r="BE126" s="32">
        <v>6338</v>
      </c>
      <c r="BF126" s="32">
        <v>19338</v>
      </c>
      <c r="BG126" s="34">
        <f>IFERROR(SUM(Entity_Metrics[[#This Row],[Operating surplus/(deficit) (overall)2]],-Entity_Metrics[[#This Row],[Gain/(loss) on disposal of fixed assets (housing properties)2]])/SUM(Entity_Metrics[[#This Row],[Turnover (overall)]]),"")</f>
        <v>0.3495688551182447</v>
      </c>
      <c r="BH126" s="32">
        <v>8601</v>
      </c>
      <c r="BI126" s="32">
        <v>412</v>
      </c>
      <c r="BJ126" s="32">
        <v>23426</v>
      </c>
      <c r="BK126" s="34">
        <f>IFERROR(SUM(Entity_Metrics[[#This Row],[Operating surplus/(deficit) (overall)3]],Entity_Metrics[[#This Row],[Share of operating surplus/(deficit) in joint ventures or associates]])/SUM(Entity_Metrics[[#This Row],[Total assets less current liabilities]]),"")</f>
        <v>4.3169909052580856E-2</v>
      </c>
      <c r="BL126" s="32">
        <v>8601</v>
      </c>
      <c r="BM126" s="32">
        <v>0</v>
      </c>
      <c r="BN126" s="32">
        <v>199236</v>
      </c>
      <c r="BO126" s="34">
        <v>4.572713643178411E-2</v>
      </c>
      <c r="BP126" s="34">
        <v>6.3968015992003996E-2</v>
      </c>
      <c r="BQ126" s="6" t="s">
        <v>82</v>
      </c>
      <c r="BR126" s="6" t="s">
        <v>83</v>
      </c>
      <c r="BS126" s="6" t="s">
        <v>83</v>
      </c>
      <c r="BT126" s="6" t="s">
        <v>108</v>
      </c>
      <c r="BU126" s="8">
        <v>0.94806402515399968</v>
      </c>
      <c r="BV126" s="37" t="s">
        <v>707</v>
      </c>
      <c r="BW126" s="19" t="s">
        <v>288</v>
      </c>
    </row>
    <row r="127" spans="1:75" x14ac:dyDescent="0.25">
      <c r="A127" s="33" t="s">
        <v>708</v>
      </c>
      <c r="B127" s="7" t="s">
        <v>290</v>
      </c>
      <c r="C127" s="7" t="s">
        <v>81</v>
      </c>
      <c r="D12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0.10916815512286195</v>
      </c>
      <c r="E127" s="32">
        <v>0</v>
      </c>
      <c r="F127" s="32">
        <v>33108</v>
      </c>
      <c r="G127" s="32">
        <v>10332</v>
      </c>
      <c r="H127" s="32">
        <v>1116</v>
      </c>
      <c r="I127" s="32">
        <v>0</v>
      </c>
      <c r="J127" s="32">
        <v>408141</v>
      </c>
      <c r="K127" s="32">
        <v>0</v>
      </c>
      <c r="L12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1.5425297487880123E-2</v>
      </c>
      <c r="M127" s="32">
        <v>245</v>
      </c>
      <c r="N127" s="32">
        <v>0</v>
      </c>
      <c r="O127" s="32">
        <v>15467</v>
      </c>
      <c r="P127" s="32">
        <v>416</v>
      </c>
      <c r="Q12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7" s="32">
        <v>0</v>
      </c>
      <c r="S127" s="32">
        <v>0</v>
      </c>
      <c r="T127" s="32">
        <v>0</v>
      </c>
      <c r="U127" s="32">
        <v>15467</v>
      </c>
      <c r="V127" s="32">
        <v>0</v>
      </c>
      <c r="W127" s="32">
        <v>416</v>
      </c>
      <c r="X127" s="32">
        <v>46</v>
      </c>
      <c r="Y12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0.19159310140368158</v>
      </c>
      <c r="Z127" s="32">
        <v>0</v>
      </c>
      <c r="AA127" s="32">
        <v>157528</v>
      </c>
      <c r="AB127" s="32">
        <v>79331</v>
      </c>
      <c r="AC127" s="32">
        <v>0</v>
      </c>
      <c r="AD127" s="32">
        <v>0</v>
      </c>
      <c r="AE127" s="32">
        <v>408141</v>
      </c>
      <c r="AF127" s="32">
        <v>0</v>
      </c>
      <c r="AG12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1.3610990600144612</v>
      </c>
      <c r="AH127" s="32">
        <v>26509</v>
      </c>
      <c r="AI127" s="32">
        <v>1689</v>
      </c>
      <c r="AJ127" s="32">
        <v>273</v>
      </c>
      <c r="AK127" s="32">
        <v>0</v>
      </c>
      <c r="AL127" s="32">
        <v>213</v>
      </c>
      <c r="AM127" s="32">
        <v>10332</v>
      </c>
      <c r="AN127" s="32">
        <v>13808</v>
      </c>
      <c r="AO127" s="32">
        <v>-1116</v>
      </c>
      <c r="AP127" s="32">
        <v>-19629</v>
      </c>
      <c r="AQ12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2.814165000322518</v>
      </c>
      <c r="AR127" s="32">
        <v>14740</v>
      </c>
      <c r="AS127" s="32">
        <v>3475</v>
      </c>
      <c r="AT127" s="32">
        <v>13432</v>
      </c>
      <c r="AU127" s="32">
        <v>901</v>
      </c>
      <c r="AV127" s="32">
        <v>0</v>
      </c>
      <c r="AW127" s="32">
        <v>10332</v>
      </c>
      <c r="AX127" s="32">
        <v>639</v>
      </c>
      <c r="AY127" s="32">
        <v>0</v>
      </c>
      <c r="AZ127" s="32">
        <v>109</v>
      </c>
      <c r="BA127" s="32">
        <v>0</v>
      </c>
      <c r="BB127" s="32">
        <v>0</v>
      </c>
      <c r="BC127" s="32">
        <v>15503</v>
      </c>
      <c r="BD127" s="34">
        <f>IFERROR(SUM(Entity_Metrics[[#This Row],[Operating surplus/(deficit) (social housing lettings)]])/SUM(Entity_Metrics[[#This Row],[Turnover from social housing lettings]]),"")</f>
        <v>0.3339747612075577</v>
      </c>
      <c r="BE127" s="32">
        <v>23951</v>
      </c>
      <c r="BF127" s="32">
        <v>71715</v>
      </c>
      <c r="BG127" s="34">
        <f>IFERROR(SUM(Entity_Metrics[[#This Row],[Operating surplus/(deficit) (overall)2]],-Entity_Metrics[[#This Row],[Gain/(loss) on disposal of fixed assets (housing properties)2]])/SUM(Entity_Metrics[[#This Row],[Turnover (overall)]]),"")</f>
        <v>0.31965175731193735</v>
      </c>
      <c r="BH127" s="32">
        <v>26509</v>
      </c>
      <c r="BI127" s="32">
        <v>1689</v>
      </c>
      <c r="BJ127" s="32">
        <v>77647</v>
      </c>
      <c r="BK127" s="34">
        <f>IFERROR(SUM(Entity_Metrics[[#This Row],[Operating surplus/(deficit) (overall)3]],Entity_Metrics[[#This Row],[Share of operating surplus/(deficit) in joint ventures or associates]])/SUM(Entity_Metrics[[#This Row],[Total assets less current liabilities]]),"")</f>
        <v>5.4405894365257723E-2</v>
      </c>
      <c r="BL127" s="32">
        <v>26509</v>
      </c>
      <c r="BM127" s="32">
        <v>0</v>
      </c>
      <c r="BN127" s="32">
        <v>487245</v>
      </c>
      <c r="BO127" s="34">
        <v>4.1391799249773636E-3</v>
      </c>
      <c r="BP127" s="34">
        <v>4.6695123528650885E-2</v>
      </c>
      <c r="BQ127" s="6" t="s">
        <v>93</v>
      </c>
      <c r="BR127" s="6">
        <v>2008</v>
      </c>
      <c r="BS127" s="6" t="s">
        <v>120</v>
      </c>
      <c r="BT127" s="6" t="s">
        <v>105</v>
      </c>
      <c r="BU127" s="8">
        <v>0.9156653862445665</v>
      </c>
      <c r="BV127" s="37" t="s">
        <v>708</v>
      </c>
      <c r="BW127" s="19" t="s">
        <v>290</v>
      </c>
    </row>
    <row r="128" spans="1:75" x14ac:dyDescent="0.25">
      <c r="A128" s="33" t="s">
        <v>920</v>
      </c>
      <c r="B128" s="7" t="s">
        <v>292</v>
      </c>
      <c r="C128" s="7" t="s">
        <v>81</v>
      </c>
      <c r="D12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5.7950769974309591E-2</v>
      </c>
      <c r="E128" s="32">
        <v>28039</v>
      </c>
      <c r="F128" s="32">
        <v>59849</v>
      </c>
      <c r="G128" s="32">
        <v>16431</v>
      </c>
      <c r="H128" s="32">
        <v>1678</v>
      </c>
      <c r="I128" s="32">
        <v>0</v>
      </c>
      <c r="J128" s="32">
        <v>1829087</v>
      </c>
      <c r="K128" s="32">
        <v>0</v>
      </c>
      <c r="L12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2.4316199009667531E-2</v>
      </c>
      <c r="M128" s="32">
        <v>825</v>
      </c>
      <c r="N128" s="32">
        <v>0</v>
      </c>
      <c r="O128" s="32">
        <v>33928</v>
      </c>
      <c r="P128" s="32">
        <v>0</v>
      </c>
      <c r="Q12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7.3505630531298701E-4</v>
      </c>
      <c r="R128" s="32">
        <v>0</v>
      </c>
      <c r="S128" s="32">
        <v>0</v>
      </c>
      <c r="T128" s="32">
        <v>25</v>
      </c>
      <c r="U128" s="32">
        <v>33928</v>
      </c>
      <c r="V128" s="32">
        <v>83</v>
      </c>
      <c r="W128" s="32">
        <v>0</v>
      </c>
      <c r="X128" s="32">
        <v>0</v>
      </c>
      <c r="Y12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0.38842110845465527</v>
      </c>
      <c r="Z128" s="32">
        <v>25184</v>
      </c>
      <c r="AA128" s="32">
        <v>339706</v>
      </c>
      <c r="AB128" s="32">
        <v>22174</v>
      </c>
      <c r="AC128" s="32">
        <v>367740</v>
      </c>
      <c r="AD128" s="32">
        <v>0</v>
      </c>
      <c r="AE128" s="32">
        <v>1829087</v>
      </c>
      <c r="AF128" s="32">
        <v>0</v>
      </c>
      <c r="AG12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2.2416142375473602</v>
      </c>
      <c r="AH128" s="32">
        <v>63339</v>
      </c>
      <c r="AI128" s="32">
        <v>7249</v>
      </c>
      <c r="AJ128" s="32">
        <v>7933</v>
      </c>
      <c r="AK128" s="32">
        <v>0</v>
      </c>
      <c r="AL128" s="32">
        <v>1053</v>
      </c>
      <c r="AM128" s="32">
        <v>16431</v>
      </c>
      <c r="AN128" s="32">
        <v>31710</v>
      </c>
      <c r="AO128" s="32">
        <v>-1678</v>
      </c>
      <c r="AP128" s="32">
        <v>-27091</v>
      </c>
      <c r="AQ12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3.1849879362090272</v>
      </c>
      <c r="AR128" s="32">
        <v>37144</v>
      </c>
      <c r="AS128" s="32">
        <v>11128</v>
      </c>
      <c r="AT128" s="32">
        <v>23052</v>
      </c>
      <c r="AU128" s="32">
        <v>9374</v>
      </c>
      <c r="AV128" s="32">
        <v>6448</v>
      </c>
      <c r="AW128" s="32">
        <v>16431</v>
      </c>
      <c r="AX128" s="32">
        <v>0</v>
      </c>
      <c r="AY128" s="32">
        <v>2437</v>
      </c>
      <c r="AZ128" s="32">
        <v>0</v>
      </c>
      <c r="BA128" s="32">
        <v>430</v>
      </c>
      <c r="BB128" s="32">
        <v>1801</v>
      </c>
      <c r="BC128" s="32">
        <v>33986</v>
      </c>
      <c r="BD128" s="34">
        <f>IFERROR(SUM(Entity_Metrics[[#This Row],[Operating surplus/(deficit) (social housing lettings)]])/SUM(Entity_Metrics[[#This Row],[Turnover from social housing lettings]]),"")</f>
        <v>0.30499315008598826</v>
      </c>
      <c r="BE128" s="32">
        <v>52317</v>
      </c>
      <c r="BF128" s="32">
        <v>171535</v>
      </c>
      <c r="BG128" s="34">
        <f>IFERROR(SUM(Entity_Metrics[[#This Row],[Operating surplus/(deficit) (overall)2]],-Entity_Metrics[[#This Row],[Gain/(loss) on disposal of fixed assets (housing properties)2]])/SUM(Entity_Metrics[[#This Row],[Turnover (overall)]]),"")</f>
        <v>0.28183380397752966</v>
      </c>
      <c r="BH128" s="32">
        <v>63339</v>
      </c>
      <c r="BI128" s="32">
        <v>7249</v>
      </c>
      <c r="BJ128" s="32">
        <v>199018</v>
      </c>
      <c r="BK128" s="34">
        <f>IFERROR(SUM(Entity_Metrics[[#This Row],[Operating surplus/(deficit) (overall)3]],Entity_Metrics[[#This Row],[Share of operating surplus/(deficit) in joint ventures or associates]])/SUM(Entity_Metrics[[#This Row],[Total assets less current liabilities]]),"")</f>
        <v>3.3676412102857704E-2</v>
      </c>
      <c r="BL128" s="32">
        <v>63339</v>
      </c>
      <c r="BM128" s="32">
        <v>0</v>
      </c>
      <c r="BN128" s="32">
        <v>1880812</v>
      </c>
      <c r="BO128" s="34">
        <v>4.3480848784262373E-2</v>
      </c>
      <c r="BP128" s="34">
        <v>2.1249367578345883E-2</v>
      </c>
      <c r="BQ128" s="6" t="s">
        <v>82</v>
      </c>
      <c r="BR128" s="6" t="s">
        <v>83</v>
      </c>
      <c r="BS128" s="6" t="s">
        <v>83</v>
      </c>
      <c r="BT128" s="6" t="s">
        <v>115</v>
      </c>
      <c r="BU128" s="8">
        <v>0.96631337538938056</v>
      </c>
      <c r="BV128" s="37">
        <v>4873</v>
      </c>
      <c r="BW128" s="19" t="s">
        <v>292</v>
      </c>
    </row>
    <row r="129" spans="1:75" x14ac:dyDescent="0.25">
      <c r="A129" s="33" t="s">
        <v>293</v>
      </c>
      <c r="B129" s="7" t="s">
        <v>294</v>
      </c>
      <c r="C129" s="7" t="s">
        <v>81</v>
      </c>
      <c r="D12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8.945314774911188E-2</v>
      </c>
      <c r="E129" s="32">
        <v>5910</v>
      </c>
      <c r="F129" s="32">
        <v>1891</v>
      </c>
      <c r="G129" s="32">
        <v>2951</v>
      </c>
      <c r="H129" s="32">
        <v>0</v>
      </c>
      <c r="I129" s="32">
        <v>0</v>
      </c>
      <c r="J129" s="32">
        <v>120197</v>
      </c>
      <c r="K129" s="32">
        <v>0</v>
      </c>
      <c r="L12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9.1929321872015277E-3</v>
      </c>
      <c r="M129" s="32">
        <v>77</v>
      </c>
      <c r="N129" s="32">
        <v>0</v>
      </c>
      <c r="O129" s="32">
        <v>8376</v>
      </c>
      <c r="P129" s="32">
        <v>0</v>
      </c>
      <c r="Q12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29" s="32">
        <v>0</v>
      </c>
      <c r="S129" s="32">
        <v>0</v>
      </c>
      <c r="T129" s="32">
        <v>0</v>
      </c>
      <c r="U129" s="32">
        <v>8376</v>
      </c>
      <c r="V129" s="32">
        <v>0</v>
      </c>
      <c r="W129" s="32">
        <v>0</v>
      </c>
      <c r="X129" s="32">
        <v>0</v>
      </c>
      <c r="Y12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0.47403013386357395</v>
      </c>
      <c r="Z129" s="32">
        <v>0</v>
      </c>
      <c r="AA129" s="32">
        <v>65400</v>
      </c>
      <c r="AB129" s="32">
        <v>8423</v>
      </c>
      <c r="AC129" s="32">
        <v>0</v>
      </c>
      <c r="AD129" s="32">
        <v>0</v>
      </c>
      <c r="AE129" s="32">
        <v>120197</v>
      </c>
      <c r="AF129" s="32">
        <v>0</v>
      </c>
      <c r="AG12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2.4766155637492724</v>
      </c>
      <c r="AH129" s="32">
        <v>11387</v>
      </c>
      <c r="AI129" s="32">
        <v>535</v>
      </c>
      <c r="AJ129" s="32">
        <v>157</v>
      </c>
      <c r="AK129" s="32">
        <v>0</v>
      </c>
      <c r="AL129" s="32">
        <v>8</v>
      </c>
      <c r="AM129" s="32">
        <v>2951</v>
      </c>
      <c r="AN129" s="32">
        <v>5010</v>
      </c>
      <c r="AO129" s="32">
        <v>0</v>
      </c>
      <c r="AP129" s="32">
        <v>-5153</v>
      </c>
      <c r="AQ12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2.5520534861509074</v>
      </c>
      <c r="AR129" s="32">
        <v>8799</v>
      </c>
      <c r="AS129" s="32">
        <v>83</v>
      </c>
      <c r="AT129" s="32">
        <v>6901</v>
      </c>
      <c r="AU129" s="32">
        <v>483</v>
      </c>
      <c r="AV129" s="32">
        <v>1354</v>
      </c>
      <c r="AW129" s="32">
        <v>2951</v>
      </c>
      <c r="AX129" s="32">
        <v>352</v>
      </c>
      <c r="AY129" s="32">
        <v>0</v>
      </c>
      <c r="AZ129" s="32">
        <v>0</v>
      </c>
      <c r="BA129" s="32">
        <v>453</v>
      </c>
      <c r="BB129" s="32">
        <v>0</v>
      </c>
      <c r="BC129" s="32">
        <v>8376</v>
      </c>
      <c r="BD129" s="34">
        <f>IFERROR(SUM(Entity_Metrics[[#This Row],[Operating surplus/(deficit) (social housing lettings)]])/SUM(Entity_Metrics[[#This Row],[Turnover from social housing lettings]]),"")</f>
        <v>0.29471890971039183</v>
      </c>
      <c r="BE129" s="32">
        <v>9688</v>
      </c>
      <c r="BF129" s="32">
        <v>32872</v>
      </c>
      <c r="BG129" s="34">
        <f>IFERROR(SUM(Entity_Metrics[[#This Row],[Operating surplus/(deficit) (overall)2]],-Entity_Metrics[[#This Row],[Gain/(loss) on disposal of fixed assets (housing properties)2]])/SUM(Entity_Metrics[[#This Row],[Turnover (overall)]]),"")</f>
        <v>0.31408642296894446</v>
      </c>
      <c r="BH129" s="32">
        <v>11387</v>
      </c>
      <c r="BI129" s="32">
        <v>535</v>
      </c>
      <c r="BJ129" s="32">
        <v>34551</v>
      </c>
      <c r="BK129" s="34">
        <f>IFERROR(SUM(Entity_Metrics[[#This Row],[Operating surplus/(deficit) (overall)3]],Entity_Metrics[[#This Row],[Share of operating surplus/(deficit) in joint ventures or associates]])/SUM(Entity_Metrics[[#This Row],[Total assets less current liabilities]]),"")</f>
        <v>8.3343092191937238E-2</v>
      </c>
      <c r="BL129" s="32">
        <v>11387</v>
      </c>
      <c r="BM129" s="32">
        <v>0</v>
      </c>
      <c r="BN129" s="32">
        <v>136628</v>
      </c>
      <c r="BO129" s="34">
        <v>0</v>
      </c>
      <c r="BP129" s="34">
        <v>0</v>
      </c>
      <c r="BQ129" s="6" t="s">
        <v>93</v>
      </c>
      <c r="BR129" s="6">
        <v>2009</v>
      </c>
      <c r="BS129" s="6" t="s">
        <v>120</v>
      </c>
      <c r="BT129" s="6" t="s">
        <v>121</v>
      </c>
      <c r="BU129" s="8">
        <v>0.9026647648742484</v>
      </c>
      <c r="BV129" s="37" t="s">
        <v>293</v>
      </c>
      <c r="BW129" s="19" t="s">
        <v>294</v>
      </c>
    </row>
    <row r="130" spans="1:75" x14ac:dyDescent="0.25">
      <c r="A130" s="33" t="s">
        <v>295</v>
      </c>
      <c r="B130" s="7" t="s">
        <v>296</v>
      </c>
      <c r="C130" s="7" t="s">
        <v>81</v>
      </c>
      <c r="D13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0.15811453328864225</v>
      </c>
      <c r="E130" s="32">
        <v>0</v>
      </c>
      <c r="F130" s="32">
        <v>62987</v>
      </c>
      <c r="G130" s="32">
        <v>696</v>
      </c>
      <c r="H130" s="32">
        <v>0</v>
      </c>
      <c r="I130" s="32">
        <v>0</v>
      </c>
      <c r="J130" s="32">
        <v>402765</v>
      </c>
      <c r="K130" s="32">
        <v>0</v>
      </c>
      <c r="L13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0.1102803738317757</v>
      </c>
      <c r="M130" s="32">
        <v>236</v>
      </c>
      <c r="N130" s="32">
        <v>0</v>
      </c>
      <c r="O130" s="32">
        <v>2140</v>
      </c>
      <c r="P130" s="32">
        <v>0</v>
      </c>
      <c r="Q13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0" s="32">
        <v>0</v>
      </c>
      <c r="S130" s="32">
        <v>0</v>
      </c>
      <c r="T130" s="32">
        <v>0</v>
      </c>
      <c r="U130" s="32">
        <v>2140</v>
      </c>
      <c r="V130" s="32">
        <v>0</v>
      </c>
      <c r="W130" s="32">
        <v>0</v>
      </c>
      <c r="X130" s="32">
        <v>0</v>
      </c>
      <c r="Y13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0.52816158305711769</v>
      </c>
      <c r="Z130" s="32">
        <v>0</v>
      </c>
      <c r="AA130" s="32">
        <v>221799</v>
      </c>
      <c r="AB130" s="32">
        <v>9074</v>
      </c>
      <c r="AC130" s="32">
        <v>0</v>
      </c>
      <c r="AD130" s="32">
        <v>0</v>
      </c>
      <c r="AE130" s="32">
        <v>402765</v>
      </c>
      <c r="AF130" s="32">
        <v>0</v>
      </c>
      <c r="AG13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2.2294124012552756</v>
      </c>
      <c r="AH130" s="32">
        <v>17036</v>
      </c>
      <c r="AI130" s="32">
        <v>0</v>
      </c>
      <c r="AJ130" s="32">
        <v>0</v>
      </c>
      <c r="AK130" s="32">
        <v>0</v>
      </c>
      <c r="AL130" s="32">
        <v>36</v>
      </c>
      <c r="AM130" s="32">
        <v>696</v>
      </c>
      <c r="AN130" s="32">
        <v>4226</v>
      </c>
      <c r="AO130" s="32">
        <v>0</v>
      </c>
      <c r="AP130" s="32">
        <v>-9241</v>
      </c>
      <c r="AQ13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2.8462616822429907</v>
      </c>
      <c r="AR130" s="32">
        <v>3211</v>
      </c>
      <c r="AS130" s="32">
        <v>719</v>
      </c>
      <c r="AT130" s="32">
        <v>755</v>
      </c>
      <c r="AU130" s="32">
        <v>507</v>
      </c>
      <c r="AV130" s="32">
        <v>0</v>
      </c>
      <c r="AW130" s="32">
        <v>696</v>
      </c>
      <c r="AX130" s="32">
        <v>203</v>
      </c>
      <c r="AY130" s="32">
        <v>0</v>
      </c>
      <c r="AZ130" s="32">
        <v>0</v>
      </c>
      <c r="BA130" s="32">
        <v>0</v>
      </c>
      <c r="BB130" s="32">
        <v>0</v>
      </c>
      <c r="BC130" s="32">
        <v>2140</v>
      </c>
      <c r="BD130" s="34">
        <f>IFERROR(SUM(Entity_Metrics[[#This Row],[Operating surplus/(deficit) (social housing lettings)]])/SUM(Entity_Metrics[[#This Row],[Turnover from social housing lettings]]),"")</f>
        <v>0.64420464835496527</v>
      </c>
      <c r="BE130" s="32">
        <v>17074</v>
      </c>
      <c r="BF130" s="32">
        <v>26504</v>
      </c>
      <c r="BG130" s="34">
        <f>IFERROR(SUM(Entity_Metrics[[#This Row],[Operating surplus/(deficit) (overall)2]],-Entity_Metrics[[#This Row],[Gain/(loss) on disposal of fixed assets (housing properties)2]])/SUM(Entity_Metrics[[#This Row],[Turnover (overall)]]),"")</f>
        <v>0.64204416974447875</v>
      </c>
      <c r="BH130" s="32">
        <v>17036</v>
      </c>
      <c r="BI130" s="32">
        <v>0</v>
      </c>
      <c r="BJ130" s="32">
        <v>26534</v>
      </c>
      <c r="BK130" s="34">
        <f>IFERROR(SUM(Entity_Metrics[[#This Row],[Operating surplus/(deficit) (overall)3]],Entity_Metrics[[#This Row],[Share of operating surplus/(deficit) in joint ventures or associates]])/SUM(Entity_Metrics[[#This Row],[Total assets less current liabilities]]),"")</f>
        <v>4.1748557817194443E-2</v>
      </c>
      <c r="BL130" s="32">
        <v>17036</v>
      </c>
      <c r="BM130" s="32">
        <v>0</v>
      </c>
      <c r="BN130" s="32">
        <v>408062</v>
      </c>
      <c r="BO130" s="34">
        <v>0</v>
      </c>
      <c r="BP130" s="34">
        <v>0</v>
      </c>
      <c r="BQ130" s="6" t="s">
        <v>82</v>
      </c>
      <c r="BR130" s="6" t="s">
        <v>83</v>
      </c>
      <c r="BS130" s="6" t="s">
        <v>83</v>
      </c>
      <c r="BT130" s="6" t="s">
        <v>156</v>
      </c>
      <c r="BU130" s="8">
        <v>1.2237619813742295</v>
      </c>
      <c r="BV130" s="37" t="s">
        <v>295</v>
      </c>
      <c r="BW130" s="19" t="s">
        <v>296</v>
      </c>
    </row>
    <row r="131" spans="1:75" x14ac:dyDescent="0.25">
      <c r="A131" s="33" t="s">
        <v>709</v>
      </c>
      <c r="B131" s="7" t="s">
        <v>298</v>
      </c>
      <c r="C131" s="7" t="s">
        <v>81</v>
      </c>
      <c r="D13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5.9175728338368802E-2</v>
      </c>
      <c r="E131" s="32">
        <v>447075</v>
      </c>
      <c r="F131" s="32">
        <v>0</v>
      </c>
      <c r="G131" s="32">
        <v>65518</v>
      </c>
      <c r="H131" s="32">
        <v>0</v>
      </c>
      <c r="I131" s="32">
        <v>0</v>
      </c>
      <c r="J131" s="32">
        <v>8662217</v>
      </c>
      <c r="K131" s="32">
        <v>0</v>
      </c>
      <c r="L13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1.5737946077561061E-2</v>
      </c>
      <c r="M131" s="32">
        <v>1241</v>
      </c>
      <c r="N131" s="32">
        <v>0</v>
      </c>
      <c r="O131" s="32">
        <v>78854</v>
      </c>
      <c r="P131" s="32">
        <v>0</v>
      </c>
      <c r="Q13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9.384431988231415E-4</v>
      </c>
      <c r="R131" s="32">
        <v>0</v>
      </c>
      <c r="S131" s="32">
        <v>0</v>
      </c>
      <c r="T131" s="32">
        <v>74</v>
      </c>
      <c r="U131" s="32">
        <v>78854</v>
      </c>
      <c r="V131" s="32">
        <v>0</v>
      </c>
      <c r="W131" s="32">
        <v>0</v>
      </c>
      <c r="X131" s="32">
        <v>0</v>
      </c>
      <c r="Y13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0.44379435426288671</v>
      </c>
      <c r="Z131" s="32">
        <v>33563</v>
      </c>
      <c r="AA131" s="32">
        <v>3938869</v>
      </c>
      <c r="AB131" s="32">
        <v>128189</v>
      </c>
      <c r="AC131" s="32">
        <v>0</v>
      </c>
      <c r="AD131" s="32">
        <v>0</v>
      </c>
      <c r="AE131" s="32">
        <v>8662217</v>
      </c>
      <c r="AF131" s="32">
        <v>0</v>
      </c>
      <c r="AG13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2.1886836166433556</v>
      </c>
      <c r="AH131" s="32">
        <v>266644</v>
      </c>
      <c r="AI131" s="32">
        <v>49921</v>
      </c>
      <c r="AJ131" s="32">
        <v>23328</v>
      </c>
      <c r="AK131" s="32">
        <v>0</v>
      </c>
      <c r="AL131" s="32">
        <v>51341</v>
      </c>
      <c r="AM131" s="32">
        <v>65518</v>
      </c>
      <c r="AN131" s="32">
        <v>75849</v>
      </c>
      <c r="AO131" s="32">
        <v>-15222</v>
      </c>
      <c r="AP131" s="32">
        <v>-101317</v>
      </c>
      <c r="AQ13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3.8529434144114441</v>
      </c>
      <c r="AR131" s="32">
        <v>49823</v>
      </c>
      <c r="AS131" s="32">
        <v>50614</v>
      </c>
      <c r="AT131" s="32">
        <v>63347</v>
      </c>
      <c r="AU131" s="32">
        <v>36307</v>
      </c>
      <c r="AV131" s="32">
        <v>0</v>
      </c>
      <c r="AW131" s="32">
        <v>65518</v>
      </c>
      <c r="AX131" s="32">
        <v>401</v>
      </c>
      <c r="AY131" s="32">
        <v>20613</v>
      </c>
      <c r="AZ131" s="32">
        <v>7135</v>
      </c>
      <c r="BA131" s="32">
        <v>10062</v>
      </c>
      <c r="BB131" s="32">
        <v>0</v>
      </c>
      <c r="BC131" s="32">
        <v>78854</v>
      </c>
      <c r="BD131" s="34">
        <f>IFERROR(SUM(Entity_Metrics[[#This Row],[Operating surplus/(deficit) (social housing lettings)]])/SUM(Entity_Metrics[[#This Row],[Turnover from social housing lettings]]),"")</f>
        <v>0.45763263513877867</v>
      </c>
      <c r="BE131" s="32">
        <v>237623</v>
      </c>
      <c r="BF131" s="32">
        <v>519244</v>
      </c>
      <c r="BG131" s="34">
        <f>IFERROR(SUM(Entity_Metrics[[#This Row],[Operating surplus/(deficit) (overall)2]],-Entity_Metrics[[#This Row],[Gain/(loss) on disposal of fixed assets (housing properties)2]])/SUM(Entity_Metrics[[#This Row],[Turnover (overall)]]),"")</f>
        <v>0.33844090093494722</v>
      </c>
      <c r="BH131" s="32">
        <v>266644</v>
      </c>
      <c r="BI131" s="32">
        <v>49921</v>
      </c>
      <c r="BJ131" s="32">
        <v>640357</v>
      </c>
      <c r="BK131" s="34">
        <f>IFERROR(SUM(Entity_Metrics[[#This Row],[Operating surplus/(deficit) (overall)3]],Entity_Metrics[[#This Row],[Share of operating surplus/(deficit) in joint ventures or associates]])/SUM(Entity_Metrics[[#This Row],[Total assets less current liabilities]]),"")</f>
        <v>2.4877712538723895E-2</v>
      </c>
      <c r="BL131" s="32">
        <v>266644</v>
      </c>
      <c r="BM131" s="32">
        <v>0</v>
      </c>
      <c r="BN131" s="32">
        <v>10718188</v>
      </c>
      <c r="BO131" s="34">
        <v>3.5879958345167093E-2</v>
      </c>
      <c r="BP131" s="34">
        <v>3.4608674483709988E-2</v>
      </c>
      <c r="BQ131" s="6" t="s">
        <v>82</v>
      </c>
      <c r="BR131" s="6" t="s">
        <v>83</v>
      </c>
      <c r="BS131" s="6" t="s">
        <v>83</v>
      </c>
      <c r="BT131" s="6" t="s">
        <v>156</v>
      </c>
      <c r="BU131" s="8">
        <v>1.2131360162209888</v>
      </c>
      <c r="BV131" s="37" t="s">
        <v>709</v>
      </c>
      <c r="BW131" s="19" t="s">
        <v>298</v>
      </c>
    </row>
    <row r="132" spans="1:75" x14ac:dyDescent="0.25">
      <c r="A132" s="33" t="s">
        <v>710</v>
      </c>
      <c r="B132" s="7" t="s">
        <v>711</v>
      </c>
      <c r="C132" s="7" t="s">
        <v>81</v>
      </c>
      <c r="D13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6.9490664237552693E-2</v>
      </c>
      <c r="E132" s="32">
        <v>24828</v>
      </c>
      <c r="F132" s="32">
        <v>0</v>
      </c>
      <c r="G132" s="32">
        <v>4838</v>
      </c>
      <c r="H132" s="32">
        <v>696</v>
      </c>
      <c r="I132" s="32">
        <v>0</v>
      </c>
      <c r="J132" s="32">
        <v>436922</v>
      </c>
      <c r="K132" s="32">
        <v>0</v>
      </c>
      <c r="L13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2.7269331341053419E-2</v>
      </c>
      <c r="M132" s="32">
        <v>219</v>
      </c>
      <c r="N132" s="32">
        <v>0</v>
      </c>
      <c r="O132" s="32">
        <v>7947</v>
      </c>
      <c r="P132" s="32">
        <v>84</v>
      </c>
      <c r="Q13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2" s="32">
        <v>0</v>
      </c>
      <c r="S132" s="32">
        <v>0</v>
      </c>
      <c r="T132" s="32">
        <v>0</v>
      </c>
      <c r="U132" s="32">
        <v>7947</v>
      </c>
      <c r="V132" s="32">
        <v>47</v>
      </c>
      <c r="W132" s="32">
        <v>84</v>
      </c>
      <c r="X132" s="32">
        <v>1453</v>
      </c>
      <c r="Y13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0.5021559912295559</v>
      </c>
      <c r="Z132" s="32">
        <v>1707</v>
      </c>
      <c r="AA132" s="32">
        <v>223435</v>
      </c>
      <c r="AB132" s="32">
        <v>5739</v>
      </c>
      <c r="AC132" s="32">
        <v>0</v>
      </c>
      <c r="AD132" s="32">
        <v>0</v>
      </c>
      <c r="AE132" s="32">
        <v>436922</v>
      </c>
      <c r="AF132" s="32">
        <v>0</v>
      </c>
      <c r="AG13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1.8151044149899875</v>
      </c>
      <c r="AH132" s="32">
        <v>19603</v>
      </c>
      <c r="AI132" s="32">
        <v>899</v>
      </c>
      <c r="AJ132" s="32">
        <v>1416</v>
      </c>
      <c r="AK132" s="32">
        <v>0</v>
      </c>
      <c r="AL132" s="32">
        <v>811</v>
      </c>
      <c r="AM132" s="32">
        <v>4838</v>
      </c>
      <c r="AN132" s="32">
        <v>5774</v>
      </c>
      <c r="AO132" s="32">
        <v>-696</v>
      </c>
      <c r="AP132" s="32">
        <v>-9791</v>
      </c>
      <c r="AQ13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3.0067667322834644</v>
      </c>
      <c r="AR132" s="32">
        <v>4501</v>
      </c>
      <c r="AS132" s="32">
        <v>4531</v>
      </c>
      <c r="AT132" s="32">
        <v>3827</v>
      </c>
      <c r="AU132" s="32">
        <v>2045</v>
      </c>
      <c r="AV132" s="32">
        <v>333</v>
      </c>
      <c r="AW132" s="32">
        <v>4838</v>
      </c>
      <c r="AX132" s="32">
        <v>0</v>
      </c>
      <c r="AY132" s="32">
        <v>585</v>
      </c>
      <c r="AZ132" s="32">
        <v>0</v>
      </c>
      <c r="BA132" s="32">
        <v>2708</v>
      </c>
      <c r="BB132" s="32">
        <v>1071</v>
      </c>
      <c r="BC132" s="32">
        <v>8128</v>
      </c>
      <c r="BD132" s="34">
        <f>IFERROR(SUM(Entity_Metrics[[#This Row],[Operating surplus/(deficit) (social housing lettings)]])/SUM(Entity_Metrics[[#This Row],[Turnover from social housing lettings]]),"")</f>
        <v>0.4299268094334508</v>
      </c>
      <c r="BE132" s="32">
        <v>15860</v>
      </c>
      <c r="BF132" s="32">
        <v>36890</v>
      </c>
      <c r="BG132" s="34">
        <f>IFERROR(SUM(Entity_Metrics[[#This Row],[Operating surplus/(deficit) (overall)2]],-Entity_Metrics[[#This Row],[Gain/(loss) on disposal of fixed assets (housing properties)2]])/SUM(Entity_Metrics[[#This Row],[Turnover (overall)]]),"")</f>
        <v>0.3716051099676157</v>
      </c>
      <c r="BH132" s="32">
        <v>19603</v>
      </c>
      <c r="BI132" s="32">
        <v>899</v>
      </c>
      <c r="BJ132" s="32">
        <v>50333</v>
      </c>
      <c r="BK132" s="34">
        <f>IFERROR(SUM(Entity_Metrics[[#This Row],[Operating surplus/(deficit) (overall)3]],Entity_Metrics[[#This Row],[Share of operating surplus/(deficit) in joint ventures or associates]])/SUM(Entity_Metrics[[#This Row],[Total assets less current liabilities]]),"")</f>
        <v>4.343606458574762E-2</v>
      </c>
      <c r="BL132" s="32">
        <v>19603</v>
      </c>
      <c r="BM132" s="32">
        <v>0</v>
      </c>
      <c r="BN132" s="32">
        <v>451307</v>
      </c>
      <c r="BO132" s="34">
        <v>1.5187950892292116E-2</v>
      </c>
      <c r="BP132" s="34">
        <v>2.442728768510315E-2</v>
      </c>
      <c r="BQ132" s="6" t="s">
        <v>82</v>
      </c>
      <c r="BR132" s="6" t="s">
        <v>83</v>
      </c>
      <c r="BS132" s="6" t="s">
        <v>83</v>
      </c>
      <c r="BT132" s="6" t="s">
        <v>95</v>
      </c>
      <c r="BU132" s="8">
        <v>0.93690353057776221</v>
      </c>
      <c r="BV132" s="37" t="s">
        <v>590</v>
      </c>
      <c r="BW132" s="19" t="s">
        <v>300</v>
      </c>
    </row>
    <row r="133" spans="1:75" x14ac:dyDescent="0.25">
      <c r="A133" s="33" t="s">
        <v>712</v>
      </c>
      <c r="B133" s="7" t="s">
        <v>302</v>
      </c>
      <c r="C133" s="7" t="s">
        <v>81</v>
      </c>
      <c r="D13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2.355952339354974E-2</v>
      </c>
      <c r="E133" s="32">
        <v>0</v>
      </c>
      <c r="F133" s="32">
        <v>0</v>
      </c>
      <c r="G133" s="32">
        <v>2697</v>
      </c>
      <c r="H133" s="32">
        <v>0</v>
      </c>
      <c r="I133" s="32">
        <v>0</v>
      </c>
      <c r="J133" s="32">
        <v>114476</v>
      </c>
      <c r="K133" s="32">
        <v>0</v>
      </c>
      <c r="L13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8.368200836820083E-3</v>
      </c>
      <c r="M133" s="32">
        <v>10</v>
      </c>
      <c r="N133" s="32">
        <v>0</v>
      </c>
      <c r="O133" s="32">
        <v>1195</v>
      </c>
      <c r="P133" s="32">
        <v>0</v>
      </c>
      <c r="Q13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3" s="32">
        <v>0</v>
      </c>
      <c r="S133" s="32">
        <v>0</v>
      </c>
      <c r="T133" s="32">
        <v>0</v>
      </c>
      <c r="U133" s="32">
        <v>1195</v>
      </c>
      <c r="V133" s="32">
        <v>27</v>
      </c>
      <c r="W133" s="32">
        <v>0</v>
      </c>
      <c r="X133" s="32">
        <v>0</v>
      </c>
      <c r="Y13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2.4834899891680352E-2</v>
      </c>
      <c r="Z133" s="32">
        <v>409</v>
      </c>
      <c r="AA133" s="32">
        <v>5589</v>
      </c>
      <c r="AB133" s="32">
        <v>3155</v>
      </c>
      <c r="AC133" s="32">
        <v>0</v>
      </c>
      <c r="AD133" s="32">
        <v>0</v>
      </c>
      <c r="AE133" s="32">
        <v>114476</v>
      </c>
      <c r="AF133" s="32">
        <v>0</v>
      </c>
      <c r="AG13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-1.1237113402061856</v>
      </c>
      <c r="AH133" s="32">
        <v>711</v>
      </c>
      <c r="AI133" s="32">
        <v>207</v>
      </c>
      <c r="AJ133" s="32">
        <v>880</v>
      </c>
      <c r="AK133" s="32">
        <v>0</v>
      </c>
      <c r="AL133" s="32">
        <v>753</v>
      </c>
      <c r="AM133" s="32">
        <v>2697</v>
      </c>
      <c r="AN133" s="32">
        <v>2211</v>
      </c>
      <c r="AO133" s="32">
        <v>0</v>
      </c>
      <c r="AP133" s="32">
        <v>-97</v>
      </c>
      <c r="AQ13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24.153554901135884</v>
      </c>
      <c r="AR133" s="32">
        <v>9275</v>
      </c>
      <c r="AS133" s="32">
        <v>8112</v>
      </c>
      <c r="AT133" s="32">
        <v>2243</v>
      </c>
      <c r="AU133" s="32">
        <v>0</v>
      </c>
      <c r="AV133" s="32">
        <v>138</v>
      </c>
      <c r="AW133" s="32">
        <v>2697</v>
      </c>
      <c r="AX133" s="32">
        <v>0</v>
      </c>
      <c r="AY133" s="32">
        <v>0</v>
      </c>
      <c r="AZ133" s="32">
        <v>0</v>
      </c>
      <c r="BA133" s="32">
        <v>0</v>
      </c>
      <c r="BB133" s="32">
        <v>34948</v>
      </c>
      <c r="BC133" s="32">
        <v>2377</v>
      </c>
      <c r="BD133" s="34">
        <f>IFERROR(SUM(Entity_Metrics[[#This Row],[Operating surplus/(deficit) (social housing lettings)]])/SUM(Entity_Metrics[[#This Row],[Turnover from social housing lettings]]),"")</f>
        <v>7.5263358294199778E-2</v>
      </c>
      <c r="BE133" s="32">
        <v>1779</v>
      </c>
      <c r="BF133" s="32">
        <v>23637</v>
      </c>
      <c r="BG133" s="34">
        <f>IFERROR(SUM(Entity_Metrics[[#This Row],[Operating surplus/(deficit) (overall)2]],-Entity_Metrics[[#This Row],[Gain/(loss) on disposal of fixed assets (housing properties)2]])/SUM(Entity_Metrics[[#This Row],[Turnover (overall)]]),"")</f>
        <v>8.7867640649244242E-3</v>
      </c>
      <c r="BH133" s="32">
        <v>711</v>
      </c>
      <c r="BI133" s="32">
        <v>207</v>
      </c>
      <c r="BJ133" s="32">
        <v>57359</v>
      </c>
      <c r="BK133" s="34">
        <f>IFERROR(SUM(Entity_Metrics[[#This Row],[Operating surplus/(deficit) (overall)3]],Entity_Metrics[[#This Row],[Share of operating surplus/(deficit) in joint ventures or associates]])/SUM(Entity_Metrics[[#This Row],[Total assets less current liabilities]]),"")</f>
        <v>4.3930921560752572E-3</v>
      </c>
      <c r="BL133" s="32">
        <v>711</v>
      </c>
      <c r="BM133" s="32">
        <v>0</v>
      </c>
      <c r="BN133" s="32">
        <v>161845</v>
      </c>
      <c r="BO133" s="34">
        <v>0.95016339869281041</v>
      </c>
      <c r="BP133" s="34">
        <v>0</v>
      </c>
      <c r="BQ133" s="6" t="s">
        <v>82</v>
      </c>
      <c r="BR133" s="6" t="s">
        <v>83</v>
      </c>
      <c r="BS133" s="6" t="s">
        <v>83</v>
      </c>
      <c r="BT133" s="6" t="s">
        <v>156</v>
      </c>
      <c r="BU133" s="8">
        <v>1.2126141350229305</v>
      </c>
      <c r="BV133" s="37" t="s">
        <v>712</v>
      </c>
      <c r="BW133" s="19" t="s">
        <v>302</v>
      </c>
    </row>
    <row r="134" spans="1:75" x14ac:dyDescent="0.25">
      <c r="A134" s="33" t="s">
        <v>713</v>
      </c>
      <c r="B134" s="7" t="s">
        <v>714</v>
      </c>
      <c r="C134" s="7" t="s">
        <v>81</v>
      </c>
      <c r="D13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5.4539583761411339E-3</v>
      </c>
      <c r="E134" s="32">
        <v>766</v>
      </c>
      <c r="F134" s="32">
        <v>0</v>
      </c>
      <c r="G134" s="32">
        <v>1066</v>
      </c>
      <c r="H134" s="32">
        <v>26</v>
      </c>
      <c r="I134" s="32">
        <v>0</v>
      </c>
      <c r="J134" s="32">
        <v>340670</v>
      </c>
      <c r="K134" s="32">
        <v>0</v>
      </c>
      <c r="L13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3.332222592469177E-4</v>
      </c>
      <c r="M134" s="32">
        <v>2</v>
      </c>
      <c r="N134" s="32">
        <v>0</v>
      </c>
      <c r="O134" s="32">
        <v>6002</v>
      </c>
      <c r="P134" s="32">
        <v>0</v>
      </c>
      <c r="Q13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4" s="32">
        <v>0</v>
      </c>
      <c r="S134" s="32">
        <v>0</v>
      </c>
      <c r="T134" s="32">
        <v>0</v>
      </c>
      <c r="U134" s="32">
        <v>6002</v>
      </c>
      <c r="V134" s="32">
        <v>119</v>
      </c>
      <c r="W134" s="32">
        <v>0</v>
      </c>
      <c r="X134" s="32">
        <v>621</v>
      </c>
      <c r="Y13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0.62560248921243433</v>
      </c>
      <c r="Z134" s="32">
        <v>950</v>
      </c>
      <c r="AA134" s="32">
        <v>220580</v>
      </c>
      <c r="AB134" s="32">
        <v>8406</v>
      </c>
      <c r="AC134" s="32">
        <v>0</v>
      </c>
      <c r="AD134" s="32">
        <v>0</v>
      </c>
      <c r="AE134" s="32">
        <v>340670</v>
      </c>
      <c r="AF134" s="32">
        <v>0</v>
      </c>
      <c r="AG13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0.44164901774629373</v>
      </c>
      <c r="AH134" s="32">
        <v>11107</v>
      </c>
      <c r="AI134" s="32">
        <v>2636</v>
      </c>
      <c r="AJ134" s="32">
        <v>0</v>
      </c>
      <c r="AK134" s="32">
        <v>0</v>
      </c>
      <c r="AL134" s="32">
        <v>39</v>
      </c>
      <c r="AM134" s="32">
        <v>1066</v>
      </c>
      <c r="AN134" s="32">
        <v>4651</v>
      </c>
      <c r="AO134" s="32">
        <v>-35</v>
      </c>
      <c r="AP134" s="32">
        <v>-27351</v>
      </c>
      <c r="AQ13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3.2604131956014664</v>
      </c>
      <c r="AR134" s="32">
        <v>4380</v>
      </c>
      <c r="AS134" s="32">
        <v>2862</v>
      </c>
      <c r="AT134" s="32">
        <v>4499</v>
      </c>
      <c r="AU134" s="32">
        <v>3829</v>
      </c>
      <c r="AV134" s="32">
        <v>0</v>
      </c>
      <c r="AW134" s="32">
        <v>1066</v>
      </c>
      <c r="AX134" s="32">
        <v>0</v>
      </c>
      <c r="AY134" s="32">
        <v>871</v>
      </c>
      <c r="AZ134" s="32">
        <v>279</v>
      </c>
      <c r="BA134" s="32">
        <v>1783</v>
      </c>
      <c r="BB134" s="32">
        <v>0</v>
      </c>
      <c r="BC134" s="32">
        <v>6002</v>
      </c>
      <c r="BD134" s="34">
        <f>IFERROR(SUM(Entity_Metrics[[#This Row],[Operating surplus/(deficit) (social housing lettings)]])/SUM(Entity_Metrics[[#This Row],[Turnover from social housing lettings]]),"")</f>
        <v>0.32171873967897485</v>
      </c>
      <c r="BE134" s="32">
        <v>9741</v>
      </c>
      <c r="BF134" s="32">
        <v>30278</v>
      </c>
      <c r="BG134" s="34">
        <f>IFERROR(SUM(Entity_Metrics[[#This Row],[Operating surplus/(deficit) (overall)2]],-Entity_Metrics[[#This Row],[Gain/(loss) on disposal of fixed assets (housing properties)2]])/SUM(Entity_Metrics[[#This Row],[Turnover (overall)]]),"")</f>
        <v>0.23326449125705631</v>
      </c>
      <c r="BH134" s="32">
        <v>11107</v>
      </c>
      <c r="BI134" s="32">
        <v>2636</v>
      </c>
      <c r="BJ134" s="32">
        <v>36315</v>
      </c>
      <c r="BK134" s="34">
        <f>IFERROR(SUM(Entity_Metrics[[#This Row],[Operating surplus/(deficit) (overall)3]],Entity_Metrics[[#This Row],[Share of operating surplus/(deficit) in joint ventures or associates]])/SUM(Entity_Metrics[[#This Row],[Total assets less current liabilities]]),"")</f>
        <v>2.71752161637119E-2</v>
      </c>
      <c r="BL134" s="32">
        <v>11107</v>
      </c>
      <c r="BM134" s="32">
        <v>0</v>
      </c>
      <c r="BN134" s="32">
        <v>408718</v>
      </c>
      <c r="BO134" s="34">
        <v>2.9990003332222592E-3</v>
      </c>
      <c r="BP134" s="34">
        <v>0</v>
      </c>
      <c r="BQ134" s="6" t="s">
        <v>93</v>
      </c>
      <c r="BR134" s="6">
        <v>2000</v>
      </c>
      <c r="BS134" s="6" t="s">
        <v>94</v>
      </c>
      <c r="BT134" s="6" t="s">
        <v>100</v>
      </c>
      <c r="BU134" s="8">
        <v>1.0023472904532316</v>
      </c>
      <c r="BV134" s="37" t="s">
        <v>623</v>
      </c>
      <c r="BW134" s="19" t="s">
        <v>378</v>
      </c>
    </row>
    <row r="135" spans="1:75" x14ac:dyDescent="0.25">
      <c r="A135" s="33" t="s">
        <v>303</v>
      </c>
      <c r="B135" s="7" t="s">
        <v>304</v>
      </c>
      <c r="C135" s="7" t="s">
        <v>81</v>
      </c>
      <c r="D13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1.860644316532591E-2</v>
      </c>
      <c r="E135" s="32">
        <v>620</v>
      </c>
      <c r="F135" s="32">
        <v>0</v>
      </c>
      <c r="G135" s="32">
        <v>5802</v>
      </c>
      <c r="H135" s="32">
        <v>1</v>
      </c>
      <c r="I135" s="32">
        <v>0</v>
      </c>
      <c r="J135" s="32">
        <v>345203</v>
      </c>
      <c r="K135" s="32">
        <v>0</v>
      </c>
      <c r="L13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35" s="32">
        <v>0</v>
      </c>
      <c r="N135" s="32">
        <v>0</v>
      </c>
      <c r="O135" s="32">
        <v>8327</v>
      </c>
      <c r="P135" s="32">
        <v>372</v>
      </c>
      <c r="Q13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5" s="32">
        <v>0</v>
      </c>
      <c r="S135" s="32">
        <v>0</v>
      </c>
      <c r="T135" s="32">
        <v>0</v>
      </c>
      <c r="U135" s="32">
        <v>8327</v>
      </c>
      <c r="V135" s="32">
        <v>180</v>
      </c>
      <c r="W135" s="32">
        <v>372</v>
      </c>
      <c r="X135" s="32">
        <v>0</v>
      </c>
      <c r="Y13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0.32011888656819321</v>
      </c>
      <c r="Z135" s="32">
        <v>10505</v>
      </c>
      <c r="AA135" s="32">
        <v>127279</v>
      </c>
      <c r="AB135" s="32">
        <v>27278</v>
      </c>
      <c r="AC135" s="32">
        <v>0</v>
      </c>
      <c r="AD135" s="32">
        <v>0</v>
      </c>
      <c r="AE135" s="32">
        <v>345203</v>
      </c>
      <c r="AF135" s="32">
        <v>0</v>
      </c>
      <c r="AG13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3.4827191139965628</v>
      </c>
      <c r="AH135" s="32">
        <v>19435</v>
      </c>
      <c r="AI135" s="32">
        <v>3256</v>
      </c>
      <c r="AJ135" s="32">
        <v>7</v>
      </c>
      <c r="AK135" s="32">
        <v>0</v>
      </c>
      <c r="AL135" s="32">
        <v>173</v>
      </c>
      <c r="AM135" s="32">
        <v>5802</v>
      </c>
      <c r="AN135" s="32">
        <v>7696</v>
      </c>
      <c r="AO135" s="32">
        <v>-1</v>
      </c>
      <c r="AP135" s="32">
        <v>-5236</v>
      </c>
      <c r="AQ13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3.347935669707153</v>
      </c>
      <c r="AR135" s="32">
        <v>7779</v>
      </c>
      <c r="AS135" s="32">
        <v>2856</v>
      </c>
      <c r="AT135" s="32">
        <v>3699</v>
      </c>
      <c r="AU135" s="32">
        <v>2599</v>
      </c>
      <c r="AV135" s="32">
        <v>2368</v>
      </c>
      <c r="AW135" s="32">
        <v>5802</v>
      </c>
      <c r="AX135" s="32">
        <v>1955</v>
      </c>
      <c r="AY135" s="32">
        <v>184</v>
      </c>
      <c r="AZ135" s="32">
        <v>0</v>
      </c>
      <c r="BA135" s="32">
        <v>14</v>
      </c>
      <c r="BB135" s="32">
        <v>639</v>
      </c>
      <c r="BC135" s="32">
        <v>8332</v>
      </c>
      <c r="BD135" s="34">
        <f>IFERROR(SUM(Entity_Metrics[[#This Row],[Operating surplus/(deficit) (social housing lettings)]])/SUM(Entity_Metrics[[#This Row],[Turnover from social housing lettings]]),"")</f>
        <v>0.3569419125424797</v>
      </c>
      <c r="BE135" s="32">
        <v>15860</v>
      </c>
      <c r="BF135" s="32">
        <v>44433</v>
      </c>
      <c r="BG135" s="34">
        <f>IFERROR(SUM(Entity_Metrics[[#This Row],[Operating surplus/(deficit) (overall)2]],-Entity_Metrics[[#This Row],[Gain/(loss) on disposal of fixed assets (housing properties)2]])/SUM(Entity_Metrics[[#This Row],[Turnover (overall)]]),"")</f>
        <v>0.34941580459149513</v>
      </c>
      <c r="BH135" s="32">
        <v>19435</v>
      </c>
      <c r="BI135" s="32">
        <v>3256</v>
      </c>
      <c r="BJ135" s="32">
        <v>46303</v>
      </c>
      <c r="BK135" s="34">
        <f>IFERROR(SUM(Entity_Metrics[[#This Row],[Operating surplus/(deficit) (overall)3]],Entity_Metrics[[#This Row],[Share of operating surplus/(deficit) in joint ventures or associates]])/SUM(Entity_Metrics[[#This Row],[Total assets less current liabilities]]),"")</f>
        <v>5.3834328213509135E-2</v>
      </c>
      <c r="BL135" s="32">
        <v>19435</v>
      </c>
      <c r="BM135" s="32">
        <v>0</v>
      </c>
      <c r="BN135" s="32">
        <v>361015</v>
      </c>
      <c r="BO135" s="34">
        <v>2.473880148913174E-2</v>
      </c>
      <c r="BP135" s="34">
        <v>0.22204875705536206</v>
      </c>
      <c r="BQ135" s="6" t="s">
        <v>93</v>
      </c>
      <c r="BR135" s="6">
        <v>1993</v>
      </c>
      <c r="BS135" s="6" t="s">
        <v>94</v>
      </c>
      <c r="BT135" s="6" t="s">
        <v>115</v>
      </c>
      <c r="BU135" s="8">
        <v>0.96617455710897804</v>
      </c>
      <c r="BV135" s="37">
        <v>4844</v>
      </c>
      <c r="BW135" s="19" t="s">
        <v>304</v>
      </c>
    </row>
    <row r="136" spans="1:75" x14ac:dyDescent="0.25">
      <c r="A136" s="33" t="s">
        <v>715</v>
      </c>
      <c r="B136" s="7" t="s">
        <v>306</v>
      </c>
      <c r="C136" s="7" t="s">
        <v>81</v>
      </c>
      <c r="D13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9.7659079482219392E-3</v>
      </c>
      <c r="E136" s="32">
        <v>171</v>
      </c>
      <c r="F136" s="32">
        <v>0</v>
      </c>
      <c r="G136" s="32">
        <v>970</v>
      </c>
      <c r="H136" s="32">
        <v>5</v>
      </c>
      <c r="I136" s="32">
        <v>0</v>
      </c>
      <c r="J136" s="32">
        <v>117347</v>
      </c>
      <c r="K136" s="32">
        <v>0</v>
      </c>
      <c r="L13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1.4194464158977999E-3</v>
      </c>
      <c r="M136" s="32">
        <v>2</v>
      </c>
      <c r="N136" s="32">
        <v>0</v>
      </c>
      <c r="O136" s="32">
        <v>1409</v>
      </c>
      <c r="P136" s="32">
        <v>0</v>
      </c>
      <c r="Q13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6" s="32">
        <v>0</v>
      </c>
      <c r="S136" s="32">
        <v>0</v>
      </c>
      <c r="T136" s="32">
        <v>0</v>
      </c>
      <c r="U136" s="32">
        <v>1409</v>
      </c>
      <c r="V136" s="32">
        <v>0</v>
      </c>
      <c r="W136" s="32">
        <v>0</v>
      </c>
      <c r="X136" s="32">
        <v>0</v>
      </c>
      <c r="Y13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0.40153561659011311</v>
      </c>
      <c r="Z136" s="32">
        <v>1855</v>
      </c>
      <c r="AA136" s="32">
        <v>50867</v>
      </c>
      <c r="AB136" s="32">
        <v>5603</v>
      </c>
      <c r="AC136" s="32">
        <v>0</v>
      </c>
      <c r="AD136" s="32">
        <v>0</v>
      </c>
      <c r="AE136" s="32">
        <v>117347</v>
      </c>
      <c r="AF136" s="32">
        <v>0</v>
      </c>
      <c r="AG13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1.2872823618470854</v>
      </c>
      <c r="AH136" s="32">
        <v>3276</v>
      </c>
      <c r="AI136" s="32">
        <v>-1</v>
      </c>
      <c r="AJ136" s="32">
        <v>882</v>
      </c>
      <c r="AK136" s="32">
        <v>0</v>
      </c>
      <c r="AL136" s="32">
        <v>8</v>
      </c>
      <c r="AM136" s="32">
        <v>970</v>
      </c>
      <c r="AN136" s="32">
        <v>1968</v>
      </c>
      <c r="AO136" s="32">
        <v>-5</v>
      </c>
      <c r="AP136" s="32">
        <v>-2637</v>
      </c>
      <c r="AQ13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3.0909727081875435</v>
      </c>
      <c r="AR136" s="32">
        <v>1913</v>
      </c>
      <c r="AS136" s="32">
        <v>253</v>
      </c>
      <c r="AT136" s="32">
        <v>743</v>
      </c>
      <c r="AU136" s="32">
        <v>449</v>
      </c>
      <c r="AV136" s="32">
        <v>38</v>
      </c>
      <c r="AW136" s="32">
        <v>970</v>
      </c>
      <c r="AX136" s="32">
        <v>51</v>
      </c>
      <c r="AY136" s="32">
        <v>0</v>
      </c>
      <c r="AZ136" s="32">
        <v>0</v>
      </c>
      <c r="BA136" s="32">
        <v>0</v>
      </c>
      <c r="BB136" s="32">
        <v>0</v>
      </c>
      <c r="BC136" s="32">
        <v>1429</v>
      </c>
      <c r="BD136" s="34">
        <f>IFERROR(SUM(Entity_Metrics[[#This Row],[Operating surplus/(deficit) (social housing lettings)]])/SUM(Entity_Metrics[[#This Row],[Turnover from social housing lettings]]),"")</f>
        <v>0.37046146638557037</v>
      </c>
      <c r="BE136" s="32">
        <v>3163</v>
      </c>
      <c r="BF136" s="32">
        <v>8538</v>
      </c>
      <c r="BG136" s="34">
        <f>IFERROR(SUM(Entity_Metrics[[#This Row],[Operating surplus/(deficit) (overall)2]],-Entity_Metrics[[#This Row],[Gain/(loss) on disposal of fixed assets (housing properties)2]])/SUM(Entity_Metrics[[#This Row],[Turnover (overall)]]),"")</f>
        <v>0.37875635691169673</v>
      </c>
      <c r="BH136" s="32">
        <v>3276</v>
      </c>
      <c r="BI136" s="32">
        <v>-1</v>
      </c>
      <c r="BJ136" s="32">
        <v>8652</v>
      </c>
      <c r="BK136" s="34">
        <f>IFERROR(SUM(Entity_Metrics[[#This Row],[Operating surplus/(deficit) (overall)3]],Entity_Metrics[[#This Row],[Share of operating surplus/(deficit) in joint ventures or associates]])/SUM(Entity_Metrics[[#This Row],[Total assets less current liabilities]]),"")</f>
        <v>2.7129536081620484E-2</v>
      </c>
      <c r="BL136" s="32">
        <v>3276</v>
      </c>
      <c r="BM136" s="32">
        <v>0</v>
      </c>
      <c r="BN136" s="32">
        <v>120754</v>
      </c>
      <c r="BO136" s="34">
        <v>0</v>
      </c>
      <c r="BP136" s="34">
        <v>0</v>
      </c>
      <c r="BQ136" s="6" t="s">
        <v>82</v>
      </c>
      <c r="BR136" s="6" t="s">
        <v>83</v>
      </c>
      <c r="BS136" s="6" t="s">
        <v>83</v>
      </c>
      <c r="BT136" s="6" t="s">
        <v>108</v>
      </c>
      <c r="BU136" s="8">
        <v>0.94807909763407583</v>
      </c>
      <c r="BV136" s="37" t="s">
        <v>715</v>
      </c>
      <c r="BW136" s="19" t="s">
        <v>306</v>
      </c>
    </row>
    <row r="137" spans="1:75" x14ac:dyDescent="0.25">
      <c r="A137" s="33" t="s">
        <v>716</v>
      </c>
      <c r="B137" s="7" t="s">
        <v>717</v>
      </c>
      <c r="C137" s="7" t="s">
        <v>81</v>
      </c>
      <c r="D13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7.9810324747024028E-2</v>
      </c>
      <c r="E137" s="32">
        <v>12275</v>
      </c>
      <c r="F137" s="32">
        <v>0</v>
      </c>
      <c r="G137" s="32">
        <v>8646</v>
      </c>
      <c r="H137" s="32">
        <v>185</v>
      </c>
      <c r="I137" s="32">
        <v>0</v>
      </c>
      <c r="J137" s="32">
        <v>264452</v>
      </c>
      <c r="K137" s="32">
        <v>0</v>
      </c>
      <c r="L13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8.8552568024472707E-3</v>
      </c>
      <c r="M137" s="32">
        <v>55</v>
      </c>
      <c r="N137" s="32">
        <v>0</v>
      </c>
      <c r="O137" s="32">
        <v>6211</v>
      </c>
      <c r="P137" s="32">
        <v>0</v>
      </c>
      <c r="Q13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7" s="32">
        <v>0</v>
      </c>
      <c r="S137" s="32">
        <v>0</v>
      </c>
      <c r="T137" s="32">
        <v>0</v>
      </c>
      <c r="U137" s="32">
        <v>6211</v>
      </c>
      <c r="V137" s="32">
        <v>1</v>
      </c>
      <c r="W137" s="32">
        <v>0</v>
      </c>
      <c r="X137" s="32">
        <v>745</v>
      </c>
      <c r="Y13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1.46129732427813</v>
      </c>
      <c r="Z137" s="32">
        <v>0</v>
      </c>
      <c r="AA137" s="32">
        <v>392946</v>
      </c>
      <c r="AB137" s="32">
        <v>6503</v>
      </c>
      <c r="AC137" s="32">
        <v>0</v>
      </c>
      <c r="AD137" s="32">
        <v>0</v>
      </c>
      <c r="AE137" s="32">
        <v>264452</v>
      </c>
      <c r="AF137" s="32">
        <v>0</v>
      </c>
      <c r="AG13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0.43563696390590773</v>
      </c>
      <c r="AH137" s="32">
        <v>12285</v>
      </c>
      <c r="AI137" s="32">
        <v>823</v>
      </c>
      <c r="AJ137" s="32">
        <v>383</v>
      </c>
      <c r="AK137" s="32">
        <v>0</v>
      </c>
      <c r="AL137" s="32">
        <v>6669</v>
      </c>
      <c r="AM137" s="32">
        <v>8369</v>
      </c>
      <c r="AN137" s="32">
        <v>4344</v>
      </c>
      <c r="AO137" s="32">
        <v>-185</v>
      </c>
      <c r="AP137" s="32">
        <v>-31316</v>
      </c>
      <c r="AQ13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5.6992432780550635</v>
      </c>
      <c r="AR137" s="32">
        <v>5558</v>
      </c>
      <c r="AS137" s="32">
        <v>1922</v>
      </c>
      <c r="AT137" s="32">
        <v>11242</v>
      </c>
      <c r="AU137" s="32">
        <v>2669</v>
      </c>
      <c r="AV137" s="32">
        <v>362</v>
      </c>
      <c r="AW137" s="32">
        <v>8369</v>
      </c>
      <c r="AX137" s="32">
        <v>0</v>
      </c>
      <c r="AY137" s="32">
        <v>0</v>
      </c>
      <c r="AZ137" s="32">
        <v>0</v>
      </c>
      <c r="BA137" s="32">
        <v>5276</v>
      </c>
      <c r="BB137" s="32">
        <v>0</v>
      </c>
      <c r="BC137" s="32">
        <v>6211</v>
      </c>
      <c r="BD137" s="34">
        <f>IFERROR(SUM(Entity_Metrics[[#This Row],[Operating surplus/(deficit) (social housing lettings)]])/SUM(Entity_Metrics[[#This Row],[Turnover from social housing lettings]]),"")</f>
        <v>0.37350955322511131</v>
      </c>
      <c r="BE137" s="32">
        <v>15600</v>
      </c>
      <c r="BF137" s="32">
        <v>41766</v>
      </c>
      <c r="BG137" s="34">
        <f>IFERROR(SUM(Entity_Metrics[[#This Row],[Operating surplus/(deficit) (overall)2]],-Entity_Metrics[[#This Row],[Gain/(loss) on disposal of fixed assets (housing properties)2]])/SUM(Entity_Metrics[[#This Row],[Turnover (overall)]]),"")</f>
        <v>0.25983270237798384</v>
      </c>
      <c r="BH137" s="32">
        <v>12285</v>
      </c>
      <c r="BI137" s="32">
        <v>823</v>
      </c>
      <c r="BJ137" s="32">
        <v>44113</v>
      </c>
      <c r="BK137" s="34">
        <f>IFERROR(SUM(Entity_Metrics[[#This Row],[Operating surplus/(deficit) (overall)3]],Entity_Metrics[[#This Row],[Share of operating surplus/(deficit) in joint ventures or associates]])/SUM(Entity_Metrics[[#This Row],[Total assets less current liabilities]]),"")</f>
        <v>2.4517679272432629E-2</v>
      </c>
      <c r="BL137" s="32">
        <v>12285</v>
      </c>
      <c r="BM137" s="32">
        <v>0</v>
      </c>
      <c r="BN137" s="32">
        <v>501067</v>
      </c>
      <c r="BO137" s="34">
        <v>3.3589251439539347E-3</v>
      </c>
      <c r="BP137" s="34">
        <v>6.3499680102367242E-2</v>
      </c>
      <c r="BQ137" s="6" t="s">
        <v>93</v>
      </c>
      <c r="BR137" s="6">
        <v>2001</v>
      </c>
      <c r="BS137" s="6" t="s">
        <v>94</v>
      </c>
      <c r="BT137" s="6" t="s">
        <v>84</v>
      </c>
      <c r="BU137" s="8">
        <v>1.0118524159776632</v>
      </c>
      <c r="BV137" s="37" t="s">
        <v>690</v>
      </c>
      <c r="BW137" s="19" t="s">
        <v>264</v>
      </c>
    </row>
    <row r="138" spans="1:75" x14ac:dyDescent="0.25">
      <c r="A138" s="33" t="s">
        <v>718</v>
      </c>
      <c r="B138" s="7" t="s">
        <v>719</v>
      </c>
      <c r="C138" s="7" t="s">
        <v>81</v>
      </c>
      <c r="D13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0.15446138968914319</v>
      </c>
      <c r="E138" s="32">
        <v>0</v>
      </c>
      <c r="F138" s="32">
        <v>6483</v>
      </c>
      <c r="G138" s="32">
        <v>998</v>
      </c>
      <c r="H138" s="32">
        <v>186</v>
      </c>
      <c r="I138" s="32">
        <v>0</v>
      </c>
      <c r="J138" s="32">
        <v>49637</v>
      </c>
      <c r="K138" s="32">
        <v>0</v>
      </c>
      <c r="L13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8.0576759966072935E-3</v>
      </c>
      <c r="M138" s="32">
        <v>19</v>
      </c>
      <c r="N138" s="32">
        <v>0</v>
      </c>
      <c r="O138" s="32">
        <v>2358</v>
      </c>
      <c r="P138" s="32">
        <v>0</v>
      </c>
      <c r="Q13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8" s="32">
        <v>0</v>
      </c>
      <c r="S138" s="32">
        <v>0</v>
      </c>
      <c r="T138" s="32">
        <v>0</v>
      </c>
      <c r="U138" s="32">
        <v>2358</v>
      </c>
      <c r="V138" s="32">
        <v>0</v>
      </c>
      <c r="W138" s="32">
        <v>0</v>
      </c>
      <c r="X138" s="32">
        <v>2</v>
      </c>
      <c r="Y13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0.33060015714084251</v>
      </c>
      <c r="Z138" s="32">
        <v>0</v>
      </c>
      <c r="AA138" s="32">
        <v>17675</v>
      </c>
      <c r="AB138" s="32">
        <v>1265</v>
      </c>
      <c r="AC138" s="32">
        <v>0</v>
      </c>
      <c r="AD138" s="32">
        <v>0</v>
      </c>
      <c r="AE138" s="32">
        <v>49637</v>
      </c>
      <c r="AF138" s="32">
        <v>0</v>
      </c>
      <c r="AG13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3.258361204013378</v>
      </c>
      <c r="AH138" s="32">
        <v>4050</v>
      </c>
      <c r="AI138" s="32">
        <v>534</v>
      </c>
      <c r="AJ138" s="32">
        <v>30</v>
      </c>
      <c r="AK138" s="32">
        <v>0</v>
      </c>
      <c r="AL138" s="32">
        <v>0</v>
      </c>
      <c r="AM138" s="32">
        <v>998</v>
      </c>
      <c r="AN138" s="32">
        <v>1409</v>
      </c>
      <c r="AO138" s="32">
        <v>-186</v>
      </c>
      <c r="AP138" s="32">
        <v>-1010</v>
      </c>
      <c r="AQ13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2.9983036471586089</v>
      </c>
      <c r="AR138" s="32">
        <v>2116</v>
      </c>
      <c r="AS138" s="32">
        <v>388</v>
      </c>
      <c r="AT138" s="32">
        <v>2192</v>
      </c>
      <c r="AU138" s="32">
        <v>0</v>
      </c>
      <c r="AV138" s="32">
        <v>1056</v>
      </c>
      <c r="AW138" s="32">
        <v>998</v>
      </c>
      <c r="AX138" s="32">
        <v>85</v>
      </c>
      <c r="AY138" s="32">
        <v>0</v>
      </c>
      <c r="AZ138" s="32">
        <v>0</v>
      </c>
      <c r="BA138" s="32">
        <v>0</v>
      </c>
      <c r="BB138" s="32">
        <v>235</v>
      </c>
      <c r="BC138" s="32">
        <v>2358</v>
      </c>
      <c r="BD138" s="34">
        <f>IFERROR(SUM(Entity_Metrics[[#This Row],[Operating surplus/(deficit) (social housing lettings)]])/SUM(Entity_Metrics[[#This Row],[Turnover from social housing lettings]]),"")</f>
        <v>0.32704576976421634</v>
      </c>
      <c r="BE138" s="32">
        <v>3537</v>
      </c>
      <c r="BF138" s="32">
        <v>10815</v>
      </c>
      <c r="BG138" s="34">
        <f>IFERROR(SUM(Entity_Metrics[[#This Row],[Operating surplus/(deficit) (overall)2]],-Entity_Metrics[[#This Row],[Gain/(loss) on disposal of fixed assets (housing properties)2]])/SUM(Entity_Metrics[[#This Row],[Turnover (overall)]]),"")</f>
        <v>0.30491717977625532</v>
      </c>
      <c r="BH138" s="32">
        <v>4050</v>
      </c>
      <c r="BI138" s="32">
        <v>534</v>
      </c>
      <c r="BJ138" s="32">
        <v>11531</v>
      </c>
      <c r="BK138" s="34">
        <f>IFERROR(SUM(Entity_Metrics[[#This Row],[Operating surplus/(deficit) (overall)3]],Entity_Metrics[[#This Row],[Share of operating surplus/(deficit) in joint ventures or associates]])/SUM(Entity_Metrics[[#This Row],[Total assets less current liabilities]]),"")</f>
        <v>6.9409929904539924E-2</v>
      </c>
      <c r="BL138" s="32">
        <v>4050</v>
      </c>
      <c r="BM138" s="32">
        <v>0</v>
      </c>
      <c r="BN138" s="32">
        <v>58349</v>
      </c>
      <c r="BO138" s="34">
        <v>3.3927056827820186E-3</v>
      </c>
      <c r="BP138" s="34">
        <v>8.1424936386768454E-2</v>
      </c>
      <c r="BQ138" s="6" t="s">
        <v>93</v>
      </c>
      <c r="BR138" s="6">
        <v>2007</v>
      </c>
      <c r="BS138" s="6" t="s">
        <v>120</v>
      </c>
      <c r="BT138" s="6" t="s">
        <v>90</v>
      </c>
      <c r="BU138" s="8">
        <v>0.91571558169387279</v>
      </c>
      <c r="BV138" s="37" t="s">
        <v>686</v>
      </c>
      <c r="BW138" s="19" t="s">
        <v>180</v>
      </c>
    </row>
    <row r="139" spans="1:75" x14ac:dyDescent="0.25">
      <c r="A139" s="33" t="s">
        <v>720</v>
      </c>
      <c r="B139" s="7" t="s">
        <v>308</v>
      </c>
      <c r="C139" s="7" t="s">
        <v>81</v>
      </c>
      <c r="D13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0.19297689036057383</v>
      </c>
      <c r="E139" s="32">
        <v>33612</v>
      </c>
      <c r="F139" s="32">
        <v>0</v>
      </c>
      <c r="G139" s="32">
        <v>5318</v>
      </c>
      <c r="H139" s="32">
        <v>0</v>
      </c>
      <c r="I139" s="32">
        <v>0</v>
      </c>
      <c r="J139" s="32">
        <v>201734</v>
      </c>
      <c r="K139" s="32">
        <v>0</v>
      </c>
      <c r="L13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2.4673081667900321E-2</v>
      </c>
      <c r="M139" s="32">
        <v>200</v>
      </c>
      <c r="N139" s="32">
        <v>0</v>
      </c>
      <c r="O139" s="32">
        <v>8106</v>
      </c>
      <c r="P139" s="32">
        <v>0</v>
      </c>
      <c r="Q13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39" s="32">
        <v>0</v>
      </c>
      <c r="S139" s="32">
        <v>0</v>
      </c>
      <c r="T139" s="32">
        <v>0</v>
      </c>
      <c r="U139" s="32">
        <v>8106</v>
      </c>
      <c r="V139" s="32">
        <v>0</v>
      </c>
      <c r="W139" s="32">
        <v>0</v>
      </c>
      <c r="X139" s="32">
        <v>0</v>
      </c>
      <c r="Y13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0.49497853609208164</v>
      </c>
      <c r="Z139" s="32">
        <v>0</v>
      </c>
      <c r="AA139" s="32">
        <v>150958</v>
      </c>
      <c r="AB139" s="32">
        <v>51104</v>
      </c>
      <c r="AC139" s="32">
        <v>0</v>
      </c>
      <c r="AD139" s="32">
        <v>0</v>
      </c>
      <c r="AE139" s="32">
        <v>201734</v>
      </c>
      <c r="AF139" s="32">
        <v>0</v>
      </c>
      <c r="AG13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2.681122448979592</v>
      </c>
      <c r="AH139" s="32">
        <v>19511</v>
      </c>
      <c r="AI139" s="32">
        <v>3213</v>
      </c>
      <c r="AJ139" s="32">
        <v>88</v>
      </c>
      <c r="AK139" s="32">
        <v>0</v>
      </c>
      <c r="AL139" s="32">
        <v>100</v>
      </c>
      <c r="AM139" s="32">
        <v>8379</v>
      </c>
      <c r="AN139" s="32">
        <v>5732</v>
      </c>
      <c r="AO139" s="32">
        <v>-592</v>
      </c>
      <c r="AP139" s="32">
        <v>-4504</v>
      </c>
      <c r="AQ13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3.7448803355539106</v>
      </c>
      <c r="AR139" s="32">
        <v>8316</v>
      </c>
      <c r="AS139" s="32">
        <v>3553</v>
      </c>
      <c r="AT139" s="32">
        <v>5707</v>
      </c>
      <c r="AU139" s="32">
        <v>1584</v>
      </c>
      <c r="AV139" s="32">
        <v>2169</v>
      </c>
      <c r="AW139" s="32">
        <v>8379</v>
      </c>
      <c r="AX139" s="32">
        <v>0</v>
      </c>
      <c r="AY139" s="32">
        <v>0</v>
      </c>
      <c r="AZ139" s="32">
        <v>0</v>
      </c>
      <c r="BA139" s="32">
        <v>0</v>
      </c>
      <c r="BB139" s="32">
        <v>648</v>
      </c>
      <c r="BC139" s="32">
        <v>8106</v>
      </c>
      <c r="BD139" s="34">
        <f>IFERROR(SUM(Entity_Metrics[[#This Row],[Operating surplus/(deficit) (social housing lettings)]])/SUM(Entity_Metrics[[#This Row],[Turnover from social housing lettings]]),"")</f>
        <v>0.35291570438799075</v>
      </c>
      <c r="BE139" s="32">
        <v>14670</v>
      </c>
      <c r="BF139" s="32">
        <v>41568</v>
      </c>
      <c r="BG139" s="34">
        <f>IFERROR(SUM(Entity_Metrics[[#This Row],[Operating surplus/(deficit) (overall)2]],-Entity_Metrics[[#This Row],[Gain/(loss) on disposal of fixed assets (housing properties)2]])/SUM(Entity_Metrics[[#This Row],[Turnover (overall)]]),"")</f>
        <v>0.35055493418222489</v>
      </c>
      <c r="BH139" s="32">
        <v>19511</v>
      </c>
      <c r="BI139" s="32">
        <v>3213</v>
      </c>
      <c r="BJ139" s="32">
        <v>46492</v>
      </c>
      <c r="BK139" s="34">
        <f>IFERROR(SUM(Entity_Metrics[[#This Row],[Operating surplus/(deficit) (overall)3]],Entity_Metrics[[#This Row],[Share of operating surplus/(deficit) in joint ventures or associates]])/SUM(Entity_Metrics[[#This Row],[Total assets less current liabilities]]),"")</f>
        <v>7.0249912687182475E-2</v>
      </c>
      <c r="BL139" s="32">
        <v>19511</v>
      </c>
      <c r="BM139" s="32">
        <v>0</v>
      </c>
      <c r="BN139" s="32">
        <v>277737</v>
      </c>
      <c r="BO139" s="34">
        <v>9.1834202035244485E-3</v>
      </c>
      <c r="BP139" s="34">
        <v>0.16344005956813104</v>
      </c>
      <c r="BQ139" s="6" t="s">
        <v>93</v>
      </c>
      <c r="BR139" s="6">
        <v>2007</v>
      </c>
      <c r="BS139" s="6" t="s">
        <v>120</v>
      </c>
      <c r="BT139" s="6" t="s">
        <v>115</v>
      </c>
      <c r="BU139" s="8">
        <v>0.96617455710897804</v>
      </c>
      <c r="BV139" s="37" t="s">
        <v>720</v>
      </c>
      <c r="BW139" s="19" t="s">
        <v>308</v>
      </c>
    </row>
    <row r="140" spans="1:75" x14ac:dyDescent="0.25">
      <c r="A140" s="33" t="s">
        <v>721</v>
      </c>
      <c r="B140" s="7" t="s">
        <v>310</v>
      </c>
      <c r="C140" s="7" t="s">
        <v>81</v>
      </c>
      <c r="D14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6.4277739361920203E-2</v>
      </c>
      <c r="E140" s="32">
        <v>159368</v>
      </c>
      <c r="F140" s="32">
        <v>0</v>
      </c>
      <c r="G140" s="32">
        <v>28775</v>
      </c>
      <c r="H140" s="32">
        <v>0</v>
      </c>
      <c r="I140" s="32">
        <v>0</v>
      </c>
      <c r="J140" s="32">
        <v>2927032</v>
      </c>
      <c r="K140" s="32">
        <v>0</v>
      </c>
      <c r="L14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1.6105054509415264E-2</v>
      </c>
      <c r="M140" s="32">
        <v>520</v>
      </c>
      <c r="N140" s="32">
        <v>0</v>
      </c>
      <c r="O140" s="32">
        <v>32288</v>
      </c>
      <c r="P140" s="32">
        <v>0</v>
      </c>
      <c r="Q14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2.7696361827422088E-3</v>
      </c>
      <c r="R140" s="32">
        <v>0</v>
      </c>
      <c r="S140" s="32">
        <v>0</v>
      </c>
      <c r="T140" s="32">
        <v>103</v>
      </c>
      <c r="U140" s="32">
        <v>32288</v>
      </c>
      <c r="V140" s="32">
        <v>498</v>
      </c>
      <c r="W140" s="32">
        <v>0</v>
      </c>
      <c r="X140" s="32">
        <v>4403</v>
      </c>
      <c r="Y14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0.3600083634206937</v>
      </c>
      <c r="Z140" s="32">
        <v>19847</v>
      </c>
      <c r="AA140" s="32">
        <v>1117657</v>
      </c>
      <c r="AB140" s="32">
        <v>84335</v>
      </c>
      <c r="AC140" s="32">
        <v>0</v>
      </c>
      <c r="AD140" s="32">
        <v>587</v>
      </c>
      <c r="AE140" s="32">
        <v>2927032</v>
      </c>
      <c r="AF140" s="32">
        <v>0</v>
      </c>
      <c r="AG14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1.3683327742368332</v>
      </c>
      <c r="AH140" s="32">
        <v>101864</v>
      </c>
      <c r="AI140" s="32">
        <v>18448</v>
      </c>
      <c r="AJ140" s="32">
        <v>4967</v>
      </c>
      <c r="AK140" s="32">
        <v>0</v>
      </c>
      <c r="AL140" s="32">
        <v>3916</v>
      </c>
      <c r="AM140" s="32">
        <v>28775</v>
      </c>
      <c r="AN140" s="32">
        <v>19832</v>
      </c>
      <c r="AO140" s="32">
        <v>-6195</v>
      </c>
      <c r="AP140" s="32">
        <v>-47463</v>
      </c>
      <c r="AQ14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4.977017767266994</v>
      </c>
      <c r="AR140" s="32">
        <v>46790</v>
      </c>
      <c r="AS140" s="32">
        <v>33001</v>
      </c>
      <c r="AT140" s="32">
        <v>23504</v>
      </c>
      <c r="AU140" s="32">
        <v>9697</v>
      </c>
      <c r="AV140" s="32">
        <v>1608</v>
      </c>
      <c r="AW140" s="32">
        <v>28775</v>
      </c>
      <c r="AX140" s="32">
        <v>1990</v>
      </c>
      <c r="AY140" s="32">
        <v>0</v>
      </c>
      <c r="AZ140" s="32">
        <v>2551</v>
      </c>
      <c r="BA140" s="32">
        <v>3570</v>
      </c>
      <c r="BB140" s="32">
        <v>12666</v>
      </c>
      <c r="BC140" s="32">
        <v>32982</v>
      </c>
      <c r="BD140" s="34">
        <f>IFERROR(SUM(Entity_Metrics[[#This Row],[Operating surplus/(deficit) (social housing lettings)]])/SUM(Entity_Metrics[[#This Row],[Turnover from social housing lettings]]),"")</f>
        <v>0.336431824137573</v>
      </c>
      <c r="BE140" s="32">
        <v>68043</v>
      </c>
      <c r="BF140" s="32">
        <v>202249</v>
      </c>
      <c r="BG140" s="34">
        <f>IFERROR(SUM(Entity_Metrics[[#This Row],[Operating surplus/(deficit) (overall)2]],-Entity_Metrics[[#This Row],[Gain/(loss) on disposal of fixed assets (housing properties)2]])/SUM(Entity_Metrics[[#This Row],[Turnover (overall)]]),"")</f>
        <v>0.30712021413292001</v>
      </c>
      <c r="BH140" s="32">
        <v>101864</v>
      </c>
      <c r="BI140" s="32">
        <v>18448</v>
      </c>
      <c r="BJ140" s="32">
        <v>271607</v>
      </c>
      <c r="BK140" s="34">
        <f>IFERROR(SUM(Entity_Metrics[[#This Row],[Operating surplus/(deficit) (overall)3]],Entity_Metrics[[#This Row],[Share of operating surplus/(deficit) in joint ventures or associates]])/SUM(Entity_Metrics[[#This Row],[Total assets less current liabilities]]),"")</f>
        <v>3.141829882113524E-2</v>
      </c>
      <c r="BL140" s="32">
        <v>101864</v>
      </c>
      <c r="BM140" s="32">
        <v>0</v>
      </c>
      <c r="BN140" s="32">
        <v>3242187</v>
      </c>
      <c r="BO140" s="34">
        <v>7.0101429945097549E-2</v>
      </c>
      <c r="BP140" s="34">
        <v>9.9537826855671696E-2</v>
      </c>
      <c r="BQ140" s="6" t="s">
        <v>82</v>
      </c>
      <c r="BR140" s="6" t="s">
        <v>83</v>
      </c>
      <c r="BS140" s="6" t="s">
        <v>83</v>
      </c>
      <c r="BT140" s="6" t="s">
        <v>156</v>
      </c>
      <c r="BU140" s="8">
        <v>1.1115098914974846</v>
      </c>
      <c r="BV140" s="37" t="s">
        <v>721</v>
      </c>
      <c r="BW140" s="19" t="s">
        <v>310</v>
      </c>
    </row>
    <row r="141" spans="1:75" x14ac:dyDescent="0.25">
      <c r="A141" s="33" t="s">
        <v>722</v>
      </c>
      <c r="B141" s="7" t="s">
        <v>312</v>
      </c>
      <c r="C141" s="7" t="s">
        <v>81</v>
      </c>
      <c r="D14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4.0261409426699826E-2</v>
      </c>
      <c r="E141" s="32">
        <v>35060</v>
      </c>
      <c r="F141" s="32">
        <v>12097</v>
      </c>
      <c r="G141" s="32">
        <v>12018</v>
      </c>
      <c r="H141" s="32">
        <v>1064</v>
      </c>
      <c r="I141" s="32">
        <v>0</v>
      </c>
      <c r="J141" s="32">
        <v>1496197</v>
      </c>
      <c r="K141" s="32">
        <v>0</v>
      </c>
      <c r="L14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1.0150444081928585E-2</v>
      </c>
      <c r="M141" s="32">
        <v>280</v>
      </c>
      <c r="N141" s="32">
        <v>0</v>
      </c>
      <c r="O141" s="32">
        <v>27585</v>
      </c>
      <c r="P141" s="32">
        <v>0</v>
      </c>
      <c r="Q14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7.9379397438210353E-4</v>
      </c>
      <c r="R141" s="32">
        <v>4</v>
      </c>
      <c r="S141" s="32">
        <v>0</v>
      </c>
      <c r="T141" s="32">
        <v>18</v>
      </c>
      <c r="U141" s="32">
        <v>27585</v>
      </c>
      <c r="V141" s="32">
        <v>130</v>
      </c>
      <c r="W141" s="32">
        <v>0</v>
      </c>
      <c r="X141" s="32">
        <v>0</v>
      </c>
      <c r="Y14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0.30808309333597111</v>
      </c>
      <c r="Z141" s="32">
        <v>26513</v>
      </c>
      <c r="AA141" s="32">
        <v>223168</v>
      </c>
      <c r="AB141" s="32">
        <v>78625</v>
      </c>
      <c r="AC141" s="32">
        <v>285987</v>
      </c>
      <c r="AD141" s="32">
        <v>3910</v>
      </c>
      <c r="AE141" s="32">
        <v>1496197</v>
      </c>
      <c r="AF141" s="32">
        <v>0</v>
      </c>
      <c r="AG14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2.4620366310250614</v>
      </c>
      <c r="AH141" s="32">
        <v>73946</v>
      </c>
      <c r="AI141" s="32">
        <v>5985</v>
      </c>
      <c r="AJ141" s="32">
        <v>8052</v>
      </c>
      <c r="AK141" s="32">
        <v>0</v>
      </c>
      <c r="AL141" s="32">
        <v>859</v>
      </c>
      <c r="AM141" s="32">
        <v>12018</v>
      </c>
      <c r="AN141" s="32">
        <v>24242</v>
      </c>
      <c r="AO141" s="32">
        <v>-1064</v>
      </c>
      <c r="AP141" s="32">
        <v>-28583</v>
      </c>
      <c r="AQ14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3.1245035742652898</v>
      </c>
      <c r="AR141" s="32">
        <v>28091</v>
      </c>
      <c r="AS141" s="32">
        <v>23168</v>
      </c>
      <c r="AT141" s="32">
        <v>20743</v>
      </c>
      <c r="AU141" s="32">
        <v>5622</v>
      </c>
      <c r="AV141" s="32">
        <v>3468</v>
      </c>
      <c r="AW141" s="32">
        <v>12018</v>
      </c>
      <c r="AX141" s="32">
        <v>16</v>
      </c>
      <c r="AY141" s="32">
        <v>507</v>
      </c>
      <c r="AZ141" s="32">
        <v>104</v>
      </c>
      <c r="BA141" s="32">
        <v>673</v>
      </c>
      <c r="BB141" s="32">
        <v>0</v>
      </c>
      <c r="BC141" s="32">
        <v>30216</v>
      </c>
      <c r="BD141" s="34">
        <f>IFERROR(SUM(Entity_Metrics[[#This Row],[Operating surplus/(deficit) (social housing lettings)]])/SUM(Entity_Metrics[[#This Row],[Turnover from social housing lettings]]),"")</f>
        <v>0.39544908651028943</v>
      </c>
      <c r="BE141" s="32">
        <v>68160</v>
      </c>
      <c r="BF141" s="32">
        <v>172361</v>
      </c>
      <c r="BG141" s="34">
        <f>IFERROR(SUM(Entity_Metrics[[#This Row],[Operating surplus/(deficit) (overall)2]],-Entity_Metrics[[#This Row],[Gain/(loss) on disposal of fixed assets (housing properties)2]])/SUM(Entity_Metrics[[#This Row],[Turnover (overall)]]),"")</f>
        <v>0.35256978921866167</v>
      </c>
      <c r="BH141" s="32">
        <v>73946</v>
      </c>
      <c r="BI141" s="32">
        <v>5985</v>
      </c>
      <c r="BJ141" s="32">
        <v>192759</v>
      </c>
      <c r="BK141" s="34">
        <f>IFERROR(SUM(Entity_Metrics[[#This Row],[Operating surplus/(deficit) (overall)3]],Entity_Metrics[[#This Row],[Share of operating surplus/(deficit) in joint ventures or associates]])/SUM(Entity_Metrics[[#This Row],[Total assets less current liabilities]]),"")</f>
        <v>4.8063292282873135E-2</v>
      </c>
      <c r="BL141" s="32">
        <v>73946</v>
      </c>
      <c r="BM141" s="32">
        <v>0</v>
      </c>
      <c r="BN141" s="32">
        <v>1538513</v>
      </c>
      <c r="BO141" s="34">
        <v>6.0507438894792771E-2</v>
      </c>
      <c r="BP141" s="34">
        <v>9.2786928799149834E-2</v>
      </c>
      <c r="BQ141" s="6" t="s">
        <v>82</v>
      </c>
      <c r="BR141" s="6" t="s">
        <v>83</v>
      </c>
      <c r="BS141" s="6" t="s">
        <v>83</v>
      </c>
      <c r="BT141" s="6" t="s">
        <v>90</v>
      </c>
      <c r="BU141" s="8">
        <v>0.91736488687961493</v>
      </c>
      <c r="BV141" s="37" t="s">
        <v>722</v>
      </c>
      <c r="BW141" s="19" t="s">
        <v>312</v>
      </c>
    </row>
    <row r="142" spans="1:75" x14ac:dyDescent="0.25">
      <c r="A142" s="33" t="s">
        <v>723</v>
      </c>
      <c r="B142" s="7" t="s">
        <v>314</v>
      </c>
      <c r="C142" s="7" t="s">
        <v>81</v>
      </c>
      <c r="D14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7.4843916264956054E-2</v>
      </c>
      <c r="E142" s="32">
        <v>82424</v>
      </c>
      <c r="F142" s="32">
        <v>103</v>
      </c>
      <c r="G142" s="32">
        <v>13134</v>
      </c>
      <c r="H142" s="32">
        <v>3442</v>
      </c>
      <c r="I142" s="32">
        <v>0</v>
      </c>
      <c r="J142" s="32">
        <v>1324129</v>
      </c>
      <c r="K142" s="32">
        <v>0</v>
      </c>
      <c r="L14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2.602802141473972E-2</v>
      </c>
      <c r="M142" s="32">
        <v>457</v>
      </c>
      <c r="N142" s="32">
        <v>0</v>
      </c>
      <c r="O142" s="32">
        <v>16554</v>
      </c>
      <c r="P142" s="32">
        <v>1004</v>
      </c>
      <c r="Q14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5.4884742041712403E-5</v>
      </c>
      <c r="R142" s="32">
        <v>0</v>
      </c>
      <c r="S142" s="32">
        <v>1</v>
      </c>
      <c r="T142" s="32">
        <v>0</v>
      </c>
      <c r="U142" s="32">
        <v>16554</v>
      </c>
      <c r="V142" s="32">
        <v>643</v>
      </c>
      <c r="W142" s="32">
        <v>1004</v>
      </c>
      <c r="X142" s="32">
        <v>19</v>
      </c>
      <c r="Y14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0.32182664982037251</v>
      </c>
      <c r="Z142" s="32">
        <v>11103</v>
      </c>
      <c r="AA142" s="32">
        <v>294926</v>
      </c>
      <c r="AB142" s="32">
        <v>32031</v>
      </c>
      <c r="AC142" s="32">
        <v>151609</v>
      </c>
      <c r="AD142" s="32">
        <v>533</v>
      </c>
      <c r="AE142" s="32">
        <v>1324129</v>
      </c>
      <c r="AF142" s="32">
        <v>0</v>
      </c>
      <c r="AG14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2.3271865615615615</v>
      </c>
      <c r="AH142" s="32">
        <v>75098</v>
      </c>
      <c r="AI142" s="32">
        <v>32602</v>
      </c>
      <c r="AJ142" s="32">
        <v>5092</v>
      </c>
      <c r="AK142" s="32">
        <v>0</v>
      </c>
      <c r="AL142" s="32">
        <v>84</v>
      </c>
      <c r="AM142" s="32">
        <v>4248</v>
      </c>
      <c r="AN142" s="32">
        <v>16357</v>
      </c>
      <c r="AO142" s="32">
        <v>-3442</v>
      </c>
      <c r="AP142" s="32">
        <v>-17870</v>
      </c>
      <c r="AQ14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2.9925306775742486</v>
      </c>
      <c r="AR142" s="32">
        <v>15574</v>
      </c>
      <c r="AS142" s="32">
        <v>9393</v>
      </c>
      <c r="AT142" s="32">
        <v>9068</v>
      </c>
      <c r="AU142" s="32">
        <v>3601</v>
      </c>
      <c r="AV142" s="32">
        <v>2495</v>
      </c>
      <c r="AW142" s="32">
        <v>4248</v>
      </c>
      <c r="AX142" s="32">
        <v>0</v>
      </c>
      <c r="AY142" s="32">
        <v>3007</v>
      </c>
      <c r="AZ142" s="32">
        <v>1709</v>
      </c>
      <c r="BA142" s="32">
        <v>1386</v>
      </c>
      <c r="BB142" s="32">
        <v>0</v>
      </c>
      <c r="BC142" s="32">
        <v>16869</v>
      </c>
      <c r="BD142" s="34">
        <f>IFERROR(SUM(Entity_Metrics[[#This Row],[Operating surplus/(deficit) (social housing lettings)]])/SUM(Entity_Metrics[[#This Row],[Turnover from social housing lettings]]),"")</f>
        <v>0.42705253289100892</v>
      </c>
      <c r="BE142" s="32">
        <v>41451</v>
      </c>
      <c r="BF142" s="32">
        <v>97063</v>
      </c>
      <c r="BG142" s="34">
        <f>IFERROR(SUM(Entity_Metrics[[#This Row],[Operating surplus/(deficit) (overall)2]],-Entity_Metrics[[#This Row],[Gain/(loss) on disposal of fixed assets (housing properties)2]])/SUM(Entity_Metrics[[#This Row],[Turnover (overall)]]),"")</f>
        <v>0.34188804325089706</v>
      </c>
      <c r="BH142" s="32">
        <v>75098</v>
      </c>
      <c r="BI142" s="32">
        <v>32602</v>
      </c>
      <c r="BJ142" s="32">
        <v>124298</v>
      </c>
      <c r="BK142" s="34">
        <f>IFERROR(SUM(Entity_Metrics[[#This Row],[Operating surplus/(deficit) (overall)3]],Entity_Metrics[[#This Row],[Share of operating surplus/(deficit) in joint ventures or associates]])/SUM(Entity_Metrics[[#This Row],[Total assets less current liabilities]]),"")</f>
        <v>5.1843710865930391E-2</v>
      </c>
      <c r="BL142" s="32">
        <v>75098</v>
      </c>
      <c r="BM142" s="32">
        <v>0</v>
      </c>
      <c r="BN142" s="32">
        <v>1448546</v>
      </c>
      <c r="BO142" s="34">
        <v>1.3297068600785736E-2</v>
      </c>
      <c r="BP142" s="34">
        <v>9.1810214566334244E-2</v>
      </c>
      <c r="BQ142" s="6" t="s">
        <v>82</v>
      </c>
      <c r="BR142" s="6" t="s">
        <v>83</v>
      </c>
      <c r="BS142" s="6" t="s">
        <v>83</v>
      </c>
      <c r="BT142" s="6" t="s">
        <v>84</v>
      </c>
      <c r="BU142" s="8">
        <v>1.0578728519513163</v>
      </c>
      <c r="BV142" s="37" t="s">
        <v>723</v>
      </c>
      <c r="BW142" s="19" t="s">
        <v>314</v>
      </c>
    </row>
    <row r="143" spans="1:75" x14ac:dyDescent="0.25">
      <c r="A143" s="33" t="s">
        <v>724</v>
      </c>
      <c r="B143" s="7" t="s">
        <v>725</v>
      </c>
      <c r="C143" s="7" t="s">
        <v>81</v>
      </c>
      <c r="D14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1.0831721470019341E-3</v>
      </c>
      <c r="E143" s="32">
        <v>0</v>
      </c>
      <c r="F143" s="32">
        <v>0</v>
      </c>
      <c r="G143" s="32">
        <v>28</v>
      </c>
      <c r="H143" s="32">
        <v>0</v>
      </c>
      <c r="I143" s="32">
        <v>0</v>
      </c>
      <c r="J143" s="32">
        <v>25850</v>
      </c>
      <c r="K143" s="32">
        <v>0</v>
      </c>
      <c r="L14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43" s="32">
        <v>0</v>
      </c>
      <c r="N143" s="32">
        <v>0</v>
      </c>
      <c r="O143" s="32">
        <v>1137</v>
      </c>
      <c r="P143" s="32">
        <v>91</v>
      </c>
      <c r="Q14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3" s="32">
        <v>0</v>
      </c>
      <c r="S143" s="32">
        <v>0</v>
      </c>
      <c r="T143" s="32">
        <v>0</v>
      </c>
      <c r="U143" s="32">
        <v>1137</v>
      </c>
      <c r="V143" s="32">
        <v>0</v>
      </c>
      <c r="W143" s="32">
        <v>91</v>
      </c>
      <c r="X143" s="32">
        <v>0</v>
      </c>
      <c r="Y14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0.8222823984526112</v>
      </c>
      <c r="Z143" s="32">
        <v>989</v>
      </c>
      <c r="AA143" s="32">
        <v>25060</v>
      </c>
      <c r="AB143" s="32">
        <v>4793</v>
      </c>
      <c r="AC143" s="32">
        <v>0</v>
      </c>
      <c r="AD143" s="32">
        <v>0</v>
      </c>
      <c r="AE143" s="32">
        <v>25850</v>
      </c>
      <c r="AF143" s="32">
        <v>0</v>
      </c>
      <c r="AG14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2.8586497890295357</v>
      </c>
      <c r="AH143" s="32">
        <v>1626</v>
      </c>
      <c r="AI143" s="32">
        <v>239</v>
      </c>
      <c r="AJ143" s="32">
        <v>17</v>
      </c>
      <c r="AK143" s="32">
        <v>0</v>
      </c>
      <c r="AL143" s="32">
        <v>16</v>
      </c>
      <c r="AM143" s="32">
        <v>28</v>
      </c>
      <c r="AN143" s="32">
        <v>1352</v>
      </c>
      <c r="AO143" s="32">
        <v>0</v>
      </c>
      <c r="AP143" s="32">
        <v>-948</v>
      </c>
      <c r="AQ14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1.8144239226033421</v>
      </c>
      <c r="AR143" s="32">
        <v>691</v>
      </c>
      <c r="AS143" s="32">
        <v>30</v>
      </c>
      <c r="AT143" s="32">
        <v>943</v>
      </c>
      <c r="AU143" s="32">
        <v>350</v>
      </c>
      <c r="AV143" s="32">
        <v>0</v>
      </c>
      <c r="AW143" s="32">
        <v>28</v>
      </c>
      <c r="AX143" s="32">
        <v>21</v>
      </c>
      <c r="AY143" s="32">
        <v>0</v>
      </c>
      <c r="AZ143" s="32">
        <v>0</v>
      </c>
      <c r="BA143" s="32">
        <v>0</v>
      </c>
      <c r="BB143" s="32">
        <v>0</v>
      </c>
      <c r="BC143" s="32">
        <v>1137</v>
      </c>
      <c r="BD143" s="34">
        <f>IFERROR(SUM(Entity_Metrics[[#This Row],[Operating surplus/(deficit) (social housing lettings)]])/SUM(Entity_Metrics[[#This Row],[Turnover from social housing lettings]]),"")</f>
        <v>0.29028882377563836</v>
      </c>
      <c r="BE143" s="32">
        <v>1387</v>
      </c>
      <c r="BF143" s="32">
        <v>4778</v>
      </c>
      <c r="BG143" s="34">
        <f>IFERROR(SUM(Entity_Metrics[[#This Row],[Operating surplus/(deficit) (overall)2]],-Entity_Metrics[[#This Row],[Gain/(loss) on disposal of fixed assets (housing properties)2]])/SUM(Entity_Metrics[[#This Row],[Turnover (overall)]]),"")</f>
        <v>0.29028882377563836</v>
      </c>
      <c r="BH143" s="32">
        <v>1626</v>
      </c>
      <c r="BI143" s="32">
        <v>239</v>
      </c>
      <c r="BJ143" s="32">
        <v>4778</v>
      </c>
      <c r="BK143" s="34">
        <f>IFERROR(SUM(Entity_Metrics[[#This Row],[Operating surplus/(deficit) (overall)3]],Entity_Metrics[[#This Row],[Share of operating surplus/(deficit) in joint ventures or associates]])/SUM(Entity_Metrics[[#This Row],[Total assets less current liabilities]]),"")</f>
        <v>5.5734558168231987E-2</v>
      </c>
      <c r="BL143" s="32">
        <v>1626</v>
      </c>
      <c r="BM143" s="32">
        <v>0</v>
      </c>
      <c r="BN143" s="32">
        <v>29174</v>
      </c>
      <c r="BO143" s="34">
        <v>0</v>
      </c>
      <c r="BP143" s="34">
        <v>0</v>
      </c>
      <c r="BQ143" s="6" t="s">
        <v>82</v>
      </c>
      <c r="BR143" s="6" t="s">
        <v>83</v>
      </c>
      <c r="BS143" s="6" t="s">
        <v>83</v>
      </c>
      <c r="BT143" s="6" t="s">
        <v>105</v>
      </c>
      <c r="BU143" s="8">
        <v>0.9156653862445665</v>
      </c>
      <c r="BV143" s="37">
        <v>4857</v>
      </c>
      <c r="BW143" s="19" t="s">
        <v>316</v>
      </c>
    </row>
    <row r="144" spans="1:75" x14ac:dyDescent="0.25">
      <c r="A144" s="33" t="s">
        <v>921</v>
      </c>
      <c r="B144" s="7" t="s">
        <v>316</v>
      </c>
      <c r="C144" s="7" t="s">
        <v>81</v>
      </c>
      <c r="D14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2.9530621478731381E-2</v>
      </c>
      <c r="E144" s="32">
        <v>5637</v>
      </c>
      <c r="F144" s="32">
        <v>0</v>
      </c>
      <c r="G144" s="32">
        <v>3892</v>
      </c>
      <c r="H144" s="32">
        <v>0</v>
      </c>
      <c r="I144" s="32">
        <v>0</v>
      </c>
      <c r="J144" s="32">
        <v>322682</v>
      </c>
      <c r="K144" s="32">
        <v>0</v>
      </c>
      <c r="L14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1.0369318181818183E-2</v>
      </c>
      <c r="M144" s="32">
        <v>73</v>
      </c>
      <c r="N144" s="32">
        <v>0</v>
      </c>
      <c r="O144" s="32">
        <v>7022</v>
      </c>
      <c r="P144" s="32">
        <v>18</v>
      </c>
      <c r="Q14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4" s="32">
        <v>0</v>
      </c>
      <c r="S144" s="32">
        <v>0</v>
      </c>
      <c r="T144" s="32">
        <v>0</v>
      </c>
      <c r="U144" s="32">
        <v>7022</v>
      </c>
      <c r="V144" s="32">
        <v>91</v>
      </c>
      <c r="W144" s="32">
        <v>18</v>
      </c>
      <c r="X144" s="32">
        <v>0</v>
      </c>
      <c r="Y14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0.36955578557217322</v>
      </c>
      <c r="Z144" s="32">
        <v>3698</v>
      </c>
      <c r="AA144" s="32">
        <v>120671</v>
      </c>
      <c r="AB144" s="32">
        <v>5120</v>
      </c>
      <c r="AC144" s="32">
        <v>0</v>
      </c>
      <c r="AD144" s="32">
        <v>0</v>
      </c>
      <c r="AE144" s="32">
        <v>322682</v>
      </c>
      <c r="AF144" s="32">
        <v>0</v>
      </c>
      <c r="AG14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1.7103680891626338</v>
      </c>
      <c r="AH144" s="32">
        <v>12330</v>
      </c>
      <c r="AI144" s="32">
        <v>789</v>
      </c>
      <c r="AJ144" s="32">
        <v>2102</v>
      </c>
      <c r="AK144" s="32">
        <v>177</v>
      </c>
      <c r="AL144" s="32">
        <v>31</v>
      </c>
      <c r="AM144" s="32">
        <v>3892</v>
      </c>
      <c r="AN144" s="32">
        <v>6262</v>
      </c>
      <c r="AO144" s="32">
        <v>-105</v>
      </c>
      <c r="AP144" s="32">
        <v>-6714</v>
      </c>
      <c r="AQ14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3.5909410606273737</v>
      </c>
      <c r="AR144" s="32">
        <v>5927</v>
      </c>
      <c r="AS144" s="32">
        <v>4364</v>
      </c>
      <c r="AT144" s="32">
        <v>6417</v>
      </c>
      <c r="AU144" s="32">
        <v>2570</v>
      </c>
      <c r="AV144" s="32">
        <v>320</v>
      </c>
      <c r="AW144" s="32">
        <v>3892</v>
      </c>
      <c r="AX144" s="32">
        <v>888</v>
      </c>
      <c r="AY144" s="32">
        <v>633</v>
      </c>
      <c r="AZ144" s="32">
        <v>515</v>
      </c>
      <c r="BA144" s="32">
        <v>2</v>
      </c>
      <c r="BB144" s="32">
        <v>0</v>
      </c>
      <c r="BC144" s="32">
        <v>7109</v>
      </c>
      <c r="BD144" s="34">
        <f>IFERROR(SUM(Entity_Metrics[[#This Row],[Operating surplus/(deficit) (social housing lettings)]])/SUM(Entity_Metrics[[#This Row],[Turnover from social housing lettings]]),"")</f>
        <v>0.29136979696791127</v>
      </c>
      <c r="BE144" s="32">
        <v>10878</v>
      </c>
      <c r="BF144" s="32">
        <v>37334</v>
      </c>
      <c r="BG144" s="34">
        <f>IFERROR(SUM(Entity_Metrics[[#This Row],[Operating surplus/(deficit) (overall)2]],-Entity_Metrics[[#This Row],[Gain/(loss) on disposal of fixed assets (housing properties)2]])/SUM(Entity_Metrics[[#This Row],[Turnover (overall)]]),"")</f>
        <v>0.27843184559710493</v>
      </c>
      <c r="BH144" s="32">
        <v>12330</v>
      </c>
      <c r="BI144" s="32">
        <v>789</v>
      </c>
      <c r="BJ144" s="32">
        <v>41450</v>
      </c>
      <c r="BK144" s="34">
        <f>IFERROR(SUM(Entity_Metrics[[#This Row],[Operating surplus/(deficit) (overall)3]],Entity_Metrics[[#This Row],[Share of operating surplus/(deficit) in joint ventures or associates]])/SUM(Entity_Metrics[[#This Row],[Total assets less current liabilities]]),"")</f>
        <v>3.7036258286599961E-2</v>
      </c>
      <c r="BL144" s="32">
        <v>12330</v>
      </c>
      <c r="BM144" s="32">
        <v>0</v>
      </c>
      <c r="BN144" s="32">
        <v>332917</v>
      </c>
      <c r="BO144" s="34">
        <v>8.7724295072628883E-2</v>
      </c>
      <c r="BP144" s="34">
        <v>7.6473939048704073E-2</v>
      </c>
      <c r="BQ144" s="6" t="s">
        <v>82</v>
      </c>
      <c r="BR144" s="6" t="s">
        <v>83</v>
      </c>
      <c r="BS144" s="6" t="s">
        <v>83</v>
      </c>
      <c r="BT144" s="6" t="s">
        <v>105</v>
      </c>
      <c r="BU144" s="8">
        <v>0.91639473212756872</v>
      </c>
      <c r="BV144" s="37">
        <v>4857</v>
      </c>
      <c r="BW144" s="19" t="s">
        <v>316</v>
      </c>
    </row>
    <row r="145" spans="1:75" x14ac:dyDescent="0.25">
      <c r="A145" s="33" t="s">
        <v>317</v>
      </c>
      <c r="B145" s="7" t="s">
        <v>318</v>
      </c>
      <c r="C145" s="7" t="s">
        <v>81</v>
      </c>
      <c r="D14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6.341016638681117E-2</v>
      </c>
      <c r="E145" s="32">
        <v>5414</v>
      </c>
      <c r="F145" s="32">
        <v>0</v>
      </c>
      <c r="G145" s="32">
        <v>817</v>
      </c>
      <c r="H145" s="32">
        <v>0</v>
      </c>
      <c r="I145" s="32">
        <v>0</v>
      </c>
      <c r="J145" s="32">
        <v>98265</v>
      </c>
      <c r="K145" s="32">
        <v>0</v>
      </c>
      <c r="L14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2.8956228956228958E-2</v>
      </c>
      <c r="M145" s="32">
        <v>43</v>
      </c>
      <c r="N145" s="32">
        <v>0</v>
      </c>
      <c r="O145" s="32">
        <v>1485</v>
      </c>
      <c r="P145" s="32">
        <v>0</v>
      </c>
      <c r="Q14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5" s="32">
        <v>0</v>
      </c>
      <c r="S145" s="32">
        <v>0</v>
      </c>
      <c r="T145" s="32">
        <v>0</v>
      </c>
      <c r="U145" s="32">
        <v>1485</v>
      </c>
      <c r="V145" s="32">
        <v>0</v>
      </c>
      <c r="W145" s="32">
        <v>0</v>
      </c>
      <c r="X145" s="32">
        <v>0</v>
      </c>
      <c r="Y14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0.7161145881035974</v>
      </c>
      <c r="Z145" s="32">
        <v>41</v>
      </c>
      <c r="AA145" s="32">
        <v>72174</v>
      </c>
      <c r="AB145" s="32">
        <v>1846</v>
      </c>
      <c r="AC145" s="32">
        <v>0</v>
      </c>
      <c r="AD145" s="32">
        <v>0</v>
      </c>
      <c r="AE145" s="32">
        <v>98265</v>
      </c>
      <c r="AF145" s="32">
        <v>0</v>
      </c>
      <c r="AG14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1.3619829862129658</v>
      </c>
      <c r="AH145" s="32">
        <v>4620</v>
      </c>
      <c r="AI145" s="32">
        <v>594</v>
      </c>
      <c r="AJ145" s="32">
        <v>199</v>
      </c>
      <c r="AK145" s="32">
        <v>0</v>
      </c>
      <c r="AL145" s="32">
        <v>30</v>
      </c>
      <c r="AM145" s="32">
        <v>817</v>
      </c>
      <c r="AN145" s="32">
        <v>1603</v>
      </c>
      <c r="AO145" s="32">
        <v>-491</v>
      </c>
      <c r="AP145" s="32">
        <v>-2918</v>
      </c>
      <c r="AQ14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4.2289562289562292</v>
      </c>
      <c r="AR145" s="32">
        <v>1431</v>
      </c>
      <c r="AS145" s="32">
        <v>948</v>
      </c>
      <c r="AT145" s="32">
        <v>983</v>
      </c>
      <c r="AU145" s="32">
        <v>987</v>
      </c>
      <c r="AV145" s="32">
        <v>569</v>
      </c>
      <c r="AW145" s="32">
        <v>817</v>
      </c>
      <c r="AX145" s="32">
        <v>105</v>
      </c>
      <c r="AY145" s="32">
        <v>279</v>
      </c>
      <c r="AZ145" s="32">
        <v>0</v>
      </c>
      <c r="BA145" s="32">
        <v>46</v>
      </c>
      <c r="BB145" s="32">
        <v>115</v>
      </c>
      <c r="BC145" s="32">
        <v>1485</v>
      </c>
      <c r="BD145" s="34">
        <f>IFERROR(SUM(Entity_Metrics[[#This Row],[Operating surplus/(deficit) (social housing lettings)]])/SUM(Entity_Metrics[[#This Row],[Turnover from social housing lettings]]),"")</f>
        <v>0.36944176577734922</v>
      </c>
      <c r="BE145" s="32">
        <v>3448</v>
      </c>
      <c r="BF145" s="32">
        <v>9333</v>
      </c>
      <c r="BG145" s="34">
        <f>IFERROR(SUM(Entity_Metrics[[#This Row],[Operating surplus/(deficit) (overall)2]],-Entity_Metrics[[#This Row],[Gain/(loss) on disposal of fixed assets (housing properties)2]])/SUM(Entity_Metrics[[#This Row],[Turnover (overall)]]),"")</f>
        <v>0.31758302437485209</v>
      </c>
      <c r="BH145" s="32">
        <v>4620</v>
      </c>
      <c r="BI145" s="32">
        <v>594</v>
      </c>
      <c r="BJ145" s="32">
        <v>12677</v>
      </c>
      <c r="BK145" s="34">
        <f>IFERROR(SUM(Entity_Metrics[[#This Row],[Operating surplus/(deficit) (overall)3]],Entity_Metrics[[#This Row],[Share of operating surplus/(deficit) in joint ventures or associates]])/SUM(Entity_Metrics[[#This Row],[Total assets less current liabilities]]),"")</f>
        <v>4.0091985941771165E-2</v>
      </c>
      <c r="BL145" s="32">
        <v>4620</v>
      </c>
      <c r="BM145" s="32">
        <v>0</v>
      </c>
      <c r="BN145" s="32">
        <v>115235</v>
      </c>
      <c r="BO145" s="34">
        <v>3.3863165169315826E-2</v>
      </c>
      <c r="BP145" s="34">
        <v>0.22667588113337941</v>
      </c>
      <c r="BQ145" s="6" t="s">
        <v>82</v>
      </c>
      <c r="BR145" s="6" t="s">
        <v>83</v>
      </c>
      <c r="BS145" s="6" t="s">
        <v>83</v>
      </c>
      <c r="BT145" s="6" t="s">
        <v>84</v>
      </c>
      <c r="BU145" s="8">
        <v>1.0166488573734003</v>
      </c>
      <c r="BV145" s="37" t="s">
        <v>317</v>
      </c>
      <c r="BW145" s="19" t="s">
        <v>318</v>
      </c>
    </row>
    <row r="146" spans="1:75" x14ac:dyDescent="0.25">
      <c r="A146" s="33" t="s">
        <v>726</v>
      </c>
      <c r="B146" s="7" t="s">
        <v>320</v>
      </c>
      <c r="C146" s="7" t="s">
        <v>81</v>
      </c>
      <c r="D14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3.7179696269079118E-2</v>
      </c>
      <c r="E146" s="32">
        <v>0</v>
      </c>
      <c r="F146" s="32">
        <v>4879</v>
      </c>
      <c r="G146" s="32">
        <v>2770</v>
      </c>
      <c r="H146" s="32">
        <v>102</v>
      </c>
      <c r="I146" s="32">
        <v>0</v>
      </c>
      <c r="J146" s="32">
        <v>208474</v>
      </c>
      <c r="K146" s="32">
        <v>0</v>
      </c>
      <c r="L14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1.1606140022463497E-2</v>
      </c>
      <c r="M146" s="32">
        <v>62</v>
      </c>
      <c r="N146" s="32">
        <v>0</v>
      </c>
      <c r="O146" s="32">
        <v>5342</v>
      </c>
      <c r="P146" s="32">
        <v>0</v>
      </c>
      <c r="Q14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6" s="32">
        <v>0</v>
      </c>
      <c r="S146" s="32">
        <v>0</v>
      </c>
      <c r="T146" s="32">
        <v>0</v>
      </c>
      <c r="U146" s="32">
        <v>5342</v>
      </c>
      <c r="V146" s="32">
        <v>0</v>
      </c>
      <c r="W146" s="32">
        <v>0</v>
      </c>
      <c r="X146" s="32">
        <v>0</v>
      </c>
      <c r="Y14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0.35034584648445372</v>
      </c>
      <c r="Z146" s="32">
        <v>5168</v>
      </c>
      <c r="AA146" s="32">
        <v>67973</v>
      </c>
      <c r="AB146" s="32">
        <v>103</v>
      </c>
      <c r="AC146" s="32">
        <v>0</v>
      </c>
      <c r="AD146" s="32">
        <v>0</v>
      </c>
      <c r="AE146" s="32">
        <v>208474</v>
      </c>
      <c r="AF146" s="32">
        <v>0</v>
      </c>
      <c r="AG14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3.142171976704351</v>
      </c>
      <c r="AH146" s="32">
        <v>8295</v>
      </c>
      <c r="AI146" s="32">
        <v>279</v>
      </c>
      <c r="AJ146" s="32">
        <v>1131</v>
      </c>
      <c r="AK146" s="32">
        <v>0</v>
      </c>
      <c r="AL146" s="32">
        <v>34</v>
      </c>
      <c r="AM146" s="32">
        <v>2770</v>
      </c>
      <c r="AN146" s="32">
        <v>5023</v>
      </c>
      <c r="AO146" s="32">
        <v>-102</v>
      </c>
      <c r="AP146" s="32">
        <v>-2817</v>
      </c>
      <c r="AQ14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3.4717334331710972</v>
      </c>
      <c r="AR146" s="32">
        <v>4873</v>
      </c>
      <c r="AS146" s="32">
        <v>2926</v>
      </c>
      <c r="AT146" s="32">
        <v>4207</v>
      </c>
      <c r="AU146" s="32">
        <v>862</v>
      </c>
      <c r="AV146" s="32">
        <v>2312</v>
      </c>
      <c r="AW146" s="32">
        <v>2770</v>
      </c>
      <c r="AX146" s="32">
        <v>33</v>
      </c>
      <c r="AY146" s="32">
        <v>512</v>
      </c>
      <c r="AZ146" s="32">
        <v>0</v>
      </c>
      <c r="BA146" s="32">
        <v>51</v>
      </c>
      <c r="BB146" s="32">
        <v>0</v>
      </c>
      <c r="BC146" s="32">
        <v>5342</v>
      </c>
      <c r="BD146" s="34">
        <f>IFERROR(SUM(Entity_Metrics[[#This Row],[Operating surplus/(deficit) (social housing lettings)]])/SUM(Entity_Metrics[[#This Row],[Turnover from social housing lettings]]),"")</f>
        <v>0.29400297724533919</v>
      </c>
      <c r="BE146" s="32">
        <v>8295</v>
      </c>
      <c r="BF146" s="32">
        <v>28214</v>
      </c>
      <c r="BG146" s="34">
        <f>IFERROR(SUM(Entity_Metrics[[#This Row],[Operating surplus/(deficit) (overall)2]],-Entity_Metrics[[#This Row],[Gain/(loss) on disposal of fixed assets (housing properties)2]])/SUM(Entity_Metrics[[#This Row],[Turnover (overall)]]),"")</f>
        <v>0.26464179597226806</v>
      </c>
      <c r="BH146" s="32">
        <v>8295</v>
      </c>
      <c r="BI146" s="32">
        <v>279</v>
      </c>
      <c r="BJ146" s="32">
        <v>30290</v>
      </c>
      <c r="BK146" s="34">
        <f>IFERROR(SUM(Entity_Metrics[[#This Row],[Operating surplus/(deficit) (overall)3]],Entity_Metrics[[#This Row],[Share of operating surplus/(deficit) in joint ventures or associates]])/SUM(Entity_Metrics[[#This Row],[Total assets less current liabilities]]),"")</f>
        <v>3.7838873455311811E-2</v>
      </c>
      <c r="BL146" s="32">
        <v>8295</v>
      </c>
      <c r="BM146" s="32">
        <v>0</v>
      </c>
      <c r="BN146" s="32">
        <v>219219</v>
      </c>
      <c r="BO146" s="34">
        <v>7.0321151716500552E-2</v>
      </c>
      <c r="BP146" s="34">
        <v>0.11406423034330011</v>
      </c>
      <c r="BQ146" s="6" t="s">
        <v>82</v>
      </c>
      <c r="BR146" s="6" t="s">
        <v>83</v>
      </c>
      <c r="BS146" s="6" t="s">
        <v>83</v>
      </c>
      <c r="BT146" s="6" t="s">
        <v>105</v>
      </c>
      <c r="BU146" s="8">
        <v>0.93093188252061243</v>
      </c>
      <c r="BV146" s="37" t="s">
        <v>726</v>
      </c>
      <c r="BW146" s="19" t="s">
        <v>320</v>
      </c>
    </row>
    <row r="147" spans="1:75" x14ac:dyDescent="0.25">
      <c r="A147" s="33" t="s">
        <v>321</v>
      </c>
      <c r="B147" s="7" t="s">
        <v>322</v>
      </c>
      <c r="C147" s="7" t="s">
        <v>81</v>
      </c>
      <c r="D14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1.6275206900571163E-2</v>
      </c>
      <c r="E147" s="32">
        <v>0</v>
      </c>
      <c r="F147" s="32">
        <v>0</v>
      </c>
      <c r="G147" s="32">
        <v>661</v>
      </c>
      <c r="H147" s="32">
        <v>0</v>
      </c>
      <c r="I147" s="32">
        <v>456</v>
      </c>
      <c r="J147" s="32">
        <v>68632</v>
      </c>
      <c r="K147" s="32">
        <v>0</v>
      </c>
      <c r="L14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47" s="32">
        <v>0</v>
      </c>
      <c r="N147" s="32">
        <v>0</v>
      </c>
      <c r="O147" s="32">
        <v>1085</v>
      </c>
      <c r="P147" s="32">
        <v>0</v>
      </c>
      <c r="Q14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7" s="32">
        <v>0</v>
      </c>
      <c r="S147" s="32">
        <v>0</v>
      </c>
      <c r="T147" s="32">
        <v>0</v>
      </c>
      <c r="U147" s="32">
        <v>1085</v>
      </c>
      <c r="V147" s="32">
        <v>0</v>
      </c>
      <c r="W147" s="32">
        <v>0</v>
      </c>
      <c r="X147" s="32">
        <v>0</v>
      </c>
      <c r="Y14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0.3626879589695769</v>
      </c>
      <c r="Z147" s="32">
        <v>697</v>
      </c>
      <c r="AA147" s="32">
        <v>27211</v>
      </c>
      <c r="AB147" s="32">
        <v>3016</v>
      </c>
      <c r="AC147" s="32">
        <v>0</v>
      </c>
      <c r="AD147" s="32">
        <v>0</v>
      </c>
      <c r="AE147" s="32">
        <v>68632</v>
      </c>
      <c r="AF147" s="32">
        <v>0</v>
      </c>
      <c r="AG14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1.95</v>
      </c>
      <c r="AH147" s="32">
        <v>2198</v>
      </c>
      <c r="AI147" s="32">
        <v>52</v>
      </c>
      <c r="AJ147" s="32">
        <v>331</v>
      </c>
      <c r="AK147" s="32">
        <v>0</v>
      </c>
      <c r="AL147" s="32">
        <v>4</v>
      </c>
      <c r="AM147" s="32">
        <v>661</v>
      </c>
      <c r="AN147" s="32">
        <v>714</v>
      </c>
      <c r="AO147" s="32">
        <v>0</v>
      </c>
      <c r="AP147" s="32">
        <v>-960</v>
      </c>
      <c r="AQ14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3.7544642857142856</v>
      </c>
      <c r="AR147" s="32">
        <v>1193</v>
      </c>
      <c r="AS147" s="32">
        <v>903</v>
      </c>
      <c r="AT147" s="32">
        <v>728</v>
      </c>
      <c r="AU147" s="32">
        <v>472</v>
      </c>
      <c r="AV147" s="32">
        <v>0</v>
      </c>
      <c r="AW147" s="32">
        <v>661</v>
      </c>
      <c r="AX147" s="32">
        <v>173</v>
      </c>
      <c r="AY147" s="32">
        <v>75</v>
      </c>
      <c r="AZ147" s="32">
        <v>0</v>
      </c>
      <c r="BA147" s="32">
        <v>0</v>
      </c>
      <c r="BB147" s="32">
        <v>0</v>
      </c>
      <c r="BC147" s="32">
        <v>1120</v>
      </c>
      <c r="BD147" s="34">
        <f>IFERROR(SUM(Entity_Metrics[[#This Row],[Operating surplus/(deficit) (social housing lettings)]])/SUM(Entity_Metrics[[#This Row],[Turnover from social housing lettings]]),"")</f>
        <v>0.33858515834252401</v>
      </c>
      <c r="BE147" s="32">
        <v>2149</v>
      </c>
      <c r="BF147" s="32">
        <v>6347</v>
      </c>
      <c r="BG147" s="34">
        <f>IFERROR(SUM(Entity_Metrics[[#This Row],[Operating surplus/(deficit) (overall)2]],-Entity_Metrics[[#This Row],[Gain/(loss) on disposal of fixed assets (housing properties)2]])/SUM(Entity_Metrics[[#This Row],[Turnover (overall)]]),"")</f>
        <v>0.33431998753699954</v>
      </c>
      <c r="BH147" s="32">
        <v>2198</v>
      </c>
      <c r="BI147" s="32">
        <v>52</v>
      </c>
      <c r="BJ147" s="32">
        <v>6419</v>
      </c>
      <c r="BK147" s="34">
        <f>IFERROR(SUM(Entity_Metrics[[#This Row],[Operating surplus/(deficit) (overall)3]],Entity_Metrics[[#This Row],[Share of operating surplus/(deficit) in joint ventures or associates]])/SUM(Entity_Metrics[[#This Row],[Total assets less current liabilities]]),"")</f>
        <v>3.0663634714917481E-2</v>
      </c>
      <c r="BL147" s="32">
        <v>2198</v>
      </c>
      <c r="BM147" s="32">
        <v>0</v>
      </c>
      <c r="BN147" s="32">
        <v>71681</v>
      </c>
      <c r="BO147" s="34">
        <v>2.8518859245630176E-2</v>
      </c>
      <c r="BP147" s="34">
        <v>0.22079116835326587</v>
      </c>
      <c r="BQ147" s="6" t="s">
        <v>82</v>
      </c>
      <c r="BR147" s="6" t="s">
        <v>83</v>
      </c>
      <c r="BS147" s="6" t="s">
        <v>83</v>
      </c>
      <c r="BT147" s="6" t="s">
        <v>90</v>
      </c>
      <c r="BU147" s="8">
        <v>0.91571558169387279</v>
      </c>
      <c r="BV147" s="37" t="s">
        <v>321</v>
      </c>
      <c r="BW147" s="19" t="s">
        <v>322</v>
      </c>
    </row>
    <row r="148" spans="1:75" x14ac:dyDescent="0.25">
      <c r="A148" s="33" t="s">
        <v>922</v>
      </c>
      <c r="B148" s="7" t="s">
        <v>324</v>
      </c>
      <c r="C148" s="7" t="s">
        <v>81</v>
      </c>
      <c r="D14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0.12641530471523724</v>
      </c>
      <c r="E148" s="32">
        <v>209890</v>
      </c>
      <c r="F148" s="32">
        <v>0</v>
      </c>
      <c r="G148" s="32">
        <v>0</v>
      </c>
      <c r="H148" s="32">
        <v>5528</v>
      </c>
      <c r="I148" s="32">
        <v>0</v>
      </c>
      <c r="J148" s="32">
        <v>1704050</v>
      </c>
      <c r="K148" s="32">
        <v>0</v>
      </c>
      <c r="L14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1.4340443155932905E-2</v>
      </c>
      <c r="M148" s="32">
        <v>275</v>
      </c>
      <c r="N148" s="32">
        <v>2</v>
      </c>
      <c r="O148" s="32">
        <v>17221</v>
      </c>
      <c r="P148" s="32">
        <v>2095</v>
      </c>
      <c r="Q14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3.8700074423220045E-3</v>
      </c>
      <c r="R148" s="32">
        <v>1</v>
      </c>
      <c r="S148" s="32">
        <v>77</v>
      </c>
      <c r="T148" s="32">
        <v>0</v>
      </c>
      <c r="U148" s="32">
        <v>17221</v>
      </c>
      <c r="V148" s="32">
        <v>258</v>
      </c>
      <c r="W148" s="32">
        <v>2095</v>
      </c>
      <c r="X148" s="32">
        <v>581</v>
      </c>
      <c r="Y14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0.47299375018338663</v>
      </c>
      <c r="Z148" s="32">
        <v>6550</v>
      </c>
      <c r="AA148" s="32">
        <v>378581</v>
      </c>
      <c r="AB148" s="32">
        <v>62965</v>
      </c>
      <c r="AC148" s="32">
        <v>483839</v>
      </c>
      <c r="AD148" s="32">
        <v>0</v>
      </c>
      <c r="AE148" s="32">
        <v>1704050</v>
      </c>
      <c r="AF148" s="32">
        <v>0</v>
      </c>
      <c r="AG14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1.1465857538443409</v>
      </c>
      <c r="AH148" s="32">
        <v>50454</v>
      </c>
      <c r="AI148" s="32">
        <v>10178</v>
      </c>
      <c r="AJ148" s="32">
        <v>7420</v>
      </c>
      <c r="AK148" s="32">
        <v>0</v>
      </c>
      <c r="AL148" s="32">
        <v>283</v>
      </c>
      <c r="AM148" s="32">
        <v>14782</v>
      </c>
      <c r="AN148" s="32">
        <v>20565</v>
      </c>
      <c r="AO148" s="32">
        <v>-5528</v>
      </c>
      <c r="AP148" s="32">
        <v>-28418</v>
      </c>
      <c r="AQ14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5.7857267289936702</v>
      </c>
      <c r="AR148" s="32">
        <v>29449</v>
      </c>
      <c r="AS148" s="32">
        <v>10331</v>
      </c>
      <c r="AT148" s="32">
        <v>15081</v>
      </c>
      <c r="AU148" s="32">
        <v>0</v>
      </c>
      <c r="AV148" s="32">
        <v>6861</v>
      </c>
      <c r="AW148" s="32">
        <v>14782</v>
      </c>
      <c r="AX148" s="32">
        <v>17547</v>
      </c>
      <c r="AY148" s="32">
        <v>4877</v>
      </c>
      <c r="AZ148" s="32">
        <v>469</v>
      </c>
      <c r="BA148" s="32">
        <v>27</v>
      </c>
      <c r="BB148" s="32">
        <v>212</v>
      </c>
      <c r="BC148" s="32">
        <v>17221</v>
      </c>
      <c r="BD148" s="34">
        <f>IFERROR(SUM(Entity_Metrics[[#This Row],[Operating surplus/(deficit) (social housing lettings)]])/SUM(Entity_Metrics[[#This Row],[Turnover from social housing lettings]]),"")</f>
        <v>0.27041650391331395</v>
      </c>
      <c r="BE148" s="32">
        <v>37384</v>
      </c>
      <c r="BF148" s="32">
        <v>138246</v>
      </c>
      <c r="BG148" s="34">
        <f>IFERROR(SUM(Entity_Metrics[[#This Row],[Operating surplus/(deficit) (overall)2]],-Entity_Metrics[[#This Row],[Gain/(loss) on disposal of fixed assets (housing properties)2]])/SUM(Entity_Metrics[[#This Row],[Turnover (overall)]]),"")</f>
        <v>0.26196624280464403</v>
      </c>
      <c r="BH148" s="32">
        <v>50454</v>
      </c>
      <c r="BI148" s="32">
        <v>10178</v>
      </c>
      <c r="BJ148" s="32">
        <v>153745</v>
      </c>
      <c r="BK148" s="34">
        <f>IFERROR(SUM(Entity_Metrics[[#This Row],[Operating surplus/(deficit) (overall)3]],Entity_Metrics[[#This Row],[Share of operating surplus/(deficit) in joint ventures or associates]])/SUM(Entity_Metrics[[#This Row],[Total assets less current liabilities]]),"")</f>
        <v>2.6691862775024746E-2</v>
      </c>
      <c r="BL148" s="32">
        <v>50454</v>
      </c>
      <c r="BM148" s="32">
        <v>0</v>
      </c>
      <c r="BN148" s="32">
        <v>1890239</v>
      </c>
      <c r="BO148" s="34">
        <v>3.0494341870160809E-2</v>
      </c>
      <c r="BP148" s="34">
        <v>8.4574151280524118E-2</v>
      </c>
      <c r="BQ148" s="6" t="s">
        <v>82</v>
      </c>
      <c r="BR148" s="6" t="s">
        <v>83</v>
      </c>
      <c r="BS148" s="6" t="s">
        <v>83</v>
      </c>
      <c r="BT148" s="6" t="s">
        <v>156</v>
      </c>
      <c r="BU148" s="8">
        <v>1.1822211148400199</v>
      </c>
      <c r="BV148" s="37">
        <v>4825</v>
      </c>
      <c r="BW148" s="19" t="s">
        <v>324</v>
      </c>
    </row>
    <row r="149" spans="1:75" x14ac:dyDescent="0.25">
      <c r="A149" s="33" t="s">
        <v>727</v>
      </c>
      <c r="B149" s="7" t="s">
        <v>728</v>
      </c>
      <c r="C149" s="7" t="s">
        <v>81</v>
      </c>
      <c r="D14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4.4038064062614755E-2</v>
      </c>
      <c r="E149" s="32">
        <v>13751</v>
      </c>
      <c r="F149" s="32">
        <v>0</v>
      </c>
      <c r="G149" s="32">
        <v>7236</v>
      </c>
      <c r="H149" s="32">
        <v>0</v>
      </c>
      <c r="I149" s="32">
        <v>0</v>
      </c>
      <c r="J149" s="32">
        <v>476565</v>
      </c>
      <c r="K149" s="32">
        <v>0</v>
      </c>
      <c r="L14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6.1581247516885179E-3</v>
      </c>
      <c r="M149" s="32">
        <v>93</v>
      </c>
      <c r="N149" s="32">
        <v>0</v>
      </c>
      <c r="O149" s="32">
        <v>15102</v>
      </c>
      <c r="P149" s="32">
        <v>0</v>
      </c>
      <c r="Q14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49" s="32">
        <v>0</v>
      </c>
      <c r="S149" s="32">
        <v>0</v>
      </c>
      <c r="T149" s="32">
        <v>0</v>
      </c>
      <c r="U149" s="32">
        <v>15102</v>
      </c>
      <c r="V149" s="32">
        <v>0</v>
      </c>
      <c r="W149" s="32">
        <v>0</v>
      </c>
      <c r="X149" s="32">
        <v>201</v>
      </c>
      <c r="Y14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0.66575598291943383</v>
      </c>
      <c r="Z149" s="32">
        <v>2843</v>
      </c>
      <c r="AA149" s="32">
        <v>321791</v>
      </c>
      <c r="AB149" s="32">
        <v>7358</v>
      </c>
      <c r="AC149" s="32">
        <v>0</v>
      </c>
      <c r="AD149" s="32">
        <v>0</v>
      </c>
      <c r="AE149" s="32">
        <v>476565</v>
      </c>
      <c r="AF149" s="32">
        <v>0</v>
      </c>
      <c r="AG14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1.29227500544781</v>
      </c>
      <c r="AH149" s="32">
        <v>20582</v>
      </c>
      <c r="AI149" s="32">
        <v>1319</v>
      </c>
      <c r="AJ149" s="32">
        <v>100</v>
      </c>
      <c r="AK149" s="32">
        <v>0</v>
      </c>
      <c r="AL149" s="32">
        <v>8</v>
      </c>
      <c r="AM149" s="32">
        <v>7236</v>
      </c>
      <c r="AN149" s="32">
        <v>11786</v>
      </c>
      <c r="AO149" s="32">
        <v>-478</v>
      </c>
      <c r="AP149" s="32">
        <v>-17878</v>
      </c>
      <c r="AQ14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3.1012591469444262</v>
      </c>
      <c r="AR149" s="32">
        <v>16109</v>
      </c>
      <c r="AS149" s="32">
        <v>3623</v>
      </c>
      <c r="AT149" s="32">
        <v>11091</v>
      </c>
      <c r="AU149" s="32">
        <v>2940</v>
      </c>
      <c r="AV149" s="32">
        <v>5898</v>
      </c>
      <c r="AW149" s="32">
        <v>7236</v>
      </c>
      <c r="AX149" s="32">
        <v>146</v>
      </c>
      <c r="AY149" s="32">
        <v>0</v>
      </c>
      <c r="AZ149" s="32">
        <v>0</v>
      </c>
      <c r="BA149" s="32">
        <v>0</v>
      </c>
      <c r="BB149" s="32">
        <v>0</v>
      </c>
      <c r="BC149" s="32">
        <v>15169</v>
      </c>
      <c r="BD149" s="34">
        <f>IFERROR(SUM(Entity_Metrics[[#This Row],[Operating surplus/(deficit) (social housing lettings)]])/SUM(Entity_Metrics[[#This Row],[Turnover from social housing lettings]]),"")</f>
        <v>0.260539449176039</v>
      </c>
      <c r="BE149" s="32">
        <v>18324</v>
      </c>
      <c r="BF149" s="32">
        <v>70331</v>
      </c>
      <c r="BG149" s="34">
        <f>IFERROR(SUM(Entity_Metrics[[#This Row],[Operating surplus/(deficit) (overall)2]],-Entity_Metrics[[#This Row],[Gain/(loss) on disposal of fixed assets (housing properties)2]])/SUM(Entity_Metrics[[#This Row],[Turnover (overall)]]),"")</f>
        <v>0.25592889314042011</v>
      </c>
      <c r="BH149" s="32">
        <v>20582</v>
      </c>
      <c r="BI149" s="32">
        <v>1319</v>
      </c>
      <c r="BJ149" s="32">
        <v>75267</v>
      </c>
      <c r="BK149" s="34">
        <f>IFERROR(SUM(Entity_Metrics[[#This Row],[Operating surplus/(deficit) (overall)3]],Entity_Metrics[[#This Row],[Share of operating surplus/(deficit) in joint ventures or associates]])/SUM(Entity_Metrics[[#This Row],[Total assets less current liabilities]]),"")</f>
        <v>4.1648539103935185E-2</v>
      </c>
      <c r="BL149" s="32">
        <v>20582</v>
      </c>
      <c r="BM149" s="32">
        <v>0</v>
      </c>
      <c r="BN149" s="32">
        <v>494183</v>
      </c>
      <c r="BO149" s="34">
        <v>7.1011414919033714E-3</v>
      </c>
      <c r="BP149" s="34">
        <v>4.5128749668170959E-2</v>
      </c>
      <c r="BQ149" s="6" t="s">
        <v>93</v>
      </c>
      <c r="BR149" s="6">
        <v>2000</v>
      </c>
      <c r="BS149" s="6" t="s">
        <v>94</v>
      </c>
      <c r="BT149" s="6" t="s">
        <v>105</v>
      </c>
      <c r="BU149" s="8">
        <v>0.9156653862445665</v>
      </c>
      <c r="BV149" s="37" t="s">
        <v>664</v>
      </c>
      <c r="BW149" s="19" t="s">
        <v>326</v>
      </c>
    </row>
    <row r="150" spans="1:75" x14ac:dyDescent="0.25">
      <c r="A150" s="33" t="s">
        <v>729</v>
      </c>
      <c r="B150" s="7" t="s">
        <v>730</v>
      </c>
      <c r="C150" s="7" t="s">
        <v>81</v>
      </c>
      <c r="D15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1.5713790251580716E-2</v>
      </c>
      <c r="E150" s="32">
        <v>0</v>
      </c>
      <c r="F150" s="32">
        <v>0</v>
      </c>
      <c r="G150" s="32">
        <v>1178</v>
      </c>
      <c r="H150" s="32">
        <v>0</v>
      </c>
      <c r="I150" s="32">
        <v>0</v>
      </c>
      <c r="J150" s="32">
        <v>74966</v>
      </c>
      <c r="K150" s="32">
        <v>0</v>
      </c>
      <c r="L15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4.5045045045045046E-4</v>
      </c>
      <c r="M150" s="32">
        <v>1</v>
      </c>
      <c r="N150" s="32">
        <v>0</v>
      </c>
      <c r="O150" s="32">
        <v>2143</v>
      </c>
      <c r="P150" s="32">
        <v>77</v>
      </c>
      <c r="Q15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0" s="32">
        <v>0</v>
      </c>
      <c r="S150" s="32">
        <v>0</v>
      </c>
      <c r="T150" s="32">
        <v>0</v>
      </c>
      <c r="U150" s="32">
        <v>2143</v>
      </c>
      <c r="V150" s="32">
        <v>0</v>
      </c>
      <c r="W150" s="32">
        <v>77</v>
      </c>
      <c r="X150" s="32">
        <v>0</v>
      </c>
      <c r="Y15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0.63727556492276494</v>
      </c>
      <c r="Z150" s="32">
        <v>0</v>
      </c>
      <c r="AA150" s="32">
        <v>48821</v>
      </c>
      <c r="AB150" s="32">
        <v>1047</v>
      </c>
      <c r="AC150" s="32">
        <v>0</v>
      </c>
      <c r="AD150" s="32">
        <v>0</v>
      </c>
      <c r="AE150" s="32">
        <v>74966</v>
      </c>
      <c r="AF150" s="32">
        <v>0</v>
      </c>
      <c r="AG15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2.4491471888818697</v>
      </c>
      <c r="AH150" s="32">
        <v>3401</v>
      </c>
      <c r="AI150" s="32">
        <v>-100</v>
      </c>
      <c r="AJ150" s="32">
        <v>18</v>
      </c>
      <c r="AK150" s="32">
        <v>0</v>
      </c>
      <c r="AL150" s="32">
        <v>111</v>
      </c>
      <c r="AM150" s="32">
        <v>1178</v>
      </c>
      <c r="AN150" s="32">
        <v>1461</v>
      </c>
      <c r="AO150" s="32">
        <v>0</v>
      </c>
      <c r="AP150" s="32">
        <v>-1583</v>
      </c>
      <c r="AQ15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3.6612225851609894</v>
      </c>
      <c r="AR150" s="32">
        <v>2193</v>
      </c>
      <c r="AS150" s="32">
        <v>1156</v>
      </c>
      <c r="AT150" s="32">
        <v>1922</v>
      </c>
      <c r="AU150" s="32">
        <v>725</v>
      </c>
      <c r="AV150" s="32">
        <v>574</v>
      </c>
      <c r="AW150" s="32">
        <v>1178</v>
      </c>
      <c r="AX150" s="32">
        <v>98</v>
      </c>
      <c r="AY150" s="32">
        <v>0</v>
      </c>
      <c r="AZ150" s="32">
        <v>0</v>
      </c>
      <c r="BA150" s="32">
        <v>0</v>
      </c>
      <c r="BB150" s="32">
        <v>0</v>
      </c>
      <c r="BC150" s="32">
        <v>2143</v>
      </c>
      <c r="BD150" s="34">
        <f>IFERROR(SUM(Entity_Metrics[[#This Row],[Operating surplus/(deficit) (social housing lettings)]])/SUM(Entity_Metrics[[#This Row],[Turnover from social housing lettings]]),"")</f>
        <v>0.25016202203499677</v>
      </c>
      <c r="BE150" s="32">
        <v>2702</v>
      </c>
      <c r="BF150" s="32">
        <v>10801</v>
      </c>
      <c r="BG150" s="34">
        <f>IFERROR(SUM(Entity_Metrics[[#This Row],[Operating surplus/(deficit) (overall)2]],-Entity_Metrics[[#This Row],[Gain/(loss) on disposal of fixed assets (housing properties)2]])/SUM(Entity_Metrics[[#This Row],[Turnover (overall)]]),"")</f>
        <v>0.2881718659972014</v>
      </c>
      <c r="BH150" s="32">
        <v>3401</v>
      </c>
      <c r="BI150" s="32">
        <v>-100</v>
      </c>
      <c r="BJ150" s="32">
        <v>12149</v>
      </c>
      <c r="BK150" s="34">
        <f>IFERROR(SUM(Entity_Metrics[[#This Row],[Operating surplus/(deficit) (overall)3]],Entity_Metrics[[#This Row],[Share of operating surplus/(deficit) in joint ventures or associates]])/SUM(Entity_Metrics[[#This Row],[Total assets less current liabilities]]),"")</f>
        <v>4.367030906919709E-2</v>
      </c>
      <c r="BL150" s="32">
        <v>3401</v>
      </c>
      <c r="BM150" s="32">
        <v>0</v>
      </c>
      <c r="BN150" s="32">
        <v>77879</v>
      </c>
      <c r="BO150" s="34">
        <v>7.1861875874941666E-2</v>
      </c>
      <c r="BP150" s="34">
        <v>0.18852076528231451</v>
      </c>
      <c r="BQ150" s="6" t="s">
        <v>93</v>
      </c>
      <c r="BR150" s="6">
        <v>2000</v>
      </c>
      <c r="BS150" s="6" t="s">
        <v>94</v>
      </c>
      <c r="BT150" s="6" t="s">
        <v>105</v>
      </c>
      <c r="BU150" s="8">
        <v>0.9156653862445665</v>
      </c>
      <c r="BV150" s="37" t="s">
        <v>731</v>
      </c>
      <c r="BW150" s="19" t="s">
        <v>388</v>
      </c>
    </row>
    <row r="151" spans="1:75" x14ac:dyDescent="0.25">
      <c r="A151" s="33" t="s">
        <v>732</v>
      </c>
      <c r="B151" s="7" t="s">
        <v>328</v>
      </c>
      <c r="C151" s="7" t="s">
        <v>81</v>
      </c>
      <c r="D15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7.6479491253440585E-2</v>
      </c>
      <c r="E151" s="32">
        <v>69517</v>
      </c>
      <c r="F151" s="32">
        <v>0</v>
      </c>
      <c r="G151" s="32">
        <v>7644</v>
      </c>
      <c r="H151" s="32">
        <v>0</v>
      </c>
      <c r="I151" s="32">
        <v>0</v>
      </c>
      <c r="J151" s="32">
        <v>1008911</v>
      </c>
      <c r="K151" s="32">
        <v>0</v>
      </c>
      <c r="L15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1.0881063926250567E-2</v>
      </c>
      <c r="M151" s="32">
        <v>72</v>
      </c>
      <c r="N151" s="32">
        <v>0</v>
      </c>
      <c r="O151" s="32">
        <v>6617</v>
      </c>
      <c r="P151" s="32">
        <v>0</v>
      </c>
      <c r="Q15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1" s="32">
        <v>0</v>
      </c>
      <c r="S151" s="32">
        <v>0</v>
      </c>
      <c r="T151" s="32">
        <v>0</v>
      </c>
      <c r="U151" s="32">
        <v>6617</v>
      </c>
      <c r="V151" s="32">
        <v>68</v>
      </c>
      <c r="W151" s="32">
        <v>0</v>
      </c>
      <c r="X151" s="32">
        <v>0</v>
      </c>
      <c r="Y15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0.47431834919036464</v>
      </c>
      <c r="Z151" s="32">
        <v>3889</v>
      </c>
      <c r="AA151" s="32">
        <v>498976</v>
      </c>
      <c r="AB151" s="32">
        <v>24320</v>
      </c>
      <c r="AC151" s="32">
        <v>0</v>
      </c>
      <c r="AD151" s="32">
        <v>0</v>
      </c>
      <c r="AE151" s="32">
        <v>1008911</v>
      </c>
      <c r="AF151" s="32">
        <v>0</v>
      </c>
      <c r="AG15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1.2847992116284799</v>
      </c>
      <c r="AH151" s="32">
        <v>31138</v>
      </c>
      <c r="AI151" s="32">
        <v>6753</v>
      </c>
      <c r="AJ151" s="32">
        <v>3749</v>
      </c>
      <c r="AK151" s="32">
        <v>0</v>
      </c>
      <c r="AL151" s="32">
        <v>230</v>
      </c>
      <c r="AM151" s="32">
        <v>7644</v>
      </c>
      <c r="AN151" s="32">
        <v>7638</v>
      </c>
      <c r="AO151" s="32">
        <v>-3146</v>
      </c>
      <c r="AP151" s="32">
        <v>-13090</v>
      </c>
      <c r="AQ15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5.0524406830890127</v>
      </c>
      <c r="AR151" s="32">
        <v>6852</v>
      </c>
      <c r="AS151" s="32">
        <v>8870</v>
      </c>
      <c r="AT151" s="32">
        <v>4859</v>
      </c>
      <c r="AU151" s="32">
        <v>3633</v>
      </c>
      <c r="AV151" s="32">
        <v>37</v>
      </c>
      <c r="AW151" s="32">
        <v>7644</v>
      </c>
      <c r="AX151" s="32">
        <v>0</v>
      </c>
      <c r="AY151" s="32">
        <v>668</v>
      </c>
      <c r="AZ151" s="32">
        <v>0</v>
      </c>
      <c r="BA151" s="32">
        <v>869</v>
      </c>
      <c r="BB151" s="32">
        <v>0</v>
      </c>
      <c r="BC151" s="32">
        <v>6617</v>
      </c>
      <c r="BD151" s="34">
        <f>IFERROR(SUM(Entity_Metrics[[#This Row],[Operating surplus/(deficit) (social housing lettings)]])/SUM(Entity_Metrics[[#This Row],[Turnover from social housing lettings]]),"")</f>
        <v>0.4226261127596439</v>
      </c>
      <c r="BE151" s="32">
        <v>22788</v>
      </c>
      <c r="BF151" s="32">
        <v>53920</v>
      </c>
      <c r="BG151" s="34">
        <f>IFERROR(SUM(Entity_Metrics[[#This Row],[Operating surplus/(deficit) (overall)2]],-Entity_Metrics[[#This Row],[Gain/(loss) on disposal of fixed assets (housing properties)2]])/SUM(Entity_Metrics[[#This Row],[Turnover (overall)]]),"")</f>
        <v>0.41621151088960195</v>
      </c>
      <c r="BH151" s="32">
        <v>31138</v>
      </c>
      <c r="BI151" s="32">
        <v>6753</v>
      </c>
      <c r="BJ151" s="32">
        <v>58588</v>
      </c>
      <c r="BK151" s="34">
        <f>IFERROR(SUM(Entity_Metrics[[#This Row],[Operating surplus/(deficit) (overall)3]],Entity_Metrics[[#This Row],[Share of operating surplus/(deficit) in joint ventures or associates]])/SUM(Entity_Metrics[[#This Row],[Total assets less current liabilities]]),"")</f>
        <v>3.0018172090175984E-2</v>
      </c>
      <c r="BL151" s="32">
        <v>31138</v>
      </c>
      <c r="BM151" s="32">
        <v>0</v>
      </c>
      <c r="BN151" s="32">
        <v>1037305</v>
      </c>
      <c r="BO151" s="34">
        <v>6.80644656548271E-2</v>
      </c>
      <c r="BP151" s="34">
        <v>2.3314035362228133E-2</v>
      </c>
      <c r="BQ151" s="6" t="s">
        <v>82</v>
      </c>
      <c r="BR151" s="6" t="s">
        <v>83</v>
      </c>
      <c r="BS151" s="6" t="s">
        <v>83</v>
      </c>
      <c r="BT151" s="6" t="s">
        <v>156</v>
      </c>
      <c r="BU151" s="8">
        <v>1.2488240259438206</v>
      </c>
      <c r="BV151" s="37" t="s">
        <v>732</v>
      </c>
      <c r="BW151" s="19" t="s">
        <v>328</v>
      </c>
    </row>
    <row r="152" spans="1:75" x14ac:dyDescent="0.25">
      <c r="A152" s="33" t="s">
        <v>733</v>
      </c>
      <c r="B152" s="7" t="s">
        <v>330</v>
      </c>
      <c r="C152" s="7" t="s">
        <v>81</v>
      </c>
      <c r="D15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5.2551717823109675E-2</v>
      </c>
      <c r="E152" s="32">
        <v>4346</v>
      </c>
      <c r="F152" s="32">
        <v>1877</v>
      </c>
      <c r="G152" s="32">
        <v>1695</v>
      </c>
      <c r="H152" s="32">
        <v>117</v>
      </c>
      <c r="I152" s="32">
        <v>0</v>
      </c>
      <c r="J152" s="32">
        <v>152897</v>
      </c>
      <c r="K152" s="32">
        <v>0</v>
      </c>
      <c r="L15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1.0516548097742036E-2</v>
      </c>
      <c r="M152" s="32">
        <v>34</v>
      </c>
      <c r="N152" s="32">
        <v>0</v>
      </c>
      <c r="O152" s="32">
        <v>3233</v>
      </c>
      <c r="P152" s="32">
        <v>0</v>
      </c>
      <c r="Q15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2" s="32">
        <v>0</v>
      </c>
      <c r="S152" s="32">
        <v>0</v>
      </c>
      <c r="T152" s="32">
        <v>0</v>
      </c>
      <c r="U152" s="32">
        <v>3233</v>
      </c>
      <c r="V152" s="32">
        <v>10</v>
      </c>
      <c r="W152" s="32">
        <v>0</v>
      </c>
      <c r="X152" s="32">
        <v>95</v>
      </c>
      <c r="Y15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0.56965800506223141</v>
      </c>
      <c r="Z152" s="32">
        <v>0</v>
      </c>
      <c r="AA152" s="32">
        <v>92252</v>
      </c>
      <c r="AB152" s="32">
        <v>5153</v>
      </c>
      <c r="AC152" s="32">
        <v>0</v>
      </c>
      <c r="AD152" s="32">
        <v>0</v>
      </c>
      <c r="AE152" s="32">
        <v>152897</v>
      </c>
      <c r="AF152" s="32">
        <v>0</v>
      </c>
      <c r="AG15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1.2495776007723871</v>
      </c>
      <c r="AH152" s="32">
        <v>4189</v>
      </c>
      <c r="AI152" s="32">
        <v>532</v>
      </c>
      <c r="AJ152" s="32">
        <v>130</v>
      </c>
      <c r="AK152" s="32">
        <v>0</v>
      </c>
      <c r="AL152" s="32">
        <v>90</v>
      </c>
      <c r="AM152" s="32">
        <v>1695</v>
      </c>
      <c r="AN152" s="32">
        <v>3255</v>
      </c>
      <c r="AO152" s="32">
        <v>-117</v>
      </c>
      <c r="AP152" s="32">
        <v>-4026</v>
      </c>
      <c r="AQ15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3.0667076544727943</v>
      </c>
      <c r="AR152" s="32">
        <v>1611</v>
      </c>
      <c r="AS152" s="32">
        <v>742</v>
      </c>
      <c r="AT152" s="32">
        <v>2595</v>
      </c>
      <c r="AU152" s="32">
        <v>1243</v>
      </c>
      <c r="AV152" s="32">
        <v>1737</v>
      </c>
      <c r="AW152" s="32">
        <v>1695</v>
      </c>
      <c r="AX152" s="32">
        <v>71</v>
      </c>
      <c r="AY152" s="32">
        <v>0</v>
      </c>
      <c r="AZ152" s="32">
        <v>0</v>
      </c>
      <c r="BA152" s="32">
        <v>0</v>
      </c>
      <c r="BB152" s="32">
        <v>282</v>
      </c>
      <c r="BC152" s="32">
        <v>3253</v>
      </c>
      <c r="BD152" s="34">
        <f>IFERROR(SUM(Entity_Metrics[[#This Row],[Operating surplus/(deficit) (social housing lettings)]])/SUM(Entity_Metrics[[#This Row],[Turnover from social housing lettings]]),"")</f>
        <v>0.23473373997669797</v>
      </c>
      <c r="BE152" s="32">
        <v>3425</v>
      </c>
      <c r="BF152" s="32">
        <v>14591</v>
      </c>
      <c r="BG152" s="34">
        <f>IFERROR(SUM(Entity_Metrics[[#This Row],[Operating surplus/(deficit) (overall)2]],-Entity_Metrics[[#This Row],[Gain/(loss) on disposal of fixed assets (housing properties)2]])/SUM(Entity_Metrics[[#This Row],[Turnover (overall)]]),"")</f>
        <v>0.2339431934493347</v>
      </c>
      <c r="BH152" s="32">
        <v>4189</v>
      </c>
      <c r="BI152" s="32">
        <v>532</v>
      </c>
      <c r="BJ152" s="32">
        <v>15632</v>
      </c>
      <c r="BK152" s="34">
        <f>IFERROR(SUM(Entity_Metrics[[#This Row],[Operating surplus/(deficit) (overall)3]],Entity_Metrics[[#This Row],[Share of operating surplus/(deficit) in joint ventures or associates]])/SUM(Entity_Metrics[[#This Row],[Total assets less current liabilities]]),"")</f>
        <v>2.5266294317044042E-2</v>
      </c>
      <c r="BL152" s="32">
        <v>4189</v>
      </c>
      <c r="BM152" s="32">
        <v>0</v>
      </c>
      <c r="BN152" s="32">
        <v>165794</v>
      </c>
      <c r="BO152" s="34">
        <v>0</v>
      </c>
      <c r="BP152" s="34">
        <v>0.15805753170429943</v>
      </c>
      <c r="BQ152" s="6" t="s">
        <v>93</v>
      </c>
      <c r="BR152" s="6">
        <v>2000</v>
      </c>
      <c r="BS152" s="6" t="s">
        <v>94</v>
      </c>
      <c r="BT152" s="6" t="s">
        <v>115</v>
      </c>
      <c r="BU152" s="8">
        <v>0.96617455710897804</v>
      </c>
      <c r="BV152" s="37" t="s">
        <v>733</v>
      </c>
      <c r="BW152" s="19" t="s">
        <v>330</v>
      </c>
    </row>
    <row r="153" spans="1:75" x14ac:dyDescent="0.25">
      <c r="A153" s="33" t="s">
        <v>734</v>
      </c>
      <c r="B153" s="7" t="s">
        <v>735</v>
      </c>
      <c r="C153" s="7" t="s">
        <v>81</v>
      </c>
      <c r="D15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0.15324086423046146</v>
      </c>
      <c r="E153" s="32">
        <v>0</v>
      </c>
      <c r="F153" s="32">
        <v>114900</v>
      </c>
      <c r="G153" s="32">
        <v>0</v>
      </c>
      <c r="H153" s="32">
        <v>0</v>
      </c>
      <c r="I153" s="32">
        <v>0</v>
      </c>
      <c r="J153" s="32">
        <v>749800</v>
      </c>
      <c r="K153" s="32">
        <v>0</v>
      </c>
      <c r="L15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2.3647479524743338E-2</v>
      </c>
      <c r="M153" s="32">
        <v>205</v>
      </c>
      <c r="N153" s="32">
        <v>0</v>
      </c>
      <c r="O153" s="32">
        <v>5501</v>
      </c>
      <c r="P153" s="32">
        <v>3168</v>
      </c>
      <c r="Q15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7.0308898109727987E-3</v>
      </c>
      <c r="R153" s="32">
        <v>0</v>
      </c>
      <c r="S153" s="32">
        <v>0</v>
      </c>
      <c r="T153" s="32">
        <v>61</v>
      </c>
      <c r="U153" s="32">
        <v>5501</v>
      </c>
      <c r="V153" s="32">
        <v>7</v>
      </c>
      <c r="W153" s="32">
        <v>3168</v>
      </c>
      <c r="X153" s="32">
        <v>0</v>
      </c>
      <c r="Y15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0.58015470792211254</v>
      </c>
      <c r="Z153" s="32">
        <v>205200</v>
      </c>
      <c r="AA153" s="32">
        <v>247900</v>
      </c>
      <c r="AB153" s="32">
        <v>18100</v>
      </c>
      <c r="AC153" s="32">
        <v>0</v>
      </c>
      <c r="AD153" s="32">
        <v>0</v>
      </c>
      <c r="AE153" s="32">
        <v>749800</v>
      </c>
      <c r="AF153" s="32">
        <v>0</v>
      </c>
      <c r="AG15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3.5145631067961167</v>
      </c>
      <c r="AH153" s="32">
        <v>55600</v>
      </c>
      <c r="AI153" s="32">
        <v>23000</v>
      </c>
      <c r="AJ153" s="32">
        <v>100</v>
      </c>
      <c r="AK153" s="32">
        <v>0</v>
      </c>
      <c r="AL153" s="32">
        <v>0</v>
      </c>
      <c r="AM153" s="32">
        <v>0</v>
      </c>
      <c r="AN153" s="32">
        <v>3700</v>
      </c>
      <c r="AO153" s="32">
        <v>-5700</v>
      </c>
      <c r="AP153" s="32">
        <v>-4600</v>
      </c>
      <c r="AQ15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4.5264497364115615</v>
      </c>
      <c r="AR153" s="32">
        <v>6400</v>
      </c>
      <c r="AS153" s="32">
        <v>10000</v>
      </c>
      <c r="AT153" s="32">
        <v>600</v>
      </c>
      <c r="AU153" s="32">
        <v>0</v>
      </c>
      <c r="AV153" s="32">
        <v>1300</v>
      </c>
      <c r="AW153" s="32">
        <v>0</v>
      </c>
      <c r="AX153" s="32">
        <v>0</v>
      </c>
      <c r="AY153" s="32">
        <v>2000</v>
      </c>
      <c r="AZ153" s="32">
        <v>0</v>
      </c>
      <c r="BA153" s="32">
        <v>4600</v>
      </c>
      <c r="BB153" s="32">
        <v>0</v>
      </c>
      <c r="BC153" s="32">
        <v>5501</v>
      </c>
      <c r="BD153" s="34">
        <f>IFERROR(SUM(Entity_Metrics[[#This Row],[Operating surplus/(deficit) (social housing lettings)]])/SUM(Entity_Metrics[[#This Row],[Turnover from social housing lettings]]),"")</f>
        <v>0.44132653061224492</v>
      </c>
      <c r="BE153" s="32">
        <v>17300</v>
      </c>
      <c r="BF153" s="32">
        <v>39200</v>
      </c>
      <c r="BG153" s="34">
        <f>IFERROR(SUM(Entity_Metrics[[#This Row],[Operating surplus/(deficit) (overall)2]],-Entity_Metrics[[#This Row],[Gain/(loss) on disposal of fixed assets (housing properties)2]])/SUM(Entity_Metrics[[#This Row],[Turnover (overall)]]),"")</f>
        <v>0.14838416021847975</v>
      </c>
      <c r="BH153" s="32">
        <v>55600</v>
      </c>
      <c r="BI153" s="32">
        <v>23000</v>
      </c>
      <c r="BJ153" s="32">
        <v>219700</v>
      </c>
      <c r="BK153" s="34">
        <f>IFERROR(SUM(Entity_Metrics[[#This Row],[Operating surplus/(deficit) (overall)3]],Entity_Metrics[[#This Row],[Share of operating surplus/(deficit) in joint ventures or associates]])/SUM(Entity_Metrics[[#This Row],[Total assets less current liabilities]]),"")</f>
        <v>7.7329624478442285E-2</v>
      </c>
      <c r="BL153" s="32">
        <v>55600</v>
      </c>
      <c r="BM153" s="32">
        <v>0</v>
      </c>
      <c r="BN153" s="32">
        <v>719000</v>
      </c>
      <c r="BO153" s="34">
        <v>0</v>
      </c>
      <c r="BP153" s="34">
        <v>0</v>
      </c>
      <c r="BQ153" s="6" t="s">
        <v>82</v>
      </c>
      <c r="BR153" s="6" t="s">
        <v>83</v>
      </c>
      <c r="BS153" s="6" t="s">
        <v>83</v>
      </c>
      <c r="BT153" s="6" t="s">
        <v>156</v>
      </c>
      <c r="BU153" s="8">
        <v>1.2372998297145288</v>
      </c>
      <c r="BV153" s="37" t="s">
        <v>736</v>
      </c>
      <c r="BW153" s="19" t="s">
        <v>336</v>
      </c>
    </row>
    <row r="154" spans="1:75" x14ac:dyDescent="0.25">
      <c r="A154" s="33" t="s">
        <v>736</v>
      </c>
      <c r="B154" s="7" t="s">
        <v>336</v>
      </c>
      <c r="C154" s="7" t="s">
        <v>81</v>
      </c>
      <c r="D15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2.9275362318840578E-2</v>
      </c>
      <c r="E154" s="32">
        <v>64200</v>
      </c>
      <c r="F154" s="32">
        <v>0</v>
      </c>
      <c r="G154" s="32">
        <v>6500</v>
      </c>
      <c r="H154" s="32">
        <v>0</v>
      </c>
      <c r="I154" s="32">
        <v>0</v>
      </c>
      <c r="J154" s="32">
        <v>0</v>
      </c>
      <c r="K154" s="32">
        <v>2415000</v>
      </c>
      <c r="L15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8.0966104020859068E-3</v>
      </c>
      <c r="M154" s="32">
        <v>177</v>
      </c>
      <c r="N154" s="32">
        <v>0</v>
      </c>
      <c r="O154" s="32">
        <v>21235</v>
      </c>
      <c r="P154" s="32">
        <v>626</v>
      </c>
      <c r="Q15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4" s="32">
        <v>0</v>
      </c>
      <c r="S154" s="32">
        <v>0</v>
      </c>
      <c r="T154" s="32">
        <v>0</v>
      </c>
      <c r="U154" s="32">
        <v>21235</v>
      </c>
      <c r="V154" s="32">
        <v>196</v>
      </c>
      <c r="W154" s="32">
        <v>626</v>
      </c>
      <c r="X154" s="32">
        <v>0</v>
      </c>
      <c r="Y15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0.56360248447204964</v>
      </c>
      <c r="Z154" s="32">
        <v>78700</v>
      </c>
      <c r="AA154" s="32">
        <v>1333800</v>
      </c>
      <c r="AB154" s="32">
        <v>51400</v>
      </c>
      <c r="AC154" s="32">
        <v>0</v>
      </c>
      <c r="AD154" s="32">
        <v>0</v>
      </c>
      <c r="AE154" s="32">
        <v>0</v>
      </c>
      <c r="AF154" s="32">
        <v>2415000</v>
      </c>
      <c r="AG15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1.6088435374149659</v>
      </c>
      <c r="AH154" s="32">
        <v>54100</v>
      </c>
      <c r="AI154" s="32">
        <v>0</v>
      </c>
      <c r="AJ154" s="32">
        <v>1100</v>
      </c>
      <c r="AK154" s="32">
        <v>0</v>
      </c>
      <c r="AL154" s="32">
        <v>19500</v>
      </c>
      <c r="AM154" s="32">
        <v>6500</v>
      </c>
      <c r="AN154" s="32">
        <v>28600</v>
      </c>
      <c r="AO154" s="32">
        <v>-3200</v>
      </c>
      <c r="AP154" s="32">
        <v>-55600</v>
      </c>
      <c r="AQ15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5.6510477984459619</v>
      </c>
      <c r="AR154" s="32">
        <v>23600</v>
      </c>
      <c r="AS154" s="32">
        <v>11000</v>
      </c>
      <c r="AT154" s="32">
        <v>25600</v>
      </c>
      <c r="AU154" s="32">
        <v>9700</v>
      </c>
      <c r="AV154" s="32">
        <v>11100</v>
      </c>
      <c r="AW154" s="32">
        <v>6500</v>
      </c>
      <c r="AX154" s="32">
        <v>22000</v>
      </c>
      <c r="AY154" s="32">
        <v>1000</v>
      </c>
      <c r="AZ154" s="32">
        <v>600</v>
      </c>
      <c r="BA154" s="32">
        <v>100</v>
      </c>
      <c r="BB154" s="32">
        <v>8800</v>
      </c>
      <c r="BC154" s="32">
        <v>21235</v>
      </c>
      <c r="BD154" s="34">
        <f>IFERROR(SUM(Entity_Metrics[[#This Row],[Operating surplus/(deficit) (social housing lettings)]])/SUM(Entity_Metrics[[#This Row],[Turnover from social housing lettings]]),"")</f>
        <v>0.32479079497907948</v>
      </c>
      <c r="BE154" s="32">
        <v>62100</v>
      </c>
      <c r="BF154" s="32">
        <v>191200</v>
      </c>
      <c r="BG154" s="34">
        <f>IFERROR(SUM(Entity_Metrics[[#This Row],[Operating surplus/(deficit) (overall)2]],-Entity_Metrics[[#This Row],[Gain/(loss) on disposal of fixed assets (housing properties)2]])/SUM(Entity_Metrics[[#This Row],[Turnover (overall)]]),"")</f>
        <v>0.25446848541862654</v>
      </c>
      <c r="BH154" s="32">
        <v>54100</v>
      </c>
      <c r="BI154" s="32">
        <v>0</v>
      </c>
      <c r="BJ154" s="32">
        <v>212600</v>
      </c>
      <c r="BK154" s="34">
        <f>IFERROR(SUM(Entity_Metrics[[#This Row],[Operating surplus/(deficit) (overall)3]],Entity_Metrics[[#This Row],[Share of operating surplus/(deficit) in joint ventures or associates]])/SUM(Entity_Metrics[[#This Row],[Total assets less current liabilities]]),"")</f>
        <v>1.5794698119817822E-2</v>
      </c>
      <c r="BL154" s="32">
        <v>54100</v>
      </c>
      <c r="BM154" s="32">
        <v>0</v>
      </c>
      <c r="BN154" s="32">
        <v>3425200</v>
      </c>
      <c r="BO154" s="34">
        <v>4.9396700320118198E-2</v>
      </c>
      <c r="BP154" s="34">
        <v>3.3046047771484857E-2</v>
      </c>
      <c r="BQ154" s="6" t="s">
        <v>82</v>
      </c>
      <c r="BR154" s="6" t="s">
        <v>83</v>
      </c>
      <c r="BS154" s="6" t="s">
        <v>83</v>
      </c>
      <c r="BT154" s="6" t="s">
        <v>156</v>
      </c>
      <c r="BU154" s="8">
        <v>1.2483944944958969</v>
      </c>
      <c r="BV154" s="37" t="s">
        <v>736</v>
      </c>
      <c r="BW154" s="19" t="s">
        <v>336</v>
      </c>
    </row>
    <row r="155" spans="1:75" x14ac:dyDescent="0.25">
      <c r="A155" s="33" t="s">
        <v>923</v>
      </c>
      <c r="B155" s="7" t="s">
        <v>338</v>
      </c>
      <c r="C155" s="7" t="s">
        <v>81</v>
      </c>
      <c r="D15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5.4050804205881285E-2</v>
      </c>
      <c r="E155" s="32">
        <v>0</v>
      </c>
      <c r="F155" s="32">
        <v>24302</v>
      </c>
      <c r="G155" s="32">
        <v>3389</v>
      </c>
      <c r="H155" s="32">
        <v>628</v>
      </c>
      <c r="I155" s="32">
        <v>0</v>
      </c>
      <c r="J155" s="32">
        <v>523933</v>
      </c>
      <c r="K155" s="32">
        <v>0</v>
      </c>
      <c r="L15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2.5523058385365321E-2</v>
      </c>
      <c r="M155" s="32">
        <v>233</v>
      </c>
      <c r="N155" s="32">
        <v>0</v>
      </c>
      <c r="O155" s="32">
        <v>9039</v>
      </c>
      <c r="P155" s="32">
        <v>90</v>
      </c>
      <c r="Q15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5" s="32">
        <v>0</v>
      </c>
      <c r="S155" s="32">
        <v>0</v>
      </c>
      <c r="T155" s="32">
        <v>0</v>
      </c>
      <c r="U155" s="32">
        <v>9039</v>
      </c>
      <c r="V155" s="32">
        <v>0</v>
      </c>
      <c r="W155" s="32">
        <v>90</v>
      </c>
      <c r="X155" s="32">
        <v>0</v>
      </c>
      <c r="Y15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0.44535083684364224</v>
      </c>
      <c r="Z155" s="32">
        <v>19495</v>
      </c>
      <c r="AA155" s="32">
        <v>227416</v>
      </c>
      <c r="AB155" s="32">
        <v>13577</v>
      </c>
      <c r="AC155" s="32">
        <v>0</v>
      </c>
      <c r="AD155" s="32">
        <v>0</v>
      </c>
      <c r="AE155" s="32">
        <v>523933</v>
      </c>
      <c r="AF155" s="32">
        <v>0</v>
      </c>
      <c r="AG15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1.8414988205407368</v>
      </c>
      <c r="AH155" s="32">
        <v>19718</v>
      </c>
      <c r="AI155" s="32">
        <v>3499</v>
      </c>
      <c r="AJ155" s="32">
        <v>2970</v>
      </c>
      <c r="AK155" s="32">
        <v>0</v>
      </c>
      <c r="AL155" s="32">
        <v>335</v>
      </c>
      <c r="AM155" s="32">
        <v>3389</v>
      </c>
      <c r="AN155" s="32">
        <v>10102</v>
      </c>
      <c r="AO155" s="32">
        <v>-628</v>
      </c>
      <c r="AP155" s="32">
        <v>-10394</v>
      </c>
      <c r="AQ15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5.0580816461998008</v>
      </c>
      <c r="AR155" s="32">
        <v>9286</v>
      </c>
      <c r="AS155" s="32">
        <v>3966</v>
      </c>
      <c r="AT155" s="32">
        <v>6314</v>
      </c>
      <c r="AU155" s="32">
        <v>1432</v>
      </c>
      <c r="AV155" s="32">
        <v>2937</v>
      </c>
      <c r="AW155" s="32">
        <v>3389</v>
      </c>
      <c r="AX155" s="32">
        <v>7914</v>
      </c>
      <c r="AY155" s="32">
        <v>490</v>
      </c>
      <c r="AZ155" s="32">
        <v>0</v>
      </c>
      <c r="BA155" s="32">
        <v>1155</v>
      </c>
      <c r="BB155" s="32">
        <v>8837</v>
      </c>
      <c r="BC155" s="32">
        <v>9039</v>
      </c>
      <c r="BD155" s="34">
        <f>IFERROR(SUM(Entity_Metrics[[#This Row],[Operating surplus/(deficit) (social housing lettings)]])/SUM(Entity_Metrics[[#This Row],[Turnover from social housing lettings]]),"")</f>
        <v>0.29249332069292422</v>
      </c>
      <c r="BE155" s="32">
        <v>16969</v>
      </c>
      <c r="BF155" s="32">
        <v>58015</v>
      </c>
      <c r="BG155" s="34">
        <f>IFERROR(SUM(Entity_Metrics[[#This Row],[Operating surplus/(deficit) (overall)2]],-Entity_Metrics[[#This Row],[Gain/(loss) on disposal of fixed assets (housing properties)2]])/SUM(Entity_Metrics[[#This Row],[Turnover (overall)]]),"")</f>
        <v>0.22203512806823003</v>
      </c>
      <c r="BH155" s="32">
        <v>19718</v>
      </c>
      <c r="BI155" s="32">
        <v>3499</v>
      </c>
      <c r="BJ155" s="32">
        <v>73047</v>
      </c>
      <c r="BK155" s="34">
        <f>IFERROR(SUM(Entity_Metrics[[#This Row],[Operating surplus/(deficit) (overall)3]],Entity_Metrics[[#This Row],[Share of operating surplus/(deficit) in joint ventures or associates]])/SUM(Entity_Metrics[[#This Row],[Total assets less current liabilities]]),"")</f>
        <v>3.7171021006019225E-2</v>
      </c>
      <c r="BL155" s="32">
        <v>19718</v>
      </c>
      <c r="BM155" s="32">
        <v>0</v>
      </c>
      <c r="BN155" s="32">
        <v>530467</v>
      </c>
      <c r="BO155" s="34">
        <v>5.3153153153153151E-2</v>
      </c>
      <c r="BP155" s="34">
        <v>7.0608108108108109E-2</v>
      </c>
      <c r="BQ155" s="6" t="s">
        <v>82</v>
      </c>
      <c r="BR155" s="6" t="s">
        <v>83</v>
      </c>
      <c r="BS155" s="6" t="s">
        <v>83</v>
      </c>
      <c r="BT155" s="6" t="s">
        <v>95</v>
      </c>
      <c r="BU155" s="8">
        <v>0.92038375847935383</v>
      </c>
      <c r="BV155" s="37">
        <v>4817</v>
      </c>
      <c r="BW155" s="19" t="s">
        <v>338</v>
      </c>
    </row>
    <row r="156" spans="1:75" x14ac:dyDescent="0.25">
      <c r="A156" s="33" t="s">
        <v>737</v>
      </c>
      <c r="B156" s="7" t="s">
        <v>340</v>
      </c>
      <c r="C156" s="7" t="s">
        <v>81</v>
      </c>
      <c r="D15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0.14007586244090101</v>
      </c>
      <c r="E156" s="32">
        <v>12140</v>
      </c>
      <c r="F156" s="32">
        <v>0</v>
      </c>
      <c r="G156" s="32">
        <v>3444</v>
      </c>
      <c r="H156" s="32">
        <v>0</v>
      </c>
      <c r="I156" s="32">
        <v>0</v>
      </c>
      <c r="J156" s="32">
        <v>111254</v>
      </c>
      <c r="K156" s="32">
        <v>0</v>
      </c>
      <c r="L15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1.2557621999682085E-2</v>
      </c>
      <c r="M156" s="32">
        <v>79</v>
      </c>
      <c r="N156" s="32">
        <v>0</v>
      </c>
      <c r="O156" s="32">
        <v>6291</v>
      </c>
      <c r="P156" s="32">
        <v>0</v>
      </c>
      <c r="Q15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6" s="32">
        <v>0</v>
      </c>
      <c r="S156" s="32">
        <v>0</v>
      </c>
      <c r="T156" s="32">
        <v>0</v>
      </c>
      <c r="U156" s="32">
        <v>6291</v>
      </c>
      <c r="V156" s="32">
        <v>0</v>
      </c>
      <c r="W156" s="32">
        <v>0</v>
      </c>
      <c r="X156" s="32">
        <v>0</v>
      </c>
      <c r="Y15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0.40267316231326516</v>
      </c>
      <c r="Z156" s="32">
        <v>0</v>
      </c>
      <c r="AA156" s="32">
        <v>52500</v>
      </c>
      <c r="AB156" s="32">
        <v>7749</v>
      </c>
      <c r="AC156" s="32">
        <v>0</v>
      </c>
      <c r="AD156" s="32">
        <v>48</v>
      </c>
      <c r="AE156" s="32">
        <v>111254</v>
      </c>
      <c r="AF156" s="32">
        <v>0</v>
      </c>
      <c r="AG15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4.9507361268403169</v>
      </c>
      <c r="AH156" s="32">
        <v>8290</v>
      </c>
      <c r="AI156" s="32">
        <v>190</v>
      </c>
      <c r="AJ156" s="32">
        <v>0</v>
      </c>
      <c r="AK156" s="32">
        <v>0</v>
      </c>
      <c r="AL156" s="32">
        <v>119</v>
      </c>
      <c r="AM156" s="32">
        <v>3444</v>
      </c>
      <c r="AN156" s="32">
        <v>3968</v>
      </c>
      <c r="AO156" s="32">
        <v>0</v>
      </c>
      <c r="AP156" s="32">
        <v>-1766</v>
      </c>
      <c r="AQ15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4.0520961775585693</v>
      </c>
      <c r="AR156" s="32">
        <v>6583</v>
      </c>
      <c r="AS156" s="32">
        <v>2037</v>
      </c>
      <c r="AT156" s="32">
        <v>3457</v>
      </c>
      <c r="AU156" s="32">
        <v>1638</v>
      </c>
      <c r="AV156" s="32">
        <v>5577</v>
      </c>
      <c r="AW156" s="32">
        <v>3444</v>
      </c>
      <c r="AX156" s="32">
        <v>0</v>
      </c>
      <c r="AY156" s="32">
        <v>0</v>
      </c>
      <c r="AZ156" s="32">
        <v>0</v>
      </c>
      <c r="BA156" s="32">
        <v>100</v>
      </c>
      <c r="BB156" s="32">
        <v>3454</v>
      </c>
      <c r="BC156" s="32">
        <v>6488</v>
      </c>
      <c r="BD156" s="34">
        <f>IFERROR(SUM(Entity_Metrics[[#This Row],[Operating surplus/(deficit) (social housing lettings)]])/SUM(Entity_Metrics[[#This Row],[Turnover from social housing lettings]]),"")</f>
        <v>0.31026194144838215</v>
      </c>
      <c r="BE156" s="32">
        <v>10068</v>
      </c>
      <c r="BF156" s="32">
        <v>32450</v>
      </c>
      <c r="BG156" s="34">
        <f>IFERROR(SUM(Entity_Metrics[[#This Row],[Operating surplus/(deficit) (overall)2]],-Entity_Metrics[[#This Row],[Gain/(loss) on disposal of fixed assets (housing properties)2]])/SUM(Entity_Metrics[[#This Row],[Turnover (overall)]]),"")</f>
        <v>0.21416107027655862</v>
      </c>
      <c r="BH156" s="32">
        <v>8290</v>
      </c>
      <c r="BI156" s="32">
        <v>190</v>
      </c>
      <c r="BJ156" s="32">
        <v>37822</v>
      </c>
      <c r="BK156" s="34">
        <f>IFERROR(SUM(Entity_Metrics[[#This Row],[Operating surplus/(deficit) (overall)3]],Entity_Metrics[[#This Row],[Share of operating surplus/(deficit) in joint ventures or associates]])/SUM(Entity_Metrics[[#This Row],[Total assets less current liabilities]]),"")</f>
        <v>5.885777575826423E-2</v>
      </c>
      <c r="BL156" s="32">
        <v>8290</v>
      </c>
      <c r="BM156" s="32">
        <v>0</v>
      </c>
      <c r="BN156" s="32">
        <v>140848</v>
      </c>
      <c r="BO156" s="34">
        <v>1.5418852328723573E-2</v>
      </c>
      <c r="BP156" s="34">
        <v>0</v>
      </c>
      <c r="BQ156" s="6" t="s">
        <v>93</v>
      </c>
      <c r="BR156" s="6">
        <v>2006</v>
      </c>
      <c r="BS156" s="6" t="s">
        <v>94</v>
      </c>
      <c r="BT156" s="6" t="s">
        <v>115</v>
      </c>
      <c r="BU156" s="8">
        <v>0.96617455710897804</v>
      </c>
      <c r="BV156" s="37" t="s">
        <v>737</v>
      </c>
      <c r="BW156" s="19" t="s">
        <v>340</v>
      </c>
    </row>
    <row r="157" spans="1:75" x14ac:dyDescent="0.25">
      <c r="A157" s="33" t="s">
        <v>738</v>
      </c>
      <c r="B157" s="7" t="s">
        <v>739</v>
      </c>
      <c r="C157" s="7" t="s">
        <v>81</v>
      </c>
      <c r="D15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7.276586989862717E-2</v>
      </c>
      <c r="E157" s="32">
        <v>0</v>
      </c>
      <c r="F157" s="32">
        <v>14291</v>
      </c>
      <c r="G157" s="32">
        <v>1271</v>
      </c>
      <c r="H157" s="32">
        <v>0</v>
      </c>
      <c r="I157" s="32">
        <v>0</v>
      </c>
      <c r="J157" s="32">
        <v>213864</v>
      </c>
      <c r="K157" s="32">
        <v>0</v>
      </c>
      <c r="L15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3.308270676691729E-2</v>
      </c>
      <c r="M157" s="32">
        <v>154</v>
      </c>
      <c r="N157" s="32">
        <v>0</v>
      </c>
      <c r="O157" s="32">
        <v>4523</v>
      </c>
      <c r="P157" s="32">
        <v>132</v>
      </c>
      <c r="Q15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5.1557465091299675E-3</v>
      </c>
      <c r="R157" s="32">
        <v>0</v>
      </c>
      <c r="S157" s="32">
        <v>0</v>
      </c>
      <c r="T157" s="32">
        <v>24</v>
      </c>
      <c r="U157" s="32">
        <v>4523</v>
      </c>
      <c r="V157" s="32">
        <v>0</v>
      </c>
      <c r="W157" s="32">
        <v>132</v>
      </c>
      <c r="X157" s="32">
        <v>0</v>
      </c>
      <c r="Y15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0.62678150600381555</v>
      </c>
      <c r="Z157" s="32">
        <v>0</v>
      </c>
      <c r="AA157" s="32">
        <v>149255</v>
      </c>
      <c r="AB157" s="32">
        <v>15209</v>
      </c>
      <c r="AC157" s="32">
        <v>0</v>
      </c>
      <c r="AD157" s="32">
        <v>0</v>
      </c>
      <c r="AE157" s="32">
        <v>213864</v>
      </c>
      <c r="AF157" s="32">
        <v>0</v>
      </c>
      <c r="AG15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1.440004659832246</v>
      </c>
      <c r="AH157" s="32">
        <v>10905</v>
      </c>
      <c r="AI157" s="32">
        <v>763</v>
      </c>
      <c r="AJ157" s="32">
        <v>522</v>
      </c>
      <c r="AK157" s="32">
        <v>0</v>
      </c>
      <c r="AL157" s="32">
        <v>62</v>
      </c>
      <c r="AM157" s="32">
        <v>1271</v>
      </c>
      <c r="AN157" s="32">
        <v>3950</v>
      </c>
      <c r="AO157" s="32">
        <v>-500</v>
      </c>
      <c r="AP157" s="32">
        <v>-8084</v>
      </c>
      <c r="AQ15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1.83882378952023</v>
      </c>
      <c r="AR157" s="32">
        <v>2523</v>
      </c>
      <c r="AS157" s="32">
        <v>797</v>
      </c>
      <c r="AT157" s="32">
        <v>2334</v>
      </c>
      <c r="AU157" s="32">
        <v>1150</v>
      </c>
      <c r="AV157" s="32">
        <v>242</v>
      </c>
      <c r="AW157" s="32">
        <v>1271</v>
      </c>
      <c r="AX157" s="32">
        <v>0</v>
      </c>
      <c r="AY157" s="32">
        <v>0</v>
      </c>
      <c r="AZ157" s="32">
        <v>0</v>
      </c>
      <c r="BA157" s="32">
        <v>0</v>
      </c>
      <c r="BB157" s="32">
        <v>0</v>
      </c>
      <c r="BC157" s="32">
        <v>4523</v>
      </c>
      <c r="BD157" s="34">
        <f>IFERROR(SUM(Entity_Metrics[[#This Row],[Operating surplus/(deficit) (social housing lettings)]])/SUM(Entity_Metrics[[#This Row],[Turnover from social housing lettings]]),"")</f>
        <v>0.46403053733972788</v>
      </c>
      <c r="BE157" s="32">
        <v>9482</v>
      </c>
      <c r="BF157" s="32">
        <v>20434</v>
      </c>
      <c r="BG157" s="34">
        <f>IFERROR(SUM(Entity_Metrics[[#This Row],[Operating surplus/(deficit) (overall)2]],-Entity_Metrics[[#This Row],[Gain/(loss) on disposal of fixed assets (housing properties)2]])/SUM(Entity_Metrics[[#This Row],[Turnover (overall)]]),"")</f>
        <v>0.42773396313947115</v>
      </c>
      <c r="BH157" s="32">
        <v>10905</v>
      </c>
      <c r="BI157" s="32">
        <v>763</v>
      </c>
      <c r="BJ157" s="32">
        <v>23711</v>
      </c>
      <c r="BK157" s="34">
        <f>IFERROR(SUM(Entity_Metrics[[#This Row],[Operating surplus/(deficit) (overall)3]],Entity_Metrics[[#This Row],[Share of operating surplus/(deficit) in joint ventures or associates]])/SUM(Entity_Metrics[[#This Row],[Total assets less current liabilities]]),"")</f>
        <v>4.6520060576328306E-2</v>
      </c>
      <c r="BL157" s="32">
        <v>10905</v>
      </c>
      <c r="BM157" s="32">
        <v>0</v>
      </c>
      <c r="BN157" s="32">
        <v>234415</v>
      </c>
      <c r="BO157" s="34">
        <v>3.0952907362370107E-3</v>
      </c>
      <c r="BP157" s="34">
        <v>0.16604023877957108</v>
      </c>
      <c r="BQ157" s="6" t="s">
        <v>93</v>
      </c>
      <c r="BR157" s="6">
        <v>2000</v>
      </c>
      <c r="BS157" s="6" t="s">
        <v>94</v>
      </c>
      <c r="BT157" s="6" t="s">
        <v>115</v>
      </c>
      <c r="BU157" s="8">
        <v>0.96617455710897804</v>
      </c>
      <c r="BV157" s="37" t="s">
        <v>740</v>
      </c>
      <c r="BW157" s="19" t="s">
        <v>342</v>
      </c>
    </row>
    <row r="158" spans="1:75" x14ac:dyDescent="0.25">
      <c r="A158" s="33" t="s">
        <v>741</v>
      </c>
      <c r="B158" s="7" t="s">
        <v>344</v>
      </c>
      <c r="C158" s="7" t="s">
        <v>81</v>
      </c>
      <c r="D15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9.3307635921875604E-2</v>
      </c>
      <c r="E158" s="32">
        <v>27696</v>
      </c>
      <c r="F158" s="32">
        <v>9800</v>
      </c>
      <c r="G158" s="32">
        <v>3021</v>
      </c>
      <c r="H158" s="32">
        <v>344</v>
      </c>
      <c r="I158" s="32">
        <v>0</v>
      </c>
      <c r="J158" s="32">
        <v>437917</v>
      </c>
      <c r="K158" s="32">
        <v>0</v>
      </c>
      <c r="L15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3.0835021381949133E-2</v>
      </c>
      <c r="M158" s="32">
        <v>137</v>
      </c>
      <c r="N158" s="32">
        <v>0</v>
      </c>
      <c r="O158" s="32">
        <v>4443</v>
      </c>
      <c r="P158" s="32">
        <v>0</v>
      </c>
      <c r="Q15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8" s="32">
        <v>0</v>
      </c>
      <c r="S158" s="32">
        <v>0</v>
      </c>
      <c r="T158" s="32">
        <v>0</v>
      </c>
      <c r="U158" s="32">
        <v>4443</v>
      </c>
      <c r="V158" s="32">
        <v>0</v>
      </c>
      <c r="W158" s="32">
        <v>0</v>
      </c>
      <c r="X158" s="32">
        <v>0</v>
      </c>
      <c r="Y15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0.38000580018587998</v>
      </c>
      <c r="Z158" s="32">
        <v>7065</v>
      </c>
      <c r="AA158" s="32">
        <v>176021</v>
      </c>
      <c r="AB158" s="32">
        <v>16675</v>
      </c>
      <c r="AC158" s="32">
        <v>0</v>
      </c>
      <c r="AD158" s="32">
        <v>0</v>
      </c>
      <c r="AE158" s="32">
        <v>437917</v>
      </c>
      <c r="AF158" s="32">
        <v>0</v>
      </c>
      <c r="AG15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1.5982195845697329</v>
      </c>
      <c r="AH158" s="32">
        <v>20684</v>
      </c>
      <c r="AI158" s="32">
        <v>1556</v>
      </c>
      <c r="AJ158" s="32">
        <v>2248</v>
      </c>
      <c r="AK158" s="32">
        <v>0</v>
      </c>
      <c r="AL158" s="32">
        <v>768</v>
      </c>
      <c r="AM158" s="32">
        <v>3021</v>
      </c>
      <c r="AN158" s="32">
        <v>6917</v>
      </c>
      <c r="AO158" s="32">
        <v>-704</v>
      </c>
      <c r="AP158" s="32">
        <v>-12776</v>
      </c>
      <c r="AQ15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6.0737244324567321</v>
      </c>
      <c r="AR158" s="32">
        <v>4809</v>
      </c>
      <c r="AS158" s="32">
        <v>5285</v>
      </c>
      <c r="AT158" s="32">
        <v>4771</v>
      </c>
      <c r="AU158" s="32">
        <v>3902</v>
      </c>
      <c r="AV158" s="32">
        <v>513</v>
      </c>
      <c r="AW158" s="32">
        <v>3021</v>
      </c>
      <c r="AX158" s="32">
        <v>2831</v>
      </c>
      <c r="AY158" s="32">
        <v>0</v>
      </c>
      <c r="AZ158" s="32">
        <v>0</v>
      </c>
      <c r="BA158" s="32">
        <v>1715</v>
      </c>
      <c r="BB158" s="32">
        <v>175</v>
      </c>
      <c r="BC158" s="32">
        <v>4449</v>
      </c>
      <c r="BD158" s="34">
        <f>IFERROR(SUM(Entity_Metrics[[#This Row],[Operating surplus/(deficit) (social housing lettings)]])/SUM(Entity_Metrics[[#This Row],[Turnover from social housing lettings]]),"")</f>
        <v>0.22703601712244731</v>
      </c>
      <c r="BE158" s="32">
        <v>8327</v>
      </c>
      <c r="BF158" s="32">
        <v>36677</v>
      </c>
      <c r="BG158" s="34">
        <f>IFERROR(SUM(Entity_Metrics[[#This Row],[Operating surplus/(deficit) (overall)2]],-Entity_Metrics[[#This Row],[Gain/(loss) on disposal of fixed assets (housing properties)2]])/SUM(Entity_Metrics[[#This Row],[Turnover (overall)]]),"")</f>
        <v>0.34188889683277329</v>
      </c>
      <c r="BH158" s="32">
        <v>20684</v>
      </c>
      <c r="BI158" s="32">
        <v>1556</v>
      </c>
      <c r="BJ158" s="32">
        <v>55948</v>
      </c>
      <c r="BK158" s="34">
        <f>IFERROR(SUM(Entity_Metrics[[#This Row],[Operating surplus/(deficit) (overall)3]],Entity_Metrics[[#This Row],[Share of operating surplus/(deficit) in joint ventures or associates]])/SUM(Entity_Metrics[[#This Row],[Total assets less current liabilities]]),"")</f>
        <v>4.4008042467633325E-2</v>
      </c>
      <c r="BL158" s="32">
        <v>20684</v>
      </c>
      <c r="BM158" s="32">
        <v>0</v>
      </c>
      <c r="BN158" s="32">
        <v>470005</v>
      </c>
      <c r="BO158" s="34">
        <v>6.2795408507765021E-2</v>
      </c>
      <c r="BP158" s="34">
        <v>3.1510240828269184E-2</v>
      </c>
      <c r="BQ158" s="6" t="s">
        <v>82</v>
      </c>
      <c r="BR158" s="6" t="s">
        <v>83</v>
      </c>
      <c r="BS158" s="6" t="s">
        <v>83</v>
      </c>
      <c r="BT158" s="6" t="s">
        <v>156</v>
      </c>
      <c r="BU158" s="8">
        <v>1.2488627787394371</v>
      </c>
      <c r="BV158" s="37" t="s">
        <v>741</v>
      </c>
      <c r="BW158" s="19" t="s">
        <v>344</v>
      </c>
    </row>
    <row r="159" spans="1:75" x14ac:dyDescent="0.25">
      <c r="A159" s="33" t="s">
        <v>345</v>
      </c>
      <c r="B159" s="7" t="s">
        <v>346</v>
      </c>
      <c r="C159" s="7" t="s">
        <v>134</v>
      </c>
      <c r="D15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v>
      </c>
      <c r="E159" s="32">
        <v>0</v>
      </c>
      <c r="F159" s="32">
        <v>0</v>
      </c>
      <c r="G159" s="32">
        <v>0</v>
      </c>
      <c r="H159" s="32">
        <v>0</v>
      </c>
      <c r="I159" s="32">
        <v>0</v>
      </c>
      <c r="J159" s="32">
        <v>658</v>
      </c>
      <c r="K159" s="32">
        <v>0</v>
      </c>
      <c r="L15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59" s="32">
        <v>0</v>
      </c>
      <c r="N159" s="32">
        <v>0</v>
      </c>
      <c r="O159" s="32">
        <v>1060</v>
      </c>
      <c r="P159" s="32">
        <v>0</v>
      </c>
      <c r="Q15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59" s="32">
        <v>0</v>
      </c>
      <c r="S159" s="32">
        <v>0</v>
      </c>
      <c r="T159" s="32">
        <v>0</v>
      </c>
      <c r="U159" s="32">
        <v>1060</v>
      </c>
      <c r="V159" s="32">
        <v>0</v>
      </c>
      <c r="W159" s="32">
        <v>0</v>
      </c>
      <c r="X159" s="32">
        <v>0</v>
      </c>
      <c r="Y15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-2.0106382978723403</v>
      </c>
      <c r="Z159" s="32">
        <v>22</v>
      </c>
      <c r="AA159" s="32">
        <v>251</v>
      </c>
      <c r="AB159" s="32">
        <v>1596</v>
      </c>
      <c r="AC159" s="32">
        <v>0</v>
      </c>
      <c r="AD159" s="32">
        <v>0</v>
      </c>
      <c r="AE159" s="32">
        <v>658</v>
      </c>
      <c r="AF159" s="32">
        <v>0</v>
      </c>
      <c r="AG15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270.5</v>
      </c>
      <c r="AH159" s="32">
        <v>501</v>
      </c>
      <c r="AI159" s="32">
        <v>0</v>
      </c>
      <c r="AJ159" s="32">
        <v>0</v>
      </c>
      <c r="AK159" s="32">
        <v>0</v>
      </c>
      <c r="AL159" s="32">
        <v>20</v>
      </c>
      <c r="AM159" s="32">
        <v>0</v>
      </c>
      <c r="AN159" s="32">
        <v>20</v>
      </c>
      <c r="AO159" s="32">
        <v>0</v>
      </c>
      <c r="AP159" s="32">
        <v>-2</v>
      </c>
      <c r="AQ15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7.8801886792452827</v>
      </c>
      <c r="AR159" s="32">
        <v>147</v>
      </c>
      <c r="AS159" s="32">
        <v>0</v>
      </c>
      <c r="AT159" s="32">
        <v>6</v>
      </c>
      <c r="AU159" s="32">
        <v>0</v>
      </c>
      <c r="AV159" s="32">
        <v>0</v>
      </c>
      <c r="AW159" s="32">
        <v>0</v>
      </c>
      <c r="AX159" s="32">
        <v>8200</v>
      </c>
      <c r="AY159" s="32">
        <v>0</v>
      </c>
      <c r="AZ159" s="32">
        <v>0</v>
      </c>
      <c r="BA159" s="32">
        <v>0</v>
      </c>
      <c r="BB159" s="32">
        <v>0</v>
      </c>
      <c r="BC159" s="32">
        <v>1060</v>
      </c>
      <c r="BD159" s="34">
        <f>IFERROR(SUM(Entity_Metrics[[#This Row],[Operating surplus/(deficit) (social housing lettings)]])/SUM(Entity_Metrics[[#This Row],[Turnover from social housing lettings]]),"")</f>
        <v>6.4638359523013486E-2</v>
      </c>
      <c r="BE159" s="32">
        <v>580</v>
      </c>
      <c r="BF159" s="32">
        <v>8973</v>
      </c>
      <c r="BG159" s="34">
        <f>IFERROR(SUM(Entity_Metrics[[#This Row],[Operating surplus/(deficit) (overall)2]],-Entity_Metrics[[#This Row],[Gain/(loss) on disposal of fixed assets (housing properties)2]])/SUM(Entity_Metrics[[#This Row],[Turnover (overall)]]),"")</f>
        <v>5.5827947403610433E-2</v>
      </c>
      <c r="BH159" s="32">
        <v>501</v>
      </c>
      <c r="BI159" s="32">
        <v>0</v>
      </c>
      <c r="BJ159" s="32">
        <v>8974</v>
      </c>
      <c r="BK159" s="34">
        <f>IFERROR(SUM(Entity_Metrics[[#This Row],[Operating surplus/(deficit) (overall)3]],Entity_Metrics[[#This Row],[Share of operating surplus/(deficit) in joint ventures or associates]])/SUM(Entity_Metrics[[#This Row],[Total assets less current liabilities]]),"")</f>
        <v>0.32156611039794608</v>
      </c>
      <c r="BL159" s="32">
        <v>501</v>
      </c>
      <c r="BM159" s="32">
        <v>0</v>
      </c>
      <c r="BN159" s="32">
        <v>1558</v>
      </c>
      <c r="BO159" s="34">
        <v>0</v>
      </c>
      <c r="BP159" s="34">
        <v>0</v>
      </c>
      <c r="BQ159" s="6" t="s">
        <v>82</v>
      </c>
      <c r="BR159" s="6" t="s">
        <v>83</v>
      </c>
      <c r="BS159" s="6" t="s">
        <v>83</v>
      </c>
      <c r="BT159" s="6" t="s">
        <v>87</v>
      </c>
      <c r="BU159" s="8">
        <v>1.0942575614270067</v>
      </c>
      <c r="BV159" s="37">
        <v>4635</v>
      </c>
      <c r="BW159" s="19" t="s">
        <v>346</v>
      </c>
    </row>
    <row r="160" spans="1:75" x14ac:dyDescent="0.25">
      <c r="A160" s="33" t="s">
        <v>742</v>
      </c>
      <c r="B160" s="7" t="s">
        <v>743</v>
      </c>
      <c r="C160" s="7" t="s">
        <v>81</v>
      </c>
      <c r="D16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5.6332144764267136E-2</v>
      </c>
      <c r="E160" s="32">
        <v>87108</v>
      </c>
      <c r="F160" s="32">
        <v>0</v>
      </c>
      <c r="G160" s="32">
        <v>4459</v>
      </c>
      <c r="H160" s="32">
        <v>0</v>
      </c>
      <c r="I160" s="32">
        <v>0</v>
      </c>
      <c r="J160" s="32">
        <v>1625484</v>
      </c>
      <c r="K160" s="32">
        <v>0</v>
      </c>
      <c r="L16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4.002573082696019E-2</v>
      </c>
      <c r="M160" s="32">
        <v>540</v>
      </c>
      <c r="N160" s="32">
        <v>20</v>
      </c>
      <c r="O160" s="32">
        <v>11659</v>
      </c>
      <c r="P160" s="32">
        <v>2332</v>
      </c>
      <c r="Q16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9.7148448420464068E-3</v>
      </c>
      <c r="R160" s="32">
        <v>139</v>
      </c>
      <c r="S160" s="32">
        <v>0</v>
      </c>
      <c r="T160" s="32">
        <v>0</v>
      </c>
      <c r="U160" s="32">
        <v>11659</v>
      </c>
      <c r="V160" s="32">
        <v>317</v>
      </c>
      <c r="W160" s="32">
        <v>2332</v>
      </c>
      <c r="X160" s="32">
        <v>0</v>
      </c>
      <c r="Y16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0.55908886214813558</v>
      </c>
      <c r="Z160" s="32">
        <v>45762</v>
      </c>
      <c r="AA160" s="32">
        <v>897448</v>
      </c>
      <c r="AB160" s="32">
        <v>34420</v>
      </c>
      <c r="AC160" s="32">
        <v>0</v>
      </c>
      <c r="AD160" s="32">
        <v>0</v>
      </c>
      <c r="AE160" s="32">
        <v>1625484</v>
      </c>
      <c r="AF160" s="32">
        <v>0</v>
      </c>
      <c r="AG16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1.7805471716483303</v>
      </c>
      <c r="AH160" s="32">
        <v>60419</v>
      </c>
      <c r="AI160" s="32">
        <v>13643</v>
      </c>
      <c r="AJ160" s="32">
        <v>4540</v>
      </c>
      <c r="AK160" s="32">
        <v>0</v>
      </c>
      <c r="AL160" s="32">
        <v>1236</v>
      </c>
      <c r="AM160" s="32">
        <v>4459</v>
      </c>
      <c r="AN160" s="32">
        <v>15851</v>
      </c>
      <c r="AO160" s="32">
        <v>-5176</v>
      </c>
      <c r="AP160" s="32">
        <v>-25637</v>
      </c>
      <c r="AQ16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7.947476237299246</v>
      </c>
      <c r="AR160" s="32">
        <v>19596</v>
      </c>
      <c r="AS160" s="32">
        <v>19767</v>
      </c>
      <c r="AT160" s="32">
        <v>11332</v>
      </c>
      <c r="AU160" s="32">
        <v>5364</v>
      </c>
      <c r="AV160" s="32">
        <v>5860</v>
      </c>
      <c r="AW160" s="32">
        <v>4459</v>
      </c>
      <c r="AX160" s="32">
        <v>4274</v>
      </c>
      <c r="AY160" s="32">
        <v>1351</v>
      </c>
      <c r="AZ160" s="32">
        <v>63</v>
      </c>
      <c r="BA160" s="32">
        <v>0</v>
      </c>
      <c r="BB160" s="32">
        <v>24925</v>
      </c>
      <c r="BC160" s="32">
        <v>12204</v>
      </c>
      <c r="BD160" s="34">
        <f>IFERROR(SUM(Entity_Metrics[[#This Row],[Operating surplus/(deficit) (social housing lettings)]])/SUM(Entity_Metrics[[#This Row],[Turnover from social housing lettings]]),"")</f>
        <v>0.26339163080304001</v>
      </c>
      <c r="BE160" s="32">
        <v>28765</v>
      </c>
      <c r="BF160" s="32">
        <v>109210</v>
      </c>
      <c r="BG160" s="34">
        <f>IFERROR(SUM(Entity_Metrics[[#This Row],[Operating surplus/(deficit) (overall)2]],-Entity_Metrics[[#This Row],[Gain/(loss) on disposal of fixed assets (housing properties)2]])/SUM(Entity_Metrics[[#This Row],[Turnover (overall)]]),"")</f>
        <v>0.2531538698835869</v>
      </c>
      <c r="BH160" s="32">
        <v>60419</v>
      </c>
      <c r="BI160" s="32">
        <v>13643</v>
      </c>
      <c r="BJ160" s="32">
        <v>184773</v>
      </c>
      <c r="BK160" s="34">
        <f>IFERROR(SUM(Entity_Metrics[[#This Row],[Operating surplus/(deficit) (overall)3]],Entity_Metrics[[#This Row],[Share of operating surplus/(deficit) in joint ventures or associates]])/SUM(Entity_Metrics[[#This Row],[Total assets less current liabilities]]),"")</f>
        <v>2.9900952075532578E-2</v>
      </c>
      <c r="BL160" s="32">
        <v>60419</v>
      </c>
      <c r="BM160" s="32">
        <v>0</v>
      </c>
      <c r="BN160" s="32">
        <v>2020638</v>
      </c>
      <c r="BO160" s="34">
        <v>0.10911310008136696</v>
      </c>
      <c r="BP160" s="34">
        <v>1.8144833197721724E-2</v>
      </c>
      <c r="BQ160" s="6" t="s">
        <v>82</v>
      </c>
      <c r="BR160" s="6" t="s">
        <v>83</v>
      </c>
      <c r="BS160" s="6" t="s">
        <v>83</v>
      </c>
      <c r="BT160" s="6" t="s">
        <v>156</v>
      </c>
      <c r="BU160" s="8">
        <v>1.2214285164593641</v>
      </c>
      <c r="BV160" s="37" t="s">
        <v>742</v>
      </c>
      <c r="BW160" s="19" t="s">
        <v>348</v>
      </c>
    </row>
    <row r="161" spans="1:75" x14ac:dyDescent="0.25">
      <c r="A161" s="33" t="s">
        <v>351</v>
      </c>
      <c r="B161" s="7" t="s">
        <v>352</v>
      </c>
      <c r="C161" s="7" t="s">
        <v>81</v>
      </c>
      <c r="D16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0.13441096807383121</v>
      </c>
      <c r="E161" s="32">
        <v>14453</v>
      </c>
      <c r="F161" s="32">
        <v>0</v>
      </c>
      <c r="G161" s="32">
        <v>7233</v>
      </c>
      <c r="H161" s="32">
        <v>0</v>
      </c>
      <c r="I161" s="32">
        <v>0</v>
      </c>
      <c r="J161" s="32">
        <v>161341</v>
      </c>
      <c r="K161" s="32">
        <v>0</v>
      </c>
      <c r="L16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1.0997462124125203E-2</v>
      </c>
      <c r="M161" s="32">
        <v>136</v>
      </c>
      <c r="N161" s="32">
        <v>7</v>
      </c>
      <c r="O161" s="32">
        <v>12399</v>
      </c>
      <c r="P161" s="32">
        <v>604</v>
      </c>
      <c r="Q16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1" s="32">
        <v>0</v>
      </c>
      <c r="S161" s="32">
        <v>0</v>
      </c>
      <c r="T161" s="32">
        <v>0</v>
      </c>
      <c r="U161" s="32">
        <v>12399</v>
      </c>
      <c r="V161" s="32">
        <v>90</v>
      </c>
      <c r="W161" s="32">
        <v>604</v>
      </c>
      <c r="X161" s="32">
        <v>0</v>
      </c>
      <c r="Y16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0.73360770046051527</v>
      </c>
      <c r="Z161" s="32">
        <v>1261</v>
      </c>
      <c r="AA161" s="32">
        <v>138490</v>
      </c>
      <c r="AB161" s="32">
        <v>21390</v>
      </c>
      <c r="AC161" s="32">
        <v>0</v>
      </c>
      <c r="AD161" s="32">
        <v>0</v>
      </c>
      <c r="AE161" s="32">
        <v>161341</v>
      </c>
      <c r="AF161" s="32">
        <v>0</v>
      </c>
      <c r="AG16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1.575993091537133</v>
      </c>
      <c r="AH161" s="32">
        <v>12816</v>
      </c>
      <c r="AI161" s="32">
        <v>1880</v>
      </c>
      <c r="AJ161" s="32">
        <v>43</v>
      </c>
      <c r="AK161" s="32">
        <v>0</v>
      </c>
      <c r="AL161" s="32">
        <v>350</v>
      </c>
      <c r="AM161" s="32">
        <v>6599</v>
      </c>
      <c r="AN161" s="32">
        <v>8131</v>
      </c>
      <c r="AO161" s="32">
        <v>0</v>
      </c>
      <c r="AP161" s="32">
        <v>-8106</v>
      </c>
      <c r="AQ16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3.7357044922977658</v>
      </c>
      <c r="AR161" s="32">
        <v>12457</v>
      </c>
      <c r="AS161" s="32">
        <v>3182</v>
      </c>
      <c r="AT161" s="32">
        <v>3869</v>
      </c>
      <c r="AU161" s="32">
        <v>7881</v>
      </c>
      <c r="AV161" s="32">
        <v>11606</v>
      </c>
      <c r="AW161" s="32">
        <v>6599</v>
      </c>
      <c r="AX161" s="32">
        <v>725</v>
      </c>
      <c r="AY161" s="32">
        <v>0</v>
      </c>
      <c r="AZ161" s="32">
        <v>0</v>
      </c>
      <c r="BA161" s="32">
        <v>0</v>
      </c>
      <c r="BB161" s="32">
        <v>0</v>
      </c>
      <c r="BC161" s="32">
        <v>12399</v>
      </c>
      <c r="BD161" s="34">
        <f>IFERROR(SUM(Entity_Metrics[[#This Row],[Operating surplus/(deficit) (social housing lettings)]])/SUM(Entity_Metrics[[#This Row],[Turnover from social housing lettings]]),"")</f>
        <v>0.16751838679603606</v>
      </c>
      <c r="BE161" s="32">
        <v>9703</v>
      </c>
      <c r="BF161" s="32">
        <v>57922</v>
      </c>
      <c r="BG161" s="34">
        <f>IFERROR(SUM(Entity_Metrics[[#This Row],[Operating surplus/(deficit) (overall)2]],-Entity_Metrics[[#This Row],[Gain/(loss) on disposal of fixed assets (housing properties)2]])/SUM(Entity_Metrics[[#This Row],[Turnover (overall)]]),"")</f>
        <v>0.1789823407145546</v>
      </c>
      <c r="BH161" s="32">
        <v>12816</v>
      </c>
      <c r="BI161" s="32">
        <v>1880</v>
      </c>
      <c r="BJ161" s="32">
        <v>61101</v>
      </c>
      <c r="BK161" s="34">
        <f>IFERROR(SUM(Entity_Metrics[[#This Row],[Operating surplus/(deficit) (overall)3]],Entity_Metrics[[#This Row],[Share of operating surplus/(deficit) in joint ventures or associates]])/SUM(Entity_Metrics[[#This Row],[Total assets less current liabilities]]),"")</f>
        <v>6.3337056329257804E-2</v>
      </c>
      <c r="BL161" s="32">
        <v>12816</v>
      </c>
      <c r="BM161" s="32">
        <v>0</v>
      </c>
      <c r="BN161" s="32">
        <v>202346</v>
      </c>
      <c r="BO161" s="34">
        <v>8.3474473747882888E-2</v>
      </c>
      <c r="BP161" s="34">
        <v>0</v>
      </c>
      <c r="BQ161" s="6" t="s">
        <v>93</v>
      </c>
      <c r="BR161" s="6">
        <v>2006</v>
      </c>
      <c r="BS161" s="6" t="s">
        <v>94</v>
      </c>
      <c r="BT161" s="6" t="s">
        <v>105</v>
      </c>
      <c r="BU161" s="8">
        <v>0.9156653862445665</v>
      </c>
      <c r="BV161" s="37">
        <v>4804</v>
      </c>
      <c r="BW161" s="19" t="s">
        <v>352</v>
      </c>
    </row>
    <row r="162" spans="1:75" x14ac:dyDescent="0.25">
      <c r="A162" s="33" t="s">
        <v>744</v>
      </c>
      <c r="B162" s="7" t="s">
        <v>354</v>
      </c>
      <c r="C162" s="7" t="s">
        <v>81</v>
      </c>
      <c r="D16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0.11542810938131705</v>
      </c>
      <c r="E162" s="32">
        <v>13971</v>
      </c>
      <c r="F162" s="32">
        <v>0</v>
      </c>
      <c r="G162" s="32">
        <v>5729</v>
      </c>
      <c r="H162" s="32">
        <v>0</v>
      </c>
      <c r="I162" s="32">
        <v>0</v>
      </c>
      <c r="J162" s="32">
        <v>170669</v>
      </c>
      <c r="K162" s="32">
        <v>0</v>
      </c>
      <c r="L16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1.1624441132637855E-2</v>
      </c>
      <c r="M162" s="32">
        <v>116</v>
      </c>
      <c r="N162" s="32">
        <v>1</v>
      </c>
      <c r="O162" s="32">
        <v>9783</v>
      </c>
      <c r="P162" s="32">
        <v>282</v>
      </c>
      <c r="Q16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2" s="32">
        <v>0</v>
      </c>
      <c r="S162" s="32">
        <v>0</v>
      </c>
      <c r="T162" s="32">
        <v>0</v>
      </c>
      <c r="U162" s="32">
        <v>9783</v>
      </c>
      <c r="V162" s="32">
        <v>0</v>
      </c>
      <c r="W162" s="32">
        <v>282</v>
      </c>
      <c r="X162" s="32">
        <v>0</v>
      </c>
      <c r="Y16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0.24040101014243945</v>
      </c>
      <c r="Z162" s="32">
        <v>0</v>
      </c>
      <c r="AA162" s="32">
        <v>59169</v>
      </c>
      <c r="AB162" s="32">
        <v>18140</v>
      </c>
      <c r="AC162" s="32">
        <v>0</v>
      </c>
      <c r="AD162" s="32">
        <v>0</v>
      </c>
      <c r="AE162" s="32">
        <v>170669</v>
      </c>
      <c r="AF162" s="32">
        <v>0</v>
      </c>
      <c r="AG16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4.6550412175015854</v>
      </c>
      <c r="AH162" s="32">
        <v>14316</v>
      </c>
      <c r="AI162" s="32">
        <v>761</v>
      </c>
      <c r="AJ162" s="32">
        <v>2501</v>
      </c>
      <c r="AK162" s="32">
        <v>0</v>
      </c>
      <c r="AL162" s="32">
        <v>81</v>
      </c>
      <c r="AM162" s="32">
        <v>5729</v>
      </c>
      <c r="AN162" s="32">
        <v>9276</v>
      </c>
      <c r="AO162" s="32">
        <v>0</v>
      </c>
      <c r="AP162" s="32">
        <v>-3154</v>
      </c>
      <c r="AQ16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2.7633650209547174</v>
      </c>
      <c r="AR162" s="32">
        <v>5692</v>
      </c>
      <c r="AS162" s="32">
        <v>1628</v>
      </c>
      <c r="AT162" s="32">
        <v>4920</v>
      </c>
      <c r="AU162" s="32">
        <v>1444</v>
      </c>
      <c r="AV162" s="32">
        <v>1740</v>
      </c>
      <c r="AW162" s="32">
        <v>5729</v>
      </c>
      <c r="AX162" s="32">
        <v>5881</v>
      </c>
      <c r="AY162" s="32">
        <v>0</v>
      </c>
      <c r="AZ162" s="32">
        <v>0</v>
      </c>
      <c r="BA162" s="32">
        <v>0</v>
      </c>
      <c r="BB162" s="32">
        <v>0</v>
      </c>
      <c r="BC162" s="32">
        <v>9783</v>
      </c>
      <c r="BD162" s="34">
        <f>IFERROR(SUM(Entity_Metrics[[#This Row],[Operating surplus/(deficit) (social housing lettings)]])/SUM(Entity_Metrics[[#This Row],[Turnover from social housing lettings]]),"")</f>
        <v>0.28125577954503422</v>
      </c>
      <c r="BE162" s="32">
        <v>12166</v>
      </c>
      <c r="BF162" s="32">
        <v>43256</v>
      </c>
      <c r="BG162" s="34">
        <f>IFERROR(SUM(Entity_Metrics[[#This Row],[Operating surplus/(deficit) (overall)2]],-Entity_Metrics[[#This Row],[Gain/(loss) on disposal of fixed assets (housing properties)2]])/SUM(Entity_Metrics[[#This Row],[Turnover (overall)]]),"")</f>
        <v>0.30361742636353456</v>
      </c>
      <c r="BH162" s="32">
        <v>14316</v>
      </c>
      <c r="BI162" s="32">
        <v>761</v>
      </c>
      <c r="BJ162" s="32">
        <v>44645</v>
      </c>
      <c r="BK162" s="34">
        <f>IFERROR(SUM(Entity_Metrics[[#This Row],[Operating surplus/(deficit) (overall)3]],Entity_Metrics[[#This Row],[Share of operating surplus/(deficit) in joint ventures or associates]])/SUM(Entity_Metrics[[#This Row],[Total assets less current liabilities]]),"")</f>
        <v>7.7107862675183936E-2</v>
      </c>
      <c r="BL162" s="32">
        <v>14316</v>
      </c>
      <c r="BM162" s="32">
        <v>0</v>
      </c>
      <c r="BN162" s="32">
        <v>185662</v>
      </c>
      <c r="BO162" s="34">
        <v>0</v>
      </c>
      <c r="BP162" s="34">
        <v>0</v>
      </c>
      <c r="BQ162" s="6" t="s">
        <v>93</v>
      </c>
      <c r="BR162" s="6">
        <v>2007</v>
      </c>
      <c r="BS162" s="6" t="s">
        <v>120</v>
      </c>
      <c r="BT162" s="6" t="s">
        <v>108</v>
      </c>
      <c r="BU162" s="8">
        <v>0.94792318733177194</v>
      </c>
      <c r="BV162" s="37" t="s">
        <v>744</v>
      </c>
      <c r="BW162" s="19" t="s">
        <v>354</v>
      </c>
    </row>
    <row r="163" spans="1:75" x14ac:dyDescent="0.25">
      <c r="A163" s="33" t="s">
        <v>745</v>
      </c>
      <c r="B163" s="7" t="s">
        <v>620</v>
      </c>
      <c r="C163" s="7" t="s">
        <v>81</v>
      </c>
      <c r="D16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3.0109291978055206E-2</v>
      </c>
      <c r="E163" s="32">
        <v>7286</v>
      </c>
      <c r="F163" s="32">
        <v>0</v>
      </c>
      <c r="G163" s="32">
        <v>5878</v>
      </c>
      <c r="H163" s="32">
        <v>79</v>
      </c>
      <c r="I163" s="32">
        <v>0</v>
      </c>
      <c r="J163" s="32">
        <v>439831</v>
      </c>
      <c r="K163" s="32">
        <v>0</v>
      </c>
      <c r="L16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5.3754266211604096E-3</v>
      </c>
      <c r="M163" s="32">
        <v>63</v>
      </c>
      <c r="N163" s="32">
        <v>0</v>
      </c>
      <c r="O163" s="32">
        <v>11720</v>
      </c>
      <c r="P163" s="32">
        <v>0</v>
      </c>
      <c r="Q16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3" s="32">
        <v>0</v>
      </c>
      <c r="S163" s="32">
        <v>0</v>
      </c>
      <c r="T163" s="32">
        <v>0</v>
      </c>
      <c r="U163" s="32">
        <v>11720</v>
      </c>
      <c r="V163" s="32">
        <v>71</v>
      </c>
      <c r="W163" s="32">
        <v>0</v>
      </c>
      <c r="X163" s="32">
        <v>0</v>
      </c>
      <c r="Y16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0.30240251369275928</v>
      </c>
      <c r="Z163" s="32">
        <v>5697</v>
      </c>
      <c r="AA163" s="32">
        <v>132086</v>
      </c>
      <c r="AB163" s="32">
        <v>5689</v>
      </c>
      <c r="AC163" s="32">
        <v>912</v>
      </c>
      <c r="AD163" s="32">
        <v>0</v>
      </c>
      <c r="AE163" s="32">
        <v>439831</v>
      </c>
      <c r="AF163" s="32">
        <v>0</v>
      </c>
      <c r="AG16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3.1256470588235294</v>
      </c>
      <c r="AH163" s="32">
        <v>14167</v>
      </c>
      <c r="AI163" s="32">
        <v>303</v>
      </c>
      <c r="AJ163" s="32">
        <v>1934</v>
      </c>
      <c r="AK163" s="32">
        <v>0</v>
      </c>
      <c r="AL163" s="32">
        <v>128</v>
      </c>
      <c r="AM163" s="32">
        <v>5878</v>
      </c>
      <c r="AN163" s="32">
        <v>7104</v>
      </c>
      <c r="AO163" s="32">
        <v>-79</v>
      </c>
      <c r="AP163" s="32">
        <v>-4171</v>
      </c>
      <c r="AQ16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3.8299488054607509</v>
      </c>
      <c r="AR163" s="32">
        <v>11864</v>
      </c>
      <c r="AS163" s="32">
        <v>4234</v>
      </c>
      <c r="AT163" s="32">
        <v>10304</v>
      </c>
      <c r="AU163" s="32">
        <v>9035</v>
      </c>
      <c r="AV163" s="32">
        <v>909</v>
      </c>
      <c r="AW163" s="32">
        <v>5878</v>
      </c>
      <c r="AX163" s="32">
        <v>747</v>
      </c>
      <c r="AY163" s="32">
        <v>662</v>
      </c>
      <c r="AZ163" s="32">
        <v>1137</v>
      </c>
      <c r="BA163" s="32">
        <v>7</v>
      </c>
      <c r="BB163" s="32">
        <v>110</v>
      </c>
      <c r="BC163" s="32">
        <v>11720</v>
      </c>
      <c r="BD163" s="34">
        <f>IFERROR(SUM(Entity_Metrics[[#This Row],[Operating surplus/(deficit) (social housing lettings)]])/SUM(Entity_Metrics[[#This Row],[Turnover from social housing lettings]]),"")</f>
        <v>0.23755344090470279</v>
      </c>
      <c r="BE163" s="32">
        <v>13780</v>
      </c>
      <c r="BF163" s="32">
        <v>58008</v>
      </c>
      <c r="BG163" s="34">
        <f>IFERROR(SUM(Entity_Metrics[[#This Row],[Operating surplus/(deficit) (overall)2]],-Entity_Metrics[[#This Row],[Gain/(loss) on disposal of fixed assets (housing properties)2]])/SUM(Entity_Metrics[[#This Row],[Turnover (overall)]]),"")</f>
        <v>0.22590106237372093</v>
      </c>
      <c r="BH163" s="32">
        <v>14167</v>
      </c>
      <c r="BI163" s="32">
        <v>303</v>
      </c>
      <c r="BJ163" s="32">
        <v>61372</v>
      </c>
      <c r="BK163" s="34">
        <f>IFERROR(SUM(Entity_Metrics[[#This Row],[Operating surplus/(deficit) (overall)3]],Entity_Metrics[[#This Row],[Share of operating surplus/(deficit) in joint ventures or associates]])/SUM(Entity_Metrics[[#This Row],[Total assets less current liabilities]]),"")</f>
        <v>3.0717093551947166E-2</v>
      </c>
      <c r="BL163" s="32">
        <v>14167</v>
      </c>
      <c r="BM163" s="32">
        <v>0</v>
      </c>
      <c r="BN163" s="32">
        <v>461209</v>
      </c>
      <c r="BO163" s="34">
        <v>0.11028213703798988</v>
      </c>
      <c r="BP163" s="34">
        <v>5.2225366606637506E-2</v>
      </c>
      <c r="BQ163" s="6" t="s">
        <v>93</v>
      </c>
      <c r="BR163" s="6">
        <v>2005</v>
      </c>
      <c r="BS163" s="6" t="s">
        <v>94</v>
      </c>
      <c r="BT163" s="6" t="s">
        <v>105</v>
      </c>
      <c r="BU163" s="8">
        <v>0.9156653862445665</v>
      </c>
      <c r="BV163" s="37">
        <v>4649</v>
      </c>
      <c r="BW163" s="19" t="s">
        <v>620</v>
      </c>
    </row>
    <row r="164" spans="1:75" x14ac:dyDescent="0.25">
      <c r="A164" s="33" t="s">
        <v>746</v>
      </c>
      <c r="B164" s="7" t="s">
        <v>747</v>
      </c>
      <c r="C164" s="7" t="s">
        <v>81</v>
      </c>
      <c r="D16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2.1891584533737679E-3</v>
      </c>
      <c r="E164" s="32">
        <v>11</v>
      </c>
      <c r="F164" s="32">
        <v>0</v>
      </c>
      <c r="G164" s="32">
        <v>220</v>
      </c>
      <c r="H164" s="32">
        <v>0</v>
      </c>
      <c r="I164" s="32">
        <v>0</v>
      </c>
      <c r="J164" s="32">
        <v>105520</v>
      </c>
      <c r="K164" s="32">
        <v>0</v>
      </c>
      <c r="L16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64" s="32">
        <v>0</v>
      </c>
      <c r="N164" s="32">
        <v>0</v>
      </c>
      <c r="O164" s="32">
        <v>2011</v>
      </c>
      <c r="P164" s="32">
        <v>0</v>
      </c>
      <c r="Q16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4" s="32">
        <v>0</v>
      </c>
      <c r="S164" s="32">
        <v>0</v>
      </c>
      <c r="T164" s="32">
        <v>0</v>
      </c>
      <c r="U164" s="32">
        <v>2011</v>
      </c>
      <c r="V164" s="32">
        <v>0</v>
      </c>
      <c r="W164" s="32">
        <v>0</v>
      </c>
      <c r="X164" s="32">
        <v>209</v>
      </c>
      <c r="Y16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0.50280515542077331</v>
      </c>
      <c r="Z164" s="32">
        <v>0</v>
      </c>
      <c r="AA164" s="32">
        <v>0</v>
      </c>
      <c r="AB164" s="32">
        <v>16793</v>
      </c>
      <c r="AC164" s="32">
        <v>69849</v>
      </c>
      <c r="AD164" s="32">
        <v>0</v>
      </c>
      <c r="AE164" s="32">
        <v>105520</v>
      </c>
      <c r="AF164" s="32">
        <v>0</v>
      </c>
      <c r="AG16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0.48841439304072753</v>
      </c>
      <c r="AH164" s="32">
        <v>4883</v>
      </c>
      <c r="AI164" s="32">
        <v>188</v>
      </c>
      <c r="AJ164" s="32">
        <v>758</v>
      </c>
      <c r="AK164" s="32">
        <v>0</v>
      </c>
      <c r="AL164" s="32">
        <v>31</v>
      </c>
      <c r="AM164" s="32">
        <v>220</v>
      </c>
      <c r="AN164" s="32">
        <v>2428</v>
      </c>
      <c r="AO164" s="32">
        <v>0</v>
      </c>
      <c r="AP164" s="32">
        <v>-12645</v>
      </c>
      <c r="AQ16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1.6317501626545219</v>
      </c>
      <c r="AR164" s="32">
        <v>2078</v>
      </c>
      <c r="AS164" s="32">
        <v>1129</v>
      </c>
      <c r="AT164" s="32">
        <v>2924</v>
      </c>
      <c r="AU164" s="32">
        <v>834</v>
      </c>
      <c r="AV164" s="32">
        <v>212</v>
      </c>
      <c r="AW164" s="32">
        <v>220</v>
      </c>
      <c r="AX164" s="32">
        <v>0</v>
      </c>
      <c r="AY164" s="32">
        <v>0</v>
      </c>
      <c r="AZ164" s="32">
        <v>127</v>
      </c>
      <c r="BA164" s="32">
        <v>0</v>
      </c>
      <c r="BB164" s="32">
        <v>0</v>
      </c>
      <c r="BC164" s="32">
        <v>4611</v>
      </c>
      <c r="BD164" s="34">
        <f>IFERROR(SUM(Entity_Metrics[[#This Row],[Operating surplus/(deficit) (social housing lettings)]])/SUM(Entity_Metrics[[#This Row],[Turnover from social housing lettings]]),"")</f>
        <v>0.32593678040611263</v>
      </c>
      <c r="BE164" s="32">
        <v>4671</v>
      </c>
      <c r="BF164" s="32">
        <v>14331</v>
      </c>
      <c r="BG164" s="34">
        <f>IFERROR(SUM(Entity_Metrics[[#This Row],[Operating surplus/(deficit) (overall)2]],-Entity_Metrics[[#This Row],[Gain/(loss) on disposal of fixed assets (housing properties)2]])/SUM(Entity_Metrics[[#This Row],[Turnover (overall)]]),"")</f>
        <v>0.31975754273649798</v>
      </c>
      <c r="BH164" s="32">
        <v>4883</v>
      </c>
      <c r="BI164" s="32">
        <v>188</v>
      </c>
      <c r="BJ164" s="32">
        <v>14683</v>
      </c>
      <c r="BK164" s="34">
        <f>IFERROR(SUM(Entity_Metrics[[#This Row],[Operating surplus/(deficit) (overall)3]],Entity_Metrics[[#This Row],[Share of operating surplus/(deficit) in joint ventures or associates]])/SUM(Entity_Metrics[[#This Row],[Total assets less current liabilities]]),"")</f>
        <v>4.0299418988511818E-2</v>
      </c>
      <c r="BL164" s="32">
        <v>4883</v>
      </c>
      <c r="BM164" s="32">
        <v>0</v>
      </c>
      <c r="BN164" s="32">
        <v>121168</v>
      </c>
      <c r="BO164" s="34">
        <v>0</v>
      </c>
      <c r="BP164" s="34">
        <v>3.4808552958727E-2</v>
      </c>
      <c r="BQ164" s="6" t="s">
        <v>93</v>
      </c>
      <c r="BR164" s="6">
        <v>1999</v>
      </c>
      <c r="BS164" s="6" t="s">
        <v>94</v>
      </c>
      <c r="BT164" s="6" t="s">
        <v>90</v>
      </c>
      <c r="BU164" s="8">
        <v>0.91571558169387279</v>
      </c>
      <c r="BV164" s="37" t="s">
        <v>650</v>
      </c>
      <c r="BW164" s="19" t="s">
        <v>544</v>
      </c>
    </row>
    <row r="165" spans="1:75" x14ac:dyDescent="0.25">
      <c r="A165" s="33" t="s">
        <v>924</v>
      </c>
      <c r="B165" s="7" t="s">
        <v>358</v>
      </c>
      <c r="C165" s="7" t="s">
        <v>81</v>
      </c>
      <c r="D16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6.9611590433293152E-2</v>
      </c>
      <c r="E165" s="32">
        <v>153068</v>
      </c>
      <c r="F165" s="32">
        <v>0</v>
      </c>
      <c r="G165" s="32">
        <v>17320</v>
      </c>
      <c r="H165" s="32">
        <v>5178</v>
      </c>
      <c r="I165" s="32">
        <v>0</v>
      </c>
      <c r="J165" s="32">
        <v>2522080</v>
      </c>
      <c r="K165" s="32">
        <v>0</v>
      </c>
      <c r="L16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9.3936153963647476E-3</v>
      </c>
      <c r="M165" s="32">
        <v>369</v>
      </c>
      <c r="N165" s="32">
        <v>0</v>
      </c>
      <c r="O165" s="32">
        <v>39282</v>
      </c>
      <c r="P165" s="32">
        <v>0</v>
      </c>
      <c r="Q16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5" s="32">
        <v>0</v>
      </c>
      <c r="S165" s="32">
        <v>0</v>
      </c>
      <c r="T165" s="32">
        <v>0</v>
      </c>
      <c r="U165" s="32">
        <v>39282</v>
      </c>
      <c r="V165" s="32">
        <v>1397</v>
      </c>
      <c r="W165" s="32">
        <v>0</v>
      </c>
      <c r="X165" s="32">
        <v>0</v>
      </c>
      <c r="Y16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0.38729025249000826</v>
      </c>
      <c r="Z165" s="32">
        <v>32147</v>
      </c>
      <c r="AA165" s="32">
        <v>1041139</v>
      </c>
      <c r="AB165" s="32">
        <v>96509</v>
      </c>
      <c r="AC165" s="32">
        <v>0</v>
      </c>
      <c r="AD165" s="32">
        <v>0</v>
      </c>
      <c r="AE165" s="32">
        <v>2522080</v>
      </c>
      <c r="AF165" s="32">
        <v>0</v>
      </c>
      <c r="AG16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2.281569311989101</v>
      </c>
      <c r="AH165" s="32">
        <v>116905</v>
      </c>
      <c r="AI165" s="32">
        <v>20270</v>
      </c>
      <c r="AJ165" s="32">
        <v>9645</v>
      </c>
      <c r="AK165" s="32">
        <v>0</v>
      </c>
      <c r="AL165" s="32">
        <v>968</v>
      </c>
      <c r="AM165" s="32">
        <v>17320</v>
      </c>
      <c r="AN165" s="32">
        <v>36541</v>
      </c>
      <c r="AO165" s="32">
        <v>-5178</v>
      </c>
      <c r="AP165" s="32">
        <v>-41798</v>
      </c>
      <c r="AQ16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4.322682895904653</v>
      </c>
      <c r="AR165" s="32">
        <v>63891</v>
      </c>
      <c r="AS165" s="32">
        <v>21401</v>
      </c>
      <c r="AT165" s="32">
        <v>28387</v>
      </c>
      <c r="AU165" s="32">
        <v>31822</v>
      </c>
      <c r="AV165" s="32">
        <v>5352</v>
      </c>
      <c r="AW165" s="32">
        <v>17320</v>
      </c>
      <c r="AX165" s="32">
        <v>635</v>
      </c>
      <c r="AY165" s="32">
        <v>0</v>
      </c>
      <c r="AZ165" s="32">
        <v>0</v>
      </c>
      <c r="BA165" s="32">
        <v>1633</v>
      </c>
      <c r="BB165" s="32">
        <v>24</v>
      </c>
      <c r="BC165" s="32">
        <v>39435</v>
      </c>
      <c r="BD165" s="34">
        <f>IFERROR(SUM(Entity_Metrics[[#This Row],[Operating surplus/(deficit) (social housing lettings)]])/SUM(Entity_Metrics[[#This Row],[Turnover from social housing lettings]]),"")</f>
        <v>0.30135699687424861</v>
      </c>
      <c r="BE165" s="32">
        <v>80214</v>
      </c>
      <c r="BF165" s="32">
        <v>266176</v>
      </c>
      <c r="BG165" s="34">
        <f>IFERROR(SUM(Entity_Metrics[[#This Row],[Operating surplus/(deficit) (overall)2]],-Entity_Metrics[[#This Row],[Gain/(loss) on disposal of fixed assets (housing properties)2]])/SUM(Entity_Metrics[[#This Row],[Turnover (overall)]]),"")</f>
        <v>0.31280548991680962</v>
      </c>
      <c r="BH165" s="32">
        <v>116905</v>
      </c>
      <c r="BI165" s="32">
        <v>20270</v>
      </c>
      <c r="BJ165" s="32">
        <v>308930</v>
      </c>
      <c r="BK165" s="34">
        <f>IFERROR(SUM(Entity_Metrics[[#This Row],[Operating surplus/(deficit) (overall)3]],Entity_Metrics[[#This Row],[Share of operating surplus/(deficit) in joint ventures or associates]])/SUM(Entity_Metrics[[#This Row],[Total assets less current liabilities]]),"")</f>
        <v>4.3495974283035435E-2</v>
      </c>
      <c r="BL165" s="32">
        <v>116905</v>
      </c>
      <c r="BM165" s="32">
        <v>0</v>
      </c>
      <c r="BN165" s="32">
        <v>2687720</v>
      </c>
      <c r="BO165" s="34">
        <v>2.5019127773527161E-2</v>
      </c>
      <c r="BP165" s="34">
        <v>8.5717929099719453E-2</v>
      </c>
      <c r="BQ165" s="6" t="s">
        <v>82</v>
      </c>
      <c r="BR165" s="6" t="s">
        <v>83</v>
      </c>
      <c r="BS165" s="6" t="s">
        <v>83</v>
      </c>
      <c r="BT165" s="6" t="s">
        <v>87</v>
      </c>
      <c r="BU165" s="8">
        <v>1.1153905036014311</v>
      </c>
      <c r="BV165" s="37">
        <v>4851</v>
      </c>
      <c r="BW165" s="19" t="s">
        <v>358</v>
      </c>
    </row>
    <row r="166" spans="1:75" x14ac:dyDescent="0.25">
      <c r="A166" s="33" t="s">
        <v>681</v>
      </c>
      <c r="B166" s="7" t="s">
        <v>360</v>
      </c>
      <c r="C166" s="7" t="s">
        <v>81</v>
      </c>
      <c r="D16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0.13173944712072</v>
      </c>
      <c r="E166" s="32">
        <v>41225</v>
      </c>
      <c r="F166" s="32">
        <v>0</v>
      </c>
      <c r="G166" s="32">
        <v>0</v>
      </c>
      <c r="H166" s="32">
        <v>917</v>
      </c>
      <c r="I166" s="32">
        <v>0</v>
      </c>
      <c r="J166" s="32">
        <v>319889</v>
      </c>
      <c r="K166" s="32">
        <v>0</v>
      </c>
      <c r="L16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0.14946004319654427</v>
      </c>
      <c r="M166" s="32">
        <v>692</v>
      </c>
      <c r="N166" s="32">
        <v>0</v>
      </c>
      <c r="O166" s="32">
        <v>4630</v>
      </c>
      <c r="P166" s="32">
        <v>0</v>
      </c>
      <c r="Q16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6" s="32">
        <v>0</v>
      </c>
      <c r="S166" s="32">
        <v>0</v>
      </c>
      <c r="T166" s="32">
        <v>0</v>
      </c>
      <c r="U166" s="32">
        <v>4630</v>
      </c>
      <c r="V166" s="32">
        <v>0</v>
      </c>
      <c r="W166" s="32">
        <v>0</v>
      </c>
      <c r="X166" s="32">
        <v>0</v>
      </c>
      <c r="Y16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3.2148651563511092E-2</v>
      </c>
      <c r="Z166" s="32">
        <v>893</v>
      </c>
      <c r="AA166" s="32">
        <v>50423</v>
      </c>
      <c r="AB166" s="32">
        <v>41032</v>
      </c>
      <c r="AC166" s="32">
        <v>0</v>
      </c>
      <c r="AD166" s="32">
        <v>0</v>
      </c>
      <c r="AE166" s="32">
        <v>319889</v>
      </c>
      <c r="AF166" s="32">
        <v>0</v>
      </c>
      <c r="AG16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6.3574580759046775</v>
      </c>
      <c r="AH166" s="32">
        <v>29823</v>
      </c>
      <c r="AI166" s="32">
        <v>5690</v>
      </c>
      <c r="AJ166" s="32">
        <v>769</v>
      </c>
      <c r="AK166" s="32">
        <v>0</v>
      </c>
      <c r="AL166" s="32">
        <v>1397</v>
      </c>
      <c r="AM166" s="32">
        <v>0</v>
      </c>
      <c r="AN166" s="32">
        <v>4051</v>
      </c>
      <c r="AO166" s="32">
        <v>-917</v>
      </c>
      <c r="AP166" s="32">
        <v>-3615</v>
      </c>
      <c r="AQ16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6.1140388768898486</v>
      </c>
      <c r="AR166" s="32">
        <v>1824</v>
      </c>
      <c r="AS166" s="32">
        <v>1586</v>
      </c>
      <c r="AT166" s="32">
        <v>76</v>
      </c>
      <c r="AU166" s="32">
        <v>24</v>
      </c>
      <c r="AV166" s="32">
        <v>0</v>
      </c>
      <c r="AW166" s="32">
        <v>0</v>
      </c>
      <c r="AX166" s="32">
        <v>0</v>
      </c>
      <c r="AY166" s="32">
        <v>0</v>
      </c>
      <c r="AZ166" s="32">
        <v>0</v>
      </c>
      <c r="BA166" s="32">
        <v>24798</v>
      </c>
      <c r="BB166" s="32">
        <v>0</v>
      </c>
      <c r="BC166" s="32">
        <v>4630</v>
      </c>
      <c r="BD166" s="34">
        <f>IFERROR(SUM(Entity_Metrics[[#This Row],[Operating surplus/(deficit) (social housing lettings)]])/SUM(Entity_Metrics[[#This Row],[Turnover from social housing lettings]]),"")</f>
        <v>0.66191935580794425</v>
      </c>
      <c r="BE166" s="32">
        <v>11015</v>
      </c>
      <c r="BF166" s="32">
        <v>16641</v>
      </c>
      <c r="BG166" s="34">
        <f>IFERROR(SUM(Entity_Metrics[[#This Row],[Operating surplus/(deficit) (overall)2]],-Entity_Metrics[[#This Row],[Gain/(loss) on disposal of fixed assets (housing properties)2]])/SUM(Entity_Metrics[[#This Row],[Turnover (overall)]]),"")</f>
        <v>0.21557522756304323</v>
      </c>
      <c r="BH166" s="32">
        <v>29823</v>
      </c>
      <c r="BI166" s="32">
        <v>5690</v>
      </c>
      <c r="BJ166" s="32">
        <v>111947</v>
      </c>
      <c r="BK166" s="34">
        <f>IFERROR(SUM(Entity_Metrics[[#This Row],[Operating surplus/(deficit) (overall)3]],Entity_Metrics[[#This Row],[Share of operating surplus/(deficit) in joint ventures or associates]])/SUM(Entity_Metrics[[#This Row],[Total assets less current liabilities]]),"")</f>
        <v>7.0123091030931464E-2</v>
      </c>
      <c r="BL166" s="32">
        <v>29823</v>
      </c>
      <c r="BM166" s="32">
        <v>0</v>
      </c>
      <c r="BN166" s="32">
        <v>425295</v>
      </c>
      <c r="BO166" s="34">
        <v>0</v>
      </c>
      <c r="BP166" s="34">
        <v>0</v>
      </c>
      <c r="BQ166" s="6" t="s">
        <v>82</v>
      </c>
      <c r="BR166" s="6" t="s">
        <v>83</v>
      </c>
      <c r="BS166" s="6" t="s">
        <v>83</v>
      </c>
      <c r="BT166" s="6" t="s">
        <v>87</v>
      </c>
      <c r="BU166" s="8">
        <v>0.99308548395479257</v>
      </c>
      <c r="BV166" s="37" t="s">
        <v>681</v>
      </c>
      <c r="BW166" s="19" t="s">
        <v>360</v>
      </c>
    </row>
    <row r="167" spans="1:75" x14ac:dyDescent="0.25">
      <c r="A167" s="33" t="s">
        <v>748</v>
      </c>
      <c r="B167" s="7" t="s">
        <v>749</v>
      </c>
      <c r="C167" s="7" t="s">
        <v>81</v>
      </c>
      <c r="D16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9.0982489414455983E-2</v>
      </c>
      <c r="E167" s="32">
        <v>80256</v>
      </c>
      <c r="F167" s="32">
        <v>0</v>
      </c>
      <c r="G167" s="32">
        <v>13803</v>
      </c>
      <c r="H167" s="32">
        <v>6008</v>
      </c>
      <c r="I167" s="32">
        <v>0</v>
      </c>
      <c r="J167" s="32">
        <v>1099849</v>
      </c>
      <c r="K167" s="32">
        <v>0</v>
      </c>
      <c r="L16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3.322141721152147E-2</v>
      </c>
      <c r="M167" s="32">
        <v>564</v>
      </c>
      <c r="N167" s="32">
        <v>0</v>
      </c>
      <c r="O167" s="32">
        <v>16977</v>
      </c>
      <c r="P167" s="32">
        <v>0</v>
      </c>
      <c r="Q16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7" s="32">
        <v>0</v>
      </c>
      <c r="S167" s="32">
        <v>0</v>
      </c>
      <c r="T167" s="32">
        <v>0</v>
      </c>
      <c r="U167" s="32">
        <v>16977</v>
      </c>
      <c r="V167" s="32">
        <v>0</v>
      </c>
      <c r="W167" s="32">
        <v>0</v>
      </c>
      <c r="X167" s="32">
        <v>0</v>
      </c>
      <c r="Y16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0.51234851329591613</v>
      </c>
      <c r="Z167" s="32">
        <v>13357</v>
      </c>
      <c r="AA167" s="32">
        <v>49529</v>
      </c>
      <c r="AB167" s="32">
        <v>1443</v>
      </c>
      <c r="AC167" s="32">
        <v>502063</v>
      </c>
      <c r="AD167" s="32">
        <v>0</v>
      </c>
      <c r="AE167" s="32">
        <v>1099849</v>
      </c>
      <c r="AF167" s="32">
        <v>0</v>
      </c>
      <c r="AG16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1.340608151822299</v>
      </c>
      <c r="AH167" s="32">
        <v>42059</v>
      </c>
      <c r="AI167" s="32">
        <v>8036</v>
      </c>
      <c r="AJ167" s="32">
        <v>4763</v>
      </c>
      <c r="AK167" s="32">
        <v>0</v>
      </c>
      <c r="AL167" s="32">
        <v>4</v>
      </c>
      <c r="AM167" s="32">
        <v>13803</v>
      </c>
      <c r="AN167" s="32">
        <v>15621</v>
      </c>
      <c r="AO167" s="32">
        <v>-6008</v>
      </c>
      <c r="AP167" s="32">
        <v>-17177</v>
      </c>
      <c r="AQ16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4.2078105672380275</v>
      </c>
      <c r="AR167" s="32">
        <v>12426</v>
      </c>
      <c r="AS167" s="32">
        <v>10487</v>
      </c>
      <c r="AT167" s="32">
        <v>14382</v>
      </c>
      <c r="AU167" s="32">
        <v>12042</v>
      </c>
      <c r="AV167" s="32">
        <v>0</v>
      </c>
      <c r="AW167" s="32">
        <v>13803</v>
      </c>
      <c r="AX167" s="32">
        <v>54</v>
      </c>
      <c r="AY167" s="32">
        <v>0</v>
      </c>
      <c r="AZ167" s="32">
        <v>0</v>
      </c>
      <c r="BA167" s="32">
        <v>6997</v>
      </c>
      <c r="BB167" s="32">
        <v>1245</v>
      </c>
      <c r="BC167" s="32">
        <v>16977</v>
      </c>
      <c r="BD167" s="34">
        <f>IFERROR(SUM(Entity_Metrics[[#This Row],[Operating surplus/(deficit) (social housing lettings)]])/SUM(Entity_Metrics[[#This Row],[Turnover from social housing lettings]]),"")</f>
        <v>0.36159600997506236</v>
      </c>
      <c r="BE167" s="32">
        <v>37265</v>
      </c>
      <c r="BF167" s="32">
        <v>103057</v>
      </c>
      <c r="BG167" s="34">
        <f>IFERROR(SUM(Entity_Metrics[[#This Row],[Operating surplus/(deficit) (overall)2]],-Entity_Metrics[[#This Row],[Gain/(loss) on disposal of fixed assets (housing properties)2]])/SUM(Entity_Metrics[[#This Row],[Turnover (overall)]]),"")</f>
        <v>0.30429844018317115</v>
      </c>
      <c r="BH167" s="32">
        <v>42059</v>
      </c>
      <c r="BI167" s="32">
        <v>8036</v>
      </c>
      <c r="BJ167" s="32">
        <v>111808</v>
      </c>
      <c r="BK167" s="34">
        <f>IFERROR(SUM(Entity_Metrics[[#This Row],[Operating surplus/(deficit) (overall)3]],Entity_Metrics[[#This Row],[Share of operating surplus/(deficit) in joint ventures or associates]])/SUM(Entity_Metrics[[#This Row],[Total assets less current liabilities]]),"")</f>
        <v>3.809060635782293E-2</v>
      </c>
      <c r="BL167" s="32">
        <v>42059</v>
      </c>
      <c r="BM167" s="32">
        <v>0</v>
      </c>
      <c r="BN167" s="32">
        <v>1104183</v>
      </c>
      <c r="BO167" s="34">
        <v>1.9795021961932651E-2</v>
      </c>
      <c r="BP167" s="34">
        <v>7.619326500732064E-2</v>
      </c>
      <c r="BQ167" s="6" t="s">
        <v>82</v>
      </c>
      <c r="BR167" s="6" t="s">
        <v>83</v>
      </c>
      <c r="BS167" s="6" t="s">
        <v>83</v>
      </c>
      <c r="BT167" s="6" t="s">
        <v>87</v>
      </c>
      <c r="BU167" s="8">
        <v>1.073264042844825</v>
      </c>
      <c r="BV167" s="37" t="s">
        <v>681</v>
      </c>
      <c r="BW167" s="19" t="s">
        <v>360</v>
      </c>
    </row>
    <row r="168" spans="1:75" x14ac:dyDescent="0.25">
      <c r="A168" s="33" t="s">
        <v>750</v>
      </c>
      <c r="B168" s="7" t="s">
        <v>362</v>
      </c>
      <c r="C168" s="7" t="s">
        <v>81</v>
      </c>
      <c r="D16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5.0173478370319644E-2</v>
      </c>
      <c r="E168" s="32">
        <v>17071</v>
      </c>
      <c r="F168" s="32">
        <v>1094</v>
      </c>
      <c r="G168" s="32">
        <v>13485</v>
      </c>
      <c r="H168" s="32">
        <v>439</v>
      </c>
      <c r="I168" s="32">
        <v>0</v>
      </c>
      <c r="J168" s="32">
        <v>639561</v>
      </c>
      <c r="K168" s="32">
        <v>0</v>
      </c>
      <c r="L16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5.5575475080674079E-3</v>
      </c>
      <c r="M168" s="32">
        <v>31</v>
      </c>
      <c r="N168" s="32">
        <v>0</v>
      </c>
      <c r="O168" s="32">
        <v>5349</v>
      </c>
      <c r="P168" s="32">
        <v>229</v>
      </c>
      <c r="Q16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4.1397582381188939E-3</v>
      </c>
      <c r="R168" s="32">
        <v>25</v>
      </c>
      <c r="S168" s="32">
        <v>0</v>
      </c>
      <c r="T168" s="32">
        <v>0</v>
      </c>
      <c r="U168" s="32">
        <v>5349</v>
      </c>
      <c r="V168" s="32">
        <v>160</v>
      </c>
      <c r="W168" s="32">
        <v>229</v>
      </c>
      <c r="X168" s="32">
        <v>301</v>
      </c>
      <c r="Y16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0.42147973375487247</v>
      </c>
      <c r="Z168" s="32">
        <v>11378</v>
      </c>
      <c r="AA168" s="32">
        <v>274598</v>
      </c>
      <c r="AB168" s="32">
        <v>16414</v>
      </c>
      <c r="AC168" s="32">
        <v>0</v>
      </c>
      <c r="AD168" s="32">
        <v>0</v>
      </c>
      <c r="AE168" s="32">
        <v>639561</v>
      </c>
      <c r="AF168" s="32">
        <v>0</v>
      </c>
      <c r="AG16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0.35946306733906852</v>
      </c>
      <c r="AH168" s="32">
        <v>17455</v>
      </c>
      <c r="AI168" s="32">
        <v>3558</v>
      </c>
      <c r="AJ168" s="32">
        <v>1821</v>
      </c>
      <c r="AK168" s="32">
        <v>0</v>
      </c>
      <c r="AL168" s="32">
        <v>780</v>
      </c>
      <c r="AM168" s="32">
        <v>13485</v>
      </c>
      <c r="AN168" s="32">
        <v>5476</v>
      </c>
      <c r="AO168" s="32">
        <v>-893</v>
      </c>
      <c r="AP168" s="32">
        <v>-12591</v>
      </c>
      <c r="AQ16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7.6933830382106247</v>
      </c>
      <c r="AR168" s="32">
        <v>5487</v>
      </c>
      <c r="AS168" s="32">
        <v>5359</v>
      </c>
      <c r="AT168" s="32">
        <v>4500</v>
      </c>
      <c r="AU168" s="32">
        <v>4437</v>
      </c>
      <c r="AV168" s="32">
        <v>0</v>
      </c>
      <c r="AW168" s="32">
        <v>13485</v>
      </c>
      <c r="AX168" s="32">
        <v>5863</v>
      </c>
      <c r="AY168" s="32">
        <v>342</v>
      </c>
      <c r="AZ168" s="32">
        <v>334</v>
      </c>
      <c r="BA168" s="32">
        <v>0</v>
      </c>
      <c r="BB168" s="32">
        <v>1468</v>
      </c>
      <c r="BC168" s="32">
        <v>5365</v>
      </c>
      <c r="BD168" s="34">
        <f>IFERROR(SUM(Entity_Metrics[[#This Row],[Operating surplus/(deficit) (social housing lettings)]])/SUM(Entity_Metrics[[#This Row],[Turnover from social housing lettings]]),"")</f>
        <v>0.27923990276738969</v>
      </c>
      <c r="BE168" s="32">
        <v>11947</v>
      </c>
      <c r="BF168" s="32">
        <v>42784</v>
      </c>
      <c r="BG168" s="34">
        <f>IFERROR(SUM(Entity_Metrics[[#This Row],[Operating surplus/(deficit) (overall)2]],-Entity_Metrics[[#This Row],[Gain/(loss) on disposal of fixed assets (housing properties)2]])/SUM(Entity_Metrics[[#This Row],[Turnover (overall)]]),"")</f>
        <v>0.27278972989949751</v>
      </c>
      <c r="BH168" s="32">
        <v>17455</v>
      </c>
      <c r="BI168" s="32">
        <v>3558</v>
      </c>
      <c r="BJ168" s="32">
        <v>50944</v>
      </c>
      <c r="BK168" s="34">
        <f>IFERROR(SUM(Entity_Metrics[[#This Row],[Operating surplus/(deficit) (overall)3]],Entity_Metrics[[#This Row],[Share of operating surplus/(deficit) in joint ventures or associates]])/SUM(Entity_Metrics[[#This Row],[Total assets less current liabilities]]),"")</f>
        <v>2.3727574010184303E-2</v>
      </c>
      <c r="BL168" s="32">
        <v>17455</v>
      </c>
      <c r="BM168" s="32">
        <v>0</v>
      </c>
      <c r="BN168" s="32">
        <v>735642</v>
      </c>
      <c r="BO168" s="34">
        <v>5.3265694356372857E-2</v>
      </c>
      <c r="BP168" s="34">
        <v>8.0321285140562249E-2</v>
      </c>
      <c r="BQ168" s="6" t="s">
        <v>82</v>
      </c>
      <c r="BR168" s="6" t="s">
        <v>83</v>
      </c>
      <c r="BS168" s="6" t="s">
        <v>83</v>
      </c>
      <c r="BT168" s="6" t="s">
        <v>156</v>
      </c>
      <c r="BU168" s="8">
        <v>1.1948631223231962</v>
      </c>
      <c r="BV168" s="37" t="s">
        <v>750</v>
      </c>
      <c r="BW168" s="19" t="s">
        <v>362</v>
      </c>
    </row>
    <row r="169" spans="1:75" x14ac:dyDescent="0.25">
      <c r="A169" s="33" t="s">
        <v>751</v>
      </c>
      <c r="B169" s="7" t="s">
        <v>364</v>
      </c>
      <c r="C169" s="7" t="s">
        <v>134</v>
      </c>
      <c r="D16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3.1808707956479339E-2</v>
      </c>
      <c r="E169" s="32">
        <v>5760</v>
      </c>
      <c r="F169" s="32">
        <v>894</v>
      </c>
      <c r="G169" s="32">
        <v>0</v>
      </c>
      <c r="H169" s="32">
        <v>0</v>
      </c>
      <c r="I169" s="32">
        <v>0</v>
      </c>
      <c r="J169" s="32">
        <v>209188</v>
      </c>
      <c r="K169" s="32">
        <v>0</v>
      </c>
      <c r="L16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1.4008004574042309E-2</v>
      </c>
      <c r="M169" s="32">
        <v>49</v>
      </c>
      <c r="N169" s="32">
        <v>0</v>
      </c>
      <c r="O169" s="32">
        <v>3498</v>
      </c>
      <c r="P169" s="32">
        <v>0</v>
      </c>
      <c r="Q16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69" s="32">
        <v>0</v>
      </c>
      <c r="S169" s="32">
        <v>0</v>
      </c>
      <c r="T169" s="32">
        <v>0</v>
      </c>
      <c r="U169" s="32">
        <v>3498</v>
      </c>
      <c r="V169" s="32">
        <v>12</v>
      </c>
      <c r="W169" s="32">
        <v>0</v>
      </c>
      <c r="X169" s="32">
        <v>0</v>
      </c>
      <c r="Y16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0.39111708128573341</v>
      </c>
      <c r="Z169" s="32">
        <v>2732</v>
      </c>
      <c r="AA169" s="32">
        <v>87911</v>
      </c>
      <c r="AB169" s="32">
        <v>8826</v>
      </c>
      <c r="AC169" s="32">
        <v>0</v>
      </c>
      <c r="AD169" s="32">
        <v>0</v>
      </c>
      <c r="AE169" s="32">
        <v>209188</v>
      </c>
      <c r="AF169" s="32">
        <v>0</v>
      </c>
      <c r="AG16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2.2848948374760996</v>
      </c>
      <c r="AH169" s="32">
        <v>7879</v>
      </c>
      <c r="AI169" s="32">
        <v>0</v>
      </c>
      <c r="AJ169" s="32">
        <v>943</v>
      </c>
      <c r="AK169" s="32">
        <v>0</v>
      </c>
      <c r="AL169" s="32">
        <v>14</v>
      </c>
      <c r="AM169" s="32">
        <v>1593</v>
      </c>
      <c r="AN169" s="32">
        <v>1813</v>
      </c>
      <c r="AO169" s="32">
        <v>0</v>
      </c>
      <c r="AP169" s="32">
        <v>-3138</v>
      </c>
      <c r="AQ16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9.6247329059829063</v>
      </c>
      <c r="AR169" s="32">
        <v>4384</v>
      </c>
      <c r="AS169" s="32">
        <v>1947</v>
      </c>
      <c r="AT169" s="32">
        <v>2293</v>
      </c>
      <c r="AU169" s="32">
        <v>1457</v>
      </c>
      <c r="AV169" s="32">
        <v>0</v>
      </c>
      <c r="AW169" s="32">
        <v>1593</v>
      </c>
      <c r="AX169" s="32">
        <v>314</v>
      </c>
      <c r="AY169" s="32">
        <v>16525</v>
      </c>
      <c r="AZ169" s="32">
        <v>0</v>
      </c>
      <c r="BA169" s="32">
        <v>3990</v>
      </c>
      <c r="BB169" s="32">
        <v>3532</v>
      </c>
      <c r="BC169" s="32">
        <v>3744</v>
      </c>
      <c r="BD169" s="34">
        <f>IFERROR(SUM(Entity_Metrics[[#This Row],[Operating surplus/(deficit) (social housing lettings)]])/SUM(Entity_Metrics[[#This Row],[Turnover from social housing lettings]]),"")</f>
        <v>0.39242530228839811</v>
      </c>
      <c r="BE169" s="32">
        <v>7854</v>
      </c>
      <c r="BF169" s="32">
        <v>20014</v>
      </c>
      <c r="BG169" s="34">
        <f>IFERROR(SUM(Entity_Metrics[[#This Row],[Operating surplus/(deficit) (overall)2]],-Entity_Metrics[[#This Row],[Gain/(loss) on disposal of fixed assets (housing properties)2]])/SUM(Entity_Metrics[[#This Row],[Turnover (overall)]]),"")</f>
        <v>0.1770681169517046</v>
      </c>
      <c r="BH169" s="32">
        <v>7879</v>
      </c>
      <c r="BI169" s="32">
        <v>0</v>
      </c>
      <c r="BJ169" s="32">
        <v>44497</v>
      </c>
      <c r="BK169" s="34">
        <f>IFERROR(SUM(Entity_Metrics[[#This Row],[Operating surplus/(deficit) (overall)3]],Entity_Metrics[[#This Row],[Share of operating surplus/(deficit) in joint ventures or associates]])/SUM(Entity_Metrics[[#This Row],[Total assets less current liabilities]]),"")</f>
        <v>3.5697619101556305E-2</v>
      </c>
      <c r="BL169" s="32">
        <v>7879</v>
      </c>
      <c r="BM169" s="32">
        <v>0</v>
      </c>
      <c r="BN169" s="32">
        <v>220715</v>
      </c>
      <c r="BO169" s="34">
        <v>9.7445863409217098E-2</v>
      </c>
      <c r="BP169" s="34">
        <v>0.11882287617990006</v>
      </c>
      <c r="BQ169" s="6" t="s">
        <v>82</v>
      </c>
      <c r="BR169" s="6" t="s">
        <v>83</v>
      </c>
      <c r="BS169" s="6" t="s">
        <v>83</v>
      </c>
      <c r="BT169" s="6" t="s">
        <v>100</v>
      </c>
      <c r="BU169" s="8">
        <v>1.0022399874355168</v>
      </c>
      <c r="BV169" s="37" t="s">
        <v>751</v>
      </c>
      <c r="BW169" s="19" t="s">
        <v>364</v>
      </c>
    </row>
    <row r="170" spans="1:75" x14ac:dyDescent="0.25">
      <c r="A170" s="33" t="s">
        <v>752</v>
      </c>
      <c r="B170" s="7" t="s">
        <v>753</v>
      </c>
      <c r="C170" s="7" t="s">
        <v>81</v>
      </c>
      <c r="D17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4.8146241811782085E-2</v>
      </c>
      <c r="E170" s="32">
        <v>0</v>
      </c>
      <c r="F170" s="32">
        <v>54620</v>
      </c>
      <c r="G170" s="32">
        <v>3362</v>
      </c>
      <c r="H170" s="32">
        <v>2258</v>
      </c>
      <c r="I170" s="32">
        <v>0</v>
      </c>
      <c r="J170" s="32">
        <v>1251188</v>
      </c>
      <c r="K170" s="32">
        <v>0</v>
      </c>
      <c r="L17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3.6627241510873709E-2</v>
      </c>
      <c r="M170" s="32">
        <v>480</v>
      </c>
      <c r="N170" s="32">
        <v>0</v>
      </c>
      <c r="O170" s="32">
        <v>13105</v>
      </c>
      <c r="P170" s="32">
        <v>0</v>
      </c>
      <c r="Q17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1.050975906198613E-2</v>
      </c>
      <c r="R170" s="32">
        <v>106</v>
      </c>
      <c r="S170" s="32">
        <v>41</v>
      </c>
      <c r="T170" s="32">
        <v>0</v>
      </c>
      <c r="U170" s="32">
        <v>13105</v>
      </c>
      <c r="V170" s="32">
        <v>217</v>
      </c>
      <c r="W170" s="32">
        <v>0</v>
      </c>
      <c r="X170" s="32">
        <v>665</v>
      </c>
      <c r="Y17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0.56073827434406343</v>
      </c>
      <c r="Z170" s="32">
        <v>4596</v>
      </c>
      <c r="AA170" s="32">
        <v>706648</v>
      </c>
      <c r="AB170" s="32">
        <v>9655</v>
      </c>
      <c r="AC170" s="32">
        <v>0</v>
      </c>
      <c r="AD170" s="32">
        <v>0</v>
      </c>
      <c r="AE170" s="32">
        <v>1251188</v>
      </c>
      <c r="AF170" s="32">
        <v>0</v>
      </c>
      <c r="AG17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1.5924140935576976</v>
      </c>
      <c r="AH170" s="32">
        <v>54642</v>
      </c>
      <c r="AI170" s="32">
        <v>6370</v>
      </c>
      <c r="AJ170" s="32">
        <v>147</v>
      </c>
      <c r="AK170" s="32">
        <v>0</v>
      </c>
      <c r="AL170" s="32">
        <v>319</v>
      </c>
      <c r="AM170" s="32">
        <v>2604</v>
      </c>
      <c r="AN170" s="32">
        <v>12643</v>
      </c>
      <c r="AO170" s="32">
        <v>-2869</v>
      </c>
      <c r="AP170" s="32">
        <v>-33857</v>
      </c>
      <c r="AQ17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2.7366443150836344</v>
      </c>
      <c r="AR170" s="32">
        <v>6829</v>
      </c>
      <c r="AS170" s="32">
        <v>4383</v>
      </c>
      <c r="AT170" s="32">
        <v>7863</v>
      </c>
      <c r="AU170" s="32">
        <v>7258</v>
      </c>
      <c r="AV170" s="32">
        <v>0</v>
      </c>
      <c r="AW170" s="32">
        <v>2604</v>
      </c>
      <c r="AX170" s="32">
        <v>6915</v>
      </c>
      <c r="AY170" s="32">
        <v>0</v>
      </c>
      <c r="AZ170" s="32">
        <v>0</v>
      </c>
      <c r="BA170" s="32">
        <v>1151</v>
      </c>
      <c r="BB170" s="32">
        <v>136</v>
      </c>
      <c r="BC170" s="32">
        <v>13571</v>
      </c>
      <c r="BD170" s="34">
        <f>IFERROR(SUM(Entity_Metrics[[#This Row],[Operating surplus/(deficit) (social housing lettings)]])/SUM(Entity_Metrics[[#This Row],[Turnover from social housing lettings]]),"")</f>
        <v>0.48475870320779441</v>
      </c>
      <c r="BE170" s="32">
        <v>42540</v>
      </c>
      <c r="BF170" s="32">
        <v>87755</v>
      </c>
      <c r="BG170" s="34">
        <f>IFERROR(SUM(Entity_Metrics[[#This Row],[Operating surplus/(deficit) (overall)2]],-Entity_Metrics[[#This Row],[Gain/(loss) on disposal of fixed assets (housing properties)2]])/SUM(Entity_Metrics[[#This Row],[Turnover (overall)]]),"")</f>
        <v>0.43965572202741471</v>
      </c>
      <c r="BH170" s="32">
        <v>54642</v>
      </c>
      <c r="BI170" s="32">
        <v>6370</v>
      </c>
      <c r="BJ170" s="32">
        <v>109795</v>
      </c>
      <c r="BK170" s="34">
        <f>IFERROR(SUM(Entity_Metrics[[#This Row],[Operating surplus/(deficit) (overall)3]],Entity_Metrics[[#This Row],[Share of operating surplus/(deficit) in joint ventures or associates]])/SUM(Entity_Metrics[[#This Row],[Total assets less current liabilities]]),"")</f>
        <v>4.0877701296981636E-2</v>
      </c>
      <c r="BL170" s="32">
        <v>54642</v>
      </c>
      <c r="BM170" s="32">
        <v>0</v>
      </c>
      <c r="BN170" s="32">
        <v>1336719</v>
      </c>
      <c r="BO170" s="34">
        <v>1.3007881245695921E-2</v>
      </c>
      <c r="BP170" s="34">
        <v>3.6728135281964957E-3</v>
      </c>
      <c r="BQ170" s="6" t="s">
        <v>82</v>
      </c>
      <c r="BR170" s="6" t="s">
        <v>83</v>
      </c>
      <c r="BS170" s="6" t="s">
        <v>83</v>
      </c>
      <c r="BT170" s="6" t="s">
        <v>84</v>
      </c>
      <c r="BU170" s="8">
        <v>1.0427278081457325</v>
      </c>
      <c r="BV170" s="37" t="s">
        <v>754</v>
      </c>
      <c r="BW170" s="19" t="s">
        <v>366</v>
      </c>
    </row>
    <row r="171" spans="1:75" x14ac:dyDescent="0.25">
      <c r="A171" s="33" t="s">
        <v>925</v>
      </c>
      <c r="B171" s="7" t="s">
        <v>368</v>
      </c>
      <c r="C171" s="7" t="s">
        <v>81</v>
      </c>
      <c r="D17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4.7855015919148654E-2</v>
      </c>
      <c r="E171" s="32">
        <v>66062</v>
      </c>
      <c r="F171" s="32">
        <v>0</v>
      </c>
      <c r="G171" s="32">
        <v>12413</v>
      </c>
      <c r="H171" s="32">
        <v>0</v>
      </c>
      <c r="I171" s="32">
        <v>0</v>
      </c>
      <c r="J171" s="32">
        <v>1639849</v>
      </c>
      <c r="K171" s="32">
        <v>0</v>
      </c>
      <c r="L17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1.7549700370969278E-2</v>
      </c>
      <c r="M171" s="32">
        <v>369</v>
      </c>
      <c r="N171" s="32">
        <v>0</v>
      </c>
      <c r="O171" s="32">
        <v>21026</v>
      </c>
      <c r="P171" s="32">
        <v>0</v>
      </c>
      <c r="Q17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1" s="32">
        <v>0</v>
      </c>
      <c r="S171" s="32">
        <v>0</v>
      </c>
      <c r="T171" s="32">
        <v>0</v>
      </c>
      <c r="U171" s="32">
        <v>21026</v>
      </c>
      <c r="V171" s="32">
        <v>11</v>
      </c>
      <c r="W171" s="32">
        <v>0</v>
      </c>
      <c r="X171" s="32">
        <v>0</v>
      </c>
      <c r="Y17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0.40681367613725411</v>
      </c>
      <c r="Z171" s="32">
        <v>21318</v>
      </c>
      <c r="AA171" s="32">
        <v>667318</v>
      </c>
      <c r="AB171" s="32">
        <v>21523</v>
      </c>
      <c r="AC171" s="32">
        <v>0</v>
      </c>
      <c r="AD171" s="32">
        <v>0</v>
      </c>
      <c r="AE171" s="32">
        <v>1639849</v>
      </c>
      <c r="AF171" s="32">
        <v>0</v>
      </c>
      <c r="AG17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1.6854253323546204</v>
      </c>
      <c r="AH171" s="32">
        <v>65409</v>
      </c>
      <c r="AI171" s="32">
        <v>8146</v>
      </c>
      <c r="AJ171" s="32">
        <v>5184</v>
      </c>
      <c r="AK171" s="32">
        <v>0</v>
      </c>
      <c r="AL171" s="32">
        <v>109</v>
      </c>
      <c r="AM171" s="32">
        <v>12413</v>
      </c>
      <c r="AN171" s="32">
        <v>22220</v>
      </c>
      <c r="AO171" s="32">
        <v>-3268</v>
      </c>
      <c r="AP171" s="32">
        <v>-33515</v>
      </c>
      <c r="AQ17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3.8991186440677965</v>
      </c>
      <c r="AR171" s="32">
        <v>26243</v>
      </c>
      <c r="AS171" s="32">
        <v>12274</v>
      </c>
      <c r="AT171" s="32">
        <v>15383</v>
      </c>
      <c r="AU171" s="32">
        <v>10399</v>
      </c>
      <c r="AV171" s="32">
        <v>0</v>
      </c>
      <c r="AW171" s="32">
        <v>12413</v>
      </c>
      <c r="AX171" s="32">
        <v>2831</v>
      </c>
      <c r="AY171" s="32">
        <v>0</v>
      </c>
      <c r="AZ171" s="32">
        <v>0</v>
      </c>
      <c r="BA171" s="32">
        <v>6554</v>
      </c>
      <c r="BB171" s="32">
        <v>171</v>
      </c>
      <c r="BC171" s="32">
        <v>22125</v>
      </c>
      <c r="BD171" s="34">
        <f>IFERROR(SUM(Entity_Metrics[[#This Row],[Operating surplus/(deficit) (social housing lettings)]])/SUM(Entity_Metrics[[#This Row],[Turnover from social housing lettings]]),"")</f>
        <v>0.36292846173905485</v>
      </c>
      <c r="BE171" s="32">
        <v>50103</v>
      </c>
      <c r="BF171" s="32">
        <v>138052</v>
      </c>
      <c r="BG171" s="34">
        <f>IFERROR(SUM(Entity_Metrics[[#This Row],[Operating surplus/(deficit) (overall)2]],-Entity_Metrics[[#This Row],[Gain/(loss) on disposal of fixed assets (housing properties)2]])/SUM(Entity_Metrics[[#This Row],[Turnover (overall)]]),"")</f>
        <v>0.34712842957772094</v>
      </c>
      <c r="BH171" s="32">
        <v>65409</v>
      </c>
      <c r="BI171" s="32">
        <v>8146</v>
      </c>
      <c r="BJ171" s="32">
        <v>164962</v>
      </c>
      <c r="BK171" s="34">
        <f>IFERROR(SUM(Entity_Metrics[[#This Row],[Operating surplus/(deficit) (overall)3]],Entity_Metrics[[#This Row],[Share of operating surplus/(deficit) in joint ventures or associates]])/SUM(Entity_Metrics[[#This Row],[Total assets less current liabilities]]),"")</f>
        <v>3.9082255034583631E-2</v>
      </c>
      <c r="BL171" s="32">
        <v>65409</v>
      </c>
      <c r="BM171" s="32">
        <v>0</v>
      </c>
      <c r="BN171" s="32">
        <v>1673624</v>
      </c>
      <c r="BO171" s="34">
        <v>2.6052200712703456E-2</v>
      </c>
      <c r="BP171" s="34">
        <v>0.11677742463642493</v>
      </c>
      <c r="BQ171" s="6" t="s">
        <v>82</v>
      </c>
      <c r="BR171" s="6" t="s">
        <v>83</v>
      </c>
      <c r="BS171" s="6" t="s">
        <v>83</v>
      </c>
      <c r="BT171" s="6" t="s">
        <v>87</v>
      </c>
      <c r="BU171" s="8">
        <v>1.0507642504352079</v>
      </c>
      <c r="BV171" s="37">
        <v>4849</v>
      </c>
      <c r="BW171" s="19" t="s">
        <v>368</v>
      </c>
    </row>
    <row r="172" spans="1:75" x14ac:dyDescent="0.25">
      <c r="A172" s="33" t="s">
        <v>755</v>
      </c>
      <c r="B172" s="7" t="s">
        <v>756</v>
      </c>
      <c r="C172" s="7" t="s">
        <v>81</v>
      </c>
      <c r="D17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6.9030946823544354E-2</v>
      </c>
      <c r="E172" s="32">
        <v>7046</v>
      </c>
      <c r="F172" s="32">
        <v>102</v>
      </c>
      <c r="G172" s="32">
        <v>1656</v>
      </c>
      <c r="H172" s="32">
        <v>0</v>
      </c>
      <c r="I172" s="32">
        <v>-109</v>
      </c>
      <c r="J172" s="32">
        <v>125958</v>
      </c>
      <c r="K172" s="32">
        <v>0</v>
      </c>
      <c r="L17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1.4772536511666946E-2</v>
      </c>
      <c r="M172" s="32">
        <v>88</v>
      </c>
      <c r="N172" s="32">
        <v>0</v>
      </c>
      <c r="O172" s="32">
        <v>5657</v>
      </c>
      <c r="P172" s="32">
        <v>300</v>
      </c>
      <c r="Q17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5.0268096514745307E-3</v>
      </c>
      <c r="R172" s="32">
        <v>6</v>
      </c>
      <c r="S172" s="32">
        <v>0</v>
      </c>
      <c r="T172" s="32">
        <v>24</v>
      </c>
      <c r="U172" s="32">
        <v>5657</v>
      </c>
      <c r="V172" s="32">
        <v>11</v>
      </c>
      <c r="W172" s="32">
        <v>300</v>
      </c>
      <c r="X172" s="32">
        <v>0</v>
      </c>
      <c r="Y17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0.32634687753060543</v>
      </c>
      <c r="Z172" s="32">
        <v>0</v>
      </c>
      <c r="AA172" s="32">
        <v>45565</v>
      </c>
      <c r="AB172" s="32">
        <v>4459</v>
      </c>
      <c r="AC172" s="32">
        <v>0</v>
      </c>
      <c r="AD172" s="32">
        <v>0</v>
      </c>
      <c r="AE172" s="32">
        <v>125958</v>
      </c>
      <c r="AF172" s="32">
        <v>0</v>
      </c>
      <c r="AG17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2.8457571495546179</v>
      </c>
      <c r="AH172" s="32">
        <v>5810</v>
      </c>
      <c r="AI172" s="32">
        <v>2075</v>
      </c>
      <c r="AJ172" s="32">
        <v>14</v>
      </c>
      <c r="AK172" s="32">
        <v>0</v>
      </c>
      <c r="AL172" s="32">
        <v>70</v>
      </c>
      <c r="AM172" s="32">
        <v>1656</v>
      </c>
      <c r="AN172" s="32">
        <v>3935</v>
      </c>
      <c r="AO172" s="32">
        <v>0</v>
      </c>
      <c r="AP172" s="32">
        <v>-2133</v>
      </c>
      <c r="AQ17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3.4334452890224503</v>
      </c>
      <c r="AR172" s="32">
        <v>5424</v>
      </c>
      <c r="AS172" s="32">
        <v>3045</v>
      </c>
      <c r="AT172" s="32">
        <v>4452</v>
      </c>
      <c r="AU172" s="32">
        <v>639</v>
      </c>
      <c r="AV172" s="32">
        <v>2873</v>
      </c>
      <c r="AW172" s="32">
        <v>1656</v>
      </c>
      <c r="AX172" s="32">
        <v>1334</v>
      </c>
      <c r="AY172" s="32">
        <v>0</v>
      </c>
      <c r="AZ172" s="32">
        <v>0</v>
      </c>
      <c r="BA172" s="32">
        <v>0</v>
      </c>
      <c r="BB172" s="32">
        <v>0</v>
      </c>
      <c r="BC172" s="32">
        <v>5657</v>
      </c>
      <c r="BD172" s="34">
        <f>IFERROR(SUM(Entity_Metrics[[#This Row],[Operating surplus/(deficit) (social housing lettings)]])/SUM(Entity_Metrics[[#This Row],[Turnover from social housing lettings]]),"")</f>
        <v>8.6567675125165819E-2</v>
      </c>
      <c r="BE172" s="32">
        <v>2023</v>
      </c>
      <c r="BF172" s="32">
        <v>23369</v>
      </c>
      <c r="BG172" s="34">
        <f>IFERROR(SUM(Entity_Metrics[[#This Row],[Operating surplus/(deficit) (overall)2]],-Entity_Metrics[[#This Row],[Gain/(loss) on disposal of fixed assets (housing properties)2]])/SUM(Entity_Metrics[[#This Row],[Turnover (overall)]]),"")</f>
        <v>0.13622437814574367</v>
      </c>
      <c r="BH172" s="32">
        <v>5810</v>
      </c>
      <c r="BI172" s="32">
        <v>2075</v>
      </c>
      <c r="BJ172" s="32">
        <v>27418</v>
      </c>
      <c r="BK172" s="34">
        <f>IFERROR(SUM(Entity_Metrics[[#This Row],[Operating surplus/(deficit) (overall)3]],Entity_Metrics[[#This Row],[Share of operating surplus/(deficit) in joint ventures or associates]])/SUM(Entity_Metrics[[#This Row],[Total assets less current liabilities]]),"")</f>
        <v>4.0405023853568298E-2</v>
      </c>
      <c r="BL172" s="32">
        <v>5810</v>
      </c>
      <c r="BM172" s="32">
        <v>0</v>
      </c>
      <c r="BN172" s="32">
        <v>143794</v>
      </c>
      <c r="BO172" s="34">
        <v>0</v>
      </c>
      <c r="BP172" s="34">
        <v>5.2994170641229464E-3</v>
      </c>
      <c r="BQ172" s="6" t="s">
        <v>93</v>
      </c>
      <c r="BR172" s="6">
        <v>2006</v>
      </c>
      <c r="BS172" s="6" t="s">
        <v>94</v>
      </c>
      <c r="BT172" s="6" t="s">
        <v>105</v>
      </c>
      <c r="BU172" s="8">
        <v>0.9156653862445665</v>
      </c>
      <c r="BV172" s="37">
        <v>4755</v>
      </c>
      <c r="BW172" s="19" t="s">
        <v>548</v>
      </c>
    </row>
    <row r="173" spans="1:75" x14ac:dyDescent="0.25">
      <c r="A173" s="33" t="s">
        <v>926</v>
      </c>
      <c r="B173" s="7" t="s">
        <v>757</v>
      </c>
      <c r="C173" s="7" t="s">
        <v>81</v>
      </c>
      <c r="D17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v>
      </c>
      <c r="E173" s="32">
        <v>0</v>
      </c>
      <c r="F173" s="32">
        <v>0</v>
      </c>
      <c r="G173" s="32">
        <v>0</v>
      </c>
      <c r="H173" s="32">
        <v>0</v>
      </c>
      <c r="I173" s="32">
        <v>0</v>
      </c>
      <c r="J173" s="32">
        <v>128820</v>
      </c>
      <c r="K173" s="32">
        <v>0</v>
      </c>
      <c r="L17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73" s="32">
        <v>0</v>
      </c>
      <c r="N173" s="32">
        <v>0</v>
      </c>
      <c r="O173" s="32">
        <v>1797</v>
      </c>
      <c r="P173" s="32">
        <v>14</v>
      </c>
      <c r="Q17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3" s="32">
        <v>0</v>
      </c>
      <c r="S173" s="32">
        <v>0</v>
      </c>
      <c r="T173" s="32">
        <v>0</v>
      </c>
      <c r="U173" s="32">
        <v>1797</v>
      </c>
      <c r="V173" s="32">
        <v>0</v>
      </c>
      <c r="W173" s="32">
        <v>14</v>
      </c>
      <c r="X173" s="32">
        <v>0</v>
      </c>
      <c r="Y17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0.61190032603632971</v>
      </c>
      <c r="Z173" s="32">
        <v>0</v>
      </c>
      <c r="AA173" s="32">
        <v>0</v>
      </c>
      <c r="AB173" s="32">
        <v>1175</v>
      </c>
      <c r="AC173" s="32">
        <v>80000</v>
      </c>
      <c r="AD173" s="32">
        <v>0</v>
      </c>
      <c r="AE173" s="32">
        <v>128820</v>
      </c>
      <c r="AF173" s="32">
        <v>0</v>
      </c>
      <c r="AG173" s="34" t="str">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
      </c>
      <c r="AH173" s="32">
        <v>51980</v>
      </c>
      <c r="AI173" s="32">
        <v>0</v>
      </c>
      <c r="AJ173" s="32">
        <v>0</v>
      </c>
      <c r="AK173" s="32">
        <v>0</v>
      </c>
      <c r="AL173" s="32">
        <v>0</v>
      </c>
      <c r="AM173" s="32">
        <v>0</v>
      </c>
      <c r="AN173" s="32">
        <v>0</v>
      </c>
      <c r="AO173" s="32">
        <v>0</v>
      </c>
      <c r="AP173" s="32">
        <v>0</v>
      </c>
      <c r="AQ17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2.6123301985370951E-3</v>
      </c>
      <c r="AR173" s="32">
        <v>0</v>
      </c>
      <c r="AS173" s="32">
        <v>0</v>
      </c>
      <c r="AT173" s="32">
        <v>0</v>
      </c>
      <c r="AU173" s="32">
        <v>0</v>
      </c>
      <c r="AV173" s="32">
        <v>0</v>
      </c>
      <c r="AW173" s="32">
        <v>0</v>
      </c>
      <c r="AX173" s="32">
        <v>0</v>
      </c>
      <c r="AY173" s="32">
        <v>0</v>
      </c>
      <c r="AZ173" s="32">
        <v>0</v>
      </c>
      <c r="BA173" s="32">
        <v>5</v>
      </c>
      <c r="BB173" s="32">
        <v>0</v>
      </c>
      <c r="BC173" s="32">
        <v>1914</v>
      </c>
      <c r="BD173" s="34" t="str">
        <f>IFERROR(SUM(Entity_Metrics[[#This Row],[Operating surplus/(deficit) (social housing lettings)]])/SUM(Entity_Metrics[[#This Row],[Turnover from social housing lettings]]),"")</f>
        <v/>
      </c>
      <c r="BE173" s="32">
        <v>0</v>
      </c>
      <c r="BF173" s="32">
        <v>0</v>
      </c>
      <c r="BG173" s="34">
        <f>IFERROR(SUM(Entity_Metrics[[#This Row],[Operating surplus/(deficit) (overall)2]],-Entity_Metrics[[#This Row],[Gain/(loss) on disposal of fixed assets (housing properties)2]])/SUM(Entity_Metrics[[#This Row],[Turnover (overall)]]),"")</f>
        <v>0.99990381840915654</v>
      </c>
      <c r="BH173" s="32">
        <v>51980</v>
      </c>
      <c r="BI173" s="32">
        <v>0</v>
      </c>
      <c r="BJ173" s="32">
        <v>51985</v>
      </c>
      <c r="BK173" s="34">
        <f>IFERROR(SUM(Entity_Metrics[[#This Row],[Operating surplus/(deficit) (overall)3]],Entity_Metrics[[#This Row],[Share of operating surplus/(deficit) in joint ventures or associates]])/SUM(Entity_Metrics[[#This Row],[Total assets less current liabilities]]),"")</f>
        <v>0.39384755265949384</v>
      </c>
      <c r="BL173" s="32">
        <v>51980</v>
      </c>
      <c r="BM173" s="32">
        <v>0</v>
      </c>
      <c r="BN173" s="32">
        <v>131980</v>
      </c>
      <c r="BO173" s="34">
        <v>0.23339540657976413</v>
      </c>
      <c r="BP173" s="34">
        <v>3.1036623215394164E-2</v>
      </c>
      <c r="BQ173" s="6" t="s">
        <v>82</v>
      </c>
      <c r="BR173" s="6" t="s">
        <v>83</v>
      </c>
      <c r="BS173" s="6" t="s">
        <v>83</v>
      </c>
      <c r="BT173" s="6" t="s">
        <v>100</v>
      </c>
      <c r="BU173" s="8">
        <v>1.0029559970103508</v>
      </c>
      <c r="BV173" s="37">
        <v>4878</v>
      </c>
      <c r="BW173" s="19" t="s">
        <v>370</v>
      </c>
    </row>
    <row r="174" spans="1:75" x14ac:dyDescent="0.25">
      <c r="A174" s="33" t="s">
        <v>927</v>
      </c>
      <c r="B174" s="7" t="s">
        <v>370</v>
      </c>
      <c r="C174" s="7" t="s">
        <v>81</v>
      </c>
      <c r="D17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3.5583900749795741E-2</v>
      </c>
      <c r="E174" s="32">
        <v>99935</v>
      </c>
      <c r="F174" s="32">
        <v>0</v>
      </c>
      <c r="G174" s="32">
        <v>70919</v>
      </c>
      <c r="H174" s="32">
        <v>0</v>
      </c>
      <c r="I174" s="32">
        <v>0</v>
      </c>
      <c r="J174" s="32">
        <v>4801441</v>
      </c>
      <c r="K174" s="32">
        <v>0</v>
      </c>
      <c r="L17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1.7795717097806852E-2</v>
      </c>
      <c r="M174" s="32">
        <v>651</v>
      </c>
      <c r="N174" s="32">
        <v>244</v>
      </c>
      <c r="O174" s="32">
        <v>45984</v>
      </c>
      <c r="P174" s="32">
        <v>4309</v>
      </c>
      <c r="Q17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1.7106789625813555E-3</v>
      </c>
      <c r="R174" s="32">
        <v>87</v>
      </c>
      <c r="S174" s="32">
        <v>0</v>
      </c>
      <c r="T174" s="32">
        <v>0</v>
      </c>
      <c r="U174" s="32">
        <v>45984</v>
      </c>
      <c r="V174" s="32">
        <v>564</v>
      </c>
      <c r="W174" s="32">
        <v>4309</v>
      </c>
      <c r="X174" s="32">
        <v>0</v>
      </c>
      <c r="Y17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0.38184245104750847</v>
      </c>
      <c r="Z174" s="32">
        <v>5396</v>
      </c>
      <c r="AA174" s="32">
        <v>1357383</v>
      </c>
      <c r="AB174" s="32">
        <v>96360</v>
      </c>
      <c r="AC174" s="32">
        <v>566975</v>
      </c>
      <c r="AD174" s="32">
        <v>0</v>
      </c>
      <c r="AE174" s="32">
        <v>4801441</v>
      </c>
      <c r="AF174" s="32">
        <v>0</v>
      </c>
      <c r="AG17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1.5727350207659736</v>
      </c>
      <c r="AH174" s="32">
        <v>164113</v>
      </c>
      <c r="AI174" s="32">
        <v>41643</v>
      </c>
      <c r="AJ174" s="32">
        <v>10366</v>
      </c>
      <c r="AK174" s="32">
        <v>0</v>
      </c>
      <c r="AL174" s="32">
        <v>14661</v>
      </c>
      <c r="AM174" s="32">
        <v>70919</v>
      </c>
      <c r="AN174" s="32">
        <v>60409</v>
      </c>
      <c r="AO174" s="32">
        <v>-7755</v>
      </c>
      <c r="AP174" s="32">
        <v>-66164</v>
      </c>
      <c r="AQ17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6.239139850145091</v>
      </c>
      <c r="AR174" s="32">
        <v>83911</v>
      </c>
      <c r="AS174" s="32">
        <v>27442</v>
      </c>
      <c r="AT174" s="32">
        <v>44609</v>
      </c>
      <c r="AU174" s="32">
        <v>29828</v>
      </c>
      <c r="AV174" s="32">
        <v>0</v>
      </c>
      <c r="AW174" s="32">
        <v>70919</v>
      </c>
      <c r="AX174" s="32">
        <v>0</v>
      </c>
      <c r="AY174" s="32">
        <v>0</v>
      </c>
      <c r="AZ174" s="32">
        <v>0</v>
      </c>
      <c r="BA174" s="32">
        <v>3315</v>
      </c>
      <c r="BB174" s="32">
        <v>28087</v>
      </c>
      <c r="BC174" s="32">
        <v>46178</v>
      </c>
      <c r="BD174" s="34">
        <f>IFERROR(SUM(Entity_Metrics[[#This Row],[Operating surplus/(deficit) (social housing lettings)]])/SUM(Entity_Metrics[[#This Row],[Turnover from social housing lettings]]),"")</f>
        <v>0.3205675944473238</v>
      </c>
      <c r="BE174" s="32">
        <v>114425</v>
      </c>
      <c r="BF174" s="32">
        <v>356945</v>
      </c>
      <c r="BG174" s="34">
        <f>IFERROR(SUM(Entity_Metrics[[#This Row],[Operating surplus/(deficit) (overall)2]],-Entity_Metrics[[#This Row],[Gain/(loss) on disposal of fixed assets (housing properties)2]])/SUM(Entity_Metrics[[#This Row],[Turnover (overall)]]),"")</f>
        <v>0.29158690704075124</v>
      </c>
      <c r="BH174" s="32">
        <v>164113</v>
      </c>
      <c r="BI174" s="32">
        <v>41643</v>
      </c>
      <c r="BJ174" s="32">
        <v>420012</v>
      </c>
      <c r="BK174" s="34">
        <f>IFERROR(SUM(Entity_Metrics[[#This Row],[Operating surplus/(deficit) (overall)3]],Entity_Metrics[[#This Row],[Share of operating surplus/(deficit) in joint ventures or associates]])/SUM(Entity_Metrics[[#This Row],[Total assets less current liabilities]]),"")</f>
        <v>2.8119428711928907E-2</v>
      </c>
      <c r="BL174" s="32">
        <v>164113</v>
      </c>
      <c r="BM174" s="32">
        <v>0</v>
      </c>
      <c r="BN174" s="32">
        <v>5836285</v>
      </c>
      <c r="BO174" s="34">
        <v>4.7597133653277231E-2</v>
      </c>
      <c r="BP174" s="34">
        <v>2.1322288694585058E-2</v>
      </c>
      <c r="BQ174" s="6" t="s">
        <v>82</v>
      </c>
      <c r="BR174" s="6" t="s">
        <v>83</v>
      </c>
      <c r="BS174" s="6" t="s">
        <v>83</v>
      </c>
      <c r="BT174" s="6" t="s">
        <v>156</v>
      </c>
      <c r="BU174" s="8">
        <v>1.2475259555585394</v>
      </c>
      <c r="BV174" s="37">
        <v>4878</v>
      </c>
      <c r="BW174" s="19" t="s">
        <v>370</v>
      </c>
    </row>
    <row r="175" spans="1:75" x14ac:dyDescent="0.25">
      <c r="A175" s="33" t="s">
        <v>758</v>
      </c>
      <c r="B175" s="7" t="s">
        <v>759</v>
      </c>
      <c r="C175" s="7" t="s">
        <v>81</v>
      </c>
      <c r="D17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6.3954397733789817E-3</v>
      </c>
      <c r="E175" s="32">
        <v>244</v>
      </c>
      <c r="F175" s="32">
        <v>0</v>
      </c>
      <c r="G175" s="32">
        <v>124</v>
      </c>
      <c r="H175" s="32">
        <v>0</v>
      </c>
      <c r="I175" s="32">
        <v>0</v>
      </c>
      <c r="J175" s="32">
        <v>57541</v>
      </c>
      <c r="K175" s="32">
        <v>0</v>
      </c>
      <c r="L17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75" s="32">
        <v>0</v>
      </c>
      <c r="N175" s="32">
        <v>0</v>
      </c>
      <c r="O175" s="32">
        <v>1456</v>
      </c>
      <c r="P175" s="32">
        <v>0</v>
      </c>
      <c r="Q17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5" s="32">
        <v>0</v>
      </c>
      <c r="S175" s="32">
        <v>0</v>
      </c>
      <c r="T175" s="32">
        <v>0</v>
      </c>
      <c r="U175" s="32">
        <v>1456</v>
      </c>
      <c r="V175" s="32">
        <v>0</v>
      </c>
      <c r="W175" s="32">
        <v>0</v>
      </c>
      <c r="X175" s="32">
        <v>0</v>
      </c>
      <c r="Y17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0.287447211553501</v>
      </c>
      <c r="Z175" s="32">
        <v>1722</v>
      </c>
      <c r="AA175" s="32">
        <v>16981</v>
      </c>
      <c r="AB175" s="32">
        <v>2638</v>
      </c>
      <c r="AC175" s="32">
        <v>475</v>
      </c>
      <c r="AD175" s="32">
        <v>0</v>
      </c>
      <c r="AE175" s="32">
        <v>57541</v>
      </c>
      <c r="AF175" s="32">
        <v>0</v>
      </c>
      <c r="AG17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4.0391134289439377</v>
      </c>
      <c r="AH175" s="32">
        <v>2189</v>
      </c>
      <c r="AI175" s="32">
        <v>213</v>
      </c>
      <c r="AJ175" s="32">
        <v>499</v>
      </c>
      <c r="AK175" s="32">
        <v>0</v>
      </c>
      <c r="AL175" s="32">
        <v>74</v>
      </c>
      <c r="AM175" s="32">
        <v>124</v>
      </c>
      <c r="AN175" s="32">
        <v>1671</v>
      </c>
      <c r="AO175" s="32">
        <v>0</v>
      </c>
      <c r="AP175" s="32">
        <v>-767</v>
      </c>
      <c r="AQ17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2.7805212620027433</v>
      </c>
      <c r="AR175" s="32">
        <v>1735</v>
      </c>
      <c r="AS175" s="32">
        <v>114</v>
      </c>
      <c r="AT175" s="32">
        <v>1474</v>
      </c>
      <c r="AU175" s="32">
        <v>352</v>
      </c>
      <c r="AV175" s="32">
        <v>0</v>
      </c>
      <c r="AW175" s="32">
        <v>124</v>
      </c>
      <c r="AX175" s="32">
        <v>67</v>
      </c>
      <c r="AY175" s="32">
        <v>0</v>
      </c>
      <c r="AZ175" s="32">
        <v>0</v>
      </c>
      <c r="BA175" s="32">
        <v>0</v>
      </c>
      <c r="BB175" s="32">
        <v>188</v>
      </c>
      <c r="BC175" s="32">
        <v>1458</v>
      </c>
      <c r="BD175" s="34">
        <f>IFERROR(SUM(Entity_Metrics[[#This Row],[Operating surplus/(deficit) (social housing lettings)]])/SUM(Entity_Metrics[[#This Row],[Turnover from social housing lettings]]),"")</f>
        <v>0.25113714679531357</v>
      </c>
      <c r="BE175" s="32">
        <v>1822</v>
      </c>
      <c r="BF175" s="32">
        <v>7255</v>
      </c>
      <c r="BG175" s="34">
        <f>IFERROR(SUM(Entity_Metrics[[#This Row],[Operating surplus/(deficit) (overall)2]],-Entity_Metrics[[#This Row],[Gain/(loss) on disposal of fixed assets (housing properties)2]])/SUM(Entity_Metrics[[#This Row],[Turnover (overall)]]),"")</f>
        <v>0.26010267210741084</v>
      </c>
      <c r="BH175" s="32">
        <v>2189</v>
      </c>
      <c r="BI175" s="32">
        <v>213</v>
      </c>
      <c r="BJ175" s="32">
        <v>7597</v>
      </c>
      <c r="BK175" s="34">
        <f>IFERROR(SUM(Entity_Metrics[[#This Row],[Operating surplus/(deficit) (overall)3]],Entity_Metrics[[#This Row],[Share of operating surplus/(deficit) in joint ventures or associates]])/SUM(Entity_Metrics[[#This Row],[Total assets less current liabilities]]),"")</f>
        <v>3.4446402719204378E-2</v>
      </c>
      <c r="BL175" s="32">
        <v>2189</v>
      </c>
      <c r="BM175" s="32">
        <v>0</v>
      </c>
      <c r="BN175" s="32">
        <v>63548</v>
      </c>
      <c r="BO175" s="34">
        <v>0</v>
      </c>
      <c r="BP175" s="34">
        <v>9.2032967032967039E-2</v>
      </c>
      <c r="BQ175" s="6" t="s">
        <v>82</v>
      </c>
      <c r="BR175" s="6" t="s">
        <v>83</v>
      </c>
      <c r="BS175" s="6" t="s">
        <v>83</v>
      </c>
      <c r="BT175" s="6" t="s">
        <v>105</v>
      </c>
      <c r="BU175" s="8">
        <v>0.9156653862445665</v>
      </c>
      <c r="BV175" s="37">
        <v>4649</v>
      </c>
      <c r="BW175" s="19" t="s">
        <v>620</v>
      </c>
    </row>
    <row r="176" spans="1:75" x14ac:dyDescent="0.25">
      <c r="A176" s="33" t="s">
        <v>760</v>
      </c>
      <c r="B176" s="7" t="s">
        <v>372</v>
      </c>
      <c r="C176" s="7" t="s">
        <v>81</v>
      </c>
      <c r="D17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4.8557501202954038E-2</v>
      </c>
      <c r="E176" s="32">
        <v>5205</v>
      </c>
      <c r="F176" s="32">
        <v>381</v>
      </c>
      <c r="G176" s="32">
        <v>3698</v>
      </c>
      <c r="H176" s="32">
        <v>0</v>
      </c>
      <c r="I176" s="32">
        <v>0</v>
      </c>
      <c r="J176" s="32">
        <v>191196</v>
      </c>
      <c r="K176" s="32">
        <v>0</v>
      </c>
      <c r="L17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1.0218745010378413E-2</v>
      </c>
      <c r="M176" s="32">
        <v>64</v>
      </c>
      <c r="N176" s="32">
        <v>0</v>
      </c>
      <c r="O176" s="32">
        <v>5395</v>
      </c>
      <c r="P176" s="32">
        <v>868</v>
      </c>
      <c r="Q17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6" s="32">
        <v>0</v>
      </c>
      <c r="S176" s="32">
        <v>0</v>
      </c>
      <c r="T176" s="32">
        <v>0</v>
      </c>
      <c r="U176" s="32">
        <v>5395</v>
      </c>
      <c r="V176" s="32">
        <v>0</v>
      </c>
      <c r="W176" s="32">
        <v>868</v>
      </c>
      <c r="X176" s="32">
        <v>0</v>
      </c>
      <c r="Y17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0.30324379171112364</v>
      </c>
      <c r="Z176" s="32">
        <v>0</v>
      </c>
      <c r="AA176" s="32">
        <v>64763</v>
      </c>
      <c r="AB176" s="32">
        <v>6784</v>
      </c>
      <c r="AC176" s="32">
        <v>0</v>
      </c>
      <c r="AD176" s="32">
        <v>0</v>
      </c>
      <c r="AE176" s="32">
        <v>191196</v>
      </c>
      <c r="AF176" s="32">
        <v>0</v>
      </c>
      <c r="AG17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0.70633123689727462</v>
      </c>
      <c r="AH176" s="32">
        <v>11129</v>
      </c>
      <c r="AI176" s="32">
        <v>3020</v>
      </c>
      <c r="AJ176" s="32">
        <v>42</v>
      </c>
      <c r="AK176" s="32">
        <v>0</v>
      </c>
      <c r="AL176" s="32">
        <v>29</v>
      </c>
      <c r="AM176" s="32">
        <v>3698</v>
      </c>
      <c r="AN176" s="32">
        <v>4025</v>
      </c>
      <c r="AO176" s="32">
        <v>-83</v>
      </c>
      <c r="AP176" s="32">
        <v>-11842</v>
      </c>
      <c r="AQ17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4.5493975903614459</v>
      </c>
      <c r="AR176" s="32">
        <v>5016</v>
      </c>
      <c r="AS176" s="32">
        <v>4165</v>
      </c>
      <c r="AT176" s="32">
        <v>5339</v>
      </c>
      <c r="AU176" s="32">
        <v>2989</v>
      </c>
      <c r="AV176" s="32">
        <v>1155</v>
      </c>
      <c r="AW176" s="32">
        <v>3698</v>
      </c>
      <c r="AX176" s="32">
        <v>896</v>
      </c>
      <c r="AY176" s="32">
        <v>336</v>
      </c>
      <c r="AZ176" s="32">
        <v>0</v>
      </c>
      <c r="BA176" s="32">
        <v>950</v>
      </c>
      <c r="BB176" s="32">
        <v>0</v>
      </c>
      <c r="BC176" s="32">
        <v>5395</v>
      </c>
      <c r="BD176" s="34">
        <f>IFERROR(SUM(Entity_Metrics[[#This Row],[Operating surplus/(deficit) (social housing lettings)]])/SUM(Entity_Metrics[[#This Row],[Turnover from social housing lettings]]),"")</f>
        <v>0.26038034865293186</v>
      </c>
      <c r="BE176" s="32">
        <v>8215</v>
      </c>
      <c r="BF176" s="32">
        <v>31550</v>
      </c>
      <c r="BG176" s="34">
        <f>IFERROR(SUM(Entity_Metrics[[#This Row],[Operating surplus/(deficit) (overall)2]],-Entity_Metrics[[#This Row],[Gain/(loss) on disposal of fixed assets (housing properties)2]])/SUM(Entity_Metrics[[#This Row],[Turnover (overall)]]),"")</f>
        <v>0.24056603773584906</v>
      </c>
      <c r="BH176" s="32">
        <v>11129</v>
      </c>
      <c r="BI176" s="32">
        <v>3020</v>
      </c>
      <c r="BJ176" s="32">
        <v>33708</v>
      </c>
      <c r="BK176" s="34">
        <f>IFERROR(SUM(Entity_Metrics[[#This Row],[Operating surplus/(deficit) (overall)3]],Entity_Metrics[[#This Row],[Share of operating surplus/(deficit) in joint ventures or associates]])/SUM(Entity_Metrics[[#This Row],[Total assets less current liabilities]]),"")</f>
        <v>5.4265040031986581E-2</v>
      </c>
      <c r="BL176" s="32">
        <v>11129</v>
      </c>
      <c r="BM176" s="32">
        <v>0</v>
      </c>
      <c r="BN176" s="32">
        <v>205086</v>
      </c>
      <c r="BO176" s="34">
        <v>0</v>
      </c>
      <c r="BP176" s="34">
        <v>0</v>
      </c>
      <c r="BQ176" s="6" t="s">
        <v>93</v>
      </c>
      <c r="BR176" s="6">
        <v>2007</v>
      </c>
      <c r="BS176" s="6" t="s">
        <v>120</v>
      </c>
      <c r="BT176" s="6" t="s">
        <v>156</v>
      </c>
      <c r="BU176" s="8">
        <v>1.2488627787394371</v>
      </c>
      <c r="BV176" s="37" t="s">
        <v>760</v>
      </c>
      <c r="BW176" s="19" t="s">
        <v>372</v>
      </c>
    </row>
    <row r="177" spans="1:75" x14ac:dyDescent="0.25">
      <c r="A177" s="33" t="s">
        <v>373</v>
      </c>
      <c r="B177" s="7" t="s">
        <v>374</v>
      </c>
      <c r="C177" s="7" t="s">
        <v>81</v>
      </c>
      <c r="D17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0.12550589281743385</v>
      </c>
      <c r="E177" s="32">
        <v>7537</v>
      </c>
      <c r="F177" s="32">
        <v>0</v>
      </c>
      <c r="G177" s="32">
        <v>929</v>
      </c>
      <c r="H177" s="32">
        <v>0</v>
      </c>
      <c r="I177" s="32">
        <v>0</v>
      </c>
      <c r="J177" s="32">
        <v>67455</v>
      </c>
      <c r="K177" s="32">
        <v>0</v>
      </c>
      <c r="L17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3.0350194552529183E-2</v>
      </c>
      <c r="M177" s="32">
        <v>39</v>
      </c>
      <c r="N177" s="32">
        <v>0</v>
      </c>
      <c r="O177" s="32">
        <v>1285</v>
      </c>
      <c r="P177" s="32">
        <v>0</v>
      </c>
      <c r="Q17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7" s="32">
        <v>0</v>
      </c>
      <c r="S177" s="32">
        <v>0</v>
      </c>
      <c r="T177" s="32">
        <v>0</v>
      </c>
      <c r="U177" s="32">
        <v>1285</v>
      </c>
      <c r="V177" s="32">
        <v>0</v>
      </c>
      <c r="W177" s="32">
        <v>0</v>
      </c>
      <c r="X177" s="32">
        <v>0</v>
      </c>
      <c r="Y17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0.13265139722778149</v>
      </c>
      <c r="Z177" s="32">
        <v>585</v>
      </c>
      <c r="AA177" s="32">
        <v>15260</v>
      </c>
      <c r="AB177" s="32">
        <v>6897</v>
      </c>
      <c r="AC177" s="32">
        <v>0</v>
      </c>
      <c r="AD177" s="32">
        <v>0</v>
      </c>
      <c r="AE177" s="32">
        <v>67455</v>
      </c>
      <c r="AF177" s="32">
        <v>0</v>
      </c>
      <c r="AG17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4.502688172043011</v>
      </c>
      <c r="AH177" s="32">
        <v>1645</v>
      </c>
      <c r="AI177" s="32">
        <v>0</v>
      </c>
      <c r="AJ177" s="32">
        <v>322</v>
      </c>
      <c r="AK177" s="32">
        <v>0</v>
      </c>
      <c r="AL177" s="32">
        <v>60</v>
      </c>
      <c r="AM177" s="32">
        <v>930</v>
      </c>
      <c r="AN177" s="32">
        <v>1222</v>
      </c>
      <c r="AO177" s="32">
        <v>0</v>
      </c>
      <c r="AP177" s="32">
        <v>-372</v>
      </c>
      <c r="AQ17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4.1063829787234045</v>
      </c>
      <c r="AR177" s="32">
        <v>1695</v>
      </c>
      <c r="AS177" s="32">
        <v>1356</v>
      </c>
      <c r="AT177" s="32">
        <v>632</v>
      </c>
      <c r="AU177" s="32">
        <v>494</v>
      </c>
      <c r="AV177" s="32">
        <v>217</v>
      </c>
      <c r="AW177" s="32">
        <v>930</v>
      </c>
      <c r="AX177" s="32">
        <v>80</v>
      </c>
      <c r="AY177" s="32">
        <v>0</v>
      </c>
      <c r="AZ177" s="32">
        <v>0</v>
      </c>
      <c r="BA177" s="32">
        <v>0</v>
      </c>
      <c r="BB177" s="32">
        <v>0</v>
      </c>
      <c r="BC177" s="32">
        <v>1316</v>
      </c>
      <c r="BD177" s="34">
        <f>IFERROR(SUM(Entity_Metrics[[#This Row],[Operating surplus/(deficit) (social housing lettings)]])/SUM(Entity_Metrics[[#This Row],[Turnover from social housing lettings]]),"")</f>
        <v>0.20792211256335022</v>
      </c>
      <c r="BE177" s="32">
        <v>1559</v>
      </c>
      <c r="BF177" s="32">
        <v>7498</v>
      </c>
      <c r="BG177" s="34">
        <f>IFERROR(SUM(Entity_Metrics[[#This Row],[Operating surplus/(deficit) (overall)2]],-Entity_Metrics[[#This Row],[Gain/(loss) on disposal of fixed assets (housing properties)2]])/SUM(Entity_Metrics[[#This Row],[Turnover (overall)]]),"")</f>
        <v>0.21690400843881857</v>
      </c>
      <c r="BH177" s="32">
        <v>1645</v>
      </c>
      <c r="BI177" s="32">
        <v>0</v>
      </c>
      <c r="BJ177" s="32">
        <v>7584</v>
      </c>
      <c r="BK177" s="34">
        <f>IFERROR(SUM(Entity_Metrics[[#This Row],[Operating surplus/(deficit) (overall)3]],Entity_Metrics[[#This Row],[Share of operating surplus/(deficit) in joint ventures or associates]])/SUM(Entity_Metrics[[#This Row],[Total assets less current liabilities]]),"")</f>
        <v>2.2146530601254745E-2</v>
      </c>
      <c r="BL177" s="32">
        <v>1645</v>
      </c>
      <c r="BM177" s="32">
        <v>0</v>
      </c>
      <c r="BN177" s="32">
        <v>74278</v>
      </c>
      <c r="BO177" s="34">
        <v>0</v>
      </c>
      <c r="BP177" s="34">
        <v>0.14875389408099687</v>
      </c>
      <c r="BQ177" s="6" t="s">
        <v>82</v>
      </c>
      <c r="BR177" s="6" t="s">
        <v>83</v>
      </c>
      <c r="BS177" s="6" t="s">
        <v>83</v>
      </c>
      <c r="BT177" s="6" t="s">
        <v>108</v>
      </c>
      <c r="BU177" s="8">
        <v>0.94807909763407583</v>
      </c>
      <c r="BV177" s="37" t="s">
        <v>373</v>
      </c>
      <c r="BW177" s="19" t="s">
        <v>374</v>
      </c>
    </row>
    <row r="178" spans="1:75" x14ac:dyDescent="0.25">
      <c r="A178" s="33" t="s">
        <v>761</v>
      </c>
      <c r="B178" s="7" t="s">
        <v>376</v>
      </c>
      <c r="C178" s="7" t="s">
        <v>81</v>
      </c>
      <c r="D17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1.0967018892090938E-2</v>
      </c>
      <c r="E178" s="32">
        <v>0</v>
      </c>
      <c r="F178" s="32">
        <v>0</v>
      </c>
      <c r="G178" s="32">
        <v>685</v>
      </c>
      <c r="H178" s="32">
        <v>0</v>
      </c>
      <c r="I178" s="32">
        <v>0</v>
      </c>
      <c r="J178" s="32">
        <v>62460</v>
      </c>
      <c r="K178" s="32">
        <v>0</v>
      </c>
      <c r="L17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78" s="32">
        <v>0</v>
      </c>
      <c r="N178" s="32">
        <v>0</v>
      </c>
      <c r="O178" s="32">
        <v>1551</v>
      </c>
      <c r="P178" s="32">
        <v>0</v>
      </c>
      <c r="Q17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78" s="32">
        <v>0</v>
      </c>
      <c r="S178" s="32">
        <v>0</v>
      </c>
      <c r="T178" s="32">
        <v>0</v>
      </c>
      <c r="U178" s="32">
        <v>1551</v>
      </c>
      <c r="V178" s="32">
        <v>0</v>
      </c>
      <c r="W178" s="32">
        <v>0</v>
      </c>
      <c r="X178" s="32">
        <v>0</v>
      </c>
      <c r="Y17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0.21853986551392893</v>
      </c>
      <c r="Z178" s="32">
        <v>1336</v>
      </c>
      <c r="AA178" s="32">
        <v>15385</v>
      </c>
      <c r="AB178" s="32">
        <v>3071</v>
      </c>
      <c r="AC178" s="32">
        <v>0</v>
      </c>
      <c r="AD178" s="32">
        <v>0</v>
      </c>
      <c r="AE178" s="32">
        <v>62460</v>
      </c>
      <c r="AF178" s="32">
        <v>0</v>
      </c>
      <c r="AG17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4.3735795454545459</v>
      </c>
      <c r="AH178" s="32">
        <v>3114</v>
      </c>
      <c r="AI178" s="32">
        <v>0</v>
      </c>
      <c r="AJ178" s="32">
        <v>550</v>
      </c>
      <c r="AK178" s="32">
        <v>0</v>
      </c>
      <c r="AL178" s="32">
        <v>131</v>
      </c>
      <c r="AM178" s="32">
        <v>685</v>
      </c>
      <c r="AN178" s="32">
        <v>1069</v>
      </c>
      <c r="AO178" s="32">
        <v>-1</v>
      </c>
      <c r="AP178" s="32">
        <v>-703</v>
      </c>
      <c r="AQ17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3.032882011605416</v>
      </c>
      <c r="AR178" s="32">
        <v>1269</v>
      </c>
      <c r="AS178" s="32">
        <v>473</v>
      </c>
      <c r="AT178" s="32">
        <v>1218</v>
      </c>
      <c r="AU178" s="32">
        <v>0</v>
      </c>
      <c r="AV178" s="32">
        <v>951</v>
      </c>
      <c r="AW178" s="32">
        <v>685</v>
      </c>
      <c r="AX178" s="32">
        <v>99</v>
      </c>
      <c r="AY178" s="32">
        <v>0</v>
      </c>
      <c r="AZ178" s="32">
        <v>0</v>
      </c>
      <c r="BA178" s="32">
        <v>9</v>
      </c>
      <c r="BB178" s="32">
        <v>0</v>
      </c>
      <c r="BC178" s="32">
        <v>1551</v>
      </c>
      <c r="BD178" s="34">
        <f>IFERROR(SUM(Entity_Metrics[[#This Row],[Operating surplus/(deficit) (social housing lettings)]])/SUM(Entity_Metrics[[#This Row],[Turnover from social housing lettings]]),"")</f>
        <v>0.36973634886917406</v>
      </c>
      <c r="BE178" s="32">
        <v>2959</v>
      </c>
      <c r="BF178" s="32">
        <v>8003</v>
      </c>
      <c r="BG178" s="34">
        <f>IFERROR(SUM(Entity_Metrics[[#This Row],[Operating surplus/(deficit) (overall)2]],-Entity_Metrics[[#This Row],[Gain/(loss) on disposal of fixed assets (housing properties)2]])/SUM(Entity_Metrics[[#This Row],[Turnover (overall)]]),"")</f>
        <v>0.34159719175076786</v>
      </c>
      <c r="BH178" s="32">
        <v>3114</v>
      </c>
      <c r="BI178" s="32">
        <v>0</v>
      </c>
      <c r="BJ178" s="32">
        <v>9116</v>
      </c>
      <c r="BK178" s="34">
        <f>IFERROR(SUM(Entity_Metrics[[#This Row],[Operating surplus/(deficit) (overall)3]],Entity_Metrics[[#This Row],[Share of operating surplus/(deficit) in joint ventures or associates]])/SUM(Entity_Metrics[[#This Row],[Total assets less current liabilities]]),"")</f>
        <v>4.3682578871322965E-2</v>
      </c>
      <c r="BL178" s="32">
        <v>3114</v>
      </c>
      <c r="BM178" s="32">
        <v>0</v>
      </c>
      <c r="BN178" s="32">
        <v>71287</v>
      </c>
      <c r="BO178" s="34">
        <v>3.6222509702457953E-2</v>
      </c>
      <c r="BP178" s="34">
        <v>0.13324708926261319</v>
      </c>
      <c r="BQ178" s="6" t="s">
        <v>82</v>
      </c>
      <c r="BR178" s="6" t="s">
        <v>83</v>
      </c>
      <c r="BS178" s="6" t="s">
        <v>83</v>
      </c>
      <c r="BT178" s="6" t="s">
        <v>105</v>
      </c>
      <c r="BU178" s="8">
        <v>0.9156653862445665</v>
      </c>
      <c r="BV178" s="37" t="s">
        <v>761</v>
      </c>
      <c r="BW178" s="19" t="s">
        <v>376</v>
      </c>
    </row>
    <row r="179" spans="1:75" x14ac:dyDescent="0.25">
      <c r="A179" s="33" t="s">
        <v>762</v>
      </c>
      <c r="B179" s="7" t="s">
        <v>763</v>
      </c>
      <c r="C179" s="7" t="s">
        <v>81</v>
      </c>
      <c r="D17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0.17934332280434148</v>
      </c>
      <c r="E179" s="32">
        <v>64670</v>
      </c>
      <c r="F179" s="32">
        <v>250900</v>
      </c>
      <c r="G179" s="32">
        <v>0</v>
      </c>
      <c r="H179" s="32">
        <v>0</v>
      </c>
      <c r="I179" s="32">
        <v>0</v>
      </c>
      <c r="J179" s="32">
        <v>1759586</v>
      </c>
      <c r="K179" s="32">
        <v>0</v>
      </c>
      <c r="L17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4.0863981319322826E-3</v>
      </c>
      <c r="M179" s="32">
        <v>175</v>
      </c>
      <c r="N179" s="32">
        <v>0</v>
      </c>
      <c r="O179" s="32">
        <v>38221</v>
      </c>
      <c r="P179" s="32">
        <v>4604</v>
      </c>
      <c r="Q17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1.2543050299757643E-3</v>
      </c>
      <c r="R179" s="32">
        <v>6</v>
      </c>
      <c r="S179" s="32">
        <v>0</v>
      </c>
      <c r="T179" s="32">
        <v>53</v>
      </c>
      <c r="U179" s="32">
        <v>38221</v>
      </c>
      <c r="V179" s="32">
        <v>4213</v>
      </c>
      <c r="W179" s="32">
        <v>4604</v>
      </c>
      <c r="X179" s="32">
        <v>0</v>
      </c>
      <c r="Y17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1.2423666703417735</v>
      </c>
      <c r="Z179" s="32">
        <v>90468</v>
      </c>
      <c r="AA179" s="32">
        <v>948427</v>
      </c>
      <c r="AB179" s="32">
        <v>15150</v>
      </c>
      <c r="AC179" s="32">
        <v>1004868</v>
      </c>
      <c r="AD179" s="32">
        <v>157438</v>
      </c>
      <c r="AE179" s="32">
        <v>1759586</v>
      </c>
      <c r="AF179" s="32">
        <v>0</v>
      </c>
      <c r="AG17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0.98657925721926198</v>
      </c>
      <c r="AH179" s="32">
        <v>127371</v>
      </c>
      <c r="AI179" s="32">
        <v>5647</v>
      </c>
      <c r="AJ179" s="32">
        <v>9001</v>
      </c>
      <c r="AK179" s="32">
        <v>0</v>
      </c>
      <c r="AL179" s="32">
        <v>13894</v>
      </c>
      <c r="AM179" s="32">
        <v>49800</v>
      </c>
      <c r="AN179" s="32">
        <v>22056</v>
      </c>
      <c r="AO179" s="32">
        <v>-299</v>
      </c>
      <c r="AP179" s="32">
        <v>-99919</v>
      </c>
      <c r="AQ17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3.2878279549129878</v>
      </c>
      <c r="AR179" s="32">
        <v>23584</v>
      </c>
      <c r="AS179" s="32">
        <v>15581</v>
      </c>
      <c r="AT179" s="32">
        <v>23668</v>
      </c>
      <c r="AU179" s="32">
        <v>7777</v>
      </c>
      <c r="AV179" s="32">
        <v>2641</v>
      </c>
      <c r="AW179" s="32">
        <v>49800</v>
      </c>
      <c r="AX179" s="32">
        <v>11973</v>
      </c>
      <c r="AY179" s="32">
        <v>0</v>
      </c>
      <c r="AZ179" s="32">
        <v>0</v>
      </c>
      <c r="BA179" s="32">
        <v>882</v>
      </c>
      <c r="BB179" s="32">
        <v>312</v>
      </c>
      <c r="BC179" s="32">
        <v>41431</v>
      </c>
      <c r="BD179" s="34">
        <f>IFERROR(SUM(Entity_Metrics[[#This Row],[Operating surplus/(deficit) (social housing lettings)]])/SUM(Entity_Metrics[[#This Row],[Turnover from social housing lettings]]),"")</f>
        <v>0.48633104309806369</v>
      </c>
      <c r="BE179" s="32">
        <v>97327</v>
      </c>
      <c r="BF179" s="32">
        <v>200125</v>
      </c>
      <c r="BG179" s="34">
        <f>IFERROR(SUM(Entity_Metrics[[#This Row],[Operating surplus/(deficit) (overall)2]],-Entity_Metrics[[#This Row],[Gain/(loss) on disposal of fixed assets (housing properties)2]])/SUM(Entity_Metrics[[#This Row],[Turnover (overall)]]),"")</f>
        <v>0.43410841654778887</v>
      </c>
      <c r="BH179" s="32">
        <v>127371</v>
      </c>
      <c r="BI179" s="32">
        <v>5647</v>
      </c>
      <c r="BJ179" s="32">
        <v>280400</v>
      </c>
      <c r="BK179" s="34">
        <f>IFERROR(SUM(Entity_Metrics[[#This Row],[Operating surplus/(deficit) (overall)3]],Entity_Metrics[[#This Row],[Share of operating surplus/(deficit) in joint ventures or associates]])/SUM(Entity_Metrics[[#This Row],[Total assets less current liabilities]]),"")</f>
        <v>4.123549468607917E-2</v>
      </c>
      <c r="BL179" s="32">
        <v>127371</v>
      </c>
      <c r="BM179" s="32">
        <v>0</v>
      </c>
      <c r="BN179" s="32">
        <v>3088868</v>
      </c>
      <c r="BO179" s="34">
        <v>1.4076031501007299E-2</v>
      </c>
      <c r="BP179" s="34">
        <v>1.2401559352188587E-2</v>
      </c>
      <c r="BQ179" s="6" t="s">
        <v>82</v>
      </c>
      <c r="BR179" s="6" t="s">
        <v>83</v>
      </c>
      <c r="BS179" s="6" t="s">
        <v>83</v>
      </c>
      <c r="BT179" s="6" t="s">
        <v>87</v>
      </c>
      <c r="BU179" s="8">
        <v>0.9576475747068669</v>
      </c>
      <c r="BV179" s="37" t="s">
        <v>623</v>
      </c>
      <c r="BW179" s="19" t="s">
        <v>378</v>
      </c>
    </row>
    <row r="180" spans="1:75" x14ac:dyDescent="0.25">
      <c r="A180" s="33" t="s">
        <v>764</v>
      </c>
      <c r="B180" s="7" t="s">
        <v>765</v>
      </c>
      <c r="C180" s="7" t="s">
        <v>81</v>
      </c>
      <c r="D18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2.6859003849972155E-2</v>
      </c>
      <c r="E180" s="32">
        <v>8874</v>
      </c>
      <c r="F180" s="32">
        <v>0</v>
      </c>
      <c r="G180" s="32">
        <v>0</v>
      </c>
      <c r="H180" s="32">
        <v>0</v>
      </c>
      <c r="I180" s="32">
        <v>0</v>
      </c>
      <c r="J180" s="32">
        <v>330392</v>
      </c>
      <c r="K180" s="32">
        <v>0</v>
      </c>
      <c r="L18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4.4452347083926034E-3</v>
      </c>
      <c r="M180" s="32">
        <v>25</v>
      </c>
      <c r="N180" s="32">
        <v>0</v>
      </c>
      <c r="O180" s="32">
        <v>5624</v>
      </c>
      <c r="P180" s="32">
        <v>0</v>
      </c>
      <c r="Q18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0" s="32">
        <v>0</v>
      </c>
      <c r="S180" s="32">
        <v>0</v>
      </c>
      <c r="T180" s="32">
        <v>0</v>
      </c>
      <c r="U180" s="32">
        <v>5624</v>
      </c>
      <c r="V180" s="32">
        <v>0</v>
      </c>
      <c r="W180" s="32">
        <v>0</v>
      </c>
      <c r="X180" s="32">
        <v>0</v>
      </c>
      <c r="Y18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0.12470640935615875</v>
      </c>
      <c r="Z180" s="32">
        <v>1473</v>
      </c>
      <c r="AA180" s="32">
        <v>9537</v>
      </c>
      <c r="AB180" s="32">
        <v>104</v>
      </c>
      <c r="AC180" s="32">
        <v>30296</v>
      </c>
      <c r="AD180" s="32">
        <v>0</v>
      </c>
      <c r="AE180" s="32">
        <v>330392</v>
      </c>
      <c r="AF180" s="32">
        <v>0</v>
      </c>
      <c r="AG18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0.28279654359780049</v>
      </c>
      <c r="AH180" s="32">
        <v>9162</v>
      </c>
      <c r="AI180" s="32">
        <v>0</v>
      </c>
      <c r="AJ180" s="32">
        <v>2266</v>
      </c>
      <c r="AK180" s="32">
        <v>0</v>
      </c>
      <c r="AL180" s="32">
        <v>51</v>
      </c>
      <c r="AM180" s="32">
        <v>9591</v>
      </c>
      <c r="AN180" s="32">
        <v>3004</v>
      </c>
      <c r="AO180" s="32">
        <v>0</v>
      </c>
      <c r="AP180" s="32">
        <v>-1273</v>
      </c>
      <c r="AQ18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5.3090737240075612</v>
      </c>
      <c r="AR180" s="32">
        <v>5828</v>
      </c>
      <c r="AS180" s="32">
        <v>8523</v>
      </c>
      <c r="AT180" s="32">
        <v>1733</v>
      </c>
      <c r="AU180" s="32">
        <v>1025</v>
      </c>
      <c r="AV180" s="32">
        <v>196</v>
      </c>
      <c r="AW180" s="32">
        <v>9591</v>
      </c>
      <c r="AX180" s="32">
        <v>2308</v>
      </c>
      <c r="AY180" s="32">
        <v>0</v>
      </c>
      <c r="AZ180" s="32">
        <v>0</v>
      </c>
      <c r="BA180" s="32">
        <v>217</v>
      </c>
      <c r="BB180" s="32">
        <v>4281</v>
      </c>
      <c r="BC180" s="32">
        <v>6348</v>
      </c>
      <c r="BD180" s="34">
        <f>IFERROR(SUM(Entity_Metrics[[#This Row],[Operating surplus/(deficit) (social housing lettings)]])/SUM(Entity_Metrics[[#This Row],[Turnover from social housing lettings]]),"")</f>
        <v>0.27270402455007514</v>
      </c>
      <c r="BE180" s="32">
        <v>8531</v>
      </c>
      <c r="BF180" s="32">
        <v>31283</v>
      </c>
      <c r="BG180" s="34">
        <f>IFERROR(SUM(Entity_Metrics[[#This Row],[Operating surplus/(deficit) (overall)2]],-Entity_Metrics[[#This Row],[Gain/(loss) on disposal of fixed assets (housing properties)2]])/SUM(Entity_Metrics[[#This Row],[Turnover (overall)]]),"")</f>
        <v>0.24835998915695309</v>
      </c>
      <c r="BH180" s="32">
        <v>9162</v>
      </c>
      <c r="BI180" s="32">
        <v>0</v>
      </c>
      <c r="BJ180" s="32">
        <v>36890</v>
      </c>
      <c r="BK180" s="34">
        <f>IFERROR(SUM(Entity_Metrics[[#This Row],[Operating surplus/(deficit) (overall)3]],Entity_Metrics[[#This Row],[Share of operating surplus/(deficit) in joint ventures or associates]])/SUM(Entity_Metrics[[#This Row],[Total assets less current liabilities]]),"")</f>
        <v>2.6276166467344077E-2</v>
      </c>
      <c r="BL180" s="32">
        <v>9162</v>
      </c>
      <c r="BM180" s="32">
        <v>0</v>
      </c>
      <c r="BN180" s="32">
        <v>348681</v>
      </c>
      <c r="BO180" s="34">
        <v>0.3568634423897582</v>
      </c>
      <c r="BP180" s="34">
        <v>7.2368421052631582E-2</v>
      </c>
      <c r="BQ180" s="6" t="s">
        <v>82</v>
      </c>
      <c r="BR180" s="6" t="s">
        <v>83</v>
      </c>
      <c r="BS180" s="6" t="s">
        <v>83</v>
      </c>
      <c r="BT180" s="6" t="s">
        <v>87</v>
      </c>
      <c r="BU180" s="8">
        <v>0.99272735752198882</v>
      </c>
      <c r="BV180" s="37" t="s">
        <v>623</v>
      </c>
      <c r="BW180" s="19" t="s">
        <v>378</v>
      </c>
    </row>
    <row r="181" spans="1:75" x14ac:dyDescent="0.25">
      <c r="A181" s="33" t="s">
        <v>379</v>
      </c>
      <c r="B181" s="7" t="s">
        <v>380</v>
      </c>
      <c r="C181" s="7" t="s">
        <v>134</v>
      </c>
      <c r="D181" s="34" t="str">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
      </c>
      <c r="E181" s="32">
        <v>0</v>
      </c>
      <c r="F181" s="32">
        <v>0</v>
      </c>
      <c r="G181" s="32">
        <v>0</v>
      </c>
      <c r="H181" s="32">
        <v>0</v>
      </c>
      <c r="I181" s="32">
        <v>0</v>
      </c>
      <c r="J181" s="32">
        <v>0</v>
      </c>
      <c r="K181" s="32">
        <v>0</v>
      </c>
      <c r="L18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81" s="32">
        <v>0</v>
      </c>
      <c r="N181" s="32">
        <v>0</v>
      </c>
      <c r="O181" s="32">
        <v>1716</v>
      </c>
      <c r="P181" s="32">
        <v>0</v>
      </c>
      <c r="Q18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1" s="32">
        <v>0</v>
      </c>
      <c r="S181" s="32">
        <v>0</v>
      </c>
      <c r="T181" s="32">
        <v>0</v>
      </c>
      <c r="U181" s="32">
        <v>1716</v>
      </c>
      <c r="V181" s="32">
        <v>0</v>
      </c>
      <c r="W181" s="32">
        <v>0</v>
      </c>
      <c r="X181" s="32">
        <v>0</v>
      </c>
      <c r="Y181" s="34" t="str">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
      </c>
      <c r="Z181" s="32">
        <v>0</v>
      </c>
      <c r="AA181" s="32">
        <v>0</v>
      </c>
      <c r="AB181" s="32">
        <v>2510</v>
      </c>
      <c r="AC181" s="32">
        <v>6284</v>
      </c>
      <c r="AD181" s="32">
        <v>0</v>
      </c>
      <c r="AE181" s="32">
        <v>0</v>
      </c>
      <c r="AF181" s="32">
        <v>0</v>
      </c>
      <c r="AG18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-1.0807174887892377</v>
      </c>
      <c r="AH181" s="32">
        <v>-378</v>
      </c>
      <c r="AI181" s="32">
        <v>0</v>
      </c>
      <c r="AJ181" s="32">
        <v>0</v>
      </c>
      <c r="AK181" s="32">
        <v>0</v>
      </c>
      <c r="AL181" s="32">
        <v>126</v>
      </c>
      <c r="AM181" s="32">
        <v>0</v>
      </c>
      <c r="AN181" s="32">
        <v>11</v>
      </c>
      <c r="AO181" s="32">
        <v>0</v>
      </c>
      <c r="AP181" s="32">
        <v>-223</v>
      </c>
      <c r="AQ18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6.8531468531468533</v>
      </c>
      <c r="AR181" s="32">
        <v>290</v>
      </c>
      <c r="AS181" s="32">
        <v>0</v>
      </c>
      <c r="AT181" s="32">
        <v>1453</v>
      </c>
      <c r="AU181" s="32">
        <v>0</v>
      </c>
      <c r="AV181" s="32">
        <v>0</v>
      </c>
      <c r="AW181" s="32">
        <v>0</v>
      </c>
      <c r="AX181" s="32">
        <v>10017</v>
      </c>
      <c r="AY181" s="32">
        <v>0</v>
      </c>
      <c r="AZ181" s="32">
        <v>0</v>
      </c>
      <c r="BA181" s="32">
        <v>0</v>
      </c>
      <c r="BB181" s="32">
        <v>0</v>
      </c>
      <c r="BC181" s="32">
        <v>1716</v>
      </c>
      <c r="BD181" s="34">
        <f>IFERROR(SUM(Entity_Metrics[[#This Row],[Operating surplus/(deficit) (social housing lettings)]])/SUM(Entity_Metrics[[#This Row],[Turnover from social housing lettings]]),"")</f>
        <v>-1.0554531747361368E-2</v>
      </c>
      <c r="BE181" s="32">
        <v>-126</v>
      </c>
      <c r="BF181" s="32">
        <v>11938</v>
      </c>
      <c r="BG181" s="34">
        <f>IFERROR(SUM(Entity_Metrics[[#This Row],[Operating surplus/(deficit) (overall)2]],-Entity_Metrics[[#This Row],[Gain/(loss) on disposal of fixed assets (housing properties)2]])/SUM(Entity_Metrics[[#This Row],[Turnover (overall)]]),"")</f>
        <v>-3.1663595242084099E-2</v>
      </c>
      <c r="BH181" s="32">
        <v>-378</v>
      </c>
      <c r="BI181" s="32">
        <v>0</v>
      </c>
      <c r="BJ181" s="32">
        <v>11938</v>
      </c>
      <c r="BK181" s="34">
        <f>IFERROR(SUM(Entity_Metrics[[#This Row],[Operating surplus/(deficit) (overall)3]],Entity_Metrics[[#This Row],[Share of operating surplus/(deficit) in joint ventures or associates]])/SUM(Entity_Metrics[[#This Row],[Total assets less current liabilities]]),"")</f>
        <v>-0.23261538461538461</v>
      </c>
      <c r="BL181" s="32">
        <v>-378</v>
      </c>
      <c r="BM181" s="32">
        <v>0</v>
      </c>
      <c r="BN181" s="32">
        <v>1625</v>
      </c>
      <c r="BO181" s="34">
        <v>0</v>
      </c>
      <c r="BP181" s="34">
        <v>0</v>
      </c>
      <c r="BQ181" s="6" t="s">
        <v>82</v>
      </c>
      <c r="BR181" s="6" t="s">
        <v>83</v>
      </c>
      <c r="BS181" s="6" t="s">
        <v>83</v>
      </c>
      <c r="BT181" s="6" t="s">
        <v>87</v>
      </c>
      <c r="BU181" s="8">
        <v>1.0302716472882838</v>
      </c>
      <c r="BV181" s="37">
        <v>4757</v>
      </c>
      <c r="BW181" s="19" t="s">
        <v>380</v>
      </c>
    </row>
    <row r="182" spans="1:75" x14ac:dyDescent="0.25">
      <c r="A182" s="33" t="s">
        <v>766</v>
      </c>
      <c r="B182" s="7" t="s">
        <v>767</v>
      </c>
      <c r="C182" s="7" t="s">
        <v>81</v>
      </c>
      <c r="D18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v>
      </c>
      <c r="E182" s="32">
        <v>0</v>
      </c>
      <c r="F182" s="32">
        <v>0</v>
      </c>
      <c r="G182" s="32">
        <v>0</v>
      </c>
      <c r="H182" s="32">
        <v>0</v>
      </c>
      <c r="I182" s="32">
        <v>0</v>
      </c>
      <c r="J182" s="32">
        <v>2675</v>
      </c>
      <c r="K182" s="32">
        <v>0</v>
      </c>
      <c r="L18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82" s="32">
        <v>0</v>
      </c>
      <c r="N182" s="32">
        <v>0</v>
      </c>
      <c r="O182" s="32">
        <v>132</v>
      </c>
      <c r="P182" s="32">
        <v>182</v>
      </c>
      <c r="Q18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2" s="32">
        <v>0</v>
      </c>
      <c r="S182" s="32">
        <v>0</v>
      </c>
      <c r="T182" s="32">
        <v>0</v>
      </c>
      <c r="U182" s="32">
        <v>132</v>
      </c>
      <c r="V182" s="32">
        <v>0</v>
      </c>
      <c r="W182" s="32">
        <v>182</v>
      </c>
      <c r="X182" s="32">
        <v>0</v>
      </c>
      <c r="Y18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-1.6306542056074766</v>
      </c>
      <c r="Z182" s="32">
        <v>6</v>
      </c>
      <c r="AA182" s="32">
        <v>73</v>
      </c>
      <c r="AB182" s="32">
        <v>4441</v>
      </c>
      <c r="AC182" s="32">
        <v>0</v>
      </c>
      <c r="AD182" s="32">
        <v>0</v>
      </c>
      <c r="AE182" s="32">
        <v>2675</v>
      </c>
      <c r="AF182" s="32">
        <v>0</v>
      </c>
      <c r="AG18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72.777777777777771</v>
      </c>
      <c r="AH182" s="32">
        <v>738</v>
      </c>
      <c r="AI182" s="32">
        <v>101</v>
      </c>
      <c r="AJ182" s="32">
        <v>21</v>
      </c>
      <c r="AK182" s="32">
        <v>0</v>
      </c>
      <c r="AL182" s="32">
        <v>12</v>
      </c>
      <c r="AM182" s="32">
        <v>0</v>
      </c>
      <c r="AN182" s="32">
        <v>27</v>
      </c>
      <c r="AO182" s="32">
        <v>0</v>
      </c>
      <c r="AP182" s="32">
        <v>-9</v>
      </c>
      <c r="AQ18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1.9005102040816326</v>
      </c>
      <c r="AR182" s="32">
        <v>84</v>
      </c>
      <c r="AS182" s="32">
        <v>189</v>
      </c>
      <c r="AT182" s="32">
        <v>39</v>
      </c>
      <c r="AU182" s="32">
        <v>0</v>
      </c>
      <c r="AV182" s="32">
        <v>0</v>
      </c>
      <c r="AW182" s="32">
        <v>0</v>
      </c>
      <c r="AX182" s="32">
        <v>0</v>
      </c>
      <c r="AY182" s="32">
        <v>0</v>
      </c>
      <c r="AZ182" s="32">
        <v>0</v>
      </c>
      <c r="BA182" s="32">
        <v>2668</v>
      </c>
      <c r="BB182" s="32">
        <v>0</v>
      </c>
      <c r="BC182" s="32">
        <v>1568</v>
      </c>
      <c r="BD182" s="34">
        <f>IFERROR(SUM(Entity_Metrics[[#This Row],[Operating surplus/(deficit) (social housing lettings)]])/SUM(Entity_Metrics[[#This Row],[Turnover from social housing lettings]]),"")</f>
        <v>0.60697674418604652</v>
      </c>
      <c r="BE182" s="32">
        <v>522</v>
      </c>
      <c r="BF182" s="32">
        <v>860</v>
      </c>
      <c r="BG182" s="34">
        <f>IFERROR(SUM(Entity_Metrics[[#This Row],[Operating surplus/(deficit) (overall)2]],-Entity_Metrics[[#This Row],[Gain/(loss) on disposal of fixed assets (housing properties)2]])/SUM(Entity_Metrics[[#This Row],[Turnover (overall)]]),"")</f>
        <v>0.1721156444204269</v>
      </c>
      <c r="BH182" s="32">
        <v>738</v>
      </c>
      <c r="BI182" s="32">
        <v>101</v>
      </c>
      <c r="BJ182" s="32">
        <v>3701</v>
      </c>
      <c r="BK182" s="34">
        <f>IFERROR(SUM(Entity_Metrics[[#This Row],[Operating surplus/(deficit) (overall)3]],Entity_Metrics[[#This Row],[Share of operating surplus/(deficit) in joint ventures or associates]])/SUM(Entity_Metrics[[#This Row],[Total assets less current liabilities]]),"")</f>
        <v>0.1735653809971778</v>
      </c>
      <c r="BL182" s="32">
        <v>738</v>
      </c>
      <c r="BM182" s="32">
        <v>0</v>
      </c>
      <c r="BN182" s="32">
        <v>4252</v>
      </c>
      <c r="BO182" s="34">
        <v>0</v>
      </c>
      <c r="BP182" s="34">
        <v>0</v>
      </c>
      <c r="BQ182" s="6" t="s">
        <v>82</v>
      </c>
      <c r="BR182" s="6" t="s">
        <v>83</v>
      </c>
      <c r="BS182" s="6" t="s">
        <v>83</v>
      </c>
      <c r="BT182" s="6" t="s">
        <v>768</v>
      </c>
      <c r="BU182" s="8">
        <v>0</v>
      </c>
      <c r="BV182" s="37" t="s">
        <v>670</v>
      </c>
      <c r="BW182" s="19" t="s">
        <v>234</v>
      </c>
    </row>
    <row r="183" spans="1:75" x14ac:dyDescent="0.25">
      <c r="A183" s="33" t="s">
        <v>769</v>
      </c>
      <c r="B183" s="7" t="s">
        <v>382</v>
      </c>
      <c r="C183" s="7" t="s">
        <v>81</v>
      </c>
      <c r="D18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4.528155786277404E-2</v>
      </c>
      <c r="E183" s="32">
        <v>18101</v>
      </c>
      <c r="F183" s="32">
        <v>0</v>
      </c>
      <c r="G183" s="32">
        <v>8682</v>
      </c>
      <c r="H183" s="32">
        <v>0</v>
      </c>
      <c r="I183" s="32">
        <v>0</v>
      </c>
      <c r="J183" s="32">
        <v>591477</v>
      </c>
      <c r="K183" s="32">
        <v>0</v>
      </c>
      <c r="L18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1.0280015343306482E-2</v>
      </c>
      <c r="M183" s="32">
        <v>134</v>
      </c>
      <c r="N183" s="32">
        <v>0</v>
      </c>
      <c r="O183" s="32">
        <v>13035</v>
      </c>
      <c r="P183" s="32">
        <v>0</v>
      </c>
      <c r="Q18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5.3292729349067381E-4</v>
      </c>
      <c r="R183" s="32">
        <v>7</v>
      </c>
      <c r="S183" s="32">
        <v>0</v>
      </c>
      <c r="T183" s="32">
        <v>0</v>
      </c>
      <c r="U183" s="32">
        <v>13035</v>
      </c>
      <c r="V183" s="32">
        <v>100</v>
      </c>
      <c r="W183" s="32">
        <v>0</v>
      </c>
      <c r="X183" s="32">
        <v>0</v>
      </c>
      <c r="Y18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0.48503830241919804</v>
      </c>
      <c r="Z183" s="32">
        <v>12871</v>
      </c>
      <c r="AA183" s="32">
        <v>278495</v>
      </c>
      <c r="AB183" s="32">
        <v>4477</v>
      </c>
      <c r="AC183" s="32">
        <v>0</v>
      </c>
      <c r="AD183" s="32">
        <v>0</v>
      </c>
      <c r="AE183" s="32">
        <v>591477</v>
      </c>
      <c r="AF183" s="32">
        <v>0</v>
      </c>
      <c r="AG18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1.3260982294984813</v>
      </c>
      <c r="AH183" s="32">
        <v>17987</v>
      </c>
      <c r="AI183" s="32">
        <v>1007</v>
      </c>
      <c r="AJ183" s="32">
        <v>3018</v>
      </c>
      <c r="AK183" s="32">
        <v>0</v>
      </c>
      <c r="AL183" s="32">
        <v>10</v>
      </c>
      <c r="AM183" s="32">
        <v>8686</v>
      </c>
      <c r="AN183" s="32">
        <v>12615</v>
      </c>
      <c r="AO183" s="32">
        <v>-136</v>
      </c>
      <c r="AP183" s="32">
        <v>-13363</v>
      </c>
      <c r="AQ18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3.3164556962025316</v>
      </c>
      <c r="AR183" s="32">
        <v>9695</v>
      </c>
      <c r="AS183" s="32">
        <v>4373</v>
      </c>
      <c r="AT183" s="32">
        <v>15437</v>
      </c>
      <c r="AU183" s="32">
        <v>0</v>
      </c>
      <c r="AV183" s="32">
        <v>1326</v>
      </c>
      <c r="AW183" s="32">
        <v>8686</v>
      </c>
      <c r="AX183" s="32">
        <v>75</v>
      </c>
      <c r="AY183" s="32">
        <v>0</v>
      </c>
      <c r="AZ183" s="32">
        <v>484</v>
      </c>
      <c r="BA183" s="32">
        <v>1135</v>
      </c>
      <c r="BB183" s="32">
        <v>2019</v>
      </c>
      <c r="BC183" s="32">
        <v>13035</v>
      </c>
      <c r="BD183" s="34">
        <f>IFERROR(SUM(Entity_Metrics[[#This Row],[Operating surplus/(deficit) (social housing lettings)]])/SUM(Entity_Metrics[[#This Row],[Turnover from social housing lettings]]),"")</f>
        <v>0.32868922812825702</v>
      </c>
      <c r="BE183" s="32">
        <v>21445</v>
      </c>
      <c r="BF183" s="32">
        <v>65244</v>
      </c>
      <c r="BG183" s="34">
        <f>IFERROR(SUM(Entity_Metrics[[#This Row],[Operating surplus/(deficit) (overall)2]],-Entity_Metrics[[#This Row],[Gain/(loss) on disposal of fixed assets (housing properties)2]])/SUM(Entity_Metrics[[#This Row],[Turnover (overall)]]),"")</f>
        <v>0.22097865694950547</v>
      </c>
      <c r="BH183" s="32">
        <v>17987</v>
      </c>
      <c r="BI183" s="32">
        <v>1007</v>
      </c>
      <c r="BJ183" s="32">
        <v>76840</v>
      </c>
      <c r="BK183" s="34">
        <f>IFERROR(SUM(Entity_Metrics[[#This Row],[Operating surplus/(deficit) (overall)3]],Entity_Metrics[[#This Row],[Share of operating surplus/(deficit) in joint ventures or associates]])/SUM(Entity_Metrics[[#This Row],[Total assets less current liabilities]]),"")</f>
        <v>3.0469243630290022E-2</v>
      </c>
      <c r="BL183" s="32">
        <v>17987</v>
      </c>
      <c r="BM183" s="32">
        <v>0</v>
      </c>
      <c r="BN183" s="32">
        <v>590333</v>
      </c>
      <c r="BO183" s="34">
        <v>3.1635802469135804E-2</v>
      </c>
      <c r="BP183" s="34">
        <v>0.12145061728395062</v>
      </c>
      <c r="BQ183" s="6" t="s">
        <v>82</v>
      </c>
      <c r="BR183" s="6" t="s">
        <v>83</v>
      </c>
      <c r="BS183" s="6" t="s">
        <v>83</v>
      </c>
      <c r="BT183" s="6" t="s">
        <v>105</v>
      </c>
      <c r="BU183" s="8">
        <v>0.91566545983357406</v>
      </c>
      <c r="BV183" s="37" t="s">
        <v>769</v>
      </c>
      <c r="BW183" s="19" t="s">
        <v>382</v>
      </c>
    </row>
    <row r="184" spans="1:75" x14ac:dyDescent="0.25">
      <c r="A184" s="33" t="s">
        <v>770</v>
      </c>
      <c r="B184" s="7" t="s">
        <v>384</v>
      </c>
      <c r="C184" s="7" t="s">
        <v>81</v>
      </c>
      <c r="D18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7.6569973769480021E-2</v>
      </c>
      <c r="E184" s="32">
        <v>27428</v>
      </c>
      <c r="F184" s="32">
        <v>0</v>
      </c>
      <c r="G184" s="32">
        <v>10287</v>
      </c>
      <c r="H184" s="32">
        <v>0</v>
      </c>
      <c r="I184" s="32">
        <v>0</v>
      </c>
      <c r="J184" s="32">
        <v>492556</v>
      </c>
      <c r="K184" s="32">
        <v>0</v>
      </c>
      <c r="L18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8.7158220285372887E-3</v>
      </c>
      <c r="M184" s="32">
        <v>124</v>
      </c>
      <c r="N184" s="32">
        <v>0</v>
      </c>
      <c r="O184" s="32">
        <v>14227</v>
      </c>
      <c r="P184" s="32">
        <v>0</v>
      </c>
      <c r="Q18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4" s="32">
        <v>0</v>
      </c>
      <c r="S184" s="32">
        <v>0</v>
      </c>
      <c r="T184" s="32">
        <v>0</v>
      </c>
      <c r="U184" s="32">
        <v>14227</v>
      </c>
      <c r="V184" s="32">
        <v>10</v>
      </c>
      <c r="W184" s="32">
        <v>0</v>
      </c>
      <c r="X184" s="32">
        <v>1621</v>
      </c>
      <c r="Y18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0.19997320101673718</v>
      </c>
      <c r="Z184" s="32">
        <v>0</v>
      </c>
      <c r="AA184" s="32">
        <v>109794</v>
      </c>
      <c r="AB184" s="32">
        <v>11296</v>
      </c>
      <c r="AC184" s="32">
        <v>0</v>
      </c>
      <c r="AD184" s="32">
        <v>0</v>
      </c>
      <c r="AE184" s="32">
        <v>492556</v>
      </c>
      <c r="AF184" s="32">
        <v>0</v>
      </c>
      <c r="AG18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0.3234700129342622</v>
      </c>
      <c r="AH184" s="32">
        <v>7575</v>
      </c>
      <c r="AI184" s="32">
        <v>-1363</v>
      </c>
      <c r="AJ184" s="32">
        <v>706</v>
      </c>
      <c r="AK184" s="32">
        <v>0</v>
      </c>
      <c r="AL184" s="32">
        <v>29</v>
      </c>
      <c r="AM184" s="32">
        <v>10287</v>
      </c>
      <c r="AN184" s="32">
        <v>16281</v>
      </c>
      <c r="AO184" s="32">
        <v>-427</v>
      </c>
      <c r="AP184" s="32">
        <v>-43642</v>
      </c>
      <c r="AQ18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3.5434736768116961</v>
      </c>
      <c r="AR184" s="32">
        <v>8844</v>
      </c>
      <c r="AS184" s="32">
        <v>4183</v>
      </c>
      <c r="AT184" s="32">
        <v>10384</v>
      </c>
      <c r="AU184" s="32">
        <v>4851</v>
      </c>
      <c r="AV184" s="32">
        <v>7053</v>
      </c>
      <c r="AW184" s="32">
        <v>10287</v>
      </c>
      <c r="AX184" s="32">
        <v>3086</v>
      </c>
      <c r="AY184" s="32">
        <v>526</v>
      </c>
      <c r="AZ184" s="32">
        <v>712</v>
      </c>
      <c r="BA184" s="32">
        <v>487</v>
      </c>
      <c r="BB184" s="32">
        <v>0</v>
      </c>
      <c r="BC184" s="32">
        <v>14227</v>
      </c>
      <c r="BD184" s="34">
        <f>IFERROR(SUM(Entity_Metrics[[#This Row],[Operating surplus/(deficit) (social housing lettings)]])/SUM(Entity_Metrics[[#This Row],[Turnover from social housing lettings]]),"")</f>
        <v>0.10301154425296971</v>
      </c>
      <c r="BE184" s="32">
        <v>6157</v>
      </c>
      <c r="BF184" s="32">
        <v>59770</v>
      </c>
      <c r="BG184" s="34">
        <f>IFERROR(SUM(Entity_Metrics[[#This Row],[Operating surplus/(deficit) (overall)2]],-Entity_Metrics[[#This Row],[Gain/(loss) on disposal of fixed assets (housing properties)2]])/SUM(Entity_Metrics[[#This Row],[Turnover (overall)]]),"")</f>
        <v>0.13476471209082821</v>
      </c>
      <c r="BH184" s="32">
        <v>7575</v>
      </c>
      <c r="BI184" s="32">
        <v>-1363</v>
      </c>
      <c r="BJ184" s="32">
        <v>66323</v>
      </c>
      <c r="BK184" s="34">
        <f>IFERROR(SUM(Entity_Metrics[[#This Row],[Operating surplus/(deficit) (overall)3]],Entity_Metrics[[#This Row],[Share of operating surplus/(deficit) in joint ventures or associates]])/SUM(Entity_Metrics[[#This Row],[Total assets less current liabilities]]),"")</f>
        <v>1.3982154525418912E-2</v>
      </c>
      <c r="BL184" s="32">
        <v>7575</v>
      </c>
      <c r="BM184" s="32">
        <v>0</v>
      </c>
      <c r="BN184" s="32">
        <v>541762</v>
      </c>
      <c r="BO184" s="34">
        <v>0.10697707131804754</v>
      </c>
      <c r="BP184" s="34">
        <v>0</v>
      </c>
      <c r="BQ184" s="6" t="s">
        <v>93</v>
      </c>
      <c r="BR184" s="6">
        <v>2009</v>
      </c>
      <c r="BS184" s="6" t="s">
        <v>120</v>
      </c>
      <c r="BT184" s="6" t="s">
        <v>115</v>
      </c>
      <c r="BU184" s="8">
        <v>0.96617455710897804</v>
      </c>
      <c r="BV184" s="37" t="s">
        <v>770</v>
      </c>
      <c r="BW184" s="19" t="s">
        <v>384</v>
      </c>
    </row>
    <row r="185" spans="1:75" x14ac:dyDescent="0.25">
      <c r="A185" s="33" t="s">
        <v>771</v>
      </c>
      <c r="B185" s="7" t="s">
        <v>772</v>
      </c>
      <c r="C185" s="7" t="s">
        <v>81</v>
      </c>
      <c r="D18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4.4297135967426321E-2</v>
      </c>
      <c r="E185" s="32">
        <v>9017</v>
      </c>
      <c r="F185" s="32">
        <v>8912</v>
      </c>
      <c r="G185" s="32">
        <v>0</v>
      </c>
      <c r="H185" s="32">
        <v>0</v>
      </c>
      <c r="I185" s="32">
        <v>0</v>
      </c>
      <c r="J185" s="32">
        <v>404744</v>
      </c>
      <c r="K185" s="32">
        <v>0</v>
      </c>
      <c r="L18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8.4880636604774528E-3</v>
      </c>
      <c r="M185" s="32">
        <v>48</v>
      </c>
      <c r="N185" s="32">
        <v>0</v>
      </c>
      <c r="O185" s="32">
        <v>5655</v>
      </c>
      <c r="P185" s="32">
        <v>0</v>
      </c>
      <c r="Q18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5" s="32">
        <v>0</v>
      </c>
      <c r="S185" s="32">
        <v>0</v>
      </c>
      <c r="T185" s="32">
        <v>0</v>
      </c>
      <c r="U185" s="32">
        <v>5655</v>
      </c>
      <c r="V185" s="32">
        <v>190</v>
      </c>
      <c r="W185" s="32">
        <v>0</v>
      </c>
      <c r="X185" s="32">
        <v>0</v>
      </c>
      <c r="Y18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0.65524133773446924</v>
      </c>
      <c r="Z185" s="32">
        <v>0</v>
      </c>
      <c r="AA185" s="32">
        <v>87406</v>
      </c>
      <c r="AB185" s="32">
        <v>13756</v>
      </c>
      <c r="AC185" s="32">
        <v>139370</v>
      </c>
      <c r="AD185" s="32">
        <v>52185</v>
      </c>
      <c r="AE185" s="32">
        <v>404744</v>
      </c>
      <c r="AF185" s="32">
        <v>0</v>
      </c>
      <c r="AG18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1.4884080370942814</v>
      </c>
      <c r="AH185" s="32">
        <v>53242</v>
      </c>
      <c r="AI185" s="32">
        <v>39081</v>
      </c>
      <c r="AJ185" s="32">
        <v>2978</v>
      </c>
      <c r="AK185" s="32">
        <v>0</v>
      </c>
      <c r="AL185" s="32">
        <v>484</v>
      </c>
      <c r="AM185" s="32">
        <v>810</v>
      </c>
      <c r="AN185" s="32">
        <v>10329</v>
      </c>
      <c r="AO185" s="32">
        <v>-898</v>
      </c>
      <c r="AP185" s="32">
        <v>-13336</v>
      </c>
      <c r="AQ18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4.5740053050397877</v>
      </c>
      <c r="AR185" s="32">
        <v>9653</v>
      </c>
      <c r="AS185" s="32">
        <v>6503</v>
      </c>
      <c r="AT185" s="32">
        <v>6168</v>
      </c>
      <c r="AU185" s="32">
        <v>688</v>
      </c>
      <c r="AV185" s="32">
        <v>2044</v>
      </c>
      <c r="AW185" s="32">
        <v>810</v>
      </c>
      <c r="AX185" s="32">
        <v>0</v>
      </c>
      <c r="AY185" s="32">
        <v>0</v>
      </c>
      <c r="AZ185" s="32">
        <v>0</v>
      </c>
      <c r="BA185" s="32">
        <v>0</v>
      </c>
      <c r="BB185" s="32">
        <v>0</v>
      </c>
      <c r="BC185" s="32">
        <v>5655</v>
      </c>
      <c r="BD185" s="34">
        <f>IFERROR(SUM(Entity_Metrics[[#This Row],[Operating surplus/(deficit) (social housing lettings)]])/SUM(Entity_Metrics[[#This Row],[Turnover from social housing lettings]]),"")</f>
        <v>0.28135521439915301</v>
      </c>
      <c r="BE185" s="32">
        <v>13287</v>
      </c>
      <c r="BF185" s="32">
        <v>47225</v>
      </c>
      <c r="BG185" s="34">
        <f>IFERROR(SUM(Entity_Metrics[[#This Row],[Operating surplus/(deficit) (overall)2]],-Entity_Metrics[[#This Row],[Gain/(loss) on disposal of fixed assets (housing properties)2]])/SUM(Entity_Metrics[[#This Row],[Turnover (overall)]]),"")</f>
        <v>0.24070233886320369</v>
      </c>
      <c r="BH185" s="32">
        <v>53242</v>
      </c>
      <c r="BI185" s="32">
        <v>39081</v>
      </c>
      <c r="BJ185" s="32">
        <v>58832</v>
      </c>
      <c r="BK185" s="34">
        <f>IFERROR(SUM(Entity_Metrics[[#This Row],[Operating surplus/(deficit) (overall)3]],Entity_Metrics[[#This Row],[Share of operating surplus/(deficit) in joint ventures or associates]])/SUM(Entity_Metrics[[#This Row],[Total assets less current liabilities]]),"")</f>
        <v>0.10380540532109447</v>
      </c>
      <c r="BL185" s="32">
        <v>53242</v>
      </c>
      <c r="BM185" s="32">
        <v>0</v>
      </c>
      <c r="BN185" s="32">
        <v>512902</v>
      </c>
      <c r="BO185" s="34">
        <v>0</v>
      </c>
      <c r="BP185" s="34">
        <v>0</v>
      </c>
      <c r="BQ185" s="6" t="s">
        <v>93</v>
      </c>
      <c r="BR185" s="6">
        <v>1998</v>
      </c>
      <c r="BS185" s="6" t="s">
        <v>94</v>
      </c>
      <c r="BT185" s="6" t="s">
        <v>156</v>
      </c>
      <c r="BU185" s="8">
        <v>1.2488627787394371</v>
      </c>
      <c r="BV185" s="37" t="s">
        <v>771</v>
      </c>
      <c r="BW185" s="19" t="s">
        <v>772</v>
      </c>
    </row>
    <row r="186" spans="1:75" x14ac:dyDescent="0.25">
      <c r="A186" s="33" t="s">
        <v>773</v>
      </c>
      <c r="B186" s="7" t="s">
        <v>774</v>
      </c>
      <c r="C186" s="7" t="s">
        <v>81</v>
      </c>
      <c r="D18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1.5541860226054522E-3</v>
      </c>
      <c r="E186" s="32">
        <v>0</v>
      </c>
      <c r="F186" s="32">
        <v>0</v>
      </c>
      <c r="G186" s="32">
        <v>635</v>
      </c>
      <c r="H186" s="32">
        <v>0</v>
      </c>
      <c r="I186" s="32">
        <v>0</v>
      </c>
      <c r="J186" s="32">
        <v>408574</v>
      </c>
      <c r="K186" s="32">
        <v>0</v>
      </c>
      <c r="L18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86" s="32">
        <v>0</v>
      </c>
      <c r="N186" s="32">
        <v>0</v>
      </c>
      <c r="O186" s="32">
        <v>3292</v>
      </c>
      <c r="P186" s="32">
        <v>0</v>
      </c>
      <c r="Q18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6" s="32">
        <v>0</v>
      </c>
      <c r="S186" s="32">
        <v>0</v>
      </c>
      <c r="T186" s="32">
        <v>0</v>
      </c>
      <c r="U186" s="32">
        <v>3292</v>
      </c>
      <c r="V186" s="32">
        <v>0</v>
      </c>
      <c r="W186" s="32">
        <v>0</v>
      </c>
      <c r="X186" s="32">
        <v>0</v>
      </c>
      <c r="Y18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0.48565009031411688</v>
      </c>
      <c r="Z186" s="32">
        <v>468</v>
      </c>
      <c r="AA186" s="32">
        <v>253071</v>
      </c>
      <c r="AB186" s="32">
        <v>55115</v>
      </c>
      <c r="AC186" s="32">
        <v>0</v>
      </c>
      <c r="AD186" s="32">
        <v>0</v>
      </c>
      <c r="AE186" s="32">
        <v>408574</v>
      </c>
      <c r="AF186" s="32">
        <v>0</v>
      </c>
      <c r="AG18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0.95146145691352413</v>
      </c>
      <c r="AH186" s="32">
        <v>8955</v>
      </c>
      <c r="AI186" s="32">
        <v>166</v>
      </c>
      <c r="AJ186" s="32">
        <v>138</v>
      </c>
      <c r="AK186" s="32">
        <v>0</v>
      </c>
      <c r="AL186" s="32">
        <v>1336</v>
      </c>
      <c r="AM186" s="32">
        <v>635</v>
      </c>
      <c r="AN186" s="32">
        <v>3213</v>
      </c>
      <c r="AO186" s="32">
        <v>0</v>
      </c>
      <c r="AP186" s="32">
        <v>-13206</v>
      </c>
      <c r="AQ18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2.6673754556500606</v>
      </c>
      <c r="AR186" s="32">
        <v>4330</v>
      </c>
      <c r="AS186" s="32">
        <v>268</v>
      </c>
      <c r="AT186" s="32">
        <v>1995</v>
      </c>
      <c r="AU186" s="32">
        <v>503</v>
      </c>
      <c r="AV186" s="32">
        <v>966</v>
      </c>
      <c r="AW186" s="32">
        <v>635</v>
      </c>
      <c r="AX186" s="32">
        <v>84</v>
      </c>
      <c r="AY186" s="32">
        <v>0</v>
      </c>
      <c r="AZ186" s="32">
        <v>0</v>
      </c>
      <c r="BA186" s="32">
        <v>0</v>
      </c>
      <c r="BB186" s="32">
        <v>0</v>
      </c>
      <c r="BC186" s="32">
        <v>3292</v>
      </c>
      <c r="BD186" s="34">
        <f>IFERROR(SUM(Entity_Metrics[[#This Row],[Operating surplus/(deficit) (social housing lettings)]])/SUM(Entity_Metrics[[#This Row],[Turnover from social housing lettings]]),"")</f>
        <v>0.40246952172553924</v>
      </c>
      <c r="BE186" s="32">
        <v>7725</v>
      </c>
      <c r="BF186" s="32">
        <v>19194</v>
      </c>
      <c r="BG186" s="34">
        <f>IFERROR(SUM(Entity_Metrics[[#This Row],[Operating surplus/(deficit) (overall)2]],-Entity_Metrics[[#This Row],[Gain/(loss) on disposal of fixed assets (housing properties)2]])/SUM(Entity_Metrics[[#This Row],[Turnover (overall)]]),"")</f>
        <v>0.43009542451676047</v>
      </c>
      <c r="BH186" s="32">
        <v>8955</v>
      </c>
      <c r="BI186" s="32">
        <v>166</v>
      </c>
      <c r="BJ186" s="32">
        <v>20435</v>
      </c>
      <c r="BK186" s="34">
        <f>IFERROR(SUM(Entity_Metrics[[#This Row],[Operating surplus/(deficit) (overall)3]],Entity_Metrics[[#This Row],[Share of operating surplus/(deficit) in joint ventures or associates]])/SUM(Entity_Metrics[[#This Row],[Total assets less current liabilities]]),"")</f>
        <v>1.8634393409396894E-2</v>
      </c>
      <c r="BL186" s="32">
        <v>8955</v>
      </c>
      <c r="BM186" s="32">
        <v>0</v>
      </c>
      <c r="BN186" s="32">
        <v>480563</v>
      </c>
      <c r="BO186" s="34">
        <v>2.0649863346492561E-2</v>
      </c>
      <c r="BP186" s="34">
        <v>1.8827816580625569E-2</v>
      </c>
      <c r="BQ186" s="6" t="s">
        <v>82</v>
      </c>
      <c r="BR186" s="6" t="s">
        <v>83</v>
      </c>
      <c r="BS186" s="6" t="s">
        <v>83</v>
      </c>
      <c r="BT186" s="6" t="s">
        <v>84</v>
      </c>
      <c r="BU186" s="8">
        <v>1.0077214516559001</v>
      </c>
      <c r="BV186" s="37" t="s">
        <v>634</v>
      </c>
      <c r="BW186" s="19" t="s">
        <v>392</v>
      </c>
    </row>
    <row r="187" spans="1:75" x14ac:dyDescent="0.25">
      <c r="A187" s="33" t="s">
        <v>775</v>
      </c>
      <c r="B187" s="7" t="s">
        <v>776</v>
      </c>
      <c r="C187" s="7" t="s">
        <v>81</v>
      </c>
      <c r="D18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1.4036610524188035E-2</v>
      </c>
      <c r="E187" s="32">
        <v>1522</v>
      </c>
      <c r="F187" s="32">
        <v>0</v>
      </c>
      <c r="G187" s="32">
        <v>814</v>
      </c>
      <c r="H187" s="32">
        <v>25</v>
      </c>
      <c r="I187" s="32">
        <v>0</v>
      </c>
      <c r="J187" s="32">
        <v>168203</v>
      </c>
      <c r="K187" s="32">
        <v>0</v>
      </c>
      <c r="L18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9.0125391849529782E-3</v>
      </c>
      <c r="M187" s="32">
        <v>23</v>
      </c>
      <c r="N187" s="32">
        <v>0</v>
      </c>
      <c r="O187" s="32">
        <v>2552</v>
      </c>
      <c r="P187" s="32">
        <v>0</v>
      </c>
      <c r="Q18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7" s="32">
        <v>0</v>
      </c>
      <c r="S187" s="32">
        <v>0</v>
      </c>
      <c r="T187" s="32">
        <v>0</v>
      </c>
      <c r="U187" s="32">
        <v>2552</v>
      </c>
      <c r="V187" s="32">
        <v>587</v>
      </c>
      <c r="W187" s="32">
        <v>0</v>
      </c>
      <c r="X187" s="32">
        <v>0</v>
      </c>
      <c r="Y18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0.53935423268312699</v>
      </c>
      <c r="Z187" s="32">
        <v>1037</v>
      </c>
      <c r="AA187" s="32">
        <v>90156</v>
      </c>
      <c r="AB187" s="32">
        <v>8292</v>
      </c>
      <c r="AC187" s="32">
        <v>0</v>
      </c>
      <c r="AD187" s="32">
        <v>7820</v>
      </c>
      <c r="AE187" s="32">
        <v>168203</v>
      </c>
      <c r="AF187" s="32">
        <v>0</v>
      </c>
      <c r="AG18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2.0671260280062236</v>
      </c>
      <c r="AH187" s="32">
        <v>6622</v>
      </c>
      <c r="AI187" s="32">
        <v>7</v>
      </c>
      <c r="AJ187" s="32">
        <v>4</v>
      </c>
      <c r="AK187" s="32">
        <v>0</v>
      </c>
      <c r="AL187" s="32">
        <v>515</v>
      </c>
      <c r="AM187" s="32">
        <v>852</v>
      </c>
      <c r="AN187" s="32">
        <v>3026</v>
      </c>
      <c r="AO187" s="32">
        <v>-25</v>
      </c>
      <c r="AP187" s="32">
        <v>-4474</v>
      </c>
      <c r="AQ18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7.7890410958904113</v>
      </c>
      <c r="AR187" s="32">
        <v>2090</v>
      </c>
      <c r="AS187" s="32">
        <v>5325</v>
      </c>
      <c r="AT187" s="32">
        <v>4401</v>
      </c>
      <c r="AU187" s="32">
        <v>861</v>
      </c>
      <c r="AV187" s="32">
        <v>1573</v>
      </c>
      <c r="AW187" s="32">
        <v>852</v>
      </c>
      <c r="AX187" s="32">
        <v>4606</v>
      </c>
      <c r="AY187" s="32">
        <v>0</v>
      </c>
      <c r="AZ187" s="32">
        <v>0</v>
      </c>
      <c r="BA187" s="32">
        <v>0</v>
      </c>
      <c r="BB187" s="32">
        <v>193</v>
      </c>
      <c r="BC187" s="32">
        <v>2555</v>
      </c>
      <c r="BD187" s="34">
        <f>IFERROR(SUM(Entity_Metrics[[#This Row],[Operating surplus/(deficit) (social housing lettings)]])/SUM(Entity_Metrics[[#This Row],[Turnover from social housing lettings]]),"")</f>
        <v>0.22993804927243913</v>
      </c>
      <c r="BE187" s="32">
        <v>6384</v>
      </c>
      <c r="BF187" s="32">
        <v>27764</v>
      </c>
      <c r="BG187" s="34">
        <f>IFERROR(SUM(Entity_Metrics[[#This Row],[Operating surplus/(deficit) (overall)2]],-Entity_Metrics[[#This Row],[Gain/(loss) on disposal of fixed assets (housing properties)2]])/SUM(Entity_Metrics[[#This Row],[Turnover (overall)]]),"")</f>
        <v>0.20726281488908385</v>
      </c>
      <c r="BH187" s="32">
        <v>6622</v>
      </c>
      <c r="BI187" s="32">
        <v>7</v>
      </c>
      <c r="BJ187" s="32">
        <v>31916</v>
      </c>
      <c r="BK187" s="34">
        <f>IFERROR(SUM(Entity_Metrics[[#This Row],[Operating surplus/(deficit) (overall)3]],Entity_Metrics[[#This Row],[Share of operating surplus/(deficit) in joint ventures or associates]])/SUM(Entity_Metrics[[#This Row],[Total assets less current liabilities]]),"")</f>
        <v>3.6166424537679279E-2</v>
      </c>
      <c r="BL187" s="32">
        <v>6622</v>
      </c>
      <c r="BM187" s="32">
        <v>0</v>
      </c>
      <c r="BN187" s="32">
        <v>183098</v>
      </c>
      <c r="BO187" s="34">
        <v>0.99020376175548586</v>
      </c>
      <c r="BP187" s="34">
        <v>0</v>
      </c>
      <c r="BQ187" s="6" t="s">
        <v>82</v>
      </c>
      <c r="BR187" s="6" t="s">
        <v>83</v>
      </c>
      <c r="BS187" s="6" t="s">
        <v>83</v>
      </c>
      <c r="BT187" s="6" t="s">
        <v>87</v>
      </c>
      <c r="BU187" s="8">
        <v>0.93834653323197248</v>
      </c>
      <c r="BV187" s="37" t="s">
        <v>731</v>
      </c>
      <c r="BW187" s="19" t="s">
        <v>388</v>
      </c>
    </row>
    <row r="188" spans="1:75" x14ac:dyDescent="0.25">
      <c r="A188" s="33" t="s">
        <v>777</v>
      </c>
      <c r="B188" s="7" t="s">
        <v>778</v>
      </c>
      <c r="C188" s="7" t="s">
        <v>81</v>
      </c>
      <c r="D18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3.7181451582165098E-2</v>
      </c>
      <c r="E188" s="32">
        <v>7189</v>
      </c>
      <c r="F188" s="32">
        <v>0</v>
      </c>
      <c r="G188" s="32">
        <v>2435</v>
      </c>
      <c r="H188" s="32">
        <v>131</v>
      </c>
      <c r="I188" s="32">
        <v>0</v>
      </c>
      <c r="J188" s="32">
        <v>262362</v>
      </c>
      <c r="K188" s="32">
        <v>0</v>
      </c>
      <c r="L18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1.3837257331681124E-2</v>
      </c>
      <c r="M188" s="32">
        <v>67</v>
      </c>
      <c r="N188" s="32">
        <v>0</v>
      </c>
      <c r="O188" s="32">
        <v>4728</v>
      </c>
      <c r="P188" s="32">
        <v>114</v>
      </c>
      <c r="Q18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8" s="32">
        <v>0</v>
      </c>
      <c r="S188" s="32">
        <v>0</v>
      </c>
      <c r="T188" s="32">
        <v>0</v>
      </c>
      <c r="U188" s="32">
        <v>4728</v>
      </c>
      <c r="V188" s="32">
        <v>67</v>
      </c>
      <c r="W188" s="32">
        <v>114</v>
      </c>
      <c r="X188" s="32">
        <v>0</v>
      </c>
      <c r="Y18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0.41091697730616478</v>
      </c>
      <c r="Z188" s="32">
        <v>1555</v>
      </c>
      <c r="AA188" s="32">
        <v>106980</v>
      </c>
      <c r="AB188" s="32">
        <v>726</v>
      </c>
      <c r="AC188" s="32">
        <v>0</v>
      </c>
      <c r="AD188" s="32">
        <v>0</v>
      </c>
      <c r="AE188" s="32">
        <v>262362</v>
      </c>
      <c r="AF188" s="32">
        <v>0</v>
      </c>
      <c r="AG18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2.0524722502522703</v>
      </c>
      <c r="AH188" s="32">
        <v>7858</v>
      </c>
      <c r="AI188" s="32">
        <v>-246</v>
      </c>
      <c r="AJ188" s="32">
        <v>91</v>
      </c>
      <c r="AK188" s="32">
        <v>0</v>
      </c>
      <c r="AL188" s="32">
        <v>572</v>
      </c>
      <c r="AM188" s="32">
        <v>2435</v>
      </c>
      <c r="AN188" s="32">
        <v>4020</v>
      </c>
      <c r="AO188" s="32">
        <v>-131</v>
      </c>
      <c r="AP188" s="32">
        <v>-4824</v>
      </c>
      <c r="AQ18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3.8110219594594597</v>
      </c>
      <c r="AR188" s="32">
        <v>5229</v>
      </c>
      <c r="AS188" s="32">
        <v>2747</v>
      </c>
      <c r="AT188" s="32">
        <v>4259</v>
      </c>
      <c r="AU188" s="32">
        <v>1284</v>
      </c>
      <c r="AV188" s="32">
        <v>1243</v>
      </c>
      <c r="AW188" s="32">
        <v>2435</v>
      </c>
      <c r="AX188" s="32">
        <v>852</v>
      </c>
      <c r="AY188" s="32">
        <v>0</v>
      </c>
      <c r="AZ188" s="32">
        <v>0</v>
      </c>
      <c r="BA188" s="32">
        <v>0</v>
      </c>
      <c r="BB188" s="32">
        <v>0</v>
      </c>
      <c r="BC188" s="32">
        <v>4736</v>
      </c>
      <c r="BD188" s="34">
        <f>IFERROR(SUM(Entity_Metrics[[#This Row],[Operating surplus/(deficit) (social housing lettings)]])/SUM(Entity_Metrics[[#This Row],[Turnover from social housing lettings]]),"")</f>
        <v>0.2521969696969697</v>
      </c>
      <c r="BE188" s="32">
        <v>6658</v>
      </c>
      <c r="BF188" s="32">
        <v>26400</v>
      </c>
      <c r="BG188" s="34">
        <f>IFERROR(SUM(Entity_Metrics[[#This Row],[Operating surplus/(deficit) (overall)2]],-Entity_Metrics[[#This Row],[Gain/(loss) on disposal of fixed assets (housing properties)2]])/SUM(Entity_Metrics[[#This Row],[Turnover (overall)]]),"")</f>
        <v>0.26610625861955739</v>
      </c>
      <c r="BH188" s="32">
        <v>7858</v>
      </c>
      <c r="BI188" s="32">
        <v>-246</v>
      </c>
      <c r="BJ188" s="32">
        <v>30454</v>
      </c>
      <c r="BK188" s="34">
        <f>IFERROR(SUM(Entity_Metrics[[#This Row],[Operating surplus/(deficit) (overall)3]],Entity_Metrics[[#This Row],[Share of operating surplus/(deficit) in joint ventures or associates]])/SUM(Entity_Metrics[[#This Row],[Total assets less current liabilities]]),"")</f>
        <v>3.0132678886417671E-2</v>
      </c>
      <c r="BL188" s="32">
        <v>7858</v>
      </c>
      <c r="BM188" s="32">
        <v>0</v>
      </c>
      <c r="BN188" s="32">
        <v>260780</v>
      </c>
      <c r="BO188" s="34">
        <v>0.12098138747884941</v>
      </c>
      <c r="BP188" s="34">
        <v>0.19564297800338409</v>
      </c>
      <c r="BQ188" s="6" t="s">
        <v>93</v>
      </c>
      <c r="BR188" s="6">
        <v>1994</v>
      </c>
      <c r="BS188" s="6" t="s">
        <v>94</v>
      </c>
      <c r="BT188" s="6" t="s">
        <v>105</v>
      </c>
      <c r="BU188" s="8">
        <v>0.9180141243315374</v>
      </c>
      <c r="BV188" s="37" t="s">
        <v>731</v>
      </c>
      <c r="BW188" s="19" t="s">
        <v>388</v>
      </c>
    </row>
    <row r="189" spans="1:75" x14ac:dyDescent="0.25">
      <c r="A189" s="33" t="s">
        <v>389</v>
      </c>
      <c r="B189" s="7" t="s">
        <v>390</v>
      </c>
      <c r="C189" s="7" t="s">
        <v>81</v>
      </c>
      <c r="D189" s="34" t="str">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
      </c>
      <c r="E189" s="32">
        <v>0</v>
      </c>
      <c r="F189" s="32">
        <v>0</v>
      </c>
      <c r="G189" s="32">
        <v>0</v>
      </c>
      <c r="H189" s="32">
        <v>0</v>
      </c>
      <c r="I189" s="32">
        <v>0</v>
      </c>
      <c r="J189" s="32">
        <v>0</v>
      </c>
      <c r="K189" s="32">
        <v>0</v>
      </c>
      <c r="L18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0.32806092560046868</v>
      </c>
      <c r="M189" s="32">
        <v>560</v>
      </c>
      <c r="N189" s="32">
        <v>0</v>
      </c>
      <c r="O189" s="32">
        <v>1707</v>
      </c>
      <c r="P189" s="32">
        <v>0</v>
      </c>
      <c r="Q18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89" s="32">
        <v>0</v>
      </c>
      <c r="S189" s="32">
        <v>0</v>
      </c>
      <c r="T189" s="32">
        <v>0</v>
      </c>
      <c r="U189" s="32">
        <v>1707</v>
      </c>
      <c r="V189" s="32">
        <v>0</v>
      </c>
      <c r="W189" s="32">
        <v>0</v>
      </c>
      <c r="X189" s="32">
        <v>0</v>
      </c>
      <c r="Y189" s="34" t="str">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
      </c>
      <c r="Z189" s="32">
        <v>0</v>
      </c>
      <c r="AA189" s="32">
        <v>0</v>
      </c>
      <c r="AB189" s="32">
        <v>807</v>
      </c>
      <c r="AC189" s="32">
        <v>0</v>
      </c>
      <c r="AD189" s="32">
        <v>0</v>
      </c>
      <c r="AE189" s="32">
        <v>0</v>
      </c>
      <c r="AF189" s="32">
        <v>0</v>
      </c>
      <c r="AG189" s="34" t="str">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
      </c>
      <c r="AH189" s="32">
        <v>468</v>
      </c>
      <c r="AI189" s="32">
        <v>0</v>
      </c>
      <c r="AJ189" s="32">
        <v>0</v>
      </c>
      <c r="AK189" s="32">
        <v>0</v>
      </c>
      <c r="AL189" s="32">
        <v>0</v>
      </c>
      <c r="AM189" s="32">
        <v>0</v>
      </c>
      <c r="AN189" s="32">
        <v>40</v>
      </c>
      <c r="AO189" s="32">
        <v>0</v>
      </c>
      <c r="AP189" s="32">
        <v>0</v>
      </c>
      <c r="AQ18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6.7469244288224957</v>
      </c>
      <c r="AR189" s="32">
        <v>1048</v>
      </c>
      <c r="AS189" s="32">
        <v>6352</v>
      </c>
      <c r="AT189" s="32">
        <v>0</v>
      </c>
      <c r="AU189" s="32">
        <v>0</v>
      </c>
      <c r="AV189" s="32">
        <v>0</v>
      </c>
      <c r="AW189" s="32">
        <v>0</v>
      </c>
      <c r="AX189" s="32">
        <v>4117</v>
      </c>
      <c r="AY189" s="32">
        <v>0</v>
      </c>
      <c r="AZ189" s="32">
        <v>0</v>
      </c>
      <c r="BA189" s="32">
        <v>0</v>
      </c>
      <c r="BB189" s="32">
        <v>0</v>
      </c>
      <c r="BC189" s="32">
        <v>1707</v>
      </c>
      <c r="BD189" s="34">
        <f>IFERROR(SUM(Entity_Metrics[[#This Row],[Operating surplus/(deficit) (social housing lettings)]])/SUM(Entity_Metrics[[#This Row],[Turnover from social housing lettings]]),"")</f>
        <v>3.9048811013767212E-2</v>
      </c>
      <c r="BE189" s="32">
        <v>468</v>
      </c>
      <c r="BF189" s="32">
        <v>11985</v>
      </c>
      <c r="BG189" s="34">
        <f>IFERROR(SUM(Entity_Metrics[[#This Row],[Operating surplus/(deficit) (overall)2]],-Entity_Metrics[[#This Row],[Gain/(loss) on disposal of fixed assets (housing properties)2]])/SUM(Entity_Metrics[[#This Row],[Turnover (overall)]]),"")</f>
        <v>3.9048811013767212E-2</v>
      </c>
      <c r="BH189" s="32">
        <v>468</v>
      </c>
      <c r="BI189" s="32">
        <v>0</v>
      </c>
      <c r="BJ189" s="32">
        <v>11985</v>
      </c>
      <c r="BK189" s="34">
        <f>IFERROR(SUM(Entity_Metrics[[#This Row],[Operating surplus/(deficit) (overall)3]],Entity_Metrics[[#This Row],[Share of operating surplus/(deficit) in joint ventures or associates]])/SUM(Entity_Metrics[[#This Row],[Total assets less current liabilities]]),"")</f>
        <v>0.5799256505576208</v>
      </c>
      <c r="BL189" s="32">
        <v>468</v>
      </c>
      <c r="BM189" s="32">
        <v>0</v>
      </c>
      <c r="BN189" s="32">
        <v>807</v>
      </c>
      <c r="BO189" s="34">
        <v>1</v>
      </c>
      <c r="BP189" s="34">
        <v>0</v>
      </c>
      <c r="BQ189" s="6" t="s">
        <v>82</v>
      </c>
      <c r="BR189" s="6" t="s">
        <v>83</v>
      </c>
      <c r="BS189" s="6" t="s">
        <v>83</v>
      </c>
      <c r="BT189" s="6" t="s">
        <v>90</v>
      </c>
      <c r="BU189" s="8">
        <v>0.91571558169387279</v>
      </c>
      <c r="BV189" s="37">
        <v>4750</v>
      </c>
      <c r="BW189" s="19" t="s">
        <v>390</v>
      </c>
    </row>
    <row r="190" spans="1:75" x14ac:dyDescent="0.25">
      <c r="A190" s="33" t="s">
        <v>393</v>
      </c>
      <c r="B190" s="7" t="s">
        <v>394</v>
      </c>
      <c r="C190" s="7" t="s">
        <v>81</v>
      </c>
      <c r="D19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0.12716853756181803</v>
      </c>
      <c r="E190" s="32">
        <v>5371</v>
      </c>
      <c r="F190" s="32">
        <v>0</v>
      </c>
      <c r="G190" s="32">
        <v>1109</v>
      </c>
      <c r="H190" s="32">
        <v>0</v>
      </c>
      <c r="I190" s="32">
        <v>0</v>
      </c>
      <c r="J190" s="32">
        <v>50956</v>
      </c>
      <c r="K190" s="32">
        <v>0</v>
      </c>
      <c r="L19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90" s="32">
        <v>0</v>
      </c>
      <c r="N190" s="32">
        <v>0</v>
      </c>
      <c r="O190" s="32">
        <v>1431</v>
      </c>
      <c r="P190" s="32">
        <v>73</v>
      </c>
      <c r="Q19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0" s="32">
        <v>0</v>
      </c>
      <c r="S190" s="32">
        <v>0</v>
      </c>
      <c r="T190" s="32">
        <v>0</v>
      </c>
      <c r="U190" s="32">
        <v>1431</v>
      </c>
      <c r="V190" s="32">
        <v>0</v>
      </c>
      <c r="W190" s="32">
        <v>73</v>
      </c>
      <c r="X190" s="32">
        <v>0</v>
      </c>
      <c r="Y19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0.14357484888923777</v>
      </c>
      <c r="Z190" s="32">
        <v>42</v>
      </c>
      <c r="AA190" s="32">
        <v>10748</v>
      </c>
      <c r="AB190" s="32">
        <v>3474</v>
      </c>
      <c r="AC190" s="32">
        <v>0</v>
      </c>
      <c r="AD190" s="32">
        <v>0</v>
      </c>
      <c r="AE190" s="32">
        <v>50956</v>
      </c>
      <c r="AF190" s="32">
        <v>0</v>
      </c>
      <c r="AG19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2.9685714285714284</v>
      </c>
      <c r="AH190" s="32">
        <v>1217</v>
      </c>
      <c r="AI190" s="32">
        <v>0</v>
      </c>
      <c r="AJ190" s="32">
        <v>304</v>
      </c>
      <c r="AK190" s="32">
        <v>0</v>
      </c>
      <c r="AL190" s="32">
        <v>18</v>
      </c>
      <c r="AM190" s="32">
        <v>703</v>
      </c>
      <c r="AN190" s="32">
        <v>1850</v>
      </c>
      <c r="AO190" s="32">
        <v>0</v>
      </c>
      <c r="AP190" s="32">
        <v>-700</v>
      </c>
      <c r="AQ19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2.9014675052410901</v>
      </c>
      <c r="AR190" s="32">
        <v>916</v>
      </c>
      <c r="AS190" s="32">
        <v>841</v>
      </c>
      <c r="AT190" s="32">
        <v>1353</v>
      </c>
      <c r="AU190" s="32">
        <v>186</v>
      </c>
      <c r="AV190" s="32">
        <v>0</v>
      </c>
      <c r="AW190" s="32">
        <v>703</v>
      </c>
      <c r="AX190" s="32">
        <v>23</v>
      </c>
      <c r="AY190" s="32">
        <v>0</v>
      </c>
      <c r="AZ190" s="32">
        <v>0</v>
      </c>
      <c r="BA190" s="32">
        <v>130</v>
      </c>
      <c r="BB190" s="32">
        <v>0</v>
      </c>
      <c r="BC190" s="32">
        <v>1431</v>
      </c>
      <c r="BD190" s="34">
        <f>IFERROR(SUM(Entity_Metrics[[#This Row],[Operating surplus/(deficit) (social housing lettings)]])/SUM(Entity_Metrics[[#This Row],[Turnover from social housing lettings]]),"")</f>
        <v>0.17851873709058719</v>
      </c>
      <c r="BE190" s="32">
        <v>1210</v>
      </c>
      <c r="BF190" s="32">
        <v>6778</v>
      </c>
      <c r="BG190" s="34">
        <f>IFERROR(SUM(Entity_Metrics[[#This Row],[Operating surplus/(deficit) (overall)2]],-Entity_Metrics[[#This Row],[Gain/(loss) on disposal of fixed assets (housing properties)2]])/SUM(Entity_Metrics[[#This Row],[Turnover (overall)]]),"")</f>
        <v>0.17599421547360811</v>
      </c>
      <c r="BH190" s="32">
        <v>1217</v>
      </c>
      <c r="BI190" s="32">
        <v>0</v>
      </c>
      <c r="BJ190" s="32">
        <v>6915</v>
      </c>
      <c r="BK190" s="34">
        <f>IFERROR(SUM(Entity_Metrics[[#This Row],[Operating surplus/(deficit) (overall)3]],Entity_Metrics[[#This Row],[Share of operating surplus/(deficit) in joint ventures or associates]])/SUM(Entity_Metrics[[#This Row],[Total assets less current liabilities]]),"")</f>
        <v>2.2575917784332277E-2</v>
      </c>
      <c r="BL190" s="32">
        <v>1217</v>
      </c>
      <c r="BM190" s="32">
        <v>0</v>
      </c>
      <c r="BN190" s="32">
        <v>53907</v>
      </c>
      <c r="BO190" s="34">
        <v>0.32734530938123751</v>
      </c>
      <c r="BP190" s="34">
        <v>0.28542914171656686</v>
      </c>
      <c r="BQ190" s="6" t="s">
        <v>82</v>
      </c>
      <c r="BR190" s="6" t="s">
        <v>83</v>
      </c>
      <c r="BS190" s="6" t="s">
        <v>83</v>
      </c>
      <c r="BT190" s="6" t="s">
        <v>121</v>
      </c>
      <c r="BU190" s="8">
        <v>0.92237131291942376</v>
      </c>
      <c r="BV190" s="37" t="s">
        <v>393</v>
      </c>
      <c r="BW190" s="19" t="s">
        <v>394</v>
      </c>
    </row>
    <row r="191" spans="1:75" x14ac:dyDescent="0.25">
      <c r="A191" s="33" t="s">
        <v>779</v>
      </c>
      <c r="B191" s="7" t="s">
        <v>396</v>
      </c>
      <c r="C191" s="7" t="s">
        <v>81</v>
      </c>
      <c r="D19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0.13276808307864207</v>
      </c>
      <c r="E191" s="32">
        <v>55176</v>
      </c>
      <c r="F191" s="32">
        <v>2762</v>
      </c>
      <c r="G191" s="32">
        <v>1512</v>
      </c>
      <c r="H191" s="32">
        <v>875</v>
      </c>
      <c r="I191" s="32">
        <v>-23965</v>
      </c>
      <c r="J191" s="32">
        <v>273861</v>
      </c>
      <c r="K191" s="32">
        <v>0</v>
      </c>
      <c r="L19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2.4123568205484208E-2</v>
      </c>
      <c r="M191" s="32">
        <v>136</v>
      </c>
      <c r="N191" s="32">
        <v>3</v>
      </c>
      <c r="O191" s="32">
        <v>5754</v>
      </c>
      <c r="P191" s="32">
        <v>8</v>
      </c>
      <c r="Q19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1.215066828675577E-3</v>
      </c>
      <c r="R191" s="32">
        <v>0</v>
      </c>
      <c r="S191" s="32">
        <v>8</v>
      </c>
      <c r="T191" s="32">
        <v>0</v>
      </c>
      <c r="U191" s="32">
        <v>5754</v>
      </c>
      <c r="V191" s="32">
        <v>0</v>
      </c>
      <c r="W191" s="32">
        <v>8</v>
      </c>
      <c r="X191" s="32">
        <v>822</v>
      </c>
      <c r="Y19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0.64638630546152975</v>
      </c>
      <c r="Z191" s="32">
        <v>360</v>
      </c>
      <c r="AA191" s="32">
        <v>180696</v>
      </c>
      <c r="AB191" s="32">
        <v>4036</v>
      </c>
      <c r="AC191" s="32">
        <v>0</v>
      </c>
      <c r="AD191" s="32">
        <v>0</v>
      </c>
      <c r="AE191" s="32">
        <v>273861</v>
      </c>
      <c r="AF191" s="32">
        <v>0</v>
      </c>
      <c r="AG19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3.2952768220206443</v>
      </c>
      <c r="AH191" s="32">
        <v>20817</v>
      </c>
      <c r="AI191" s="32">
        <v>1815</v>
      </c>
      <c r="AJ191" s="32">
        <v>333</v>
      </c>
      <c r="AK191" s="32">
        <v>0</v>
      </c>
      <c r="AL191" s="32">
        <v>16</v>
      </c>
      <c r="AM191" s="32">
        <v>1512</v>
      </c>
      <c r="AN191" s="32">
        <v>3897</v>
      </c>
      <c r="AO191" s="32">
        <v>-1045</v>
      </c>
      <c r="AP191" s="32">
        <v>-5349</v>
      </c>
      <c r="AQ19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3.3895947802197801</v>
      </c>
      <c r="AR191" s="32">
        <v>4727</v>
      </c>
      <c r="AS191" s="32">
        <v>2213</v>
      </c>
      <c r="AT191" s="32">
        <v>4000</v>
      </c>
      <c r="AU191" s="32">
        <v>2596</v>
      </c>
      <c r="AV191" s="32">
        <v>1839</v>
      </c>
      <c r="AW191" s="32">
        <v>1512</v>
      </c>
      <c r="AX191" s="32">
        <v>786</v>
      </c>
      <c r="AY191" s="32">
        <v>688</v>
      </c>
      <c r="AZ191" s="32">
        <v>844</v>
      </c>
      <c r="BA191" s="32">
        <v>110</v>
      </c>
      <c r="BB191" s="32">
        <v>426</v>
      </c>
      <c r="BC191" s="32">
        <v>5824</v>
      </c>
      <c r="BD191" s="34">
        <f>IFERROR(SUM(Entity_Metrics[[#This Row],[Operating surplus/(deficit) (social housing lettings)]])/SUM(Entity_Metrics[[#This Row],[Turnover from social housing lettings]]),"")</f>
        <v>0.46743325403119218</v>
      </c>
      <c r="BE191" s="32">
        <v>17683</v>
      </c>
      <c r="BF191" s="32">
        <v>37830</v>
      </c>
      <c r="BG191" s="34">
        <f>IFERROR(SUM(Entity_Metrics[[#This Row],[Operating surplus/(deficit) (overall)2]],-Entity_Metrics[[#This Row],[Gain/(loss) on disposal of fixed assets (housing properties)2]])/SUM(Entity_Metrics[[#This Row],[Turnover (overall)]]),"")</f>
        <v>0.38291183879093199</v>
      </c>
      <c r="BH191" s="32">
        <v>20817</v>
      </c>
      <c r="BI191" s="32">
        <v>1815</v>
      </c>
      <c r="BJ191" s="32">
        <v>49625</v>
      </c>
      <c r="BK191" s="34">
        <f>IFERROR(SUM(Entity_Metrics[[#This Row],[Operating surplus/(deficit) (overall)3]],Entity_Metrics[[#This Row],[Share of operating surplus/(deficit) in joint ventures or associates]])/SUM(Entity_Metrics[[#This Row],[Total assets less current liabilities]]),"")</f>
        <v>7.0076752171278525E-2</v>
      </c>
      <c r="BL191" s="32">
        <v>20817</v>
      </c>
      <c r="BM191" s="32">
        <v>0</v>
      </c>
      <c r="BN191" s="32">
        <v>297060</v>
      </c>
      <c r="BO191" s="34">
        <v>0</v>
      </c>
      <c r="BP191" s="34">
        <v>5.9610705596107053E-2</v>
      </c>
      <c r="BQ191" s="6" t="s">
        <v>93</v>
      </c>
      <c r="BR191" s="6">
        <v>2002</v>
      </c>
      <c r="BS191" s="6" t="s">
        <v>94</v>
      </c>
      <c r="BT191" s="6" t="s">
        <v>84</v>
      </c>
      <c r="BU191" s="8">
        <v>1.0130469416154961</v>
      </c>
      <c r="BV191" s="37" t="s">
        <v>779</v>
      </c>
      <c r="BW191" s="19" t="s">
        <v>396</v>
      </c>
    </row>
    <row r="192" spans="1:75" x14ac:dyDescent="0.25">
      <c r="A192" s="33" t="s">
        <v>928</v>
      </c>
      <c r="B192" s="7" t="s">
        <v>398</v>
      </c>
      <c r="C192" s="7" t="s">
        <v>81</v>
      </c>
      <c r="D19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2.3217927313271595E-2</v>
      </c>
      <c r="E192" s="32">
        <v>0</v>
      </c>
      <c r="F192" s="32">
        <v>0</v>
      </c>
      <c r="G192" s="32">
        <v>4019</v>
      </c>
      <c r="H192" s="32">
        <v>0</v>
      </c>
      <c r="I192" s="32">
        <v>0</v>
      </c>
      <c r="J192" s="32">
        <v>173099</v>
      </c>
      <c r="K192" s="32">
        <v>0</v>
      </c>
      <c r="L19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6.167129201356768E-4</v>
      </c>
      <c r="M192" s="32">
        <v>0</v>
      </c>
      <c r="N192" s="32">
        <v>4</v>
      </c>
      <c r="O192" s="32">
        <v>5838</v>
      </c>
      <c r="P192" s="32">
        <v>648</v>
      </c>
      <c r="Q19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2" s="32">
        <v>0</v>
      </c>
      <c r="S192" s="32">
        <v>0</v>
      </c>
      <c r="T192" s="32">
        <v>0</v>
      </c>
      <c r="U192" s="32">
        <v>5838</v>
      </c>
      <c r="V192" s="32">
        <v>0</v>
      </c>
      <c r="W192" s="32">
        <v>648</v>
      </c>
      <c r="X192" s="32">
        <v>0</v>
      </c>
      <c r="Y19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0.27817029561118206</v>
      </c>
      <c r="Z192" s="32">
        <v>0</v>
      </c>
      <c r="AA192" s="32">
        <v>61657</v>
      </c>
      <c r="AB192" s="32">
        <v>13506</v>
      </c>
      <c r="AC192" s="32">
        <v>0</v>
      </c>
      <c r="AD192" s="32">
        <v>0</v>
      </c>
      <c r="AE192" s="32">
        <v>173099</v>
      </c>
      <c r="AF192" s="32">
        <v>0</v>
      </c>
      <c r="AG19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2.4071383449147188</v>
      </c>
      <c r="AH192" s="32">
        <v>10511</v>
      </c>
      <c r="AI192" s="32">
        <v>1145</v>
      </c>
      <c r="AJ192" s="32">
        <v>433</v>
      </c>
      <c r="AK192" s="32">
        <v>0</v>
      </c>
      <c r="AL192" s="32">
        <v>33</v>
      </c>
      <c r="AM192" s="32">
        <v>4019</v>
      </c>
      <c r="AN192" s="32">
        <v>2674</v>
      </c>
      <c r="AO192" s="32">
        <v>0</v>
      </c>
      <c r="AP192" s="32">
        <v>-3166</v>
      </c>
      <c r="AQ19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4.2194244604316546</v>
      </c>
      <c r="AR192" s="32">
        <v>5842</v>
      </c>
      <c r="AS192" s="32">
        <v>1819</v>
      </c>
      <c r="AT192" s="32">
        <v>3087</v>
      </c>
      <c r="AU192" s="32">
        <v>2189</v>
      </c>
      <c r="AV192" s="32">
        <v>9109</v>
      </c>
      <c r="AW192" s="32">
        <v>4019</v>
      </c>
      <c r="AX192" s="32">
        <v>-1432</v>
      </c>
      <c r="AY192" s="32">
        <v>0</v>
      </c>
      <c r="AZ192" s="32">
        <v>0</v>
      </c>
      <c r="BA192" s="32">
        <v>0</v>
      </c>
      <c r="BB192" s="32">
        <v>0</v>
      </c>
      <c r="BC192" s="32">
        <v>5838</v>
      </c>
      <c r="BD192" s="34">
        <f>IFERROR(SUM(Entity_Metrics[[#This Row],[Operating surplus/(deficit) (social housing lettings)]])/SUM(Entity_Metrics[[#This Row],[Turnover from social housing lettings]]),"")</f>
        <v>0.31487940411444787</v>
      </c>
      <c r="BE192" s="32">
        <v>10653</v>
      </c>
      <c r="BF192" s="32">
        <v>33832</v>
      </c>
      <c r="BG192" s="34">
        <f>IFERROR(SUM(Entity_Metrics[[#This Row],[Operating surplus/(deficit) (overall)2]],-Entity_Metrics[[#This Row],[Gain/(loss) on disposal of fixed assets (housing properties)2]])/SUM(Entity_Metrics[[#This Row],[Turnover (overall)]]),"")</f>
        <v>0.26625351792364327</v>
      </c>
      <c r="BH192" s="32">
        <v>10511</v>
      </c>
      <c r="BI192" s="32">
        <v>1145</v>
      </c>
      <c r="BJ192" s="32">
        <v>35177</v>
      </c>
      <c r="BK192" s="34">
        <f>IFERROR(SUM(Entity_Metrics[[#This Row],[Operating surplus/(deficit) (overall)3]],Entity_Metrics[[#This Row],[Share of operating surplus/(deficit) in joint ventures or associates]])/SUM(Entity_Metrics[[#This Row],[Total assets less current liabilities]]),"")</f>
        <v>7.0388203229111559E-2</v>
      </c>
      <c r="BL192" s="32">
        <v>10511</v>
      </c>
      <c r="BM192" s="32">
        <v>0</v>
      </c>
      <c r="BN192" s="32">
        <v>149329</v>
      </c>
      <c r="BO192" s="34">
        <v>0</v>
      </c>
      <c r="BP192" s="34">
        <v>0.30746831106543338</v>
      </c>
      <c r="BQ192" s="6" t="s">
        <v>93</v>
      </c>
      <c r="BR192" s="6">
        <v>2011</v>
      </c>
      <c r="BS192" s="6" t="s">
        <v>120</v>
      </c>
      <c r="BT192" s="6" t="s">
        <v>84</v>
      </c>
      <c r="BU192" s="8">
        <v>1.0118524159776632</v>
      </c>
      <c r="BV192" s="37">
        <v>4682</v>
      </c>
      <c r="BW192" s="19" t="s">
        <v>398</v>
      </c>
    </row>
    <row r="193" spans="1:75" x14ac:dyDescent="0.25">
      <c r="A193" s="33" t="s">
        <v>780</v>
      </c>
      <c r="B193" s="7" t="s">
        <v>781</v>
      </c>
      <c r="C193" s="7" t="s">
        <v>81</v>
      </c>
      <c r="D19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0.10285510153609409</v>
      </c>
      <c r="E193" s="32">
        <v>3629</v>
      </c>
      <c r="F193" s="32">
        <v>0</v>
      </c>
      <c r="G193" s="32">
        <v>114</v>
      </c>
      <c r="H193" s="32">
        <v>0</v>
      </c>
      <c r="I193" s="32">
        <v>0</v>
      </c>
      <c r="J193" s="32">
        <v>36391</v>
      </c>
      <c r="K193" s="32">
        <v>0</v>
      </c>
      <c r="L19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93" s="32">
        <v>0</v>
      </c>
      <c r="N193" s="32">
        <v>0</v>
      </c>
      <c r="O193" s="32">
        <v>948</v>
      </c>
      <c r="P193" s="32">
        <v>136</v>
      </c>
      <c r="Q19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3" s="32">
        <v>0</v>
      </c>
      <c r="S193" s="32">
        <v>0</v>
      </c>
      <c r="T193" s="32">
        <v>0</v>
      </c>
      <c r="U193" s="32">
        <v>948</v>
      </c>
      <c r="V193" s="32">
        <v>0</v>
      </c>
      <c r="W193" s="32">
        <v>136</v>
      </c>
      <c r="X193" s="32">
        <v>112</v>
      </c>
      <c r="Y19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-4.4461542689126429E-2</v>
      </c>
      <c r="Z193" s="32">
        <v>0</v>
      </c>
      <c r="AA193" s="32">
        <v>0</v>
      </c>
      <c r="AB193" s="32">
        <v>1618</v>
      </c>
      <c r="AC193" s="32">
        <v>0</v>
      </c>
      <c r="AD193" s="32">
        <v>0</v>
      </c>
      <c r="AE193" s="32">
        <v>36391</v>
      </c>
      <c r="AF193" s="32">
        <v>0</v>
      </c>
      <c r="AG19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162.5</v>
      </c>
      <c r="AH193" s="32">
        <v>38597</v>
      </c>
      <c r="AI193" s="32">
        <v>37065</v>
      </c>
      <c r="AJ193" s="32">
        <v>164</v>
      </c>
      <c r="AK193" s="32">
        <v>0</v>
      </c>
      <c r="AL193" s="32">
        <v>0</v>
      </c>
      <c r="AM193" s="32">
        <v>114</v>
      </c>
      <c r="AN193" s="32">
        <v>696</v>
      </c>
      <c r="AO193" s="32">
        <v>0</v>
      </c>
      <c r="AP193" s="32">
        <v>-12</v>
      </c>
      <c r="AQ19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1.4957894736842106</v>
      </c>
      <c r="AR193" s="32">
        <v>622</v>
      </c>
      <c r="AS193" s="32">
        <v>434</v>
      </c>
      <c r="AT193" s="32">
        <v>117</v>
      </c>
      <c r="AU193" s="32">
        <v>72</v>
      </c>
      <c r="AV193" s="32">
        <v>0</v>
      </c>
      <c r="AW193" s="32">
        <v>114</v>
      </c>
      <c r="AX193" s="32">
        <v>42</v>
      </c>
      <c r="AY193" s="32">
        <v>0</v>
      </c>
      <c r="AZ193" s="32">
        <v>0</v>
      </c>
      <c r="BA193" s="32">
        <v>20</v>
      </c>
      <c r="BB193" s="32">
        <v>0</v>
      </c>
      <c r="BC193" s="32">
        <v>950</v>
      </c>
      <c r="BD193" s="34">
        <f>IFERROR(SUM(Entity_Metrics[[#This Row],[Operating surplus/(deficit) (social housing lettings)]])/SUM(Entity_Metrics[[#This Row],[Turnover from social housing lettings]]),"")</f>
        <v>0.42815153494448072</v>
      </c>
      <c r="BE193" s="32">
        <v>1311</v>
      </c>
      <c r="BF193" s="32">
        <v>3062</v>
      </c>
      <c r="BG193" s="34">
        <f>IFERROR(SUM(Entity_Metrics[[#This Row],[Operating surplus/(deficit) (overall)2]],-Entity_Metrics[[#This Row],[Gain/(loss) on disposal of fixed assets (housing properties)2]])/SUM(Entity_Metrics[[#This Row],[Turnover (overall)]]),"")</f>
        <v>0.36650717703349284</v>
      </c>
      <c r="BH193" s="32">
        <v>38597</v>
      </c>
      <c r="BI193" s="32">
        <v>37065</v>
      </c>
      <c r="BJ193" s="32">
        <v>4180</v>
      </c>
      <c r="BK193" s="34">
        <f>IFERROR(SUM(Entity_Metrics[[#This Row],[Operating surplus/(deficit) (overall)3]],Entity_Metrics[[#This Row],[Share of operating surplus/(deficit) in joint ventures or associates]])/SUM(Entity_Metrics[[#This Row],[Total assets less current liabilities]]),"")</f>
        <v>0.56000174107337175</v>
      </c>
      <c r="BL193" s="32">
        <v>38597</v>
      </c>
      <c r="BM193" s="32">
        <v>0</v>
      </c>
      <c r="BN193" s="32">
        <v>68923</v>
      </c>
      <c r="BO193" s="34">
        <v>7.1654373024236037E-2</v>
      </c>
      <c r="BP193" s="34">
        <v>0</v>
      </c>
      <c r="BQ193" s="6" t="s">
        <v>82</v>
      </c>
      <c r="BR193" s="6" t="s">
        <v>83</v>
      </c>
      <c r="BS193" s="6" t="s">
        <v>83</v>
      </c>
      <c r="BT193" s="6" t="s">
        <v>105</v>
      </c>
      <c r="BU193" s="8">
        <v>0.9156653862445665</v>
      </c>
      <c r="BV193" s="37">
        <v>4653</v>
      </c>
      <c r="BW193" s="19" t="s">
        <v>400</v>
      </c>
    </row>
    <row r="194" spans="1:75" x14ac:dyDescent="0.25">
      <c r="A194" s="33" t="s">
        <v>929</v>
      </c>
      <c r="B194" s="7" t="s">
        <v>400</v>
      </c>
      <c r="C194" s="7" t="s">
        <v>81</v>
      </c>
      <c r="D19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4.2589112432271037E-2</v>
      </c>
      <c r="E194" s="32">
        <v>10253</v>
      </c>
      <c r="F194" s="32">
        <v>0</v>
      </c>
      <c r="G194" s="32">
        <v>8813</v>
      </c>
      <c r="H194" s="32">
        <v>333</v>
      </c>
      <c r="I194" s="32">
        <v>0</v>
      </c>
      <c r="J194" s="32">
        <v>455492</v>
      </c>
      <c r="K194" s="32">
        <v>0</v>
      </c>
      <c r="L19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1.2446024892049785E-2</v>
      </c>
      <c r="M194" s="32">
        <v>147</v>
      </c>
      <c r="N194" s="32">
        <v>0</v>
      </c>
      <c r="O194" s="32">
        <v>11548</v>
      </c>
      <c r="P194" s="32">
        <v>263</v>
      </c>
      <c r="Q19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4" s="32">
        <v>0</v>
      </c>
      <c r="S194" s="32">
        <v>0</v>
      </c>
      <c r="T194" s="32">
        <v>0</v>
      </c>
      <c r="U194" s="32">
        <v>11548</v>
      </c>
      <c r="V194" s="32">
        <v>0</v>
      </c>
      <c r="W194" s="32">
        <v>263</v>
      </c>
      <c r="X194" s="32">
        <v>35</v>
      </c>
      <c r="Y19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0.41267025546003006</v>
      </c>
      <c r="Z194" s="32">
        <v>3618</v>
      </c>
      <c r="AA194" s="32">
        <v>189355</v>
      </c>
      <c r="AB194" s="32">
        <v>5005</v>
      </c>
      <c r="AC194" s="32">
        <v>0</v>
      </c>
      <c r="AD194" s="32">
        <v>0</v>
      </c>
      <c r="AE194" s="32">
        <v>455492</v>
      </c>
      <c r="AF194" s="32">
        <v>0</v>
      </c>
      <c r="AG19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1.6477110550005489</v>
      </c>
      <c r="AH194" s="32">
        <v>18709</v>
      </c>
      <c r="AI194" s="32">
        <v>755</v>
      </c>
      <c r="AJ194" s="32">
        <v>2323</v>
      </c>
      <c r="AK194" s="32">
        <v>0</v>
      </c>
      <c r="AL194" s="32">
        <v>35</v>
      </c>
      <c r="AM194" s="32">
        <v>8813</v>
      </c>
      <c r="AN194" s="32">
        <v>8156</v>
      </c>
      <c r="AO194" s="32">
        <v>-333</v>
      </c>
      <c r="AP194" s="32">
        <v>-8776</v>
      </c>
      <c r="AQ19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3.2325541274907272</v>
      </c>
      <c r="AR194" s="32">
        <v>8857</v>
      </c>
      <c r="AS194" s="32">
        <v>4365</v>
      </c>
      <c r="AT194" s="32">
        <v>8490</v>
      </c>
      <c r="AU194" s="32">
        <v>5432</v>
      </c>
      <c r="AV194" s="32">
        <v>0</v>
      </c>
      <c r="AW194" s="32">
        <v>8813</v>
      </c>
      <c r="AX194" s="32">
        <v>913</v>
      </c>
      <c r="AY194" s="32">
        <v>54</v>
      </c>
      <c r="AZ194" s="32">
        <v>0</v>
      </c>
      <c r="BA194" s="32">
        <v>384</v>
      </c>
      <c r="BB194" s="32">
        <v>167</v>
      </c>
      <c r="BC194" s="32">
        <v>11593</v>
      </c>
      <c r="BD194" s="34">
        <f>IFERROR(SUM(Entity_Metrics[[#This Row],[Operating surplus/(deficit) (social housing lettings)]])/SUM(Entity_Metrics[[#This Row],[Turnover from social housing lettings]]),"")</f>
        <v>0.32944392823958257</v>
      </c>
      <c r="BE194" s="32">
        <v>18437</v>
      </c>
      <c r="BF194" s="32">
        <v>55964</v>
      </c>
      <c r="BG194" s="34">
        <f>IFERROR(SUM(Entity_Metrics[[#This Row],[Operating surplus/(deficit) (overall)2]],-Entity_Metrics[[#This Row],[Gain/(loss) on disposal of fixed assets (housing properties)2]])/SUM(Entity_Metrics[[#This Row],[Turnover (overall)]]),"")</f>
        <v>0.30154517971111855</v>
      </c>
      <c r="BH194" s="32">
        <v>18709</v>
      </c>
      <c r="BI194" s="32">
        <v>755</v>
      </c>
      <c r="BJ194" s="32">
        <v>59540</v>
      </c>
      <c r="BK194" s="34">
        <f>IFERROR(SUM(Entity_Metrics[[#This Row],[Operating surplus/(deficit) (overall)3]],Entity_Metrics[[#This Row],[Share of operating surplus/(deficit) in joint ventures or associates]])/SUM(Entity_Metrics[[#This Row],[Total assets less current liabilities]]),"")</f>
        <v>4.2233172984674702E-2</v>
      </c>
      <c r="BL194" s="32">
        <v>18709</v>
      </c>
      <c r="BM194" s="32">
        <v>0</v>
      </c>
      <c r="BN194" s="32">
        <v>442993</v>
      </c>
      <c r="BO194" s="34">
        <v>6.5189273087867552E-2</v>
      </c>
      <c r="BP194" s="34">
        <v>8.1831508148659138E-2</v>
      </c>
      <c r="BQ194" s="6" t="s">
        <v>82</v>
      </c>
      <c r="BR194" s="6" t="s">
        <v>83</v>
      </c>
      <c r="BS194" s="6" t="s">
        <v>83</v>
      </c>
      <c r="BT194" s="6" t="s">
        <v>105</v>
      </c>
      <c r="BU194" s="8">
        <v>0.9156653862445665</v>
      </c>
      <c r="BV194" s="37">
        <v>4653</v>
      </c>
      <c r="BW194" s="19" t="s">
        <v>400</v>
      </c>
    </row>
    <row r="195" spans="1:75" x14ac:dyDescent="0.25">
      <c r="A195" s="33" t="s">
        <v>401</v>
      </c>
      <c r="B195" s="7" t="s">
        <v>402</v>
      </c>
      <c r="C195" s="7" t="s">
        <v>81</v>
      </c>
      <c r="D19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5.6549393758696082E-2</v>
      </c>
      <c r="E195" s="32">
        <v>0</v>
      </c>
      <c r="F195" s="32">
        <v>0</v>
      </c>
      <c r="G195" s="32">
        <v>69</v>
      </c>
      <c r="H195" s="32">
        <v>0</v>
      </c>
      <c r="I195" s="32">
        <v>500</v>
      </c>
      <c r="J195" s="32">
        <v>1806</v>
      </c>
      <c r="K195" s="32">
        <v>8256</v>
      </c>
      <c r="L19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195" s="32">
        <v>0</v>
      </c>
      <c r="N195" s="32">
        <v>0</v>
      </c>
      <c r="O195" s="32">
        <v>1270</v>
      </c>
      <c r="P195" s="32">
        <v>0</v>
      </c>
      <c r="Q19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5" s="32">
        <v>0</v>
      </c>
      <c r="S195" s="32">
        <v>0</v>
      </c>
      <c r="T195" s="32">
        <v>0</v>
      </c>
      <c r="U195" s="32">
        <v>1270</v>
      </c>
      <c r="V195" s="32">
        <v>0</v>
      </c>
      <c r="W195" s="32">
        <v>0</v>
      </c>
      <c r="X195" s="32">
        <v>0</v>
      </c>
      <c r="Y19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0.26078314450407475</v>
      </c>
      <c r="Z195" s="32">
        <v>145</v>
      </c>
      <c r="AA195" s="32">
        <v>3054</v>
      </c>
      <c r="AB195" s="32">
        <v>575</v>
      </c>
      <c r="AC195" s="32">
        <v>0</v>
      </c>
      <c r="AD195" s="32">
        <v>0</v>
      </c>
      <c r="AE195" s="32">
        <v>1806</v>
      </c>
      <c r="AF195" s="32">
        <v>8256</v>
      </c>
      <c r="AG19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6.326732673267327</v>
      </c>
      <c r="AH195" s="32">
        <v>405</v>
      </c>
      <c r="AI195" s="32">
        <v>0</v>
      </c>
      <c r="AJ195" s="32">
        <v>0</v>
      </c>
      <c r="AK195" s="32">
        <v>0</v>
      </c>
      <c r="AL195" s="32">
        <v>1</v>
      </c>
      <c r="AM195" s="32">
        <v>70</v>
      </c>
      <c r="AN195" s="32">
        <v>303</v>
      </c>
      <c r="AO195" s="32">
        <v>0</v>
      </c>
      <c r="AP195" s="32">
        <v>-101</v>
      </c>
      <c r="AQ19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10.21023622047244</v>
      </c>
      <c r="AR195" s="32">
        <v>2365</v>
      </c>
      <c r="AS195" s="32">
        <v>1041</v>
      </c>
      <c r="AT195" s="32">
        <v>814</v>
      </c>
      <c r="AU195" s="32">
        <v>208</v>
      </c>
      <c r="AV195" s="32">
        <v>0</v>
      </c>
      <c r="AW195" s="32">
        <v>70</v>
      </c>
      <c r="AX195" s="32">
        <v>8106</v>
      </c>
      <c r="AY195" s="32">
        <v>0</v>
      </c>
      <c r="AZ195" s="32">
        <v>0</v>
      </c>
      <c r="BA195" s="32">
        <v>0</v>
      </c>
      <c r="BB195" s="32">
        <v>363</v>
      </c>
      <c r="BC195" s="32">
        <v>1270</v>
      </c>
      <c r="BD195" s="34">
        <f>IFERROR(SUM(Entity_Metrics[[#This Row],[Operating surplus/(deficit) (social housing lettings)]])/SUM(Entity_Metrics[[#This Row],[Turnover from social housing lettings]]),"")</f>
        <v>3.0039346246973367E-2</v>
      </c>
      <c r="BE195" s="32">
        <v>397</v>
      </c>
      <c r="BF195" s="32">
        <v>13216</v>
      </c>
      <c r="BG195" s="34">
        <f>IFERROR(SUM(Entity_Metrics[[#This Row],[Operating surplus/(deficit) (overall)2]],-Entity_Metrics[[#This Row],[Gain/(loss) on disposal of fixed assets (housing properties)2]])/SUM(Entity_Metrics[[#This Row],[Turnover (overall)]]),"")</f>
        <v>2.9810098630943617E-2</v>
      </c>
      <c r="BH195" s="32">
        <v>405</v>
      </c>
      <c r="BI195" s="32">
        <v>0</v>
      </c>
      <c r="BJ195" s="32">
        <v>13586</v>
      </c>
      <c r="BK195" s="34">
        <f>IFERROR(SUM(Entity_Metrics[[#This Row],[Operating surplus/(deficit) (overall)3]],Entity_Metrics[[#This Row],[Share of operating surplus/(deficit) in joint ventures or associates]])/SUM(Entity_Metrics[[#This Row],[Total assets less current liabilities]]),"")</f>
        <v>2.5886864813039309E-2</v>
      </c>
      <c r="BL195" s="32">
        <v>405</v>
      </c>
      <c r="BM195" s="32">
        <v>0</v>
      </c>
      <c r="BN195" s="32">
        <v>15645</v>
      </c>
      <c r="BO195" s="34">
        <v>0.99527559055118109</v>
      </c>
      <c r="BP195" s="34">
        <v>0</v>
      </c>
      <c r="BQ195" s="6" t="s">
        <v>82</v>
      </c>
      <c r="BR195" s="6" t="s">
        <v>83</v>
      </c>
      <c r="BS195" s="6" t="s">
        <v>83</v>
      </c>
      <c r="BT195" s="6" t="s">
        <v>87</v>
      </c>
      <c r="BU195" s="8">
        <v>0.99668364379804597</v>
      </c>
      <c r="BV195" s="37">
        <v>4745</v>
      </c>
      <c r="BW195" s="19" t="s">
        <v>402</v>
      </c>
    </row>
    <row r="196" spans="1:75" x14ac:dyDescent="0.25">
      <c r="A196" s="33" t="s">
        <v>782</v>
      </c>
      <c r="B196" s="7" t="s">
        <v>783</v>
      </c>
      <c r="C196" s="7" t="s">
        <v>81</v>
      </c>
      <c r="D19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0.10063646102463923</v>
      </c>
      <c r="E196" s="32">
        <v>0</v>
      </c>
      <c r="F196" s="32">
        <v>595</v>
      </c>
      <c r="G196" s="32">
        <v>988</v>
      </c>
      <c r="H196" s="32">
        <v>14</v>
      </c>
      <c r="I196" s="32">
        <v>0</v>
      </c>
      <c r="J196" s="32">
        <v>15869</v>
      </c>
      <c r="K196" s="32">
        <v>0</v>
      </c>
      <c r="L19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6.1349693251533744E-3</v>
      </c>
      <c r="M196" s="32">
        <v>6</v>
      </c>
      <c r="N196" s="32">
        <v>0</v>
      </c>
      <c r="O196" s="32">
        <v>978</v>
      </c>
      <c r="P196" s="32">
        <v>0</v>
      </c>
      <c r="Q19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6" s="32">
        <v>0</v>
      </c>
      <c r="S196" s="32">
        <v>0</v>
      </c>
      <c r="T196" s="32">
        <v>0</v>
      </c>
      <c r="U196" s="32">
        <v>978</v>
      </c>
      <c r="V196" s="32">
        <v>6</v>
      </c>
      <c r="W196" s="32">
        <v>0</v>
      </c>
      <c r="X196" s="32">
        <v>0</v>
      </c>
      <c r="Y19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0.52290629529270904</v>
      </c>
      <c r="Z196" s="32">
        <v>0</v>
      </c>
      <c r="AA196" s="32">
        <v>16605</v>
      </c>
      <c r="AB196" s="32">
        <v>8552</v>
      </c>
      <c r="AC196" s="32">
        <v>245</v>
      </c>
      <c r="AD196" s="32">
        <v>0</v>
      </c>
      <c r="AE196" s="32">
        <v>15869</v>
      </c>
      <c r="AF196" s="32">
        <v>0</v>
      </c>
      <c r="AG19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4.2</v>
      </c>
      <c r="AH196" s="32">
        <v>2263</v>
      </c>
      <c r="AI196" s="32">
        <v>90</v>
      </c>
      <c r="AJ196" s="32">
        <v>49</v>
      </c>
      <c r="AK196" s="32">
        <v>0</v>
      </c>
      <c r="AL196" s="32">
        <v>85</v>
      </c>
      <c r="AM196" s="32">
        <v>988</v>
      </c>
      <c r="AN196" s="32">
        <v>522</v>
      </c>
      <c r="AO196" s="32">
        <v>-14</v>
      </c>
      <c r="AP196" s="32">
        <v>-401</v>
      </c>
      <c r="AQ19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3.3966613672496027</v>
      </c>
      <c r="AR196" s="32">
        <v>299</v>
      </c>
      <c r="AS196" s="32">
        <v>473</v>
      </c>
      <c r="AT196" s="32">
        <v>971</v>
      </c>
      <c r="AU196" s="32">
        <v>823</v>
      </c>
      <c r="AV196" s="32">
        <v>87</v>
      </c>
      <c r="AW196" s="32">
        <v>988</v>
      </c>
      <c r="AX196" s="32">
        <v>189</v>
      </c>
      <c r="AY196" s="32">
        <v>11</v>
      </c>
      <c r="AZ196" s="32">
        <v>226</v>
      </c>
      <c r="BA196" s="32">
        <v>206</v>
      </c>
      <c r="BB196" s="32">
        <v>0</v>
      </c>
      <c r="BC196" s="32">
        <v>1258</v>
      </c>
      <c r="BD196" s="34">
        <f>IFERROR(SUM(Entity_Metrics[[#This Row],[Operating surplus/(deficit) (social housing lettings)]])/SUM(Entity_Metrics[[#This Row],[Turnover from social housing lettings]]),"")</f>
        <v>0.33745512564818508</v>
      </c>
      <c r="BE196" s="32">
        <v>1692</v>
      </c>
      <c r="BF196" s="32">
        <v>5014</v>
      </c>
      <c r="BG196" s="34">
        <f>IFERROR(SUM(Entity_Metrics[[#This Row],[Operating surplus/(deficit) (overall)2]],-Entity_Metrics[[#This Row],[Gain/(loss) on disposal of fixed assets (housing properties)2]])/SUM(Entity_Metrics[[#This Row],[Turnover (overall)]]),"")</f>
        <v>0.33054456951627625</v>
      </c>
      <c r="BH196" s="32">
        <v>2263</v>
      </c>
      <c r="BI196" s="32">
        <v>90</v>
      </c>
      <c r="BJ196" s="32">
        <v>6574</v>
      </c>
      <c r="BK196" s="34">
        <f>IFERROR(SUM(Entity_Metrics[[#This Row],[Operating surplus/(deficit) (overall)3]],Entity_Metrics[[#This Row],[Share of operating surplus/(deficit) in joint ventures or associates]])/SUM(Entity_Metrics[[#This Row],[Total assets less current liabilities]]),"")</f>
        <v>8.7618088895772037E-2</v>
      </c>
      <c r="BL196" s="32">
        <v>2263</v>
      </c>
      <c r="BM196" s="32">
        <v>0</v>
      </c>
      <c r="BN196" s="32">
        <v>25828</v>
      </c>
      <c r="BO196" s="34">
        <v>0</v>
      </c>
      <c r="BP196" s="34">
        <v>0.51899827288428324</v>
      </c>
      <c r="BQ196" s="6" t="s">
        <v>93</v>
      </c>
      <c r="BR196" s="6">
        <v>2008</v>
      </c>
      <c r="BS196" s="6" t="s">
        <v>120</v>
      </c>
      <c r="BT196" s="6" t="s">
        <v>105</v>
      </c>
      <c r="BU196" s="8">
        <v>0.9156653862445665</v>
      </c>
      <c r="BV196" s="37">
        <v>4649</v>
      </c>
      <c r="BW196" s="19" t="s">
        <v>620</v>
      </c>
    </row>
    <row r="197" spans="1:75" x14ac:dyDescent="0.25">
      <c r="A197" s="33" t="s">
        <v>784</v>
      </c>
      <c r="B197" s="7" t="s">
        <v>404</v>
      </c>
      <c r="C197" s="7" t="s">
        <v>81</v>
      </c>
      <c r="D19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0.12662243545271853</v>
      </c>
      <c r="E197" s="32">
        <v>33538</v>
      </c>
      <c r="F197" s="32">
        <v>0</v>
      </c>
      <c r="G197" s="32">
        <v>4454</v>
      </c>
      <c r="H197" s="32">
        <v>884</v>
      </c>
      <c r="I197" s="32">
        <v>0</v>
      </c>
      <c r="J197" s="32">
        <v>307023</v>
      </c>
      <c r="K197" s="32">
        <v>0</v>
      </c>
      <c r="L19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1.2912482065997131E-2</v>
      </c>
      <c r="M197" s="32">
        <v>90</v>
      </c>
      <c r="N197" s="32">
        <v>0</v>
      </c>
      <c r="O197" s="32">
        <v>6970</v>
      </c>
      <c r="P197" s="32">
        <v>0</v>
      </c>
      <c r="Q19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7" s="32">
        <v>0</v>
      </c>
      <c r="S197" s="32">
        <v>0</v>
      </c>
      <c r="T197" s="32">
        <v>0</v>
      </c>
      <c r="U197" s="32">
        <v>6970</v>
      </c>
      <c r="V197" s="32">
        <v>0</v>
      </c>
      <c r="W197" s="32">
        <v>0</v>
      </c>
      <c r="X197" s="32">
        <v>0</v>
      </c>
      <c r="Y19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0.63691970959830368</v>
      </c>
      <c r="Z197" s="32">
        <v>0</v>
      </c>
      <c r="AA197" s="32">
        <v>78491</v>
      </c>
      <c r="AB197" s="32">
        <v>20894</v>
      </c>
      <c r="AC197" s="32">
        <v>137952</v>
      </c>
      <c r="AD197" s="32">
        <v>0</v>
      </c>
      <c r="AE197" s="32">
        <v>307023</v>
      </c>
      <c r="AF197" s="32">
        <v>0</v>
      </c>
      <c r="AG19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2.1768211240110964</v>
      </c>
      <c r="AH197" s="32">
        <v>19992</v>
      </c>
      <c r="AI197" s="32">
        <v>257</v>
      </c>
      <c r="AJ197" s="32">
        <v>208</v>
      </c>
      <c r="AK197" s="32">
        <v>0</v>
      </c>
      <c r="AL197" s="32">
        <v>154</v>
      </c>
      <c r="AM197" s="32">
        <v>4454</v>
      </c>
      <c r="AN197" s="32">
        <v>5960</v>
      </c>
      <c r="AO197" s="32">
        <v>-1033</v>
      </c>
      <c r="AP197" s="32">
        <v>-8700</v>
      </c>
      <c r="AQ19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4.5195306910859925</v>
      </c>
      <c r="AR197" s="32">
        <v>11096</v>
      </c>
      <c r="AS197" s="32">
        <v>2134</v>
      </c>
      <c r="AT197" s="32">
        <v>2990</v>
      </c>
      <c r="AU197" s="32">
        <v>3241</v>
      </c>
      <c r="AV197" s="32">
        <v>2779</v>
      </c>
      <c r="AW197" s="32">
        <v>4454</v>
      </c>
      <c r="AX197" s="32">
        <v>143</v>
      </c>
      <c r="AY197" s="32">
        <v>2027</v>
      </c>
      <c r="AZ197" s="32">
        <v>0</v>
      </c>
      <c r="BA197" s="32">
        <v>2723</v>
      </c>
      <c r="BB197" s="32">
        <v>0</v>
      </c>
      <c r="BC197" s="32">
        <v>6989</v>
      </c>
      <c r="BD197" s="34">
        <f>IFERROR(SUM(Entity_Metrics[[#This Row],[Operating surplus/(deficit) (social housing lettings)]])/SUM(Entity_Metrics[[#This Row],[Turnover from social housing lettings]]),"")</f>
        <v>0.42623694961416253</v>
      </c>
      <c r="BE197" s="32">
        <v>20658</v>
      </c>
      <c r="BF197" s="32">
        <v>48466</v>
      </c>
      <c r="BG197" s="34">
        <f>IFERROR(SUM(Entity_Metrics[[#This Row],[Operating surplus/(deficit) (overall)2]],-Entity_Metrics[[#This Row],[Gain/(loss) on disposal of fixed assets (housing properties)2]])/SUM(Entity_Metrics[[#This Row],[Turnover (overall)]]),"")</f>
        <v>0.37282980371412916</v>
      </c>
      <c r="BH197" s="32">
        <v>19992</v>
      </c>
      <c r="BI197" s="32">
        <v>257</v>
      </c>
      <c r="BJ197" s="32">
        <v>52933</v>
      </c>
      <c r="BK197" s="34">
        <f>IFERROR(SUM(Entity_Metrics[[#This Row],[Operating surplus/(deficit) (overall)3]],Entity_Metrics[[#This Row],[Share of operating surplus/(deficit) in joint ventures or associates]])/SUM(Entity_Metrics[[#This Row],[Total assets less current liabilities]]),"")</f>
        <v>5.8742121732998372E-2</v>
      </c>
      <c r="BL197" s="32">
        <v>19992</v>
      </c>
      <c r="BM197" s="32">
        <v>0</v>
      </c>
      <c r="BN197" s="32">
        <v>340335</v>
      </c>
      <c r="BO197" s="34">
        <v>0</v>
      </c>
      <c r="BP197" s="34">
        <v>6.0237516096723426E-2</v>
      </c>
      <c r="BQ197" s="6" t="s">
        <v>93</v>
      </c>
      <c r="BR197" s="6">
        <v>2000</v>
      </c>
      <c r="BS197" s="6" t="s">
        <v>94</v>
      </c>
      <c r="BT197" s="6" t="s">
        <v>156</v>
      </c>
      <c r="BU197" s="8">
        <v>1.2488627787394371</v>
      </c>
      <c r="BV197" s="37" t="s">
        <v>784</v>
      </c>
      <c r="BW197" s="19" t="s">
        <v>404</v>
      </c>
    </row>
    <row r="198" spans="1:75" x14ac:dyDescent="0.25">
      <c r="A198" s="33" t="s">
        <v>930</v>
      </c>
      <c r="B198" s="7" t="s">
        <v>406</v>
      </c>
      <c r="C198" s="7" t="s">
        <v>81</v>
      </c>
      <c r="D19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9.2789905289905286E-2</v>
      </c>
      <c r="E198" s="32">
        <v>4952</v>
      </c>
      <c r="F198" s="32">
        <v>0</v>
      </c>
      <c r="G198" s="32">
        <v>7902</v>
      </c>
      <c r="H198" s="32">
        <v>0</v>
      </c>
      <c r="I198" s="32">
        <v>0</v>
      </c>
      <c r="J198" s="32">
        <v>138528</v>
      </c>
      <c r="K198" s="32">
        <v>0</v>
      </c>
      <c r="L19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1.846790278495974E-3</v>
      </c>
      <c r="M198" s="32">
        <v>18</v>
      </c>
      <c r="N198" s="32">
        <v>7</v>
      </c>
      <c r="O198" s="32">
        <v>12954</v>
      </c>
      <c r="P198" s="32">
        <v>583</v>
      </c>
      <c r="Q19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8" s="32">
        <v>0</v>
      </c>
      <c r="S198" s="32">
        <v>0</v>
      </c>
      <c r="T198" s="32">
        <v>0</v>
      </c>
      <c r="U198" s="32">
        <v>12954</v>
      </c>
      <c r="V198" s="32">
        <v>1</v>
      </c>
      <c r="W198" s="32">
        <v>583</v>
      </c>
      <c r="X198" s="32">
        <v>0</v>
      </c>
      <c r="Y19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0.26412710787710786</v>
      </c>
      <c r="Z198" s="32">
        <v>109</v>
      </c>
      <c r="AA198" s="32">
        <v>42152</v>
      </c>
      <c r="AB198" s="32">
        <v>5672</v>
      </c>
      <c r="AC198" s="32">
        <v>0</v>
      </c>
      <c r="AD198" s="32">
        <v>0</v>
      </c>
      <c r="AE198" s="32">
        <v>138528</v>
      </c>
      <c r="AF198" s="32">
        <v>0</v>
      </c>
      <c r="AG19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2.4809283551967711</v>
      </c>
      <c r="AH198" s="32">
        <v>20482</v>
      </c>
      <c r="AI198" s="32">
        <v>4106</v>
      </c>
      <c r="AJ198" s="32">
        <v>78</v>
      </c>
      <c r="AK198" s="32">
        <v>0</v>
      </c>
      <c r="AL198" s="32">
        <v>62</v>
      </c>
      <c r="AM198" s="32">
        <v>7902</v>
      </c>
      <c r="AN198" s="32">
        <v>3835</v>
      </c>
      <c r="AO198" s="32">
        <v>0</v>
      </c>
      <c r="AP198" s="32">
        <v>-4955</v>
      </c>
      <c r="AQ19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3.4852317421145984</v>
      </c>
      <c r="AR198" s="32">
        <v>15768</v>
      </c>
      <c r="AS198" s="32">
        <v>4412</v>
      </c>
      <c r="AT198" s="32">
        <v>9668</v>
      </c>
      <c r="AU198" s="32">
        <v>2588</v>
      </c>
      <c r="AV198" s="32">
        <v>2775</v>
      </c>
      <c r="AW198" s="32">
        <v>7902</v>
      </c>
      <c r="AX198" s="32">
        <v>0</v>
      </c>
      <c r="AY198" s="32">
        <v>0</v>
      </c>
      <c r="AZ198" s="32">
        <v>0</v>
      </c>
      <c r="BA198" s="32">
        <v>1111</v>
      </c>
      <c r="BB198" s="32">
        <v>969</v>
      </c>
      <c r="BC198" s="32">
        <v>12967</v>
      </c>
      <c r="BD198" s="34">
        <f>IFERROR(SUM(Entity_Metrics[[#This Row],[Operating surplus/(deficit) (social housing lettings)]])/SUM(Entity_Metrics[[#This Row],[Turnover from social housing lettings]]),"")</f>
        <v>0.2723510712337528</v>
      </c>
      <c r="BE198" s="32">
        <v>14479</v>
      </c>
      <c r="BF198" s="32">
        <v>53163</v>
      </c>
      <c r="BG198" s="34">
        <f>IFERROR(SUM(Entity_Metrics[[#This Row],[Operating surplus/(deficit) (overall)2]],-Entity_Metrics[[#This Row],[Gain/(loss) on disposal of fixed assets (housing properties)2]])/SUM(Entity_Metrics[[#This Row],[Turnover (overall)]]),"")</f>
        <v>0.28582399553181836</v>
      </c>
      <c r="BH198" s="32">
        <v>20482</v>
      </c>
      <c r="BI198" s="32">
        <v>4106</v>
      </c>
      <c r="BJ198" s="32">
        <v>57294</v>
      </c>
      <c r="BK198" s="34">
        <f>IFERROR(SUM(Entity_Metrics[[#This Row],[Operating surplus/(deficit) (overall)3]],Entity_Metrics[[#This Row],[Share of operating surplus/(deficit) in joint ventures or associates]])/SUM(Entity_Metrics[[#This Row],[Total assets less current liabilities]]),"")</f>
        <v>3.385040507442065E-2</v>
      </c>
      <c r="BL198" s="32">
        <v>20482</v>
      </c>
      <c r="BM198" s="32">
        <v>0</v>
      </c>
      <c r="BN198" s="32">
        <v>605074</v>
      </c>
      <c r="BO198" s="34">
        <v>0</v>
      </c>
      <c r="BP198" s="34">
        <v>7.4803149606299218E-2</v>
      </c>
      <c r="BQ198" s="6" t="s">
        <v>93</v>
      </c>
      <c r="BR198" s="6">
        <v>2012</v>
      </c>
      <c r="BS198" s="6" t="s">
        <v>149</v>
      </c>
      <c r="BT198" s="6" t="s">
        <v>105</v>
      </c>
      <c r="BU198" s="8">
        <v>0.9156653862445665</v>
      </c>
      <c r="BV198" s="37">
        <v>4607</v>
      </c>
      <c r="BW198" s="19" t="s">
        <v>406</v>
      </c>
    </row>
    <row r="199" spans="1:75" x14ac:dyDescent="0.25">
      <c r="A199" s="33" t="s">
        <v>785</v>
      </c>
      <c r="B199" s="7" t="s">
        <v>786</v>
      </c>
      <c r="C199" s="7" t="s">
        <v>81</v>
      </c>
      <c r="D19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6.5819998709278585E-2</v>
      </c>
      <c r="E199" s="32">
        <v>14771</v>
      </c>
      <c r="F199" s="32">
        <v>1631</v>
      </c>
      <c r="G199" s="32">
        <v>2403</v>
      </c>
      <c r="H199" s="32">
        <v>573</v>
      </c>
      <c r="I199" s="32">
        <v>0</v>
      </c>
      <c r="J199" s="32">
        <v>294409</v>
      </c>
      <c r="K199" s="32">
        <v>0</v>
      </c>
      <c r="L19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1.3052208835341365E-2</v>
      </c>
      <c r="M199" s="32">
        <v>78</v>
      </c>
      <c r="N199" s="32">
        <v>0</v>
      </c>
      <c r="O199" s="32">
        <v>5814</v>
      </c>
      <c r="P199" s="32">
        <v>162</v>
      </c>
      <c r="Q19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199" s="32">
        <v>0</v>
      </c>
      <c r="S199" s="32">
        <v>0</v>
      </c>
      <c r="T199" s="32">
        <v>0</v>
      </c>
      <c r="U199" s="32">
        <v>5814</v>
      </c>
      <c r="V199" s="32">
        <v>0</v>
      </c>
      <c r="W199" s="32">
        <v>162</v>
      </c>
      <c r="X199" s="32">
        <v>0</v>
      </c>
      <c r="Y19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0.61661498119962366</v>
      </c>
      <c r="Z199" s="32">
        <v>3570</v>
      </c>
      <c r="AA199" s="32">
        <v>197030</v>
      </c>
      <c r="AB199" s="32">
        <v>19063</v>
      </c>
      <c r="AC199" s="32">
        <v>0</v>
      </c>
      <c r="AD199" s="32">
        <v>0</v>
      </c>
      <c r="AE199" s="32">
        <v>294409</v>
      </c>
      <c r="AF199" s="32">
        <v>0</v>
      </c>
      <c r="AG19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1.7776157900639229</v>
      </c>
      <c r="AH199" s="32">
        <v>15393</v>
      </c>
      <c r="AI199" s="32">
        <v>976</v>
      </c>
      <c r="AJ199" s="32">
        <v>620</v>
      </c>
      <c r="AK199" s="32">
        <v>0</v>
      </c>
      <c r="AL199" s="32">
        <v>299</v>
      </c>
      <c r="AM199" s="32">
        <v>2403</v>
      </c>
      <c r="AN199" s="32">
        <v>4158</v>
      </c>
      <c r="AO199" s="32">
        <v>-573</v>
      </c>
      <c r="AP199" s="32">
        <v>-8344</v>
      </c>
      <c r="AQ19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2.7872377020983832</v>
      </c>
      <c r="AR199" s="32">
        <v>3852</v>
      </c>
      <c r="AS199" s="32">
        <v>2569</v>
      </c>
      <c r="AT199" s="32">
        <v>4234</v>
      </c>
      <c r="AU199" s="32">
        <v>1634</v>
      </c>
      <c r="AV199" s="32">
        <v>0</v>
      </c>
      <c r="AW199" s="32">
        <v>2403</v>
      </c>
      <c r="AX199" s="32">
        <v>0</v>
      </c>
      <c r="AY199" s="32">
        <v>0</v>
      </c>
      <c r="AZ199" s="32">
        <v>0</v>
      </c>
      <c r="BA199" s="32">
        <v>862</v>
      </c>
      <c r="BB199" s="32">
        <v>651</v>
      </c>
      <c r="BC199" s="32">
        <v>5814</v>
      </c>
      <c r="BD199" s="34">
        <f>IFERROR(SUM(Entity_Metrics[[#This Row],[Operating surplus/(deficit) (social housing lettings)]])/SUM(Entity_Metrics[[#This Row],[Turnover from social housing lettings]]),"")</f>
        <v>0.48377351438893734</v>
      </c>
      <c r="BE199" s="32">
        <v>15533</v>
      </c>
      <c r="BF199" s="32">
        <v>32108</v>
      </c>
      <c r="BG199" s="34">
        <f>IFERROR(SUM(Entity_Metrics[[#This Row],[Operating surplus/(deficit) (overall)2]],-Entity_Metrics[[#This Row],[Gain/(loss) on disposal of fixed assets (housing properties)2]])/SUM(Entity_Metrics[[#This Row],[Turnover (overall)]]),"")</f>
        <v>0.42775338238784716</v>
      </c>
      <c r="BH199" s="32">
        <v>15393</v>
      </c>
      <c r="BI199" s="32">
        <v>976</v>
      </c>
      <c r="BJ199" s="32">
        <v>33704</v>
      </c>
      <c r="BK199" s="34">
        <f>IFERROR(SUM(Entity_Metrics[[#This Row],[Operating surplus/(deficit) (overall)3]],Entity_Metrics[[#This Row],[Share of operating surplus/(deficit) in joint ventures or associates]])/SUM(Entity_Metrics[[#This Row],[Total assets less current liabilities]]),"")</f>
        <v>4.9845860912140723E-2</v>
      </c>
      <c r="BL199" s="32">
        <v>15393</v>
      </c>
      <c r="BM199" s="32">
        <v>0</v>
      </c>
      <c r="BN199" s="32">
        <v>308812</v>
      </c>
      <c r="BO199" s="34">
        <v>2.9067767457860338E-2</v>
      </c>
      <c r="BP199" s="34">
        <v>7.2583419332645338E-2</v>
      </c>
      <c r="BQ199" s="6" t="s">
        <v>93</v>
      </c>
      <c r="BR199" s="6">
        <v>1994</v>
      </c>
      <c r="BS199" s="6" t="s">
        <v>94</v>
      </c>
      <c r="BT199" s="6" t="s">
        <v>90</v>
      </c>
      <c r="BU199" s="8">
        <v>0.92433688786193768</v>
      </c>
      <c r="BV199" s="37" t="s">
        <v>787</v>
      </c>
      <c r="BW199" s="19" t="s">
        <v>408</v>
      </c>
    </row>
    <row r="200" spans="1:75" x14ac:dyDescent="0.25">
      <c r="A200" s="33" t="s">
        <v>409</v>
      </c>
      <c r="B200" s="7" t="s">
        <v>410</v>
      </c>
      <c r="C200" s="7" t="s">
        <v>81</v>
      </c>
      <c r="D20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2.500057675892246E-2</v>
      </c>
      <c r="E200" s="32">
        <v>1425</v>
      </c>
      <c r="F200" s="32">
        <v>0</v>
      </c>
      <c r="G200" s="32">
        <v>1826</v>
      </c>
      <c r="H200" s="32">
        <v>0</v>
      </c>
      <c r="I200" s="32">
        <v>0</v>
      </c>
      <c r="J200" s="32">
        <v>130037</v>
      </c>
      <c r="K200" s="32">
        <v>0</v>
      </c>
      <c r="L20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00" s="32">
        <v>0</v>
      </c>
      <c r="N200" s="32">
        <v>0</v>
      </c>
      <c r="O200" s="32">
        <v>2244</v>
      </c>
      <c r="P200" s="32">
        <v>433</v>
      </c>
      <c r="Q20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0" s="32">
        <v>0</v>
      </c>
      <c r="S200" s="32">
        <v>0</v>
      </c>
      <c r="T200" s="32">
        <v>0</v>
      </c>
      <c r="U200" s="32">
        <v>2244</v>
      </c>
      <c r="V200" s="32">
        <v>16</v>
      </c>
      <c r="W200" s="32">
        <v>433</v>
      </c>
      <c r="X200" s="32">
        <v>0</v>
      </c>
      <c r="Y20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0.51816021593854056</v>
      </c>
      <c r="Z200" s="32">
        <v>0</v>
      </c>
      <c r="AA200" s="32">
        <v>76281</v>
      </c>
      <c r="AB200" s="32">
        <v>8901</v>
      </c>
      <c r="AC200" s="32">
        <v>0</v>
      </c>
      <c r="AD200" s="32">
        <v>0</v>
      </c>
      <c r="AE200" s="32">
        <v>130037</v>
      </c>
      <c r="AF200" s="32">
        <v>0</v>
      </c>
      <c r="AG20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1.474445275492396</v>
      </c>
      <c r="AH200" s="32">
        <v>6387</v>
      </c>
      <c r="AI200" s="32">
        <v>434</v>
      </c>
      <c r="AJ200" s="32">
        <v>320</v>
      </c>
      <c r="AK200" s="32">
        <v>0</v>
      </c>
      <c r="AL200" s="32">
        <v>12</v>
      </c>
      <c r="AM200" s="32">
        <v>1826</v>
      </c>
      <c r="AN200" s="32">
        <v>2095</v>
      </c>
      <c r="AO200" s="32">
        <v>0</v>
      </c>
      <c r="AP200" s="32">
        <v>-4011</v>
      </c>
      <c r="AQ20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4.7700999565406343</v>
      </c>
      <c r="AR200" s="32">
        <v>3993</v>
      </c>
      <c r="AS200" s="32">
        <v>1027</v>
      </c>
      <c r="AT200" s="32">
        <v>1342</v>
      </c>
      <c r="AU200" s="32">
        <v>1438</v>
      </c>
      <c r="AV200" s="32">
        <v>0</v>
      </c>
      <c r="AW200" s="32">
        <v>1826</v>
      </c>
      <c r="AX200" s="32">
        <v>390</v>
      </c>
      <c r="AY200" s="32">
        <v>0</v>
      </c>
      <c r="AZ200" s="32">
        <v>0</v>
      </c>
      <c r="BA200" s="32">
        <v>960</v>
      </c>
      <c r="BB200" s="32">
        <v>0</v>
      </c>
      <c r="BC200" s="32">
        <v>2301</v>
      </c>
      <c r="BD200" s="34">
        <f>IFERROR(SUM(Entity_Metrics[[#This Row],[Operating surplus/(deficit) (social housing lettings)]])/SUM(Entity_Metrics[[#This Row],[Turnover from social housing lettings]]),"")</f>
        <v>0.36981747475381044</v>
      </c>
      <c r="BE200" s="32">
        <v>5896</v>
      </c>
      <c r="BF200" s="32">
        <v>15943</v>
      </c>
      <c r="BG200" s="34">
        <f>IFERROR(SUM(Entity_Metrics[[#This Row],[Operating surplus/(deficit) (overall)2]],-Entity_Metrics[[#This Row],[Gain/(loss) on disposal of fixed assets (housing properties)2]])/SUM(Entity_Metrics[[#This Row],[Turnover (overall)]]),"")</f>
        <v>0.34220510462175213</v>
      </c>
      <c r="BH200" s="32">
        <v>6387</v>
      </c>
      <c r="BI200" s="32">
        <v>434</v>
      </c>
      <c r="BJ200" s="32">
        <v>17396</v>
      </c>
      <c r="BK200" s="34">
        <f>IFERROR(SUM(Entity_Metrics[[#This Row],[Operating surplus/(deficit) (overall)3]],Entity_Metrics[[#This Row],[Share of operating surplus/(deficit) in joint ventures or associates]])/SUM(Entity_Metrics[[#This Row],[Total assets less current liabilities]]),"")</f>
        <v>4.7119839466462067E-2</v>
      </c>
      <c r="BL200" s="32">
        <v>6387</v>
      </c>
      <c r="BM200" s="32">
        <v>0</v>
      </c>
      <c r="BN200" s="32">
        <v>135548</v>
      </c>
      <c r="BO200" s="34">
        <v>2.8248587570621469E-3</v>
      </c>
      <c r="BP200" s="34">
        <v>8.7099811676082869E-2</v>
      </c>
      <c r="BQ200" s="6" t="s">
        <v>93</v>
      </c>
      <c r="BR200" s="6">
        <v>1994</v>
      </c>
      <c r="BS200" s="6" t="s">
        <v>94</v>
      </c>
      <c r="BT200" s="6" t="s">
        <v>84</v>
      </c>
      <c r="BU200" s="8">
        <v>1.0118524159776632</v>
      </c>
      <c r="BV200" s="37" t="s">
        <v>409</v>
      </c>
      <c r="BW200" s="19" t="s">
        <v>410</v>
      </c>
    </row>
    <row r="201" spans="1:75" x14ac:dyDescent="0.25">
      <c r="A201" s="33" t="s">
        <v>788</v>
      </c>
      <c r="B201" s="7" t="s">
        <v>789</v>
      </c>
      <c r="C201" s="7" t="s">
        <v>81</v>
      </c>
      <c r="D20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1.318593923970097E-2</v>
      </c>
      <c r="E201" s="32">
        <v>0</v>
      </c>
      <c r="F201" s="32">
        <v>0</v>
      </c>
      <c r="G201" s="32">
        <v>829</v>
      </c>
      <c r="H201" s="32">
        <v>0</v>
      </c>
      <c r="I201" s="32">
        <v>0</v>
      </c>
      <c r="J201" s="32">
        <v>62870</v>
      </c>
      <c r="K201" s="32">
        <v>0</v>
      </c>
      <c r="L20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01" s="32">
        <v>0</v>
      </c>
      <c r="N201" s="32">
        <v>0</v>
      </c>
      <c r="O201" s="32">
        <v>1069</v>
      </c>
      <c r="P201" s="32">
        <v>0</v>
      </c>
      <c r="Q20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1" s="32">
        <v>0</v>
      </c>
      <c r="S201" s="32">
        <v>0</v>
      </c>
      <c r="T201" s="32">
        <v>0</v>
      </c>
      <c r="U201" s="32">
        <v>1069</v>
      </c>
      <c r="V201" s="32">
        <v>0</v>
      </c>
      <c r="W201" s="32">
        <v>0</v>
      </c>
      <c r="X201" s="32">
        <v>0</v>
      </c>
      <c r="Y20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0.32264991251789404</v>
      </c>
      <c r="Z201" s="32">
        <v>429</v>
      </c>
      <c r="AA201" s="32">
        <v>26664</v>
      </c>
      <c r="AB201" s="32">
        <v>6808</v>
      </c>
      <c r="AC201" s="32">
        <v>0</v>
      </c>
      <c r="AD201" s="32">
        <v>0</v>
      </c>
      <c r="AE201" s="32">
        <v>62870</v>
      </c>
      <c r="AF201" s="32">
        <v>0</v>
      </c>
      <c r="AG20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1.5220793739519285</v>
      </c>
      <c r="AH201" s="32">
        <v>2755</v>
      </c>
      <c r="AI201" s="32">
        <v>0</v>
      </c>
      <c r="AJ201" s="32">
        <v>405</v>
      </c>
      <c r="AK201" s="32">
        <v>0</v>
      </c>
      <c r="AL201" s="32">
        <v>12</v>
      </c>
      <c r="AM201" s="32">
        <v>829</v>
      </c>
      <c r="AN201" s="32">
        <v>1190</v>
      </c>
      <c r="AO201" s="32">
        <v>0</v>
      </c>
      <c r="AP201" s="32">
        <v>-1789</v>
      </c>
      <c r="AQ20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2.4419642857142856</v>
      </c>
      <c r="AR201" s="32">
        <v>734</v>
      </c>
      <c r="AS201" s="32">
        <v>174</v>
      </c>
      <c r="AT201" s="32">
        <v>604</v>
      </c>
      <c r="AU201" s="32">
        <v>299</v>
      </c>
      <c r="AV201" s="32">
        <v>95</v>
      </c>
      <c r="AW201" s="32">
        <v>829</v>
      </c>
      <c r="AX201" s="32">
        <v>0</v>
      </c>
      <c r="AY201" s="32">
        <v>0</v>
      </c>
      <c r="AZ201" s="32">
        <v>0</v>
      </c>
      <c r="BA201" s="32">
        <v>0</v>
      </c>
      <c r="BB201" s="32">
        <v>0</v>
      </c>
      <c r="BC201" s="32">
        <v>1120</v>
      </c>
      <c r="BD201" s="34">
        <f>IFERROR(SUM(Entity_Metrics[[#This Row],[Operating surplus/(deficit) (social housing lettings)]])/SUM(Entity_Metrics[[#This Row],[Turnover from social housing lettings]]),"")</f>
        <v>0.45717753120665744</v>
      </c>
      <c r="BE201" s="32">
        <v>2637</v>
      </c>
      <c r="BF201" s="32">
        <v>5768</v>
      </c>
      <c r="BG201" s="34">
        <f>IFERROR(SUM(Entity_Metrics[[#This Row],[Operating surplus/(deficit) (overall)2]],-Entity_Metrics[[#This Row],[Gain/(loss) on disposal of fixed assets (housing properties)2]])/SUM(Entity_Metrics[[#This Row],[Turnover (overall)]]),"")</f>
        <v>0.46805980292218824</v>
      </c>
      <c r="BH201" s="32">
        <v>2755</v>
      </c>
      <c r="BI201" s="32">
        <v>0</v>
      </c>
      <c r="BJ201" s="32">
        <v>5886</v>
      </c>
      <c r="BK201" s="34">
        <f>IFERROR(SUM(Entity_Metrics[[#This Row],[Operating surplus/(deficit) (overall)3]],Entity_Metrics[[#This Row],[Share of operating surplus/(deficit) in joint ventures or associates]])/SUM(Entity_Metrics[[#This Row],[Total assets less current liabilities]]),"")</f>
        <v>4.0336749633967786E-2</v>
      </c>
      <c r="BL201" s="32">
        <v>2755</v>
      </c>
      <c r="BM201" s="32">
        <v>0</v>
      </c>
      <c r="BN201" s="32">
        <v>68300</v>
      </c>
      <c r="BO201" s="34">
        <v>0</v>
      </c>
      <c r="BP201" s="34">
        <v>5.8933582787652011E-2</v>
      </c>
      <c r="BQ201" s="6" t="s">
        <v>82</v>
      </c>
      <c r="BR201" s="6" t="s">
        <v>83</v>
      </c>
      <c r="BS201" s="6" t="s">
        <v>83</v>
      </c>
      <c r="BT201" s="6" t="s">
        <v>108</v>
      </c>
      <c r="BU201" s="8">
        <v>0.94807909763407583</v>
      </c>
      <c r="BV201" s="37" t="s">
        <v>701</v>
      </c>
      <c r="BW201" s="19" t="s">
        <v>270</v>
      </c>
    </row>
    <row r="202" spans="1:75" x14ac:dyDescent="0.25">
      <c r="A202" s="33" t="s">
        <v>790</v>
      </c>
      <c r="B202" s="7" t="s">
        <v>412</v>
      </c>
      <c r="C202" s="7" t="s">
        <v>81</v>
      </c>
      <c r="D20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9.1939423546653645E-2</v>
      </c>
      <c r="E202" s="32">
        <v>0</v>
      </c>
      <c r="F202" s="32">
        <v>22584</v>
      </c>
      <c r="G202" s="32">
        <v>4177</v>
      </c>
      <c r="H202" s="32">
        <v>0</v>
      </c>
      <c r="I202" s="32">
        <v>-4177</v>
      </c>
      <c r="J202" s="32">
        <v>245640</v>
      </c>
      <c r="K202" s="32">
        <v>0</v>
      </c>
      <c r="L20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4.2000641231163836E-2</v>
      </c>
      <c r="M202" s="32">
        <v>262</v>
      </c>
      <c r="N202" s="32">
        <v>0</v>
      </c>
      <c r="O202" s="32">
        <v>6238</v>
      </c>
      <c r="P202" s="32">
        <v>0</v>
      </c>
      <c r="Q20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2" s="32">
        <v>0</v>
      </c>
      <c r="S202" s="32">
        <v>0</v>
      </c>
      <c r="T202" s="32">
        <v>0</v>
      </c>
      <c r="U202" s="32">
        <v>6238</v>
      </c>
      <c r="V202" s="32">
        <v>0</v>
      </c>
      <c r="W202" s="32">
        <v>0</v>
      </c>
      <c r="X202" s="32">
        <v>0</v>
      </c>
      <c r="Y20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0.63373229115779184</v>
      </c>
      <c r="Z202" s="32">
        <v>0</v>
      </c>
      <c r="AA202" s="32">
        <v>165931</v>
      </c>
      <c r="AB202" s="32">
        <v>10261</v>
      </c>
      <c r="AC202" s="32">
        <v>0</v>
      </c>
      <c r="AD202" s="32">
        <v>0</v>
      </c>
      <c r="AE202" s="32">
        <v>245640</v>
      </c>
      <c r="AF202" s="32">
        <v>0</v>
      </c>
      <c r="AG20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1.286647078028077</v>
      </c>
      <c r="AH202" s="32">
        <v>12531</v>
      </c>
      <c r="AI202" s="32">
        <v>1304</v>
      </c>
      <c r="AJ202" s="32">
        <v>388</v>
      </c>
      <c r="AK202" s="32">
        <v>16</v>
      </c>
      <c r="AL202" s="32">
        <v>622</v>
      </c>
      <c r="AM202" s="32">
        <v>4177</v>
      </c>
      <c r="AN202" s="32">
        <v>4555</v>
      </c>
      <c r="AO202" s="32">
        <v>0</v>
      </c>
      <c r="AP202" s="32">
        <v>-9189</v>
      </c>
      <c r="AQ20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3.2167361333760822</v>
      </c>
      <c r="AR202" s="32">
        <v>5893</v>
      </c>
      <c r="AS202" s="32">
        <v>1466</v>
      </c>
      <c r="AT202" s="32">
        <v>6256</v>
      </c>
      <c r="AU202" s="32">
        <v>511</v>
      </c>
      <c r="AV202" s="32">
        <v>404</v>
      </c>
      <c r="AW202" s="32">
        <v>4177</v>
      </c>
      <c r="AX202" s="32">
        <v>624</v>
      </c>
      <c r="AY202" s="32">
        <v>0</v>
      </c>
      <c r="AZ202" s="32">
        <v>0</v>
      </c>
      <c r="BA202" s="32">
        <v>550</v>
      </c>
      <c r="BB202" s="32">
        <v>185</v>
      </c>
      <c r="BC202" s="32">
        <v>6238</v>
      </c>
      <c r="BD202" s="34">
        <f>IFERROR(SUM(Entity_Metrics[[#This Row],[Operating surplus/(deficit) (social housing lettings)]])/SUM(Entity_Metrics[[#This Row],[Turnover from social housing lettings]]),"")</f>
        <v>0.36133471825499869</v>
      </c>
      <c r="BE202" s="32">
        <v>11132</v>
      </c>
      <c r="BF202" s="32">
        <v>30808</v>
      </c>
      <c r="BG202" s="34">
        <f>IFERROR(SUM(Entity_Metrics[[#This Row],[Operating surplus/(deficit) (overall)2]],-Entity_Metrics[[#This Row],[Gain/(loss) on disposal of fixed assets (housing properties)2]])/SUM(Entity_Metrics[[#This Row],[Turnover (overall)]]),"")</f>
        <v>0.34606374452869737</v>
      </c>
      <c r="BH202" s="32">
        <v>12531</v>
      </c>
      <c r="BI202" s="32">
        <v>1304</v>
      </c>
      <c r="BJ202" s="32">
        <v>32442</v>
      </c>
      <c r="BK202" s="34">
        <f>IFERROR(SUM(Entity_Metrics[[#This Row],[Operating surplus/(deficit) (overall)3]],Entity_Metrics[[#This Row],[Share of operating surplus/(deficit) in joint ventures or associates]])/SUM(Entity_Metrics[[#This Row],[Total assets less current liabilities]]),"")</f>
        <v>4.6212568225401977E-2</v>
      </c>
      <c r="BL202" s="32">
        <v>12531</v>
      </c>
      <c r="BM202" s="32">
        <v>0</v>
      </c>
      <c r="BN202" s="32">
        <v>271160</v>
      </c>
      <c r="BO202" s="34">
        <v>2.4685303253228708E-2</v>
      </c>
      <c r="BP202" s="34">
        <v>0.11116560405427497</v>
      </c>
      <c r="BQ202" s="6" t="s">
        <v>93</v>
      </c>
      <c r="BR202" s="6">
        <v>2004</v>
      </c>
      <c r="BS202" s="6" t="s">
        <v>94</v>
      </c>
      <c r="BT202" s="6" t="s">
        <v>100</v>
      </c>
      <c r="BU202" s="8">
        <v>1.0022399874355168</v>
      </c>
      <c r="BV202" s="37" t="s">
        <v>790</v>
      </c>
      <c r="BW202" s="19" t="s">
        <v>412</v>
      </c>
    </row>
    <row r="203" spans="1:75" x14ac:dyDescent="0.25">
      <c r="A203" s="33" t="s">
        <v>931</v>
      </c>
      <c r="B203" s="7" t="s">
        <v>414</v>
      </c>
      <c r="C203" s="7" t="s">
        <v>81</v>
      </c>
      <c r="D20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0.17034258241165945</v>
      </c>
      <c r="E203" s="32">
        <v>5659</v>
      </c>
      <c r="F203" s="32">
        <v>0</v>
      </c>
      <c r="G203" s="32">
        <v>10079</v>
      </c>
      <c r="H203" s="32">
        <v>64</v>
      </c>
      <c r="I203" s="32">
        <v>0</v>
      </c>
      <c r="J203" s="32">
        <v>92766</v>
      </c>
      <c r="K203" s="32">
        <v>0</v>
      </c>
      <c r="L20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2.6862026862026862E-3</v>
      </c>
      <c r="M203" s="32">
        <v>22</v>
      </c>
      <c r="N203" s="32">
        <v>0</v>
      </c>
      <c r="O203" s="32">
        <v>8190</v>
      </c>
      <c r="P203" s="32">
        <v>0</v>
      </c>
      <c r="Q20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3" s="32">
        <v>0</v>
      </c>
      <c r="S203" s="32">
        <v>0</v>
      </c>
      <c r="T203" s="32">
        <v>0</v>
      </c>
      <c r="U203" s="32">
        <v>8190</v>
      </c>
      <c r="V203" s="32">
        <v>0</v>
      </c>
      <c r="W203" s="32">
        <v>0</v>
      </c>
      <c r="X203" s="32">
        <v>0</v>
      </c>
      <c r="Y20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0.28784252851260161</v>
      </c>
      <c r="Z203" s="32">
        <v>0</v>
      </c>
      <c r="AA203" s="32">
        <v>29042</v>
      </c>
      <c r="AB203" s="32">
        <v>2340</v>
      </c>
      <c r="AC203" s="32">
        <v>0</v>
      </c>
      <c r="AD203" s="32">
        <v>0</v>
      </c>
      <c r="AE203" s="32">
        <v>92766</v>
      </c>
      <c r="AF203" s="32">
        <v>0</v>
      </c>
      <c r="AG20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-0.82582081246521977</v>
      </c>
      <c r="AH203" s="32">
        <v>10325</v>
      </c>
      <c r="AI203" s="32">
        <v>3266</v>
      </c>
      <c r="AJ203" s="32">
        <v>118</v>
      </c>
      <c r="AK203" s="32">
        <v>31</v>
      </c>
      <c r="AL203" s="32">
        <v>3</v>
      </c>
      <c r="AM203" s="32">
        <v>10079</v>
      </c>
      <c r="AN203" s="32">
        <v>1682</v>
      </c>
      <c r="AO203" s="32">
        <v>-64</v>
      </c>
      <c r="AP203" s="32">
        <v>-1733</v>
      </c>
      <c r="AQ20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4.8324049406635989</v>
      </c>
      <c r="AR203" s="32">
        <v>8381</v>
      </c>
      <c r="AS203" s="32">
        <v>1992</v>
      </c>
      <c r="AT203" s="32">
        <v>7749</v>
      </c>
      <c r="AU203" s="32">
        <v>2086</v>
      </c>
      <c r="AV203" s="32">
        <v>5074</v>
      </c>
      <c r="AW203" s="32">
        <v>10079</v>
      </c>
      <c r="AX203" s="32">
        <v>6</v>
      </c>
      <c r="AY203" s="32">
        <v>124</v>
      </c>
      <c r="AZ203" s="32">
        <v>0</v>
      </c>
      <c r="BA203" s="32">
        <v>4415</v>
      </c>
      <c r="BB203" s="32">
        <v>0</v>
      </c>
      <c r="BC203" s="32">
        <v>8258</v>
      </c>
      <c r="BD203" s="34">
        <f>IFERROR(SUM(Entity_Metrics[[#This Row],[Operating surplus/(deficit) (social housing lettings)]])/SUM(Entity_Metrics[[#This Row],[Turnover from social housing lettings]]),"")</f>
        <v>0.21048791875802497</v>
      </c>
      <c r="BE203" s="32">
        <v>7213</v>
      </c>
      <c r="BF203" s="32">
        <v>34268</v>
      </c>
      <c r="BG203" s="34">
        <f>IFERROR(SUM(Entity_Metrics[[#This Row],[Operating surplus/(deficit) (overall)2]],-Entity_Metrics[[#This Row],[Gain/(loss) on disposal of fixed assets (housing properties)2]])/SUM(Entity_Metrics[[#This Row],[Turnover (overall)]]),"")</f>
        <v>0.17241463533779494</v>
      </c>
      <c r="BH203" s="32">
        <v>10325</v>
      </c>
      <c r="BI203" s="32">
        <v>3266</v>
      </c>
      <c r="BJ203" s="32">
        <v>40942</v>
      </c>
      <c r="BK203" s="34">
        <f>IFERROR(SUM(Entity_Metrics[[#This Row],[Operating surplus/(deficit) (overall)3]],Entity_Metrics[[#This Row],[Share of operating surplus/(deficit) in joint ventures or associates]])/SUM(Entity_Metrics[[#This Row],[Total assets less current liabilities]]),"")</f>
        <v>5.0242820021216342E-2</v>
      </c>
      <c r="BL203" s="32">
        <v>10325</v>
      </c>
      <c r="BM203" s="32">
        <v>0</v>
      </c>
      <c r="BN203" s="32">
        <v>205502</v>
      </c>
      <c r="BO203" s="34">
        <v>5.8608058608058608E-3</v>
      </c>
      <c r="BP203" s="34">
        <v>4.0659340659340661E-2</v>
      </c>
      <c r="BQ203" s="6" t="s">
        <v>93</v>
      </c>
      <c r="BR203" s="6">
        <v>2015</v>
      </c>
      <c r="BS203" s="6" t="s">
        <v>149</v>
      </c>
      <c r="BT203" s="6" t="s">
        <v>105</v>
      </c>
      <c r="BU203" s="8">
        <v>0.9156653862445665</v>
      </c>
      <c r="BV203" s="37">
        <v>4609</v>
      </c>
      <c r="BW203" s="19" t="s">
        <v>414</v>
      </c>
    </row>
    <row r="204" spans="1:75" x14ac:dyDescent="0.25">
      <c r="A204" s="33" t="s">
        <v>415</v>
      </c>
      <c r="B204" s="7" t="s">
        <v>416</v>
      </c>
      <c r="C204" s="7" t="s">
        <v>81</v>
      </c>
      <c r="D20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2.0437036629688696E-2</v>
      </c>
      <c r="E204" s="32">
        <v>2997</v>
      </c>
      <c r="F204" s="32">
        <v>0</v>
      </c>
      <c r="G204" s="32">
        <v>1091</v>
      </c>
      <c r="H204" s="32">
        <v>0</v>
      </c>
      <c r="I204" s="32">
        <v>0</v>
      </c>
      <c r="J204" s="32">
        <v>200029</v>
      </c>
      <c r="K204" s="32">
        <v>0</v>
      </c>
      <c r="L20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04" s="32">
        <v>0</v>
      </c>
      <c r="N204" s="32">
        <v>0</v>
      </c>
      <c r="O204" s="32">
        <v>3985</v>
      </c>
      <c r="P204" s="32">
        <v>0</v>
      </c>
      <c r="Q20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4" s="32">
        <v>0</v>
      </c>
      <c r="S204" s="32">
        <v>0</v>
      </c>
      <c r="T204" s="32">
        <v>0</v>
      </c>
      <c r="U204" s="32">
        <v>3985</v>
      </c>
      <c r="V204" s="32">
        <v>0</v>
      </c>
      <c r="W204" s="32">
        <v>0</v>
      </c>
      <c r="X204" s="32">
        <v>0</v>
      </c>
      <c r="Y20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9.5401166830809528E-2</v>
      </c>
      <c r="Z204" s="32">
        <v>11239</v>
      </c>
      <c r="AA204" s="32">
        <v>26120</v>
      </c>
      <c r="AB204" s="32">
        <v>18276</v>
      </c>
      <c r="AC204" s="32">
        <v>0</v>
      </c>
      <c r="AD204" s="32">
        <v>0</v>
      </c>
      <c r="AE204" s="32">
        <v>200029</v>
      </c>
      <c r="AF204" s="32">
        <v>0</v>
      </c>
      <c r="AG20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1.8258774948382657</v>
      </c>
      <c r="AH204" s="32">
        <v>2656</v>
      </c>
      <c r="AI204" s="32">
        <v>162</v>
      </c>
      <c r="AJ204" s="32">
        <v>2708</v>
      </c>
      <c r="AK204" s="32">
        <v>0</v>
      </c>
      <c r="AL204" s="32">
        <v>47</v>
      </c>
      <c r="AM204" s="32">
        <v>1796</v>
      </c>
      <c r="AN204" s="32">
        <v>4616</v>
      </c>
      <c r="AO204" s="32">
        <v>0</v>
      </c>
      <c r="AP204" s="32">
        <v>-1453</v>
      </c>
      <c r="AQ20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9.6401401401401401</v>
      </c>
      <c r="AR204" s="32">
        <v>5730</v>
      </c>
      <c r="AS204" s="32">
        <v>11907</v>
      </c>
      <c r="AT204" s="32">
        <v>2662</v>
      </c>
      <c r="AU204" s="32">
        <v>469</v>
      </c>
      <c r="AV204" s="32">
        <v>920</v>
      </c>
      <c r="AW204" s="32">
        <v>1796</v>
      </c>
      <c r="AX204" s="32">
        <v>179</v>
      </c>
      <c r="AY204" s="32">
        <v>0</v>
      </c>
      <c r="AZ204" s="32">
        <v>0</v>
      </c>
      <c r="BA204" s="32">
        <v>2299</v>
      </c>
      <c r="BB204" s="32">
        <v>12560</v>
      </c>
      <c r="BC204" s="32">
        <v>3996</v>
      </c>
      <c r="BD204" s="34">
        <f>IFERROR(SUM(Entity_Metrics[[#This Row],[Operating surplus/(deficit) (social housing lettings)]])/SUM(Entity_Metrics[[#This Row],[Turnover from social housing lettings]]),"")</f>
        <v>0.17530281579361334</v>
      </c>
      <c r="BE204" s="32">
        <v>5572</v>
      </c>
      <c r="BF204" s="32">
        <v>31785</v>
      </c>
      <c r="BG204" s="34">
        <f>IFERROR(SUM(Entity_Metrics[[#This Row],[Operating surplus/(deficit) (overall)2]],-Entity_Metrics[[#This Row],[Gain/(loss) on disposal of fixed assets (housing properties)2]])/SUM(Entity_Metrics[[#This Row],[Turnover (overall)]]),"")</f>
        <v>5.421974868472542E-2</v>
      </c>
      <c r="BH204" s="32">
        <v>2656</v>
      </c>
      <c r="BI204" s="32">
        <v>162</v>
      </c>
      <c r="BJ204" s="32">
        <v>45998</v>
      </c>
      <c r="BK204" s="34">
        <f>IFERROR(SUM(Entity_Metrics[[#This Row],[Operating surplus/(deficit) (overall)3]],Entity_Metrics[[#This Row],[Share of operating surplus/(deficit) in joint ventures or associates]])/SUM(Entity_Metrics[[#This Row],[Total assets less current liabilities]]),"")</f>
        <v>1.3264811790499877E-2</v>
      </c>
      <c r="BL204" s="32">
        <v>2656</v>
      </c>
      <c r="BM204" s="32">
        <v>0</v>
      </c>
      <c r="BN204" s="32">
        <v>200229</v>
      </c>
      <c r="BO204" s="34">
        <v>0.58237145855194128</v>
      </c>
      <c r="BP204" s="34">
        <v>7.6075550891920252E-2</v>
      </c>
      <c r="BQ204" s="6" t="s">
        <v>82</v>
      </c>
      <c r="BR204" s="6" t="s">
        <v>83</v>
      </c>
      <c r="BS204" s="6" t="s">
        <v>83</v>
      </c>
      <c r="BT204" s="6" t="s">
        <v>87</v>
      </c>
      <c r="BU204" s="8">
        <v>1.0168919006961883</v>
      </c>
      <c r="BV204" s="37" t="s">
        <v>415</v>
      </c>
      <c r="BW204" s="19" t="s">
        <v>416</v>
      </c>
    </row>
    <row r="205" spans="1:75" x14ac:dyDescent="0.25">
      <c r="A205" s="33" t="s">
        <v>932</v>
      </c>
      <c r="B205" s="7" t="s">
        <v>791</v>
      </c>
      <c r="C205" s="7" t="s">
        <v>81</v>
      </c>
      <c r="D20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0.16909856393102254</v>
      </c>
      <c r="E205" s="32">
        <v>91662</v>
      </c>
      <c r="F205" s="32">
        <v>0</v>
      </c>
      <c r="G205" s="32">
        <v>1324</v>
      </c>
      <c r="H205" s="32">
        <v>838</v>
      </c>
      <c r="I205" s="32">
        <v>0</v>
      </c>
      <c r="J205" s="32">
        <v>554848</v>
      </c>
      <c r="K205" s="32">
        <v>0</v>
      </c>
      <c r="L20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6.2173314993122418E-2</v>
      </c>
      <c r="M205" s="32">
        <v>226</v>
      </c>
      <c r="N205" s="32">
        <v>0</v>
      </c>
      <c r="O205" s="32">
        <v>3617</v>
      </c>
      <c r="P205" s="32">
        <v>18</v>
      </c>
      <c r="Q20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5" s="32">
        <v>0</v>
      </c>
      <c r="S205" s="32">
        <v>0</v>
      </c>
      <c r="T205" s="32">
        <v>0</v>
      </c>
      <c r="U205" s="32">
        <v>3617</v>
      </c>
      <c r="V205" s="32">
        <v>72</v>
      </c>
      <c r="W205" s="32">
        <v>18</v>
      </c>
      <c r="X205" s="32">
        <v>9</v>
      </c>
      <c r="Y20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0.86742855701020816</v>
      </c>
      <c r="Z205" s="32">
        <v>24363</v>
      </c>
      <c r="AA205" s="32">
        <v>0</v>
      </c>
      <c r="AB205" s="32">
        <v>2385</v>
      </c>
      <c r="AC205" s="32">
        <v>459313</v>
      </c>
      <c r="AD205" s="32">
        <v>0</v>
      </c>
      <c r="AE205" s="32">
        <v>554848</v>
      </c>
      <c r="AF205" s="32">
        <v>0</v>
      </c>
      <c r="AG20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0.93985249931712644</v>
      </c>
      <c r="AH205" s="32">
        <v>16705</v>
      </c>
      <c r="AI205" s="32">
        <v>1316</v>
      </c>
      <c r="AJ205" s="32">
        <v>0</v>
      </c>
      <c r="AK205" s="32">
        <v>0</v>
      </c>
      <c r="AL205" s="32">
        <v>38</v>
      </c>
      <c r="AM205" s="32">
        <v>1324</v>
      </c>
      <c r="AN205" s="32">
        <v>3101</v>
      </c>
      <c r="AO205" s="32">
        <v>-838</v>
      </c>
      <c r="AP205" s="32">
        <v>-17467</v>
      </c>
      <c r="AQ20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2.8269283936964333</v>
      </c>
      <c r="AR205" s="32">
        <v>2751</v>
      </c>
      <c r="AS205" s="32">
        <v>2264</v>
      </c>
      <c r="AT205" s="32">
        <v>1831</v>
      </c>
      <c r="AU205" s="32">
        <v>609</v>
      </c>
      <c r="AV205" s="32">
        <v>0</v>
      </c>
      <c r="AW205" s="32">
        <v>1324</v>
      </c>
      <c r="AX205" s="32">
        <v>76</v>
      </c>
      <c r="AY205" s="32">
        <v>307</v>
      </c>
      <c r="AZ205" s="32">
        <v>0</v>
      </c>
      <c r="BA205" s="32">
        <v>330</v>
      </c>
      <c r="BB205" s="32">
        <v>733</v>
      </c>
      <c r="BC205" s="32">
        <v>3617</v>
      </c>
      <c r="BD205" s="34">
        <f>IFERROR(SUM(Entity_Metrics[[#This Row],[Operating surplus/(deficit) (social housing lettings)]])/SUM(Entity_Metrics[[#This Row],[Turnover from social housing lettings]]),"")</f>
        <v>0.52320693972455734</v>
      </c>
      <c r="BE205" s="32">
        <v>11701</v>
      </c>
      <c r="BF205" s="32">
        <v>22364</v>
      </c>
      <c r="BG205" s="34">
        <f>IFERROR(SUM(Entity_Metrics[[#This Row],[Operating surplus/(deficit) (overall)2]],-Entity_Metrics[[#This Row],[Gain/(loss) on disposal of fixed assets (housing properties)2]])/SUM(Entity_Metrics[[#This Row],[Turnover (overall)]]),"")</f>
        <v>0.47230150692078693</v>
      </c>
      <c r="BH205" s="32">
        <v>16705</v>
      </c>
      <c r="BI205" s="32">
        <v>1316</v>
      </c>
      <c r="BJ205" s="32">
        <v>32583</v>
      </c>
      <c r="BK205" s="34">
        <f>IFERROR(SUM(Entity_Metrics[[#This Row],[Operating surplus/(deficit) (overall)3]],Entity_Metrics[[#This Row],[Share of operating surplus/(deficit) in joint ventures or associates]])/SUM(Entity_Metrics[[#This Row],[Total assets less current liabilities]]),"")</f>
        <v>2.9092194653862966E-2</v>
      </c>
      <c r="BL205" s="32">
        <v>16705</v>
      </c>
      <c r="BM205" s="32">
        <v>0</v>
      </c>
      <c r="BN205" s="32">
        <v>574209</v>
      </c>
      <c r="BO205" s="34">
        <v>1.4778325123152709E-2</v>
      </c>
      <c r="BP205" s="34">
        <v>0</v>
      </c>
      <c r="BQ205" s="6" t="s">
        <v>82</v>
      </c>
      <c r="BR205" s="6" t="s">
        <v>83</v>
      </c>
      <c r="BS205" s="6" t="s">
        <v>83</v>
      </c>
      <c r="BT205" s="6" t="s">
        <v>87</v>
      </c>
      <c r="BU205" s="8">
        <v>1.0029573264798912</v>
      </c>
      <c r="BV205" s="37" t="s">
        <v>792</v>
      </c>
      <c r="BW205" s="19" t="s">
        <v>418</v>
      </c>
    </row>
    <row r="206" spans="1:75" x14ac:dyDescent="0.25">
      <c r="A206" s="33" t="s">
        <v>792</v>
      </c>
      <c r="B206" s="7" t="s">
        <v>418</v>
      </c>
      <c r="C206" s="7" t="s">
        <v>81</v>
      </c>
      <c r="D20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2.5026432649608795E-2</v>
      </c>
      <c r="E206" s="32">
        <v>18200</v>
      </c>
      <c r="F206" s="32">
        <v>7480</v>
      </c>
      <c r="G206" s="32">
        <v>68000</v>
      </c>
      <c r="H206" s="32">
        <v>1000</v>
      </c>
      <c r="I206" s="32">
        <v>0</v>
      </c>
      <c r="J206" s="32">
        <v>3783200</v>
      </c>
      <c r="K206" s="32">
        <v>0</v>
      </c>
      <c r="L20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4.5141567383789032E-3</v>
      </c>
      <c r="M206" s="32">
        <v>316</v>
      </c>
      <c r="N206" s="32">
        <v>0</v>
      </c>
      <c r="O206" s="32">
        <v>66601</v>
      </c>
      <c r="P206" s="32">
        <v>3401</v>
      </c>
      <c r="Q20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6.9922547332185885E-4</v>
      </c>
      <c r="R206" s="32">
        <v>52</v>
      </c>
      <c r="S206" s="32">
        <v>0</v>
      </c>
      <c r="T206" s="32">
        <v>0</v>
      </c>
      <c r="U206" s="32">
        <v>66601</v>
      </c>
      <c r="V206" s="32">
        <v>4304</v>
      </c>
      <c r="W206" s="32">
        <v>3401</v>
      </c>
      <c r="X206" s="32">
        <v>62</v>
      </c>
      <c r="Y20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0.46418375978008036</v>
      </c>
      <c r="Z206" s="32">
        <v>38400</v>
      </c>
      <c r="AA206" s="32">
        <v>1085000</v>
      </c>
      <c r="AB206" s="32">
        <v>2000</v>
      </c>
      <c r="AC206" s="32">
        <v>609900</v>
      </c>
      <c r="AD206" s="32">
        <v>24800</v>
      </c>
      <c r="AE206" s="32">
        <v>3783200</v>
      </c>
      <c r="AF206" s="32">
        <v>0</v>
      </c>
      <c r="AG20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1.2446233230134158</v>
      </c>
      <c r="AH206" s="32">
        <v>130600</v>
      </c>
      <c r="AI206" s="32">
        <v>3600</v>
      </c>
      <c r="AJ206" s="32">
        <v>0</v>
      </c>
      <c r="AK206" s="32">
        <v>0</v>
      </c>
      <c r="AL206" s="32">
        <v>7500</v>
      </c>
      <c r="AM206" s="32">
        <v>52996</v>
      </c>
      <c r="AN206" s="32">
        <v>39100</v>
      </c>
      <c r="AO206" s="32">
        <v>-1000</v>
      </c>
      <c r="AP206" s="32">
        <v>-95900</v>
      </c>
      <c r="AQ20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3.9516225533490981</v>
      </c>
      <c r="AR206" s="32">
        <v>51900</v>
      </c>
      <c r="AS206" s="32">
        <v>39900</v>
      </c>
      <c r="AT206" s="32">
        <v>70000</v>
      </c>
      <c r="AU206" s="32">
        <v>27100</v>
      </c>
      <c r="AV206" s="32">
        <v>0</v>
      </c>
      <c r="AW206" s="32">
        <v>52996</v>
      </c>
      <c r="AX206" s="32">
        <v>5500</v>
      </c>
      <c r="AY206" s="32">
        <v>6700</v>
      </c>
      <c r="AZ206" s="32">
        <v>0</v>
      </c>
      <c r="BA206" s="32">
        <v>9400</v>
      </c>
      <c r="BB206" s="32">
        <v>13900</v>
      </c>
      <c r="BC206" s="32">
        <v>70198</v>
      </c>
      <c r="BD206" s="34">
        <f>IFERROR(SUM(Entity_Metrics[[#This Row],[Operating surplus/(deficit) (social housing lettings)]])/SUM(Entity_Metrics[[#This Row],[Turnover from social housing lettings]]),"")</f>
        <v>0.35243798118049613</v>
      </c>
      <c r="BE206" s="32">
        <v>123600</v>
      </c>
      <c r="BF206" s="32">
        <v>350700</v>
      </c>
      <c r="BG206" s="34">
        <f>IFERROR(SUM(Entity_Metrics[[#This Row],[Operating surplus/(deficit) (overall)2]],-Entity_Metrics[[#This Row],[Gain/(loss) on disposal of fixed assets (housing properties)2]])/SUM(Entity_Metrics[[#This Row],[Turnover (overall)]]),"")</f>
        <v>0.28184642698624057</v>
      </c>
      <c r="BH206" s="32">
        <v>130600</v>
      </c>
      <c r="BI206" s="32">
        <v>3600</v>
      </c>
      <c r="BJ206" s="32">
        <v>450600</v>
      </c>
      <c r="BK206" s="34">
        <f>IFERROR(SUM(Entity_Metrics[[#This Row],[Operating surplus/(deficit) (overall)3]],Entity_Metrics[[#This Row],[Share of operating surplus/(deficit) in joint ventures or associates]])/SUM(Entity_Metrics[[#This Row],[Total assets less current liabilities]]),"")</f>
        <v>3.08106067755025E-2</v>
      </c>
      <c r="BL206" s="32">
        <v>130600</v>
      </c>
      <c r="BM206" s="32">
        <v>0</v>
      </c>
      <c r="BN206" s="32">
        <v>4238800</v>
      </c>
      <c r="BO206" s="34">
        <v>5.4008198075103979E-2</v>
      </c>
      <c r="BP206" s="34">
        <v>0.15684449182444707</v>
      </c>
      <c r="BQ206" s="6" t="s">
        <v>82</v>
      </c>
      <c r="BR206" s="6" t="s">
        <v>83</v>
      </c>
      <c r="BS206" s="6" t="s">
        <v>83</v>
      </c>
      <c r="BT206" s="6" t="s">
        <v>87</v>
      </c>
      <c r="BU206" s="8">
        <v>0.99162754278525056</v>
      </c>
      <c r="BV206" s="37" t="s">
        <v>792</v>
      </c>
      <c r="BW206" s="19" t="s">
        <v>418</v>
      </c>
    </row>
    <row r="207" spans="1:75" x14ac:dyDescent="0.25">
      <c r="A207" s="33" t="s">
        <v>793</v>
      </c>
      <c r="B207" s="7" t="s">
        <v>420</v>
      </c>
      <c r="C207" s="7" t="s">
        <v>81</v>
      </c>
      <c r="D20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5.929470647156896E-2</v>
      </c>
      <c r="E207" s="32">
        <v>11360</v>
      </c>
      <c r="F207" s="32">
        <v>0</v>
      </c>
      <c r="G207" s="32">
        <v>5940</v>
      </c>
      <c r="H207" s="32">
        <v>518</v>
      </c>
      <c r="I207" s="32">
        <v>0</v>
      </c>
      <c r="J207" s="32">
        <v>300499</v>
      </c>
      <c r="K207" s="32">
        <v>0</v>
      </c>
      <c r="L20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9.1954022988505746E-3</v>
      </c>
      <c r="M207" s="32">
        <v>60</v>
      </c>
      <c r="N207" s="32">
        <v>0</v>
      </c>
      <c r="O207" s="32">
        <v>5997</v>
      </c>
      <c r="P207" s="32">
        <v>528</v>
      </c>
      <c r="Q20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7" s="32">
        <v>0</v>
      </c>
      <c r="S207" s="32">
        <v>0</v>
      </c>
      <c r="T207" s="32">
        <v>0</v>
      </c>
      <c r="U207" s="32">
        <v>5997</v>
      </c>
      <c r="V207" s="32">
        <v>81</v>
      </c>
      <c r="W207" s="32">
        <v>528</v>
      </c>
      <c r="X207" s="32">
        <v>0</v>
      </c>
      <c r="Y20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0.69818867949643759</v>
      </c>
      <c r="Z207" s="32">
        <v>0</v>
      </c>
      <c r="AA207" s="32">
        <v>220668</v>
      </c>
      <c r="AB207" s="32">
        <v>10901</v>
      </c>
      <c r="AC207" s="32">
        <v>38</v>
      </c>
      <c r="AD207" s="32">
        <v>0</v>
      </c>
      <c r="AE207" s="32">
        <v>300499</v>
      </c>
      <c r="AF207" s="32">
        <v>0</v>
      </c>
      <c r="AG20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1.3534503486415004</v>
      </c>
      <c r="AH207" s="32">
        <v>17415</v>
      </c>
      <c r="AI207" s="32">
        <v>246</v>
      </c>
      <c r="AJ207" s="32">
        <v>602</v>
      </c>
      <c r="AK207" s="32">
        <v>0</v>
      </c>
      <c r="AL207" s="32">
        <v>39</v>
      </c>
      <c r="AM207" s="32">
        <v>5940</v>
      </c>
      <c r="AN207" s="32">
        <v>6221</v>
      </c>
      <c r="AO207" s="32">
        <v>-518</v>
      </c>
      <c r="AP207" s="32">
        <v>-11959</v>
      </c>
      <c r="AQ20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4.1020510255127567</v>
      </c>
      <c r="AR207" s="32">
        <v>3413</v>
      </c>
      <c r="AS207" s="32">
        <v>5946</v>
      </c>
      <c r="AT207" s="32">
        <v>3328</v>
      </c>
      <c r="AU207" s="32">
        <v>2818</v>
      </c>
      <c r="AV207" s="32">
        <v>1291</v>
      </c>
      <c r="AW207" s="32">
        <v>5940</v>
      </c>
      <c r="AX207" s="32">
        <v>1864</v>
      </c>
      <c r="AY207" s="32">
        <v>0</v>
      </c>
      <c r="AZ207" s="32">
        <v>0</v>
      </c>
      <c r="BA207" s="32">
        <v>0</v>
      </c>
      <c r="BB207" s="32">
        <v>0</v>
      </c>
      <c r="BC207" s="32">
        <v>5997</v>
      </c>
      <c r="BD207" s="34">
        <f>IFERROR(SUM(Entity_Metrics[[#This Row],[Operating surplus/(deficit) (social housing lettings)]])/SUM(Entity_Metrics[[#This Row],[Turnover from social housing lettings]]),"")</f>
        <v>0.36845283018867925</v>
      </c>
      <c r="BE207" s="32">
        <v>14646</v>
      </c>
      <c r="BF207" s="32">
        <v>39750</v>
      </c>
      <c r="BG207" s="34">
        <f>IFERROR(SUM(Entity_Metrics[[#This Row],[Operating surplus/(deficit) (overall)2]],-Entity_Metrics[[#This Row],[Gain/(loss) on disposal of fixed assets (housing properties)2]])/SUM(Entity_Metrics[[#This Row],[Turnover (overall)]]),"")</f>
        <v>0.3536572805734649</v>
      </c>
      <c r="BH207" s="32">
        <v>17415</v>
      </c>
      <c r="BI207" s="32">
        <v>246</v>
      </c>
      <c r="BJ207" s="32">
        <v>48547</v>
      </c>
      <c r="BK207" s="34">
        <f>IFERROR(SUM(Entity_Metrics[[#This Row],[Operating surplus/(deficit) (overall)3]],Entity_Metrics[[#This Row],[Share of operating surplus/(deficit) in joint ventures or associates]])/SUM(Entity_Metrics[[#This Row],[Total assets less current liabilities]]),"")</f>
        <v>5.2336274462662882E-2</v>
      </c>
      <c r="BL207" s="32">
        <v>17415</v>
      </c>
      <c r="BM207" s="32">
        <v>0</v>
      </c>
      <c r="BN207" s="32">
        <v>332752</v>
      </c>
      <c r="BO207" s="34">
        <v>1.0958904109589041E-2</v>
      </c>
      <c r="BP207" s="34">
        <v>0.23047945205479453</v>
      </c>
      <c r="BQ207" s="6" t="s">
        <v>93</v>
      </c>
      <c r="BR207" s="6">
        <v>2000</v>
      </c>
      <c r="BS207" s="6" t="s">
        <v>94</v>
      </c>
      <c r="BT207" s="6" t="s">
        <v>84</v>
      </c>
      <c r="BU207" s="8">
        <v>1.0118524159776632</v>
      </c>
      <c r="BV207" s="37" t="s">
        <v>793</v>
      </c>
      <c r="BW207" s="19" t="s">
        <v>420</v>
      </c>
    </row>
    <row r="208" spans="1:75" x14ac:dyDescent="0.25">
      <c r="A208" s="33" t="s">
        <v>794</v>
      </c>
      <c r="B208" s="7" t="s">
        <v>422</v>
      </c>
      <c r="C208" s="7" t="s">
        <v>81</v>
      </c>
      <c r="D20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7.738378890737746E-2</v>
      </c>
      <c r="E208" s="32">
        <v>0</v>
      </c>
      <c r="F208" s="32">
        <v>27860</v>
      </c>
      <c r="G208" s="32">
        <v>1857</v>
      </c>
      <c r="H208" s="32">
        <v>0</v>
      </c>
      <c r="I208" s="32">
        <v>0</v>
      </c>
      <c r="J208" s="32">
        <v>384021</v>
      </c>
      <c r="K208" s="32">
        <v>0</v>
      </c>
      <c r="L20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4.0304665185655349E-2</v>
      </c>
      <c r="M208" s="32">
        <v>254</v>
      </c>
      <c r="N208" s="32">
        <v>0</v>
      </c>
      <c r="O208" s="32">
        <v>6302</v>
      </c>
      <c r="P208" s="32">
        <v>0</v>
      </c>
      <c r="Q20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08" s="32">
        <v>0</v>
      </c>
      <c r="S208" s="32">
        <v>0</v>
      </c>
      <c r="T208" s="32">
        <v>0</v>
      </c>
      <c r="U208" s="32">
        <v>6302</v>
      </c>
      <c r="V208" s="32">
        <v>0</v>
      </c>
      <c r="W208" s="32">
        <v>0</v>
      </c>
      <c r="X208" s="32">
        <v>0</v>
      </c>
      <c r="Y20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0.30360318836730282</v>
      </c>
      <c r="Z208" s="32">
        <v>0</v>
      </c>
      <c r="AA208" s="32">
        <v>144736</v>
      </c>
      <c r="AB208" s="32">
        <v>28146</v>
      </c>
      <c r="AC208" s="32">
        <v>0</v>
      </c>
      <c r="AD208" s="32">
        <v>0</v>
      </c>
      <c r="AE208" s="32">
        <v>384021</v>
      </c>
      <c r="AF208" s="32">
        <v>0</v>
      </c>
      <c r="AG20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5.0250941028858218</v>
      </c>
      <c r="AH208" s="32">
        <v>12696</v>
      </c>
      <c r="AI208" s="32">
        <v>807</v>
      </c>
      <c r="AJ208" s="32">
        <v>347</v>
      </c>
      <c r="AK208" s="32">
        <v>0</v>
      </c>
      <c r="AL208" s="32">
        <v>106</v>
      </c>
      <c r="AM208" s="32">
        <v>1857</v>
      </c>
      <c r="AN208" s="32">
        <v>6229</v>
      </c>
      <c r="AO208" s="32">
        <v>-162</v>
      </c>
      <c r="AP208" s="32">
        <v>-3026</v>
      </c>
      <c r="AQ20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2.9641383687718186</v>
      </c>
      <c r="AR208" s="32">
        <v>4390</v>
      </c>
      <c r="AS208" s="32">
        <v>2008</v>
      </c>
      <c r="AT208" s="32">
        <v>4400</v>
      </c>
      <c r="AU208" s="32">
        <v>2786</v>
      </c>
      <c r="AV208" s="32">
        <v>2687</v>
      </c>
      <c r="AW208" s="32">
        <v>1857</v>
      </c>
      <c r="AX208" s="32">
        <v>0</v>
      </c>
      <c r="AY208" s="32">
        <v>493</v>
      </c>
      <c r="AZ208" s="32">
        <v>0</v>
      </c>
      <c r="BA208" s="32">
        <v>0</v>
      </c>
      <c r="BB208" s="32">
        <v>59</v>
      </c>
      <c r="BC208" s="32">
        <v>6302</v>
      </c>
      <c r="BD208" s="34">
        <f>IFERROR(SUM(Entity_Metrics[[#This Row],[Operating surplus/(deficit) (social housing lettings)]])/SUM(Entity_Metrics[[#This Row],[Turnover from social housing lettings]]),"")</f>
        <v>0.32814671581364435</v>
      </c>
      <c r="BE208" s="32">
        <v>10861</v>
      </c>
      <c r="BF208" s="32">
        <v>33098</v>
      </c>
      <c r="BG208" s="34">
        <f>IFERROR(SUM(Entity_Metrics[[#This Row],[Operating surplus/(deficit) (overall)2]],-Entity_Metrics[[#This Row],[Gain/(loss) on disposal of fixed assets (housing properties)2]])/SUM(Entity_Metrics[[#This Row],[Turnover (overall)]]),"")</f>
        <v>0.30817284014619351</v>
      </c>
      <c r="BH208" s="32">
        <v>12696</v>
      </c>
      <c r="BI208" s="32">
        <v>807</v>
      </c>
      <c r="BJ208" s="32">
        <v>38579</v>
      </c>
      <c r="BK208" s="34">
        <f>IFERROR(SUM(Entity_Metrics[[#This Row],[Operating surplus/(deficit) (overall)3]],Entity_Metrics[[#This Row],[Share of operating surplus/(deficit) in joint ventures or associates]])/SUM(Entity_Metrics[[#This Row],[Total assets less current liabilities]]),"")</f>
        <v>3.0519597591317203E-2</v>
      </c>
      <c r="BL208" s="32">
        <v>12696</v>
      </c>
      <c r="BM208" s="32">
        <v>0</v>
      </c>
      <c r="BN208" s="32">
        <v>415995</v>
      </c>
      <c r="BO208" s="34">
        <v>1.1734855692990803E-2</v>
      </c>
      <c r="BP208" s="34">
        <v>0.22660957817951158</v>
      </c>
      <c r="BQ208" s="6" t="s">
        <v>93</v>
      </c>
      <c r="BR208" s="6">
        <v>2001</v>
      </c>
      <c r="BS208" s="6" t="s">
        <v>94</v>
      </c>
      <c r="BT208" s="6" t="s">
        <v>115</v>
      </c>
      <c r="BU208" s="8">
        <v>0.96617455710897804</v>
      </c>
      <c r="BV208" s="37" t="s">
        <v>794</v>
      </c>
      <c r="BW208" s="19" t="s">
        <v>422</v>
      </c>
    </row>
    <row r="209" spans="1:75" x14ac:dyDescent="0.25">
      <c r="A209" s="33" t="s">
        <v>795</v>
      </c>
      <c r="B209" s="7" t="s">
        <v>796</v>
      </c>
      <c r="C209" s="7" t="s">
        <v>81</v>
      </c>
      <c r="D20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3.1738327825252634E-2</v>
      </c>
      <c r="E209" s="32">
        <v>8307</v>
      </c>
      <c r="F209" s="32">
        <v>0</v>
      </c>
      <c r="G209" s="32">
        <v>2662</v>
      </c>
      <c r="H209" s="32">
        <v>344</v>
      </c>
      <c r="I209" s="32">
        <v>0</v>
      </c>
      <c r="J209" s="32">
        <v>356446</v>
      </c>
      <c r="K209" s="32">
        <v>0</v>
      </c>
      <c r="L20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9.1818716892289581E-3</v>
      </c>
      <c r="M209" s="32">
        <v>78</v>
      </c>
      <c r="N209" s="32">
        <v>0</v>
      </c>
      <c r="O209" s="32">
        <v>8495</v>
      </c>
      <c r="P209" s="32">
        <v>0</v>
      </c>
      <c r="Q20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3.0751329787234044E-3</v>
      </c>
      <c r="R209" s="32">
        <v>24</v>
      </c>
      <c r="S209" s="32">
        <v>0</v>
      </c>
      <c r="T209" s="32">
        <v>13</v>
      </c>
      <c r="U209" s="32">
        <v>8495</v>
      </c>
      <c r="V209" s="32">
        <v>2958</v>
      </c>
      <c r="W209" s="32">
        <v>0</v>
      </c>
      <c r="X209" s="32">
        <v>579</v>
      </c>
      <c r="Y20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0.5969543773811461</v>
      </c>
      <c r="Z209" s="32">
        <v>0</v>
      </c>
      <c r="AA209" s="32">
        <v>283451</v>
      </c>
      <c r="AB209" s="32">
        <v>70669</v>
      </c>
      <c r="AC209" s="32">
        <v>0</v>
      </c>
      <c r="AD209" s="32">
        <v>0</v>
      </c>
      <c r="AE209" s="32">
        <v>356446</v>
      </c>
      <c r="AF209" s="32">
        <v>0</v>
      </c>
      <c r="AG20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2.2735857082092727</v>
      </c>
      <c r="AH209" s="32">
        <v>19576</v>
      </c>
      <c r="AI209" s="32">
        <v>0</v>
      </c>
      <c r="AJ209" s="32">
        <v>545</v>
      </c>
      <c r="AK209" s="32">
        <v>9</v>
      </c>
      <c r="AL209" s="32">
        <v>1093</v>
      </c>
      <c r="AM209" s="32">
        <v>2662</v>
      </c>
      <c r="AN209" s="32">
        <v>9273</v>
      </c>
      <c r="AO209" s="32">
        <v>-344</v>
      </c>
      <c r="AP209" s="32">
        <v>-11411</v>
      </c>
      <c r="AQ20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3.2958210712183638</v>
      </c>
      <c r="AR209" s="32">
        <v>10131</v>
      </c>
      <c r="AS209" s="32">
        <v>5258</v>
      </c>
      <c r="AT209" s="32">
        <v>2672</v>
      </c>
      <c r="AU209" s="32">
        <v>1918</v>
      </c>
      <c r="AV209" s="32">
        <v>66</v>
      </c>
      <c r="AW209" s="32">
        <v>2662</v>
      </c>
      <c r="AX209" s="32">
        <v>5101</v>
      </c>
      <c r="AY209" s="32">
        <v>0</v>
      </c>
      <c r="AZ209" s="32">
        <v>0</v>
      </c>
      <c r="BA209" s="32">
        <v>190</v>
      </c>
      <c r="BB209" s="32">
        <v>0</v>
      </c>
      <c r="BC209" s="32">
        <v>8495</v>
      </c>
      <c r="BD209" s="34">
        <f>IFERROR(SUM(Entity_Metrics[[#This Row],[Operating surplus/(deficit) (social housing lettings)]])/SUM(Entity_Metrics[[#This Row],[Turnover from social housing lettings]]),"")</f>
        <v>0.3399282656485017</v>
      </c>
      <c r="BE209" s="32">
        <v>17628</v>
      </c>
      <c r="BF209" s="32">
        <v>51858</v>
      </c>
      <c r="BG209" s="34">
        <f>IFERROR(SUM(Entity_Metrics[[#This Row],[Operating surplus/(deficit) (overall)2]],-Entity_Metrics[[#This Row],[Gain/(loss) on disposal of fixed assets (housing properties)2]])/SUM(Entity_Metrics[[#This Row],[Turnover (overall)]]),"")</f>
        <v>0.28629091228172804</v>
      </c>
      <c r="BH209" s="32">
        <v>19576</v>
      </c>
      <c r="BI209" s="32">
        <v>0</v>
      </c>
      <c r="BJ209" s="32">
        <v>68378</v>
      </c>
      <c r="BK209" s="34">
        <f>IFERROR(SUM(Entity_Metrics[[#This Row],[Operating surplus/(deficit) (overall)3]],Entity_Metrics[[#This Row],[Share of operating surplus/(deficit) in joint ventures or associates]])/SUM(Entity_Metrics[[#This Row],[Total assets less current liabilities]]),"")</f>
        <v>4.5176566156345625E-2</v>
      </c>
      <c r="BL209" s="32">
        <v>19576</v>
      </c>
      <c r="BM209" s="32">
        <v>0</v>
      </c>
      <c r="BN209" s="32">
        <v>433322</v>
      </c>
      <c r="BO209" s="34">
        <v>1.2338425381903642E-2</v>
      </c>
      <c r="BP209" s="34">
        <v>8.8836662749706224E-2</v>
      </c>
      <c r="BQ209" s="6" t="s">
        <v>93</v>
      </c>
      <c r="BR209" s="6">
        <v>2003</v>
      </c>
      <c r="BS209" s="6" t="s">
        <v>94</v>
      </c>
      <c r="BT209" s="6" t="s">
        <v>100</v>
      </c>
      <c r="BU209" s="8">
        <v>1.0022399874355168</v>
      </c>
      <c r="BV209" s="37" t="s">
        <v>795</v>
      </c>
      <c r="BW209" s="19" t="s">
        <v>332</v>
      </c>
    </row>
    <row r="210" spans="1:75" x14ac:dyDescent="0.25">
      <c r="A210" s="33" t="s">
        <v>797</v>
      </c>
      <c r="B210" s="7" t="s">
        <v>424</v>
      </c>
      <c r="C210" s="7" t="s">
        <v>81</v>
      </c>
      <c r="D21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2.4433670584555419E-2</v>
      </c>
      <c r="E210" s="32">
        <v>1418</v>
      </c>
      <c r="F210" s="32">
        <v>0</v>
      </c>
      <c r="G210" s="32">
        <v>613</v>
      </c>
      <c r="H210" s="32">
        <v>0</v>
      </c>
      <c r="I210" s="32">
        <v>0</v>
      </c>
      <c r="J210" s="32">
        <v>83123</v>
      </c>
      <c r="K210" s="32">
        <v>0</v>
      </c>
      <c r="L21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3.9018952062430325E-3</v>
      </c>
      <c r="M210" s="32">
        <v>14</v>
      </c>
      <c r="N210" s="32">
        <v>0</v>
      </c>
      <c r="O210" s="32">
        <v>3454</v>
      </c>
      <c r="P210" s="32">
        <v>134</v>
      </c>
      <c r="Q21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0" s="32">
        <v>0</v>
      </c>
      <c r="S210" s="32">
        <v>0</v>
      </c>
      <c r="T210" s="32">
        <v>0</v>
      </c>
      <c r="U210" s="32">
        <v>3454</v>
      </c>
      <c r="V210" s="32">
        <v>367</v>
      </c>
      <c r="W210" s="32">
        <v>134</v>
      </c>
      <c r="X210" s="32">
        <v>0</v>
      </c>
      <c r="Y21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1.3056314136881488</v>
      </c>
      <c r="Z210" s="32">
        <v>0</v>
      </c>
      <c r="AA210" s="32">
        <v>118365</v>
      </c>
      <c r="AB210" s="32">
        <v>9837</v>
      </c>
      <c r="AC210" s="32">
        <v>0</v>
      </c>
      <c r="AD210" s="32">
        <v>0</v>
      </c>
      <c r="AE210" s="32">
        <v>83123</v>
      </c>
      <c r="AF210" s="32">
        <v>0</v>
      </c>
      <c r="AG21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1.4756577910824011</v>
      </c>
      <c r="AH210" s="32">
        <v>10025</v>
      </c>
      <c r="AI210" s="32">
        <v>1942</v>
      </c>
      <c r="AJ210" s="32">
        <v>155</v>
      </c>
      <c r="AK210" s="32">
        <v>0</v>
      </c>
      <c r="AL210" s="32">
        <v>0</v>
      </c>
      <c r="AM210" s="32">
        <v>613</v>
      </c>
      <c r="AN210" s="32">
        <v>2051</v>
      </c>
      <c r="AO210" s="32">
        <v>-1</v>
      </c>
      <c r="AP210" s="32">
        <v>-6346</v>
      </c>
      <c r="AQ21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2.6728430804863925</v>
      </c>
      <c r="AR210" s="32">
        <v>4075</v>
      </c>
      <c r="AS210" s="32">
        <v>934</v>
      </c>
      <c r="AT210" s="32">
        <v>2233</v>
      </c>
      <c r="AU210" s="32">
        <v>0</v>
      </c>
      <c r="AV210" s="32">
        <v>1327</v>
      </c>
      <c r="AW210" s="32">
        <v>613</v>
      </c>
      <c r="AX210" s="32">
        <v>0</v>
      </c>
      <c r="AY210" s="32">
        <v>0</v>
      </c>
      <c r="AZ210" s="32">
        <v>0</v>
      </c>
      <c r="BA210" s="32">
        <v>50</v>
      </c>
      <c r="BB210" s="32">
        <v>0</v>
      </c>
      <c r="BC210" s="32">
        <v>3454</v>
      </c>
      <c r="BD210" s="34">
        <f>IFERROR(SUM(Entity_Metrics[[#This Row],[Operating surplus/(deficit) (social housing lettings)]])/SUM(Entity_Metrics[[#This Row],[Turnover from social housing lettings]]),"")</f>
        <v>0.380552984729292</v>
      </c>
      <c r="BE210" s="32">
        <v>6579</v>
      </c>
      <c r="BF210" s="32">
        <v>17288</v>
      </c>
      <c r="BG210" s="34">
        <f>IFERROR(SUM(Entity_Metrics[[#This Row],[Operating surplus/(deficit) (overall)2]],-Entity_Metrics[[#This Row],[Gain/(loss) on disposal of fixed assets (housing properties)2]])/SUM(Entity_Metrics[[#This Row],[Turnover (overall)]]),"")</f>
        <v>0.40695801027086898</v>
      </c>
      <c r="BH210" s="32">
        <v>10025</v>
      </c>
      <c r="BI210" s="32">
        <v>1942</v>
      </c>
      <c r="BJ210" s="32">
        <v>19862</v>
      </c>
      <c r="BK210" s="34">
        <f>IFERROR(SUM(Entity_Metrics[[#This Row],[Operating surplus/(deficit) (overall)3]],Entity_Metrics[[#This Row],[Share of operating surplus/(deficit) in joint ventures or associates]])/SUM(Entity_Metrics[[#This Row],[Total assets less current liabilities]]),"")</f>
        <v>8.5401279528397517E-2</v>
      </c>
      <c r="BL210" s="32">
        <v>10025</v>
      </c>
      <c r="BM210" s="32">
        <v>0</v>
      </c>
      <c r="BN210" s="32">
        <v>117387</v>
      </c>
      <c r="BO210" s="34">
        <v>0</v>
      </c>
      <c r="BP210" s="34">
        <v>0.1184134337000579</v>
      </c>
      <c r="BQ210" s="6" t="s">
        <v>93</v>
      </c>
      <c r="BR210" s="6">
        <v>1998</v>
      </c>
      <c r="BS210" s="6" t="s">
        <v>94</v>
      </c>
      <c r="BT210" s="6" t="s">
        <v>115</v>
      </c>
      <c r="BU210" s="8">
        <v>0.96602846858722036</v>
      </c>
      <c r="BV210" s="37" t="s">
        <v>797</v>
      </c>
      <c r="BW210" s="19" t="s">
        <v>424</v>
      </c>
    </row>
    <row r="211" spans="1:75" x14ac:dyDescent="0.25">
      <c r="A211" s="33" t="s">
        <v>798</v>
      </c>
      <c r="B211" s="7" t="s">
        <v>799</v>
      </c>
      <c r="C211" s="7" t="s">
        <v>81</v>
      </c>
      <c r="D21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8.250724317582403E-2</v>
      </c>
      <c r="E211" s="32">
        <v>0</v>
      </c>
      <c r="F211" s="32">
        <v>9471</v>
      </c>
      <c r="G211" s="32">
        <v>3139</v>
      </c>
      <c r="H211" s="32">
        <v>91</v>
      </c>
      <c r="I211" s="32">
        <v>0</v>
      </c>
      <c r="J211" s="32">
        <v>153938</v>
      </c>
      <c r="K211" s="32">
        <v>0</v>
      </c>
      <c r="L21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1.6827783745076978E-2</v>
      </c>
      <c r="M211" s="32">
        <v>94</v>
      </c>
      <c r="N211" s="32">
        <v>0</v>
      </c>
      <c r="O211" s="32">
        <v>5586</v>
      </c>
      <c r="P211" s="32">
        <v>0</v>
      </c>
      <c r="Q21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1" s="32">
        <v>0</v>
      </c>
      <c r="S211" s="32">
        <v>0</v>
      </c>
      <c r="T211" s="32">
        <v>0</v>
      </c>
      <c r="U211" s="32">
        <v>5586</v>
      </c>
      <c r="V211" s="32">
        <v>0</v>
      </c>
      <c r="W211" s="32">
        <v>0</v>
      </c>
      <c r="X211" s="32">
        <v>0</v>
      </c>
      <c r="Y21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0.87368940742376799</v>
      </c>
      <c r="Z211" s="32">
        <v>800</v>
      </c>
      <c r="AA211" s="32">
        <v>137525</v>
      </c>
      <c r="AB211" s="32">
        <v>3831</v>
      </c>
      <c r="AC211" s="32">
        <v>0</v>
      </c>
      <c r="AD211" s="32">
        <v>0</v>
      </c>
      <c r="AE211" s="32">
        <v>153938</v>
      </c>
      <c r="AF211" s="32">
        <v>0</v>
      </c>
      <c r="AG21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1.6237424547283703</v>
      </c>
      <c r="AH211" s="32">
        <v>12513</v>
      </c>
      <c r="AI211" s="32">
        <v>1259</v>
      </c>
      <c r="AJ211" s="32">
        <v>150</v>
      </c>
      <c r="AK211" s="32">
        <v>0</v>
      </c>
      <c r="AL211" s="32">
        <v>32</v>
      </c>
      <c r="AM211" s="32">
        <v>3139</v>
      </c>
      <c r="AN211" s="32">
        <v>4108</v>
      </c>
      <c r="AO211" s="32">
        <v>-91</v>
      </c>
      <c r="AP211" s="32">
        <v>-7364</v>
      </c>
      <c r="AQ21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2.9649122807017543</v>
      </c>
      <c r="AR211" s="32">
        <v>3466</v>
      </c>
      <c r="AS211" s="32">
        <v>231</v>
      </c>
      <c r="AT211" s="32">
        <v>1692</v>
      </c>
      <c r="AU211" s="32">
        <v>4490</v>
      </c>
      <c r="AV211" s="32">
        <v>0</v>
      </c>
      <c r="AW211" s="32">
        <v>3139</v>
      </c>
      <c r="AX211" s="32">
        <v>0</v>
      </c>
      <c r="AY211" s="32">
        <v>0</v>
      </c>
      <c r="AZ211" s="32">
        <v>0</v>
      </c>
      <c r="BA211" s="32">
        <v>78</v>
      </c>
      <c r="BB211" s="32">
        <v>3466</v>
      </c>
      <c r="BC211" s="32">
        <v>5586</v>
      </c>
      <c r="BD211" s="34">
        <f>IFERROR(SUM(Entity_Metrics[[#This Row],[Operating surplus/(deficit) (social housing lettings)]])/SUM(Entity_Metrics[[#This Row],[Turnover from social housing lettings]]),"")</f>
        <v>0.48679357746898633</v>
      </c>
      <c r="BE211" s="32">
        <v>13067</v>
      </c>
      <c r="BF211" s="32">
        <v>26843</v>
      </c>
      <c r="BG211" s="34">
        <f>IFERROR(SUM(Entity_Metrics[[#This Row],[Operating surplus/(deficit) (overall)2]],-Entity_Metrics[[#This Row],[Gain/(loss) on disposal of fixed assets (housing properties)2]])/SUM(Entity_Metrics[[#This Row],[Turnover (overall)]]),"")</f>
        <v>0.37396158702731441</v>
      </c>
      <c r="BH211" s="32">
        <v>12513</v>
      </c>
      <c r="BI211" s="32">
        <v>1259</v>
      </c>
      <c r="BJ211" s="32">
        <v>30094</v>
      </c>
      <c r="BK211" s="34">
        <f>IFERROR(SUM(Entity_Metrics[[#This Row],[Operating surplus/(deficit) (overall)3]],Entity_Metrics[[#This Row],[Share of operating surplus/(deficit) in joint ventures or associates]])/SUM(Entity_Metrics[[#This Row],[Total assets less current liabilities]]),"")</f>
        <v>7.1082051398577567E-2</v>
      </c>
      <c r="BL211" s="32">
        <v>12513</v>
      </c>
      <c r="BM211" s="32">
        <v>0</v>
      </c>
      <c r="BN211" s="32">
        <v>176036</v>
      </c>
      <c r="BO211" s="34">
        <v>5.3715308863025966E-4</v>
      </c>
      <c r="BP211" s="34">
        <v>0.10402864816472694</v>
      </c>
      <c r="BQ211" s="6" t="s">
        <v>93</v>
      </c>
      <c r="BR211" s="6">
        <v>2001</v>
      </c>
      <c r="BS211" s="6" t="s">
        <v>94</v>
      </c>
      <c r="BT211" s="6" t="s">
        <v>90</v>
      </c>
      <c r="BU211" s="8">
        <v>0.91571558169387279</v>
      </c>
      <c r="BV211" s="37" t="s">
        <v>800</v>
      </c>
      <c r="BW211" s="19" t="s">
        <v>476</v>
      </c>
    </row>
    <row r="212" spans="1:75" x14ac:dyDescent="0.25">
      <c r="A212" s="33" t="s">
        <v>801</v>
      </c>
      <c r="B212" s="7" t="s">
        <v>426</v>
      </c>
      <c r="C212" s="7" t="s">
        <v>81</v>
      </c>
      <c r="D21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8.4805556527870155E-2</v>
      </c>
      <c r="E212" s="32">
        <v>29339</v>
      </c>
      <c r="F212" s="32">
        <v>0</v>
      </c>
      <c r="G212" s="32">
        <v>3720</v>
      </c>
      <c r="H212" s="32">
        <v>860</v>
      </c>
      <c r="I212" s="32">
        <v>0</v>
      </c>
      <c r="J212" s="32">
        <v>399962</v>
      </c>
      <c r="K212" s="32">
        <v>0</v>
      </c>
      <c r="L21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6.7100848628379711E-3</v>
      </c>
      <c r="M212" s="32">
        <v>34</v>
      </c>
      <c r="N212" s="32">
        <v>0</v>
      </c>
      <c r="O212" s="32">
        <v>5067</v>
      </c>
      <c r="P212" s="32">
        <v>0</v>
      </c>
      <c r="Q21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2" s="32">
        <v>0</v>
      </c>
      <c r="S212" s="32">
        <v>0</v>
      </c>
      <c r="T212" s="32">
        <v>0</v>
      </c>
      <c r="U212" s="32">
        <v>5067</v>
      </c>
      <c r="V212" s="32">
        <v>0</v>
      </c>
      <c r="W212" s="32">
        <v>0</v>
      </c>
      <c r="X212" s="32">
        <v>0</v>
      </c>
      <c r="Y21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0.37549067161380328</v>
      </c>
      <c r="Z212" s="32">
        <v>18484</v>
      </c>
      <c r="AA212" s="32">
        <v>138564</v>
      </c>
      <c r="AB212" s="32">
        <v>6866</v>
      </c>
      <c r="AC212" s="32">
        <v>0</v>
      </c>
      <c r="AD212" s="32">
        <v>0</v>
      </c>
      <c r="AE212" s="32">
        <v>399962</v>
      </c>
      <c r="AF212" s="32">
        <v>0</v>
      </c>
      <c r="AG21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1.8178955168580957</v>
      </c>
      <c r="AH212" s="32">
        <v>14238</v>
      </c>
      <c r="AI212" s="32">
        <v>3546</v>
      </c>
      <c r="AJ212" s="32">
        <v>1683</v>
      </c>
      <c r="AK212" s="32">
        <v>0</v>
      </c>
      <c r="AL212" s="32">
        <v>97</v>
      </c>
      <c r="AM212" s="32">
        <v>3720</v>
      </c>
      <c r="AN212" s="32">
        <v>4427</v>
      </c>
      <c r="AO212" s="32">
        <v>-860</v>
      </c>
      <c r="AP212" s="32">
        <v>-4538</v>
      </c>
      <c r="AQ21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6.011841326228538</v>
      </c>
      <c r="AR212" s="32">
        <v>4281</v>
      </c>
      <c r="AS212" s="32">
        <v>2986</v>
      </c>
      <c r="AT212" s="32">
        <v>4223</v>
      </c>
      <c r="AU212" s="32">
        <v>7448</v>
      </c>
      <c r="AV212" s="32">
        <v>0</v>
      </c>
      <c r="AW212" s="32">
        <v>3720</v>
      </c>
      <c r="AX212" s="32">
        <v>6715</v>
      </c>
      <c r="AY212" s="32">
        <v>243</v>
      </c>
      <c r="AZ212" s="32">
        <v>846</v>
      </c>
      <c r="BA212" s="32">
        <v>0</v>
      </c>
      <c r="BB212" s="32">
        <v>0</v>
      </c>
      <c r="BC212" s="32">
        <v>5067</v>
      </c>
      <c r="BD212" s="34">
        <f>IFERROR(SUM(Entity_Metrics[[#This Row],[Operating surplus/(deficit) (social housing lettings)]])/SUM(Entity_Metrics[[#This Row],[Turnover from social housing lettings]]),"")</f>
        <v>0.24186116397876389</v>
      </c>
      <c r="BE212" s="32">
        <v>9658</v>
      </c>
      <c r="BF212" s="32">
        <v>39932</v>
      </c>
      <c r="BG212" s="34">
        <f>IFERROR(SUM(Entity_Metrics[[#This Row],[Operating surplus/(deficit) (overall)2]],-Entity_Metrics[[#This Row],[Gain/(loss) on disposal of fixed assets (housing properties)2]])/SUM(Entity_Metrics[[#This Row],[Turnover (overall)]]),"")</f>
        <v>0.25279583875162548</v>
      </c>
      <c r="BH212" s="32">
        <v>14238</v>
      </c>
      <c r="BI212" s="32">
        <v>3546</v>
      </c>
      <c r="BJ212" s="32">
        <v>42295</v>
      </c>
      <c r="BK212" s="34">
        <f>IFERROR(SUM(Entity_Metrics[[#This Row],[Operating surplus/(deficit) (overall)3]],Entity_Metrics[[#This Row],[Share of operating surplus/(deficit) in joint ventures or associates]])/SUM(Entity_Metrics[[#This Row],[Total assets less current liabilities]]),"")</f>
        <v>3.3463697129802857E-2</v>
      </c>
      <c r="BL212" s="32">
        <v>14238</v>
      </c>
      <c r="BM212" s="32">
        <v>0</v>
      </c>
      <c r="BN212" s="32">
        <v>425476</v>
      </c>
      <c r="BO212" s="34">
        <v>5.5058499655884378E-2</v>
      </c>
      <c r="BP212" s="34">
        <v>1.6746960311998165E-2</v>
      </c>
      <c r="BQ212" s="6" t="s">
        <v>82</v>
      </c>
      <c r="BR212" s="6" t="s">
        <v>83</v>
      </c>
      <c r="BS212" s="6" t="s">
        <v>83</v>
      </c>
      <c r="BT212" s="6" t="s">
        <v>156</v>
      </c>
      <c r="BU212" s="8">
        <v>1.2476235785846892</v>
      </c>
      <c r="BV212" s="37" t="s">
        <v>801</v>
      </c>
      <c r="BW212" s="19" t="s">
        <v>426</v>
      </c>
    </row>
    <row r="213" spans="1:75" x14ac:dyDescent="0.25">
      <c r="A213" s="33" t="s">
        <v>802</v>
      </c>
      <c r="B213" s="7" t="s">
        <v>428</v>
      </c>
      <c r="C213" s="7" t="s">
        <v>81</v>
      </c>
      <c r="D21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8.2029045004361881E-2</v>
      </c>
      <c r="E213" s="32">
        <v>0</v>
      </c>
      <c r="F213" s="32">
        <v>2053</v>
      </c>
      <c r="G213" s="32">
        <v>7538</v>
      </c>
      <c r="H213" s="32">
        <v>0</v>
      </c>
      <c r="I213" s="32">
        <v>0</v>
      </c>
      <c r="J213" s="32">
        <v>116922</v>
      </c>
      <c r="K213" s="32">
        <v>0</v>
      </c>
      <c r="L21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3.7678975131876413E-3</v>
      </c>
      <c r="M213" s="32">
        <v>30</v>
      </c>
      <c r="N213" s="32">
        <v>0</v>
      </c>
      <c r="O213" s="32">
        <v>7962</v>
      </c>
      <c r="P213" s="32">
        <v>0</v>
      </c>
      <c r="Q21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3" s="32">
        <v>0</v>
      </c>
      <c r="S213" s="32">
        <v>0</v>
      </c>
      <c r="T213" s="32">
        <v>0</v>
      </c>
      <c r="U213" s="32">
        <v>7962</v>
      </c>
      <c r="V213" s="32">
        <v>13</v>
      </c>
      <c r="W213" s="32">
        <v>0</v>
      </c>
      <c r="X213" s="32">
        <v>216</v>
      </c>
      <c r="Y21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0.37497648004652673</v>
      </c>
      <c r="Z213" s="32">
        <v>0</v>
      </c>
      <c r="AA213" s="32">
        <v>69455</v>
      </c>
      <c r="AB213" s="32">
        <v>25612</v>
      </c>
      <c r="AC213" s="32">
        <v>0</v>
      </c>
      <c r="AD213" s="32">
        <v>0</v>
      </c>
      <c r="AE213" s="32">
        <v>116922</v>
      </c>
      <c r="AF213" s="32">
        <v>0</v>
      </c>
      <c r="AG21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1.3962319693847514</v>
      </c>
      <c r="AH213" s="32">
        <v>9175</v>
      </c>
      <c r="AI213" s="32">
        <v>527</v>
      </c>
      <c r="AJ213" s="32">
        <v>699</v>
      </c>
      <c r="AK213" s="32">
        <v>0</v>
      </c>
      <c r="AL213" s="32">
        <v>102</v>
      </c>
      <c r="AM213" s="32">
        <v>7538</v>
      </c>
      <c r="AN213" s="32">
        <v>4230</v>
      </c>
      <c r="AO213" s="32">
        <v>0</v>
      </c>
      <c r="AP213" s="32">
        <v>-3397</v>
      </c>
      <c r="AQ21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3.0364230092941473</v>
      </c>
      <c r="AR213" s="32">
        <v>9143</v>
      </c>
      <c r="AS213" s="32">
        <v>1294</v>
      </c>
      <c r="AT213" s="32">
        <v>4161</v>
      </c>
      <c r="AU213" s="32">
        <v>778</v>
      </c>
      <c r="AV213" s="32">
        <v>908</v>
      </c>
      <c r="AW213" s="32">
        <v>7538</v>
      </c>
      <c r="AX213" s="32">
        <v>354</v>
      </c>
      <c r="AY213" s="32">
        <v>0</v>
      </c>
      <c r="AZ213" s="32">
        <v>0</v>
      </c>
      <c r="BA213" s="32">
        <v>0</v>
      </c>
      <c r="BB213" s="32">
        <v>0</v>
      </c>
      <c r="BC213" s="32">
        <v>7962</v>
      </c>
      <c r="BD213" s="34">
        <f>IFERROR(SUM(Entity_Metrics[[#This Row],[Operating surplus/(deficit) (social housing lettings)]])/SUM(Entity_Metrics[[#This Row],[Turnover from social housing lettings]]),"")</f>
        <v>0.28844271975704405</v>
      </c>
      <c r="BE213" s="32">
        <v>8548</v>
      </c>
      <c r="BF213" s="32">
        <v>29635</v>
      </c>
      <c r="BG213" s="34">
        <f>IFERROR(SUM(Entity_Metrics[[#This Row],[Operating surplus/(deficit) (overall)2]],-Entity_Metrics[[#This Row],[Gain/(loss) on disposal of fixed assets (housing properties)2]])/SUM(Entity_Metrics[[#This Row],[Turnover (overall)]]),"")</f>
        <v>0.28957942673452985</v>
      </c>
      <c r="BH213" s="32">
        <v>9175</v>
      </c>
      <c r="BI213" s="32">
        <v>527</v>
      </c>
      <c r="BJ213" s="32">
        <v>29864</v>
      </c>
      <c r="BK213" s="34">
        <f>IFERROR(SUM(Entity_Metrics[[#This Row],[Operating surplus/(deficit) (overall)3]],Entity_Metrics[[#This Row],[Share of operating surplus/(deficit) in joint ventures or associates]])/SUM(Entity_Metrics[[#This Row],[Total assets less current liabilities]]),"")</f>
        <v>6.5651542364027968E-2</v>
      </c>
      <c r="BL213" s="32">
        <v>9175</v>
      </c>
      <c r="BM213" s="32">
        <v>0</v>
      </c>
      <c r="BN213" s="32">
        <v>139753</v>
      </c>
      <c r="BO213" s="34">
        <v>0</v>
      </c>
      <c r="BP213" s="34">
        <v>0.13576990705852801</v>
      </c>
      <c r="BQ213" s="6" t="s">
        <v>93</v>
      </c>
      <c r="BR213" s="6">
        <v>2005</v>
      </c>
      <c r="BS213" s="6" t="s">
        <v>94</v>
      </c>
      <c r="BT213" s="6" t="s">
        <v>108</v>
      </c>
      <c r="BU213" s="8">
        <v>0.94804779167421749</v>
      </c>
      <c r="BV213" s="37" t="s">
        <v>802</v>
      </c>
      <c r="BW213" s="19" t="s">
        <v>428</v>
      </c>
    </row>
    <row r="214" spans="1:75" x14ac:dyDescent="0.25">
      <c r="A214" s="33" t="s">
        <v>803</v>
      </c>
      <c r="B214" s="7" t="s">
        <v>430</v>
      </c>
      <c r="C214" s="7" t="s">
        <v>81</v>
      </c>
      <c r="D21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7.6808612213105365E-2</v>
      </c>
      <c r="E214" s="32">
        <v>23342</v>
      </c>
      <c r="F214" s="32">
        <v>0</v>
      </c>
      <c r="G214" s="32">
        <v>3091</v>
      </c>
      <c r="H214" s="32">
        <v>1079</v>
      </c>
      <c r="I214" s="32">
        <v>0</v>
      </c>
      <c r="J214" s="32">
        <v>358189</v>
      </c>
      <c r="K214" s="32">
        <v>0</v>
      </c>
      <c r="L21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3.0322173089071383E-2</v>
      </c>
      <c r="M214" s="32">
        <v>192</v>
      </c>
      <c r="N214" s="32">
        <v>0</v>
      </c>
      <c r="O214" s="32">
        <v>6332</v>
      </c>
      <c r="P214" s="32">
        <v>0</v>
      </c>
      <c r="Q21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4" s="32">
        <v>0</v>
      </c>
      <c r="S214" s="32">
        <v>0</v>
      </c>
      <c r="T214" s="32">
        <v>0</v>
      </c>
      <c r="U214" s="32">
        <v>6332</v>
      </c>
      <c r="V214" s="32">
        <v>0</v>
      </c>
      <c r="W214" s="32">
        <v>0</v>
      </c>
      <c r="X214" s="32">
        <v>1083</v>
      </c>
      <c r="Y21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0.38334510551691986</v>
      </c>
      <c r="Z214" s="32">
        <v>0</v>
      </c>
      <c r="AA214" s="32">
        <v>154260</v>
      </c>
      <c r="AB214" s="32">
        <v>16950</v>
      </c>
      <c r="AC214" s="32">
        <v>0</v>
      </c>
      <c r="AD214" s="32">
        <v>0</v>
      </c>
      <c r="AE214" s="32">
        <v>358189</v>
      </c>
      <c r="AF214" s="32">
        <v>0</v>
      </c>
      <c r="AG21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2.491671714112659</v>
      </c>
      <c r="AH214" s="32">
        <v>13813</v>
      </c>
      <c r="AI214" s="32">
        <v>759</v>
      </c>
      <c r="AJ214" s="32">
        <v>69</v>
      </c>
      <c r="AK214" s="32">
        <v>0</v>
      </c>
      <c r="AL214" s="32">
        <v>148</v>
      </c>
      <c r="AM214" s="32">
        <v>3091</v>
      </c>
      <c r="AN214" s="32">
        <v>6413</v>
      </c>
      <c r="AO214" s="32">
        <v>-1079</v>
      </c>
      <c r="AP214" s="32">
        <v>-5525</v>
      </c>
      <c r="AQ21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3.2215729627289957</v>
      </c>
      <c r="AR214" s="32">
        <v>8160</v>
      </c>
      <c r="AS214" s="32">
        <v>2421</v>
      </c>
      <c r="AT214" s="32">
        <v>2998</v>
      </c>
      <c r="AU214" s="32">
        <v>748</v>
      </c>
      <c r="AV214" s="32">
        <v>2253</v>
      </c>
      <c r="AW214" s="32">
        <v>3091</v>
      </c>
      <c r="AX214" s="32">
        <v>0</v>
      </c>
      <c r="AY214" s="32">
        <v>0</v>
      </c>
      <c r="AZ214" s="32">
        <v>267</v>
      </c>
      <c r="BA214" s="32">
        <v>0</v>
      </c>
      <c r="BB214" s="32">
        <v>461</v>
      </c>
      <c r="BC214" s="32">
        <v>6332</v>
      </c>
      <c r="BD214" s="34">
        <f>IFERROR(SUM(Entity_Metrics[[#This Row],[Operating surplus/(deficit) (social housing lettings)]])/SUM(Entity_Metrics[[#This Row],[Turnover from social housing lettings]]),"")</f>
        <v>0.31450618937891861</v>
      </c>
      <c r="BE214" s="32">
        <v>11738</v>
      </c>
      <c r="BF214" s="32">
        <v>37322</v>
      </c>
      <c r="BG214" s="34">
        <f>IFERROR(SUM(Entity_Metrics[[#This Row],[Operating surplus/(deficit) (overall)2]],-Entity_Metrics[[#This Row],[Gain/(loss) on disposal of fixed assets (housing properties)2]])/SUM(Entity_Metrics[[#This Row],[Turnover (overall)]]),"")</f>
        <v>0.30425358349842674</v>
      </c>
      <c r="BH214" s="32">
        <v>13813</v>
      </c>
      <c r="BI214" s="32">
        <v>759</v>
      </c>
      <c r="BJ214" s="32">
        <v>42905</v>
      </c>
      <c r="BK214" s="34">
        <f>IFERROR(SUM(Entity_Metrics[[#This Row],[Operating surplus/(deficit) (overall)3]],Entity_Metrics[[#This Row],[Share of operating surplus/(deficit) in joint ventures or associates]])/SUM(Entity_Metrics[[#This Row],[Total assets less current liabilities]]),"")</f>
        <v>3.112634415871213E-2</v>
      </c>
      <c r="BL214" s="32">
        <v>13813</v>
      </c>
      <c r="BM214" s="32">
        <v>0</v>
      </c>
      <c r="BN214" s="32">
        <v>443772</v>
      </c>
      <c r="BO214" s="34">
        <v>7.4097430238057697E-3</v>
      </c>
      <c r="BP214" s="34">
        <v>6.7160649534920389E-2</v>
      </c>
      <c r="BQ214" s="6" t="s">
        <v>93</v>
      </c>
      <c r="BR214" s="6">
        <v>2008</v>
      </c>
      <c r="BS214" s="6" t="s">
        <v>120</v>
      </c>
      <c r="BT214" s="6" t="s">
        <v>84</v>
      </c>
      <c r="BU214" s="8">
        <v>1.0118524159776632</v>
      </c>
      <c r="BV214" s="37" t="s">
        <v>803</v>
      </c>
      <c r="BW214" s="19" t="s">
        <v>430</v>
      </c>
    </row>
    <row r="215" spans="1:75" x14ac:dyDescent="0.25">
      <c r="A215" s="33" t="s">
        <v>804</v>
      </c>
      <c r="B215" s="7" t="s">
        <v>432</v>
      </c>
      <c r="C215" s="7" t="s">
        <v>81</v>
      </c>
      <c r="D21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6.0327467788871172E-2</v>
      </c>
      <c r="E215" s="32">
        <v>28081</v>
      </c>
      <c r="F215" s="32">
        <v>0</v>
      </c>
      <c r="G215" s="32">
        <v>3285</v>
      </c>
      <c r="H215" s="32">
        <v>0</v>
      </c>
      <c r="I215" s="32">
        <v>0</v>
      </c>
      <c r="J215" s="32">
        <v>0</v>
      </c>
      <c r="K215" s="32">
        <v>519929</v>
      </c>
      <c r="L21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2.7525665823538163E-2</v>
      </c>
      <c r="M215" s="32">
        <v>185</v>
      </c>
      <c r="N215" s="32">
        <v>0</v>
      </c>
      <c r="O215" s="32">
        <v>6419</v>
      </c>
      <c r="P215" s="32">
        <v>302</v>
      </c>
      <c r="Q21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5" s="32">
        <v>0</v>
      </c>
      <c r="S215" s="32">
        <v>0</v>
      </c>
      <c r="T215" s="32">
        <v>0</v>
      </c>
      <c r="U215" s="32">
        <v>6419</v>
      </c>
      <c r="V215" s="32">
        <v>0</v>
      </c>
      <c r="W215" s="32">
        <v>302</v>
      </c>
      <c r="X215" s="32">
        <v>0</v>
      </c>
      <c r="Y21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0.36748094451357782</v>
      </c>
      <c r="Z215" s="32">
        <v>2234</v>
      </c>
      <c r="AA215" s="32">
        <v>217972</v>
      </c>
      <c r="AB215" s="32">
        <v>29142</v>
      </c>
      <c r="AC215" s="32">
        <v>0</v>
      </c>
      <c r="AD215" s="32">
        <v>0</v>
      </c>
      <c r="AE215" s="32">
        <v>0</v>
      </c>
      <c r="AF215" s="32">
        <v>519929</v>
      </c>
      <c r="AG21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2.1699155948553055</v>
      </c>
      <c r="AH215" s="32">
        <v>20117</v>
      </c>
      <c r="AI215" s="32">
        <v>1564</v>
      </c>
      <c r="AJ215" s="32">
        <v>572</v>
      </c>
      <c r="AK215" s="32">
        <v>0</v>
      </c>
      <c r="AL215" s="32">
        <v>175</v>
      </c>
      <c r="AM215" s="32">
        <v>3285</v>
      </c>
      <c r="AN215" s="32">
        <v>6724</v>
      </c>
      <c r="AO215" s="32">
        <v>0</v>
      </c>
      <c r="AP215" s="32">
        <v>-9952</v>
      </c>
      <c r="AQ21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2.8859635457236328</v>
      </c>
      <c r="AR215" s="32">
        <v>2811</v>
      </c>
      <c r="AS215" s="32">
        <v>1712</v>
      </c>
      <c r="AT215" s="32">
        <v>5392</v>
      </c>
      <c r="AU215" s="32">
        <v>4629</v>
      </c>
      <c r="AV215" s="32">
        <v>0</v>
      </c>
      <c r="AW215" s="32">
        <v>3285</v>
      </c>
      <c r="AX215" s="32">
        <v>0</v>
      </c>
      <c r="AY215" s="32">
        <v>606</v>
      </c>
      <c r="AZ215" s="32">
        <v>0</v>
      </c>
      <c r="BA215" s="32">
        <v>90</v>
      </c>
      <c r="BB215" s="32">
        <v>0</v>
      </c>
      <c r="BC215" s="32">
        <v>6419</v>
      </c>
      <c r="BD215" s="34">
        <f>IFERROR(SUM(Entity_Metrics[[#This Row],[Operating surplus/(deficit) (social housing lettings)]])/SUM(Entity_Metrics[[#This Row],[Turnover from social housing lettings]]),"")</f>
        <v>0.42092608601685755</v>
      </c>
      <c r="BE215" s="32">
        <v>15581</v>
      </c>
      <c r="BF215" s="32">
        <v>37016</v>
      </c>
      <c r="BG215" s="34">
        <f>IFERROR(SUM(Entity_Metrics[[#This Row],[Operating surplus/(deficit) (overall)2]],-Entity_Metrics[[#This Row],[Gain/(loss) on disposal of fixed assets (housing properties)2]])/SUM(Entity_Metrics[[#This Row],[Turnover (overall)]]),"")</f>
        <v>0.4089446305766179</v>
      </c>
      <c r="BH215" s="32">
        <v>20117</v>
      </c>
      <c r="BI215" s="32">
        <v>1564</v>
      </c>
      <c r="BJ215" s="32">
        <v>45368</v>
      </c>
      <c r="BK215" s="34">
        <f>IFERROR(SUM(Entity_Metrics[[#This Row],[Operating surplus/(deficit) (overall)3]],Entity_Metrics[[#This Row],[Share of operating surplus/(deficit) in joint ventures or associates]])/SUM(Entity_Metrics[[#This Row],[Total assets less current liabilities]]),"")</f>
        <v>3.6782479274772455E-2</v>
      </c>
      <c r="BL215" s="32">
        <v>20117</v>
      </c>
      <c r="BM215" s="32">
        <v>0</v>
      </c>
      <c r="BN215" s="32">
        <v>546918</v>
      </c>
      <c r="BO215" s="34">
        <v>3.5719832272091941E-3</v>
      </c>
      <c r="BP215" s="34">
        <v>9.4424600093182168E-2</v>
      </c>
      <c r="BQ215" s="6" t="s">
        <v>93</v>
      </c>
      <c r="BR215" s="6">
        <v>1997</v>
      </c>
      <c r="BS215" s="6" t="s">
        <v>94</v>
      </c>
      <c r="BT215" s="6" t="s">
        <v>84</v>
      </c>
      <c r="BU215" s="8">
        <v>1.0101073075319889</v>
      </c>
      <c r="BV215" s="37" t="s">
        <v>804</v>
      </c>
      <c r="BW215" s="19" t="s">
        <v>432</v>
      </c>
    </row>
    <row r="216" spans="1:75" x14ac:dyDescent="0.25">
      <c r="A216" s="33" t="s">
        <v>433</v>
      </c>
      <c r="B216" s="7" t="s">
        <v>434</v>
      </c>
      <c r="C216" s="7" t="s">
        <v>81</v>
      </c>
      <c r="D21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2.9178287921046986E-2</v>
      </c>
      <c r="E216" s="32">
        <v>1619</v>
      </c>
      <c r="F216" s="32">
        <v>0</v>
      </c>
      <c r="G216" s="32">
        <v>462</v>
      </c>
      <c r="H216" s="32">
        <v>0</v>
      </c>
      <c r="I216" s="32">
        <v>95</v>
      </c>
      <c r="J216" s="32">
        <v>74576</v>
      </c>
      <c r="K216" s="32">
        <v>0</v>
      </c>
      <c r="L21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1.6155088852988692E-2</v>
      </c>
      <c r="M216" s="32">
        <v>20</v>
      </c>
      <c r="N216" s="32">
        <v>0</v>
      </c>
      <c r="O216" s="32">
        <v>1238</v>
      </c>
      <c r="P216" s="32">
        <v>0</v>
      </c>
      <c r="Q21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6" s="32">
        <v>0</v>
      </c>
      <c r="S216" s="32">
        <v>0</v>
      </c>
      <c r="T216" s="32">
        <v>0</v>
      </c>
      <c r="U216" s="32">
        <v>1238</v>
      </c>
      <c r="V216" s="32">
        <v>0</v>
      </c>
      <c r="W216" s="32">
        <v>0</v>
      </c>
      <c r="X216" s="32">
        <v>0</v>
      </c>
      <c r="Y21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0.29022741900879639</v>
      </c>
      <c r="Z216" s="32">
        <v>535</v>
      </c>
      <c r="AA216" s="32">
        <v>26411</v>
      </c>
      <c r="AB216" s="32">
        <v>5302</v>
      </c>
      <c r="AC216" s="32">
        <v>0</v>
      </c>
      <c r="AD216" s="32">
        <v>0</v>
      </c>
      <c r="AE216" s="32">
        <v>74576</v>
      </c>
      <c r="AF216" s="32">
        <v>0</v>
      </c>
      <c r="AG21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2.0929648241206031</v>
      </c>
      <c r="AH216" s="32">
        <v>2267</v>
      </c>
      <c r="AI216" s="32">
        <v>0</v>
      </c>
      <c r="AJ216" s="32">
        <v>349</v>
      </c>
      <c r="AK216" s="32">
        <v>0</v>
      </c>
      <c r="AL216" s="32">
        <v>12</v>
      </c>
      <c r="AM216" s="32">
        <v>462</v>
      </c>
      <c r="AN216" s="32">
        <v>1031</v>
      </c>
      <c r="AO216" s="32">
        <v>-1</v>
      </c>
      <c r="AP216" s="32">
        <v>-1193</v>
      </c>
      <c r="AQ21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3.3583860759493671</v>
      </c>
      <c r="AR216" s="32">
        <v>1599</v>
      </c>
      <c r="AS216" s="32">
        <v>246</v>
      </c>
      <c r="AT216" s="32">
        <v>488</v>
      </c>
      <c r="AU216" s="32">
        <v>1178</v>
      </c>
      <c r="AV216" s="32">
        <v>91</v>
      </c>
      <c r="AW216" s="32">
        <v>462</v>
      </c>
      <c r="AX216" s="32">
        <v>39</v>
      </c>
      <c r="AY216" s="32">
        <v>0</v>
      </c>
      <c r="AZ216" s="32">
        <v>0</v>
      </c>
      <c r="BA216" s="32">
        <v>78</v>
      </c>
      <c r="BB216" s="32">
        <v>64</v>
      </c>
      <c r="BC216" s="32">
        <v>1264</v>
      </c>
      <c r="BD216" s="34">
        <f>IFERROR(SUM(Entity_Metrics[[#This Row],[Operating surplus/(deficit) (social housing lettings)]])/SUM(Entity_Metrics[[#This Row],[Turnover from social housing lettings]]),"")</f>
        <v>0.32718763295986386</v>
      </c>
      <c r="BE216" s="32">
        <v>2307</v>
      </c>
      <c r="BF216" s="32">
        <v>7051</v>
      </c>
      <c r="BG216" s="34">
        <f>IFERROR(SUM(Entity_Metrics[[#This Row],[Operating surplus/(deficit) (overall)2]],-Entity_Metrics[[#This Row],[Gain/(loss) on disposal of fixed assets (housing properties)2]])/SUM(Entity_Metrics[[#This Row],[Turnover (overall)]]),"")</f>
        <v>0.31692995945757024</v>
      </c>
      <c r="BH216" s="32">
        <v>2267</v>
      </c>
      <c r="BI216" s="32">
        <v>0</v>
      </c>
      <c r="BJ216" s="32">
        <v>7153</v>
      </c>
      <c r="BK216" s="34">
        <f>IFERROR(SUM(Entity_Metrics[[#This Row],[Operating surplus/(deficit) (overall)3]],Entity_Metrics[[#This Row],[Share of operating surplus/(deficit) in joint ventures or associates]])/SUM(Entity_Metrics[[#This Row],[Total assets less current liabilities]]),"")</f>
        <v>2.8701652212445403E-2</v>
      </c>
      <c r="BL216" s="32">
        <v>2267</v>
      </c>
      <c r="BM216" s="32">
        <v>0</v>
      </c>
      <c r="BN216" s="32">
        <v>78985</v>
      </c>
      <c r="BO216" s="34">
        <v>0.11270983213429256</v>
      </c>
      <c r="BP216" s="34">
        <v>0</v>
      </c>
      <c r="BQ216" s="6" t="s">
        <v>82</v>
      </c>
      <c r="BR216" s="6" t="s">
        <v>83</v>
      </c>
      <c r="BS216" s="6" t="s">
        <v>83</v>
      </c>
      <c r="BT216" s="6" t="s">
        <v>115</v>
      </c>
      <c r="BU216" s="8">
        <v>0.96617455710897804</v>
      </c>
      <c r="BV216" s="37" t="s">
        <v>433</v>
      </c>
      <c r="BW216" s="19" t="s">
        <v>434</v>
      </c>
    </row>
    <row r="217" spans="1:75" x14ac:dyDescent="0.25">
      <c r="A217" s="33" t="s">
        <v>933</v>
      </c>
      <c r="B217" s="7" t="s">
        <v>436</v>
      </c>
      <c r="C217" s="7" t="s">
        <v>81</v>
      </c>
      <c r="D21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9.8113889725821024E-2</v>
      </c>
      <c r="E217" s="32">
        <v>2897</v>
      </c>
      <c r="F217" s="32">
        <v>461</v>
      </c>
      <c r="G217" s="32">
        <v>4742</v>
      </c>
      <c r="H217" s="32">
        <v>41</v>
      </c>
      <c r="I217" s="32">
        <v>0</v>
      </c>
      <c r="J217" s="32">
        <v>82975</v>
      </c>
      <c r="K217" s="32">
        <v>0</v>
      </c>
      <c r="L21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7.7569489334195219E-3</v>
      </c>
      <c r="M217" s="32">
        <v>24</v>
      </c>
      <c r="N217" s="32">
        <v>0</v>
      </c>
      <c r="O217" s="32">
        <v>3094</v>
      </c>
      <c r="P217" s="32">
        <v>0</v>
      </c>
      <c r="Q21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7" s="32">
        <v>0</v>
      </c>
      <c r="S217" s="32">
        <v>0</v>
      </c>
      <c r="T217" s="32">
        <v>0</v>
      </c>
      <c r="U217" s="32">
        <v>3094</v>
      </c>
      <c r="V217" s="32">
        <v>0</v>
      </c>
      <c r="W217" s="32">
        <v>0</v>
      </c>
      <c r="X217" s="32">
        <v>0</v>
      </c>
      <c r="Y21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0.27564929195540827</v>
      </c>
      <c r="Z217" s="32">
        <v>0</v>
      </c>
      <c r="AA217" s="32">
        <v>24510</v>
      </c>
      <c r="AB217" s="32">
        <v>1638</v>
      </c>
      <c r="AC217" s="32">
        <v>0</v>
      </c>
      <c r="AD217" s="32">
        <v>0</v>
      </c>
      <c r="AE217" s="32">
        <v>82975</v>
      </c>
      <c r="AF217" s="32">
        <v>0</v>
      </c>
      <c r="AG21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0.98680042238648358</v>
      </c>
      <c r="AH217" s="32">
        <v>7814</v>
      </c>
      <c r="AI217" s="32">
        <v>500</v>
      </c>
      <c r="AJ217" s="32">
        <v>274</v>
      </c>
      <c r="AK217" s="32">
        <v>0</v>
      </c>
      <c r="AL217" s="32">
        <v>6</v>
      </c>
      <c r="AM217" s="32">
        <v>4742</v>
      </c>
      <c r="AN217" s="32">
        <v>1434</v>
      </c>
      <c r="AO217" s="32">
        <v>-41</v>
      </c>
      <c r="AP217" s="32">
        <v>-3747</v>
      </c>
      <c r="AQ21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3.9557636422344205</v>
      </c>
      <c r="AR217" s="32">
        <v>3650</v>
      </c>
      <c r="AS217" s="32">
        <v>512</v>
      </c>
      <c r="AT217" s="32">
        <v>1480</v>
      </c>
      <c r="AU217" s="32">
        <v>1416</v>
      </c>
      <c r="AV217" s="32">
        <v>0</v>
      </c>
      <c r="AW217" s="32">
        <v>4742</v>
      </c>
      <c r="AX217" s="32">
        <v>0</v>
      </c>
      <c r="AY217" s="32">
        <v>0</v>
      </c>
      <c r="AZ217" s="32">
        <v>0</v>
      </c>
      <c r="BA217" s="32">
        <v>451</v>
      </c>
      <c r="BB217" s="32">
        <v>0</v>
      </c>
      <c r="BC217" s="32">
        <v>3097</v>
      </c>
      <c r="BD217" s="34">
        <f>IFERROR(SUM(Entity_Metrics[[#This Row],[Operating surplus/(deficit) (social housing lettings)]])/SUM(Entity_Metrics[[#This Row],[Turnover from social housing lettings]]),"")</f>
        <v>0.45028928642681387</v>
      </c>
      <c r="BE217" s="32">
        <v>6771</v>
      </c>
      <c r="BF217" s="32">
        <v>15037</v>
      </c>
      <c r="BG217" s="34">
        <f>IFERROR(SUM(Entity_Metrics[[#This Row],[Operating surplus/(deficit) (overall)2]],-Entity_Metrics[[#This Row],[Gain/(loss) on disposal of fixed assets (housing properties)2]])/SUM(Entity_Metrics[[#This Row],[Turnover (overall)]]),"")</f>
        <v>0.45536047814717967</v>
      </c>
      <c r="BH217" s="32">
        <v>7814</v>
      </c>
      <c r="BI217" s="32">
        <v>500</v>
      </c>
      <c r="BJ217" s="32">
        <v>16062</v>
      </c>
      <c r="BK217" s="34">
        <f>IFERROR(SUM(Entity_Metrics[[#This Row],[Operating surplus/(deficit) (overall)3]],Entity_Metrics[[#This Row],[Share of operating surplus/(deficit) in joint ventures or associates]])/SUM(Entity_Metrics[[#This Row],[Total assets less current liabilities]]),"")</f>
        <v>5.4669735746619E-2</v>
      </c>
      <c r="BL217" s="32">
        <v>7814</v>
      </c>
      <c r="BM217" s="32">
        <v>0</v>
      </c>
      <c r="BN217" s="32">
        <v>142931</v>
      </c>
      <c r="BO217" s="34">
        <v>0</v>
      </c>
      <c r="BP217" s="34">
        <v>0.13930187459599225</v>
      </c>
      <c r="BQ217" s="6" t="s">
        <v>93</v>
      </c>
      <c r="BR217" s="6">
        <v>2012</v>
      </c>
      <c r="BS217" s="6" t="s">
        <v>149</v>
      </c>
      <c r="BT217" s="6" t="s">
        <v>105</v>
      </c>
      <c r="BU217" s="8">
        <v>0.9156653862445665</v>
      </c>
      <c r="BV217" s="37">
        <v>4686</v>
      </c>
      <c r="BW217" s="19" t="s">
        <v>436</v>
      </c>
    </row>
    <row r="218" spans="1:75" x14ac:dyDescent="0.25">
      <c r="A218" s="33" t="s">
        <v>805</v>
      </c>
      <c r="B218" s="7" t="s">
        <v>438</v>
      </c>
      <c r="C218" s="7" t="s">
        <v>81</v>
      </c>
      <c r="D21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0.10460323337035665</v>
      </c>
      <c r="E218" s="32">
        <v>6027</v>
      </c>
      <c r="F218" s="32">
        <v>0</v>
      </c>
      <c r="G218" s="32">
        <v>2449</v>
      </c>
      <c r="H218" s="32">
        <v>0</v>
      </c>
      <c r="I218" s="32">
        <v>0</v>
      </c>
      <c r="J218" s="32">
        <v>81030</v>
      </c>
      <c r="K218" s="32">
        <v>0</v>
      </c>
      <c r="L21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1.11731843575419E-2</v>
      </c>
      <c r="M218" s="32">
        <v>42</v>
      </c>
      <c r="N218" s="32">
        <v>0</v>
      </c>
      <c r="O218" s="32">
        <v>3756</v>
      </c>
      <c r="P218" s="32">
        <v>3</v>
      </c>
      <c r="Q21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8" s="32">
        <v>0</v>
      </c>
      <c r="S218" s="32">
        <v>0</v>
      </c>
      <c r="T218" s="32">
        <v>0</v>
      </c>
      <c r="U218" s="32">
        <v>3756</v>
      </c>
      <c r="V218" s="32">
        <v>0</v>
      </c>
      <c r="W218" s="32">
        <v>3</v>
      </c>
      <c r="X218" s="32">
        <v>0</v>
      </c>
      <c r="Y21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0.22278168579538443</v>
      </c>
      <c r="Z218" s="32">
        <v>0</v>
      </c>
      <c r="AA218" s="32">
        <v>21551</v>
      </c>
      <c r="AB218" s="32">
        <v>3499</v>
      </c>
      <c r="AC218" s="32">
        <v>0</v>
      </c>
      <c r="AD218" s="32">
        <v>0</v>
      </c>
      <c r="AE218" s="32">
        <v>81030</v>
      </c>
      <c r="AF218" s="32">
        <v>0</v>
      </c>
      <c r="AG21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4.4489795918367347</v>
      </c>
      <c r="AH218" s="32">
        <v>4483</v>
      </c>
      <c r="AI218" s="32">
        <v>811</v>
      </c>
      <c r="AJ218" s="32">
        <v>705</v>
      </c>
      <c r="AK218" s="32">
        <v>0</v>
      </c>
      <c r="AL218" s="32">
        <v>187</v>
      </c>
      <c r="AM218" s="32">
        <v>2449</v>
      </c>
      <c r="AN218" s="32">
        <v>3437</v>
      </c>
      <c r="AO218" s="32">
        <v>0</v>
      </c>
      <c r="AP218" s="32">
        <v>-931</v>
      </c>
      <c r="AQ21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3.6251331203407879</v>
      </c>
      <c r="AR218" s="32">
        <v>5274</v>
      </c>
      <c r="AS218" s="32">
        <v>722</v>
      </c>
      <c r="AT218" s="32">
        <v>2686</v>
      </c>
      <c r="AU218" s="32">
        <v>1707</v>
      </c>
      <c r="AV218" s="32">
        <v>768</v>
      </c>
      <c r="AW218" s="32">
        <v>2449</v>
      </c>
      <c r="AX218" s="32">
        <v>10</v>
      </c>
      <c r="AY218" s="32">
        <v>0</v>
      </c>
      <c r="AZ218" s="32">
        <v>0</v>
      </c>
      <c r="BA218" s="32">
        <v>0</v>
      </c>
      <c r="BB218" s="32">
        <v>0</v>
      </c>
      <c r="BC218" s="32">
        <v>3756</v>
      </c>
      <c r="BD218" s="34">
        <f>IFERROR(SUM(Entity_Metrics[[#This Row],[Operating surplus/(deficit) (social housing lettings)]])/SUM(Entity_Metrics[[#This Row],[Turnover from social housing lettings]]),"")</f>
        <v>0.21171097700212038</v>
      </c>
      <c r="BE218" s="32">
        <v>3894</v>
      </c>
      <c r="BF218" s="32">
        <v>18393</v>
      </c>
      <c r="BG218" s="34">
        <f>IFERROR(SUM(Entity_Metrics[[#This Row],[Operating surplus/(deficit) (overall)2]],-Entity_Metrics[[#This Row],[Gain/(loss) on disposal of fixed assets (housing properties)2]])/SUM(Entity_Metrics[[#This Row],[Turnover (overall)]]),"")</f>
        <v>0.18930762489044697</v>
      </c>
      <c r="BH218" s="32">
        <v>4483</v>
      </c>
      <c r="BI218" s="32">
        <v>811</v>
      </c>
      <c r="BJ218" s="32">
        <v>19397</v>
      </c>
      <c r="BK218" s="34">
        <f>IFERROR(SUM(Entity_Metrics[[#This Row],[Operating surplus/(deficit) (overall)3]],Entity_Metrics[[#This Row],[Share of operating surplus/(deficit) in joint ventures or associates]])/SUM(Entity_Metrics[[#This Row],[Total assets less current liabilities]]),"")</f>
        <v>5.2389856258034356E-2</v>
      </c>
      <c r="BL218" s="32">
        <v>4483</v>
      </c>
      <c r="BM218" s="32">
        <v>0</v>
      </c>
      <c r="BN218" s="32">
        <v>85570</v>
      </c>
      <c r="BO218" s="34">
        <v>7.9872204472843447E-4</v>
      </c>
      <c r="BP218" s="34">
        <v>3.1416400425985092E-2</v>
      </c>
      <c r="BQ218" s="6" t="s">
        <v>93</v>
      </c>
      <c r="BR218" s="6">
        <v>1999</v>
      </c>
      <c r="BS218" s="6" t="s">
        <v>94</v>
      </c>
      <c r="BT218" s="6" t="s">
        <v>105</v>
      </c>
      <c r="BU218" s="8">
        <v>0.9156653862445665</v>
      </c>
      <c r="BV218" s="37" t="s">
        <v>805</v>
      </c>
      <c r="BW218" s="19" t="s">
        <v>438</v>
      </c>
    </row>
    <row r="219" spans="1:75" x14ac:dyDescent="0.25">
      <c r="A219" s="33" t="s">
        <v>806</v>
      </c>
      <c r="B219" s="7" t="s">
        <v>807</v>
      </c>
      <c r="C219" s="7" t="s">
        <v>81</v>
      </c>
      <c r="D21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4.0984991228640112E-2</v>
      </c>
      <c r="E219" s="32">
        <v>1006</v>
      </c>
      <c r="F219" s="32">
        <v>0</v>
      </c>
      <c r="G219" s="32">
        <v>2148</v>
      </c>
      <c r="H219" s="32">
        <v>0</v>
      </c>
      <c r="I219" s="32">
        <v>0</v>
      </c>
      <c r="J219" s="32">
        <v>76955</v>
      </c>
      <c r="K219" s="32">
        <v>0</v>
      </c>
      <c r="L21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3.7581141100102495E-3</v>
      </c>
      <c r="M219" s="32">
        <v>11</v>
      </c>
      <c r="N219" s="32">
        <v>0</v>
      </c>
      <c r="O219" s="32">
        <v>2814</v>
      </c>
      <c r="P219" s="32">
        <v>113</v>
      </c>
      <c r="Q21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19" s="32">
        <v>0</v>
      </c>
      <c r="S219" s="32">
        <v>0</v>
      </c>
      <c r="T219" s="32">
        <v>0</v>
      </c>
      <c r="U219" s="32">
        <v>2814</v>
      </c>
      <c r="V219" s="32">
        <v>9</v>
      </c>
      <c r="W219" s="32">
        <v>113</v>
      </c>
      <c r="X219" s="32">
        <v>0</v>
      </c>
      <c r="Y21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0.44936651289714769</v>
      </c>
      <c r="Z219" s="32">
        <v>0</v>
      </c>
      <c r="AA219" s="32">
        <v>40064</v>
      </c>
      <c r="AB219" s="32">
        <v>5483</v>
      </c>
      <c r="AC219" s="32">
        <v>0</v>
      </c>
      <c r="AD219" s="32">
        <v>0</v>
      </c>
      <c r="AE219" s="32">
        <v>76955</v>
      </c>
      <c r="AF219" s="32">
        <v>0</v>
      </c>
      <c r="AG21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3.3018736988202635</v>
      </c>
      <c r="AH219" s="32">
        <v>5174</v>
      </c>
      <c r="AI219" s="32">
        <v>289</v>
      </c>
      <c r="AJ219" s="32">
        <v>9</v>
      </c>
      <c r="AK219" s="32">
        <v>0</v>
      </c>
      <c r="AL219" s="32">
        <v>5</v>
      </c>
      <c r="AM219" s="32">
        <v>2148</v>
      </c>
      <c r="AN219" s="32">
        <v>2025</v>
      </c>
      <c r="AO219" s="32">
        <v>-53</v>
      </c>
      <c r="AP219" s="32">
        <v>-1388</v>
      </c>
      <c r="AQ21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3.4963414634146344</v>
      </c>
      <c r="AR219" s="32">
        <v>1550</v>
      </c>
      <c r="AS219" s="32">
        <v>1123</v>
      </c>
      <c r="AT219" s="32">
        <v>2709</v>
      </c>
      <c r="AU219" s="32">
        <v>1084</v>
      </c>
      <c r="AV219" s="32">
        <v>1834</v>
      </c>
      <c r="AW219" s="32">
        <v>2148</v>
      </c>
      <c r="AX219" s="32">
        <v>503</v>
      </c>
      <c r="AY219" s="32">
        <v>0</v>
      </c>
      <c r="AZ219" s="32">
        <v>367</v>
      </c>
      <c r="BA219" s="32">
        <v>150</v>
      </c>
      <c r="BB219" s="32">
        <v>0</v>
      </c>
      <c r="BC219" s="32">
        <v>3280</v>
      </c>
      <c r="BD219" s="34">
        <f>IFERROR(SUM(Entity_Metrics[[#This Row],[Operating surplus/(deficit) (social housing lettings)]])/SUM(Entity_Metrics[[#This Row],[Turnover from social housing lettings]]),"")</f>
        <v>0.27703764432602307</v>
      </c>
      <c r="BE219" s="32">
        <v>4055</v>
      </c>
      <c r="BF219" s="32">
        <v>14637</v>
      </c>
      <c r="BG219" s="34">
        <f>IFERROR(SUM(Entity_Metrics[[#This Row],[Operating surplus/(deficit) (overall)2]],-Entity_Metrics[[#This Row],[Gain/(loss) on disposal of fixed assets (housing properties)2]])/SUM(Entity_Metrics[[#This Row],[Turnover (overall)]]),"")</f>
        <v>0.29654586292721424</v>
      </c>
      <c r="BH219" s="32">
        <v>5174</v>
      </c>
      <c r="BI219" s="32">
        <v>289</v>
      </c>
      <c r="BJ219" s="32">
        <v>16473</v>
      </c>
      <c r="BK219" s="34">
        <f>IFERROR(SUM(Entity_Metrics[[#This Row],[Operating surplus/(deficit) (overall)3]],Entity_Metrics[[#This Row],[Share of operating surplus/(deficit) in joint ventures or associates]])/SUM(Entity_Metrics[[#This Row],[Total assets less current liabilities]]),"")</f>
        <v>5.3051431383807725E-2</v>
      </c>
      <c r="BL219" s="32">
        <v>5174</v>
      </c>
      <c r="BM219" s="32">
        <v>0</v>
      </c>
      <c r="BN219" s="32">
        <v>97528</v>
      </c>
      <c r="BO219" s="34">
        <v>0</v>
      </c>
      <c r="BP219" s="34">
        <v>0.28073916133617627</v>
      </c>
      <c r="BQ219" s="6" t="s">
        <v>93</v>
      </c>
      <c r="BR219" s="6">
        <v>2008</v>
      </c>
      <c r="BS219" s="6" t="s">
        <v>120</v>
      </c>
      <c r="BT219" s="6" t="s">
        <v>95</v>
      </c>
      <c r="BU219" s="8">
        <v>0.92038375847935383</v>
      </c>
      <c r="BV219" s="37" t="s">
        <v>582</v>
      </c>
      <c r="BW219" s="19" t="s">
        <v>583</v>
      </c>
    </row>
    <row r="220" spans="1:75" x14ac:dyDescent="0.25">
      <c r="A220" s="33" t="s">
        <v>808</v>
      </c>
      <c r="B220" s="7" t="s">
        <v>809</v>
      </c>
      <c r="C220" s="7" t="s">
        <v>81</v>
      </c>
      <c r="D22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8.7543939563225703E-2</v>
      </c>
      <c r="E220" s="32">
        <v>7792</v>
      </c>
      <c r="F220" s="32">
        <v>0</v>
      </c>
      <c r="G220" s="32">
        <v>2267</v>
      </c>
      <c r="H220" s="32">
        <v>127</v>
      </c>
      <c r="I220" s="32">
        <v>0</v>
      </c>
      <c r="J220" s="32">
        <v>116353</v>
      </c>
      <c r="K220" s="32">
        <v>0</v>
      </c>
      <c r="L22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2.3305084745762712E-2</v>
      </c>
      <c r="M220" s="32">
        <v>55</v>
      </c>
      <c r="N220" s="32">
        <v>0</v>
      </c>
      <c r="O220" s="32">
        <v>2360</v>
      </c>
      <c r="P220" s="32">
        <v>0</v>
      </c>
      <c r="Q22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0" s="32">
        <v>0</v>
      </c>
      <c r="S220" s="32">
        <v>0</v>
      </c>
      <c r="T220" s="32">
        <v>0</v>
      </c>
      <c r="U220" s="32">
        <v>2360</v>
      </c>
      <c r="V220" s="32">
        <v>7</v>
      </c>
      <c r="W220" s="32">
        <v>0</v>
      </c>
      <c r="X220" s="32">
        <v>13</v>
      </c>
      <c r="Y22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0.67976760375753098</v>
      </c>
      <c r="Z220" s="32">
        <v>0</v>
      </c>
      <c r="AA220" s="32">
        <v>80012</v>
      </c>
      <c r="AB220" s="32">
        <v>919</v>
      </c>
      <c r="AC220" s="32">
        <v>0</v>
      </c>
      <c r="AD220" s="32">
        <v>0</v>
      </c>
      <c r="AE220" s="32">
        <v>116353</v>
      </c>
      <c r="AF220" s="32">
        <v>0</v>
      </c>
      <c r="AG22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0.7416743755781684</v>
      </c>
      <c r="AH220" s="32">
        <v>4297</v>
      </c>
      <c r="AI220" s="32">
        <v>1103</v>
      </c>
      <c r="AJ220" s="32">
        <v>420</v>
      </c>
      <c r="AK220" s="32">
        <v>0</v>
      </c>
      <c r="AL220" s="32">
        <v>1</v>
      </c>
      <c r="AM220" s="32">
        <v>2267</v>
      </c>
      <c r="AN220" s="32">
        <v>2699</v>
      </c>
      <c r="AO220" s="32">
        <v>-127</v>
      </c>
      <c r="AP220" s="32">
        <v>-4197</v>
      </c>
      <c r="AQ22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4.009745762711864</v>
      </c>
      <c r="AR220" s="32">
        <v>2071</v>
      </c>
      <c r="AS220" s="32">
        <v>470</v>
      </c>
      <c r="AT220" s="32">
        <v>2332</v>
      </c>
      <c r="AU220" s="32">
        <v>0</v>
      </c>
      <c r="AV220" s="32">
        <v>981</v>
      </c>
      <c r="AW220" s="32">
        <v>2267</v>
      </c>
      <c r="AX220" s="32">
        <v>-148</v>
      </c>
      <c r="AY220" s="32">
        <v>319</v>
      </c>
      <c r="AZ220" s="32">
        <v>0</v>
      </c>
      <c r="BA220" s="32">
        <v>0</v>
      </c>
      <c r="BB220" s="32">
        <v>1171</v>
      </c>
      <c r="BC220" s="32">
        <v>2360</v>
      </c>
      <c r="BD220" s="34">
        <f>IFERROR(SUM(Entity_Metrics[[#This Row],[Operating surplus/(deficit) (social housing lettings)]])/SUM(Entity_Metrics[[#This Row],[Turnover from social housing lettings]]),"")</f>
        <v>0.28561690524880706</v>
      </c>
      <c r="BE220" s="32">
        <v>3352</v>
      </c>
      <c r="BF220" s="32">
        <v>11736</v>
      </c>
      <c r="BG220" s="34">
        <f>IFERROR(SUM(Entity_Metrics[[#This Row],[Operating surplus/(deficit) (overall)2]],-Entity_Metrics[[#This Row],[Gain/(loss) on disposal of fixed assets (housing properties)2]])/SUM(Entity_Metrics[[#This Row],[Turnover (overall)]]),"")</f>
        <v>0.22569248162803843</v>
      </c>
      <c r="BH220" s="32">
        <v>4297</v>
      </c>
      <c r="BI220" s="32">
        <v>1103</v>
      </c>
      <c r="BJ220" s="32">
        <v>14152</v>
      </c>
      <c r="BK220" s="34">
        <f>IFERROR(SUM(Entity_Metrics[[#This Row],[Operating surplus/(deficit) (overall)3]],Entity_Metrics[[#This Row],[Share of operating surplus/(deficit) in joint ventures or associates]])/SUM(Entity_Metrics[[#This Row],[Total assets less current liabilities]]),"")</f>
        <v>3.6093168588779784E-2</v>
      </c>
      <c r="BL220" s="32">
        <v>4297</v>
      </c>
      <c r="BM220" s="32">
        <v>0</v>
      </c>
      <c r="BN220" s="32">
        <v>119053</v>
      </c>
      <c r="BO220" s="34">
        <v>1.2711864406779662E-2</v>
      </c>
      <c r="BP220" s="34">
        <v>0.12118644067796611</v>
      </c>
      <c r="BQ220" s="6" t="s">
        <v>93</v>
      </c>
      <c r="BR220" s="6">
        <v>1994</v>
      </c>
      <c r="BS220" s="6" t="s">
        <v>94</v>
      </c>
      <c r="BT220" s="6" t="s">
        <v>90</v>
      </c>
      <c r="BU220" s="8">
        <v>0.91571558169387279</v>
      </c>
      <c r="BV220" s="37" t="s">
        <v>686</v>
      </c>
      <c r="BW220" s="19" t="s">
        <v>180</v>
      </c>
    </row>
    <row r="221" spans="1:75" x14ac:dyDescent="0.25">
      <c r="A221" s="33" t="s">
        <v>810</v>
      </c>
      <c r="B221" s="7" t="s">
        <v>811</v>
      </c>
      <c r="C221" s="7" t="s">
        <v>81</v>
      </c>
      <c r="D22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6.7805692380618704E-2</v>
      </c>
      <c r="E221" s="32">
        <v>0</v>
      </c>
      <c r="F221" s="32">
        <v>9919</v>
      </c>
      <c r="G221" s="32">
        <v>4450</v>
      </c>
      <c r="H221" s="32">
        <v>114</v>
      </c>
      <c r="I221" s="32">
        <v>-1323</v>
      </c>
      <c r="J221" s="32">
        <v>194084</v>
      </c>
      <c r="K221" s="32">
        <v>0</v>
      </c>
      <c r="L22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1.7796610169491526E-2</v>
      </c>
      <c r="M221" s="32">
        <v>105</v>
      </c>
      <c r="N221" s="32">
        <v>0</v>
      </c>
      <c r="O221" s="32">
        <v>5900</v>
      </c>
      <c r="P221" s="32">
        <v>0</v>
      </c>
      <c r="Q22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1" s="32">
        <v>0</v>
      </c>
      <c r="S221" s="32">
        <v>0</v>
      </c>
      <c r="T221" s="32">
        <v>0</v>
      </c>
      <c r="U221" s="32">
        <v>5900</v>
      </c>
      <c r="V221" s="32">
        <v>0</v>
      </c>
      <c r="W221" s="32">
        <v>0</v>
      </c>
      <c r="X221" s="32">
        <v>0</v>
      </c>
      <c r="Y22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0.65504111621772021</v>
      </c>
      <c r="Z221" s="32">
        <v>1300</v>
      </c>
      <c r="AA221" s="32">
        <v>129560</v>
      </c>
      <c r="AB221" s="32">
        <v>3727</v>
      </c>
      <c r="AC221" s="32">
        <v>0</v>
      </c>
      <c r="AD221" s="32">
        <v>0</v>
      </c>
      <c r="AE221" s="32">
        <v>194084</v>
      </c>
      <c r="AF221" s="32">
        <v>0</v>
      </c>
      <c r="AG22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1.2906976744186047</v>
      </c>
      <c r="AH221" s="32">
        <v>10370</v>
      </c>
      <c r="AI221" s="32">
        <v>300</v>
      </c>
      <c r="AJ221" s="32">
        <v>498</v>
      </c>
      <c r="AK221" s="32">
        <v>0</v>
      </c>
      <c r="AL221" s="32">
        <v>29</v>
      </c>
      <c r="AM221" s="32">
        <v>4450</v>
      </c>
      <c r="AN221" s="32">
        <v>4284</v>
      </c>
      <c r="AO221" s="32">
        <v>-114</v>
      </c>
      <c r="AP221" s="32">
        <v>-7196</v>
      </c>
      <c r="AQ22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3.3796610169491523</v>
      </c>
      <c r="AR221" s="32">
        <v>2797</v>
      </c>
      <c r="AS221" s="32">
        <v>2345</v>
      </c>
      <c r="AT221" s="32">
        <v>1792</v>
      </c>
      <c r="AU221" s="32">
        <v>5128</v>
      </c>
      <c r="AV221" s="32">
        <v>0</v>
      </c>
      <c r="AW221" s="32">
        <v>4450</v>
      </c>
      <c r="AX221" s="32">
        <v>0</v>
      </c>
      <c r="AY221" s="32">
        <v>0</v>
      </c>
      <c r="AZ221" s="32">
        <v>0</v>
      </c>
      <c r="BA221" s="32">
        <v>52</v>
      </c>
      <c r="BB221" s="32">
        <v>3376</v>
      </c>
      <c r="BC221" s="32">
        <v>5900</v>
      </c>
      <c r="BD221" s="34">
        <f>IFERROR(SUM(Entity_Metrics[[#This Row],[Operating surplus/(deficit) (social housing lettings)]])/SUM(Entity_Metrics[[#This Row],[Turnover from social housing lettings]]),"")</f>
        <v>0.43577068314452455</v>
      </c>
      <c r="BE221" s="32">
        <v>12694</v>
      </c>
      <c r="BF221" s="32">
        <v>29130</v>
      </c>
      <c r="BG221" s="34">
        <f>IFERROR(SUM(Entity_Metrics[[#This Row],[Operating surplus/(deficit) (overall)2]],-Entity_Metrics[[#This Row],[Gain/(loss) on disposal of fixed assets (housing properties)2]])/SUM(Entity_Metrics[[#This Row],[Turnover (overall)]]),"")</f>
        <v>0.33152263374485597</v>
      </c>
      <c r="BH221" s="32">
        <v>10370</v>
      </c>
      <c r="BI221" s="32">
        <v>300</v>
      </c>
      <c r="BJ221" s="32">
        <v>30375</v>
      </c>
      <c r="BK221" s="34">
        <f>IFERROR(SUM(Entity_Metrics[[#This Row],[Operating surplus/(deficit) (overall)3]],Entity_Metrics[[#This Row],[Share of operating surplus/(deficit) in joint ventures or associates]])/SUM(Entity_Metrics[[#This Row],[Total assets less current liabilities]]),"")</f>
        <v>5.229212995880167E-2</v>
      </c>
      <c r="BL221" s="32">
        <v>10370</v>
      </c>
      <c r="BM221" s="32">
        <v>0</v>
      </c>
      <c r="BN221" s="32">
        <v>198309</v>
      </c>
      <c r="BO221" s="34">
        <v>3.4406779661016948E-2</v>
      </c>
      <c r="BP221" s="34">
        <v>9.3389830508474575E-2</v>
      </c>
      <c r="BQ221" s="6" t="s">
        <v>93</v>
      </c>
      <c r="BR221" s="6">
        <v>1997</v>
      </c>
      <c r="BS221" s="6" t="s">
        <v>94</v>
      </c>
      <c r="BT221" s="6" t="s">
        <v>90</v>
      </c>
      <c r="BU221" s="8">
        <v>0.91571558169387279</v>
      </c>
      <c r="BV221" s="37" t="s">
        <v>800</v>
      </c>
      <c r="BW221" s="19" t="s">
        <v>476</v>
      </c>
    </row>
    <row r="222" spans="1:75" x14ac:dyDescent="0.25">
      <c r="A222" s="33" t="s">
        <v>812</v>
      </c>
      <c r="B222" s="7" t="s">
        <v>440</v>
      </c>
      <c r="C222" s="7" t="s">
        <v>81</v>
      </c>
      <c r="D22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3.7928991448425133E-2</v>
      </c>
      <c r="E222" s="32">
        <v>11075</v>
      </c>
      <c r="F222" s="32">
        <v>0</v>
      </c>
      <c r="G222" s="32">
        <v>0</v>
      </c>
      <c r="H222" s="32">
        <v>0</v>
      </c>
      <c r="I222" s="32">
        <v>0</v>
      </c>
      <c r="J222" s="32">
        <v>291993</v>
      </c>
      <c r="K222" s="32">
        <v>0</v>
      </c>
      <c r="L22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1.1240095817210244E-2</v>
      </c>
      <c r="M222" s="32">
        <v>61</v>
      </c>
      <c r="N222" s="32">
        <v>0</v>
      </c>
      <c r="O222" s="32">
        <v>5427</v>
      </c>
      <c r="P222" s="32">
        <v>0</v>
      </c>
      <c r="Q22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2" s="32">
        <v>0</v>
      </c>
      <c r="S222" s="32">
        <v>0</v>
      </c>
      <c r="T222" s="32">
        <v>0</v>
      </c>
      <c r="U222" s="32">
        <v>5427</v>
      </c>
      <c r="V222" s="32">
        <v>40</v>
      </c>
      <c r="W222" s="32">
        <v>0</v>
      </c>
      <c r="X222" s="32">
        <v>0</v>
      </c>
      <c r="Y22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0.37540968447873752</v>
      </c>
      <c r="Z222" s="32">
        <v>4987</v>
      </c>
      <c r="AA222" s="32">
        <v>110037</v>
      </c>
      <c r="AB222" s="32">
        <v>5407</v>
      </c>
      <c r="AC222" s="32">
        <v>0</v>
      </c>
      <c r="AD222" s="32">
        <v>0</v>
      </c>
      <c r="AE222" s="32">
        <v>291993</v>
      </c>
      <c r="AF222" s="32">
        <v>0</v>
      </c>
      <c r="AG22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1.8112989117851355</v>
      </c>
      <c r="AH222" s="32">
        <v>7327</v>
      </c>
      <c r="AI222" s="32">
        <v>0</v>
      </c>
      <c r="AJ222" s="32">
        <v>1545</v>
      </c>
      <c r="AK222" s="32">
        <v>0</v>
      </c>
      <c r="AL222" s="32">
        <v>40</v>
      </c>
      <c r="AM222" s="32">
        <v>3917</v>
      </c>
      <c r="AN222" s="32">
        <v>5918</v>
      </c>
      <c r="AO222" s="32">
        <v>-103</v>
      </c>
      <c r="AP222" s="32">
        <v>-4216</v>
      </c>
      <c r="AQ22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5.2832135618205269</v>
      </c>
      <c r="AR222" s="32">
        <v>4804</v>
      </c>
      <c r="AS222" s="32">
        <v>2296</v>
      </c>
      <c r="AT222" s="32">
        <v>5302</v>
      </c>
      <c r="AU222" s="32">
        <v>1032</v>
      </c>
      <c r="AV222" s="32">
        <v>0</v>
      </c>
      <c r="AW222" s="32">
        <v>3917</v>
      </c>
      <c r="AX222" s="32">
        <v>5810</v>
      </c>
      <c r="AY222" s="32">
        <v>105</v>
      </c>
      <c r="AZ222" s="32">
        <v>0</v>
      </c>
      <c r="BA222" s="32">
        <v>2221</v>
      </c>
      <c r="BB222" s="32">
        <v>3185</v>
      </c>
      <c r="BC222" s="32">
        <v>5427</v>
      </c>
      <c r="BD222" s="34">
        <f>IFERROR(SUM(Entity_Metrics[[#This Row],[Operating surplus/(deficit) (social housing lettings)]])/SUM(Entity_Metrics[[#This Row],[Turnover from social housing lettings]]),"")</f>
        <v>0.2119481519507187</v>
      </c>
      <c r="BE222" s="32">
        <v>6606</v>
      </c>
      <c r="BF222" s="32">
        <v>31168</v>
      </c>
      <c r="BG222" s="34">
        <f>IFERROR(SUM(Entity_Metrics[[#This Row],[Operating surplus/(deficit) (overall)2]],-Entity_Metrics[[#This Row],[Gain/(loss) on disposal of fixed assets (housing properties)2]])/SUM(Entity_Metrics[[#This Row],[Turnover (overall)]]),"")</f>
        <v>0.16598704181958227</v>
      </c>
      <c r="BH222" s="32">
        <v>7327</v>
      </c>
      <c r="BI222" s="32">
        <v>0</v>
      </c>
      <c r="BJ222" s="32">
        <v>44142</v>
      </c>
      <c r="BK222" s="34">
        <f>IFERROR(SUM(Entity_Metrics[[#This Row],[Operating surplus/(deficit) (overall)3]],Entity_Metrics[[#This Row],[Share of operating surplus/(deficit) in joint ventures or associates]])/SUM(Entity_Metrics[[#This Row],[Total assets less current liabilities]]),"")</f>
        <v>2.498951238561679E-2</v>
      </c>
      <c r="BL222" s="32">
        <v>7327</v>
      </c>
      <c r="BM222" s="32">
        <v>0</v>
      </c>
      <c r="BN222" s="32">
        <v>293203</v>
      </c>
      <c r="BO222" s="34">
        <v>0.19419134396355353</v>
      </c>
      <c r="BP222" s="34">
        <v>5.9794988610478363E-2</v>
      </c>
      <c r="BQ222" s="6" t="s">
        <v>82</v>
      </c>
      <c r="BR222" s="6" t="s">
        <v>83</v>
      </c>
      <c r="BS222" s="6" t="s">
        <v>83</v>
      </c>
      <c r="BT222" s="6" t="s">
        <v>108</v>
      </c>
      <c r="BU222" s="8">
        <v>0.94520048505334486</v>
      </c>
      <c r="BV222" s="37" t="s">
        <v>812</v>
      </c>
      <c r="BW222" s="19" t="s">
        <v>440</v>
      </c>
    </row>
    <row r="223" spans="1:75" x14ac:dyDescent="0.25">
      <c r="A223" s="33" t="s">
        <v>813</v>
      </c>
      <c r="B223" s="7" t="s">
        <v>814</v>
      </c>
      <c r="C223" s="7" t="s">
        <v>815</v>
      </c>
      <c r="D22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0.14460237829803047</v>
      </c>
      <c r="E223" s="32">
        <v>15565</v>
      </c>
      <c r="F223" s="32">
        <v>0</v>
      </c>
      <c r="G223" s="32">
        <v>0</v>
      </c>
      <c r="H223" s="32">
        <v>0</v>
      </c>
      <c r="I223" s="32">
        <v>0</v>
      </c>
      <c r="J223" s="32">
        <v>107640</v>
      </c>
      <c r="K223" s="32">
        <v>0</v>
      </c>
      <c r="L22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23" s="32">
        <v>0</v>
      </c>
      <c r="N223" s="32">
        <v>0</v>
      </c>
      <c r="O223" s="32">
        <v>1395</v>
      </c>
      <c r="P223" s="32">
        <v>880</v>
      </c>
      <c r="Q22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3" s="32">
        <v>0</v>
      </c>
      <c r="S223" s="32">
        <v>0</v>
      </c>
      <c r="T223" s="32">
        <v>0</v>
      </c>
      <c r="U223" s="32">
        <v>1395</v>
      </c>
      <c r="V223" s="32">
        <v>0</v>
      </c>
      <c r="W223" s="32">
        <v>880</v>
      </c>
      <c r="X223" s="32">
        <v>170</v>
      </c>
      <c r="Y22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0.39437941285767375</v>
      </c>
      <c r="Z223" s="32">
        <v>30527</v>
      </c>
      <c r="AA223" s="32">
        <v>22885</v>
      </c>
      <c r="AB223" s="32">
        <v>10961</v>
      </c>
      <c r="AC223" s="32">
        <v>0</v>
      </c>
      <c r="AD223" s="32">
        <v>0</v>
      </c>
      <c r="AE223" s="32">
        <v>107640</v>
      </c>
      <c r="AF223" s="32">
        <v>0</v>
      </c>
      <c r="AG22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11.717724288840262</v>
      </c>
      <c r="AH223" s="32">
        <v>6167</v>
      </c>
      <c r="AI223" s="32">
        <v>0</v>
      </c>
      <c r="AJ223" s="32">
        <v>990</v>
      </c>
      <c r="AK223" s="32">
        <v>0</v>
      </c>
      <c r="AL223" s="32">
        <v>88</v>
      </c>
      <c r="AM223" s="32">
        <v>0</v>
      </c>
      <c r="AN223" s="32">
        <v>90</v>
      </c>
      <c r="AO223" s="32">
        <v>-158</v>
      </c>
      <c r="AP223" s="32">
        <v>-299</v>
      </c>
      <c r="AQ22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1.7197132616487456</v>
      </c>
      <c r="AR223" s="32">
        <v>1467</v>
      </c>
      <c r="AS223" s="32">
        <v>251</v>
      </c>
      <c r="AT223" s="32">
        <v>337</v>
      </c>
      <c r="AU223" s="32">
        <v>256</v>
      </c>
      <c r="AV223" s="32">
        <v>0</v>
      </c>
      <c r="AW223" s="32">
        <v>0</v>
      </c>
      <c r="AX223" s="32">
        <v>88</v>
      </c>
      <c r="AY223" s="32">
        <v>0</v>
      </c>
      <c r="AZ223" s="32">
        <v>0</v>
      </c>
      <c r="BA223" s="32">
        <v>0</v>
      </c>
      <c r="BB223" s="32">
        <v>0</v>
      </c>
      <c r="BC223" s="32">
        <v>1395</v>
      </c>
      <c r="BD223" s="34">
        <f>IFERROR(SUM(Entity_Metrics[[#This Row],[Operating surplus/(deficit) (social housing lettings)]])/SUM(Entity_Metrics[[#This Row],[Turnover from social housing lettings]]),"")</f>
        <v>0.69303248202330769</v>
      </c>
      <c r="BE223" s="32">
        <v>5590</v>
      </c>
      <c r="BF223" s="32">
        <v>8066</v>
      </c>
      <c r="BG223" s="34">
        <f>IFERROR(SUM(Entity_Metrics[[#This Row],[Operating surplus/(deficit) (overall)2]],-Entity_Metrics[[#This Row],[Gain/(loss) on disposal of fixed assets (housing properties)2]])/SUM(Entity_Metrics[[#This Row],[Turnover (overall)]]),"")</f>
        <v>0.37452933317138348</v>
      </c>
      <c r="BH223" s="32">
        <v>6167</v>
      </c>
      <c r="BI223" s="32">
        <v>0</v>
      </c>
      <c r="BJ223" s="32">
        <v>16466</v>
      </c>
      <c r="BK223" s="34">
        <f>IFERROR(SUM(Entity_Metrics[[#This Row],[Operating surplus/(deficit) (overall)3]],Entity_Metrics[[#This Row],[Share of operating surplus/(deficit) in joint ventures or associates]])/SUM(Entity_Metrics[[#This Row],[Total assets less current liabilities]]),"")</f>
        <v>5.2417298473464116E-2</v>
      </c>
      <c r="BL223" s="32">
        <v>6167</v>
      </c>
      <c r="BM223" s="32">
        <v>0</v>
      </c>
      <c r="BN223" s="32">
        <v>117652</v>
      </c>
      <c r="BO223" s="34">
        <v>0</v>
      </c>
      <c r="BP223" s="34">
        <v>0</v>
      </c>
      <c r="BQ223" s="6" t="s">
        <v>82</v>
      </c>
      <c r="BR223" s="6" t="s">
        <v>83</v>
      </c>
      <c r="BS223" s="6" t="s">
        <v>83</v>
      </c>
      <c r="BT223" s="6" t="s">
        <v>156</v>
      </c>
      <c r="BU223" s="8">
        <v>1.179075415876945</v>
      </c>
      <c r="BV223" s="37" t="s">
        <v>816</v>
      </c>
      <c r="BW223" s="19" t="s">
        <v>442</v>
      </c>
    </row>
    <row r="224" spans="1:75" x14ac:dyDescent="0.25">
      <c r="A224" s="33" t="s">
        <v>816</v>
      </c>
      <c r="B224" s="7" t="s">
        <v>442</v>
      </c>
      <c r="C224" s="7" t="s">
        <v>81</v>
      </c>
      <c r="D22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6.4376570976340933E-2</v>
      </c>
      <c r="E224" s="32">
        <v>95738</v>
      </c>
      <c r="F224" s="32">
        <v>0</v>
      </c>
      <c r="G224" s="32">
        <v>15135</v>
      </c>
      <c r="H224" s="32">
        <v>0</v>
      </c>
      <c r="I224" s="32">
        <v>0</v>
      </c>
      <c r="J224" s="32">
        <v>1722257</v>
      </c>
      <c r="K224" s="32">
        <v>0</v>
      </c>
      <c r="L22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7.246085101243911E-3</v>
      </c>
      <c r="M224" s="32">
        <v>180</v>
      </c>
      <c r="N224" s="32">
        <v>0</v>
      </c>
      <c r="O224" s="32">
        <v>23411</v>
      </c>
      <c r="P224" s="32">
        <v>1430</v>
      </c>
      <c r="Q22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6.5779291131403805E-4</v>
      </c>
      <c r="R224" s="32">
        <v>17</v>
      </c>
      <c r="S224" s="32">
        <v>0</v>
      </c>
      <c r="T224" s="32">
        <v>0</v>
      </c>
      <c r="U224" s="32">
        <v>23411</v>
      </c>
      <c r="V224" s="32">
        <v>110</v>
      </c>
      <c r="W224" s="32">
        <v>1430</v>
      </c>
      <c r="X224" s="32">
        <v>893</v>
      </c>
      <c r="Y22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0.35139703307926751</v>
      </c>
      <c r="Z224" s="32">
        <v>29182</v>
      </c>
      <c r="AA224" s="32">
        <v>636935</v>
      </c>
      <c r="AB224" s="32">
        <v>60921</v>
      </c>
      <c r="AC224" s="32">
        <v>0</v>
      </c>
      <c r="AD224" s="32">
        <v>0</v>
      </c>
      <c r="AE224" s="32">
        <v>1722257</v>
      </c>
      <c r="AF224" s="32">
        <v>0</v>
      </c>
      <c r="AG22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1.3218417399352151</v>
      </c>
      <c r="AH224" s="32">
        <v>55837</v>
      </c>
      <c r="AI224" s="32">
        <v>6540</v>
      </c>
      <c r="AJ224" s="32">
        <v>8686</v>
      </c>
      <c r="AK224" s="32">
        <v>0</v>
      </c>
      <c r="AL224" s="32">
        <v>1271</v>
      </c>
      <c r="AM224" s="32">
        <v>19959</v>
      </c>
      <c r="AN224" s="32">
        <v>23781</v>
      </c>
      <c r="AO224" s="32">
        <v>-3816</v>
      </c>
      <c r="AP224" s="32">
        <v>-30760</v>
      </c>
      <c r="AQ22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4.7572565731285676</v>
      </c>
      <c r="AR224" s="32">
        <v>46234</v>
      </c>
      <c r="AS224" s="32">
        <v>16217</v>
      </c>
      <c r="AT224" s="32">
        <v>24376</v>
      </c>
      <c r="AU224" s="32">
        <v>6787</v>
      </c>
      <c r="AV224" s="32">
        <v>0</v>
      </c>
      <c r="AW224" s="32">
        <v>19959</v>
      </c>
      <c r="AX224" s="32">
        <v>0</v>
      </c>
      <c r="AY224" s="32">
        <v>0</v>
      </c>
      <c r="AZ224" s="32">
        <v>0</v>
      </c>
      <c r="BA224" s="32">
        <v>0</v>
      </c>
      <c r="BB224" s="32">
        <v>4759</v>
      </c>
      <c r="BC224" s="32">
        <v>24874</v>
      </c>
      <c r="BD224" s="34">
        <f>IFERROR(SUM(Entity_Metrics[[#This Row],[Operating surplus/(deficit) (social housing lettings)]])/SUM(Entity_Metrics[[#This Row],[Turnover from social housing lettings]]),"")</f>
        <v>0.21400513521624595</v>
      </c>
      <c r="BE224" s="32">
        <v>32089</v>
      </c>
      <c r="BF224" s="32">
        <v>149945</v>
      </c>
      <c r="BG224" s="34">
        <f>IFERROR(SUM(Entity_Metrics[[#This Row],[Operating surplus/(deficit) (overall)2]],-Entity_Metrics[[#This Row],[Gain/(loss) on disposal of fixed assets (housing properties)2]])/SUM(Entity_Metrics[[#This Row],[Turnover (overall)]]),"")</f>
        <v>0.22849872301766452</v>
      </c>
      <c r="BH224" s="32">
        <v>55837</v>
      </c>
      <c r="BI224" s="32">
        <v>6540</v>
      </c>
      <c r="BJ224" s="32">
        <v>215743</v>
      </c>
      <c r="BK224" s="34">
        <f>IFERROR(SUM(Entity_Metrics[[#This Row],[Operating surplus/(deficit) (overall)3]],Entity_Metrics[[#This Row],[Share of operating surplus/(deficit) in joint ventures or associates]])/SUM(Entity_Metrics[[#This Row],[Total assets less current liabilities]]),"")</f>
        <v>2.8899732621704741E-2</v>
      </c>
      <c r="BL224" s="32">
        <v>55837</v>
      </c>
      <c r="BM224" s="32">
        <v>0</v>
      </c>
      <c r="BN224" s="32">
        <v>1932094</v>
      </c>
      <c r="BO224" s="34">
        <v>3.5479404638283142E-3</v>
      </c>
      <c r="BP224" s="34">
        <v>0</v>
      </c>
      <c r="BQ224" s="6" t="s">
        <v>82</v>
      </c>
      <c r="BR224" s="6" t="s">
        <v>83</v>
      </c>
      <c r="BS224" s="6" t="s">
        <v>83</v>
      </c>
      <c r="BT224" s="6" t="s">
        <v>84</v>
      </c>
      <c r="BU224" s="8">
        <v>1.0980286380271553</v>
      </c>
      <c r="BV224" s="37" t="s">
        <v>816</v>
      </c>
      <c r="BW224" s="19" t="s">
        <v>442</v>
      </c>
    </row>
    <row r="225" spans="1:75" x14ac:dyDescent="0.25">
      <c r="A225" s="33" t="s">
        <v>817</v>
      </c>
      <c r="B225" s="7" t="s">
        <v>444</v>
      </c>
      <c r="C225" s="7" t="s">
        <v>81</v>
      </c>
      <c r="D22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7.497182003268002E-3</v>
      </c>
      <c r="E225" s="32">
        <v>0</v>
      </c>
      <c r="F225" s="32">
        <v>0</v>
      </c>
      <c r="G225" s="32">
        <v>858</v>
      </c>
      <c r="H225" s="32">
        <v>0</v>
      </c>
      <c r="I225" s="32">
        <v>0</v>
      </c>
      <c r="J225" s="32">
        <v>114443</v>
      </c>
      <c r="K225" s="32">
        <v>0</v>
      </c>
      <c r="L22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25" s="32">
        <v>0</v>
      </c>
      <c r="N225" s="32">
        <v>0</v>
      </c>
      <c r="O225" s="32">
        <v>5862</v>
      </c>
      <c r="P225" s="32">
        <v>0</v>
      </c>
      <c r="Q22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5" s="32">
        <v>0</v>
      </c>
      <c r="S225" s="32">
        <v>0</v>
      </c>
      <c r="T225" s="32">
        <v>0</v>
      </c>
      <c r="U225" s="32">
        <v>5862</v>
      </c>
      <c r="V225" s="32">
        <v>0</v>
      </c>
      <c r="W225" s="32">
        <v>0</v>
      </c>
      <c r="X225" s="32">
        <v>0</v>
      </c>
      <c r="Y22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0.38883985914385327</v>
      </c>
      <c r="Z225" s="32">
        <v>3095</v>
      </c>
      <c r="AA225" s="32">
        <v>52909</v>
      </c>
      <c r="AB225" s="32">
        <v>11504</v>
      </c>
      <c r="AC225" s="32">
        <v>0</v>
      </c>
      <c r="AD225" s="32">
        <v>0</v>
      </c>
      <c r="AE225" s="32">
        <v>114443</v>
      </c>
      <c r="AF225" s="32">
        <v>0</v>
      </c>
      <c r="AG22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3.6394647074258724</v>
      </c>
      <c r="AH225" s="32">
        <v>10362</v>
      </c>
      <c r="AI225" s="32">
        <v>0</v>
      </c>
      <c r="AJ225" s="32">
        <v>1256</v>
      </c>
      <c r="AK225" s="32">
        <v>0</v>
      </c>
      <c r="AL225" s="32">
        <v>118</v>
      </c>
      <c r="AM225" s="32">
        <v>858</v>
      </c>
      <c r="AN225" s="32">
        <v>5504</v>
      </c>
      <c r="AO225" s="32">
        <v>-88</v>
      </c>
      <c r="AP225" s="32">
        <v>-3723</v>
      </c>
      <c r="AQ22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2.2176731490958717</v>
      </c>
      <c r="AR225" s="32">
        <v>5468</v>
      </c>
      <c r="AS225" s="32">
        <v>275</v>
      </c>
      <c r="AT225" s="32">
        <v>2716</v>
      </c>
      <c r="AU225" s="32">
        <v>1255</v>
      </c>
      <c r="AV225" s="32">
        <v>586</v>
      </c>
      <c r="AW225" s="32">
        <v>858</v>
      </c>
      <c r="AX225" s="32">
        <v>330</v>
      </c>
      <c r="AY225" s="32">
        <v>545</v>
      </c>
      <c r="AZ225" s="32">
        <v>967</v>
      </c>
      <c r="BA225" s="32">
        <v>0</v>
      </c>
      <c r="BB225" s="32">
        <v>0</v>
      </c>
      <c r="BC225" s="32">
        <v>5862</v>
      </c>
      <c r="BD225" s="34">
        <f>IFERROR(SUM(Entity_Metrics[[#This Row],[Operating surplus/(deficit) (social housing lettings)]])/SUM(Entity_Metrics[[#This Row],[Turnover from social housing lettings]]),"")</f>
        <v>0.40998603865089278</v>
      </c>
      <c r="BE225" s="32">
        <v>11159</v>
      </c>
      <c r="BF225" s="32">
        <v>27218</v>
      </c>
      <c r="BG225" s="34">
        <f>IFERROR(SUM(Entity_Metrics[[#This Row],[Operating surplus/(deficit) (overall)2]],-Entity_Metrics[[#This Row],[Gain/(loss) on disposal of fixed assets (housing properties)2]])/SUM(Entity_Metrics[[#This Row],[Turnover (overall)]]),"")</f>
        <v>0.35006756756756757</v>
      </c>
      <c r="BH225" s="32">
        <v>10362</v>
      </c>
      <c r="BI225" s="32">
        <v>0</v>
      </c>
      <c r="BJ225" s="32">
        <v>29600</v>
      </c>
      <c r="BK225" s="34">
        <f>IFERROR(SUM(Entity_Metrics[[#This Row],[Operating surplus/(deficit) (overall)3]],Entity_Metrics[[#This Row],[Share of operating surplus/(deficit) in joint ventures or associates]])/SUM(Entity_Metrics[[#This Row],[Total assets less current liabilities]]),"")</f>
        <v>7.4008999357188771E-2</v>
      </c>
      <c r="BL225" s="32">
        <v>10362</v>
      </c>
      <c r="BM225" s="32">
        <v>0</v>
      </c>
      <c r="BN225" s="32">
        <v>140010</v>
      </c>
      <c r="BO225" s="34">
        <v>1.4670760832480383E-2</v>
      </c>
      <c r="BP225" s="34">
        <v>0</v>
      </c>
      <c r="BQ225" s="6" t="s">
        <v>93</v>
      </c>
      <c r="BR225" s="6">
        <v>2007</v>
      </c>
      <c r="BS225" s="6" t="s">
        <v>120</v>
      </c>
      <c r="BT225" s="6" t="s">
        <v>105</v>
      </c>
      <c r="BU225" s="8">
        <v>0.9156653862445665</v>
      </c>
      <c r="BV225" s="37" t="s">
        <v>817</v>
      </c>
      <c r="BW225" s="19" t="s">
        <v>444</v>
      </c>
    </row>
    <row r="226" spans="1:75" x14ac:dyDescent="0.25">
      <c r="A226" s="33" t="s">
        <v>934</v>
      </c>
      <c r="B226" s="7" t="s">
        <v>446</v>
      </c>
      <c r="C226" s="7" t="s">
        <v>81</v>
      </c>
      <c r="D22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5.3348048557944353E-2</v>
      </c>
      <c r="E226" s="32">
        <v>172426</v>
      </c>
      <c r="F226" s="32">
        <v>0</v>
      </c>
      <c r="G226" s="32">
        <v>13386</v>
      </c>
      <c r="H226" s="32">
        <v>0</v>
      </c>
      <c r="I226" s="32">
        <v>0</v>
      </c>
      <c r="J226" s="32">
        <v>3483014</v>
      </c>
      <c r="K226" s="32">
        <v>0</v>
      </c>
      <c r="L22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2.2428065389933891E-2</v>
      </c>
      <c r="M226" s="32">
        <v>1184</v>
      </c>
      <c r="N226" s="32">
        <v>0</v>
      </c>
      <c r="O226" s="32">
        <v>51354</v>
      </c>
      <c r="P226" s="32">
        <v>1437</v>
      </c>
      <c r="Q22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2.5218863710055122E-4</v>
      </c>
      <c r="R226" s="32">
        <v>14</v>
      </c>
      <c r="S226" s="32">
        <v>0</v>
      </c>
      <c r="T226" s="32">
        <v>0</v>
      </c>
      <c r="U226" s="32">
        <v>51354</v>
      </c>
      <c r="V226" s="32">
        <v>688</v>
      </c>
      <c r="W226" s="32">
        <v>1437</v>
      </c>
      <c r="X226" s="32">
        <v>2035</v>
      </c>
      <c r="Y22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0.45097234751281506</v>
      </c>
      <c r="Z226" s="32">
        <v>40850</v>
      </c>
      <c r="AA226" s="32">
        <v>1543605</v>
      </c>
      <c r="AB226" s="32">
        <v>16172</v>
      </c>
      <c r="AC226" s="32">
        <v>0</v>
      </c>
      <c r="AD226" s="32">
        <v>2460</v>
      </c>
      <c r="AE226" s="32">
        <v>3483014</v>
      </c>
      <c r="AF226" s="32">
        <v>0</v>
      </c>
      <c r="AG22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2.4216519321483241</v>
      </c>
      <c r="AH226" s="32">
        <v>148451</v>
      </c>
      <c r="AI226" s="32">
        <v>18380</v>
      </c>
      <c r="AJ226" s="32">
        <v>2591</v>
      </c>
      <c r="AK226" s="32">
        <v>614</v>
      </c>
      <c r="AL226" s="32">
        <v>2691</v>
      </c>
      <c r="AM226" s="32">
        <v>13386</v>
      </c>
      <c r="AN226" s="32">
        <v>38868</v>
      </c>
      <c r="AO226" s="32">
        <v>-4497</v>
      </c>
      <c r="AP226" s="32">
        <v>-59525</v>
      </c>
      <c r="AQ22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2.9212691635940229</v>
      </c>
      <c r="AR226" s="32">
        <v>49851</v>
      </c>
      <c r="AS226" s="32">
        <v>12771</v>
      </c>
      <c r="AT226" s="32">
        <v>35376</v>
      </c>
      <c r="AU226" s="32">
        <v>10098</v>
      </c>
      <c r="AV226" s="32">
        <v>23521</v>
      </c>
      <c r="AW226" s="32">
        <v>13386</v>
      </c>
      <c r="AX226" s="32">
        <v>2540</v>
      </c>
      <c r="AY226" s="32">
        <v>238</v>
      </c>
      <c r="AZ226" s="32">
        <v>1314</v>
      </c>
      <c r="BA226" s="32">
        <v>1438</v>
      </c>
      <c r="BB226" s="32">
        <v>0</v>
      </c>
      <c r="BC226" s="32">
        <v>51530</v>
      </c>
      <c r="BD226" s="34">
        <f>IFERROR(SUM(Entity_Metrics[[#This Row],[Operating surplus/(deficit) (social housing lettings)]])/SUM(Entity_Metrics[[#This Row],[Turnover from social housing lettings]]),"")</f>
        <v>0.41845305725946802</v>
      </c>
      <c r="BE226" s="32">
        <v>121905</v>
      </c>
      <c r="BF226" s="32">
        <v>291323</v>
      </c>
      <c r="BG226" s="34">
        <f>IFERROR(SUM(Entity_Metrics[[#This Row],[Operating surplus/(deficit) (overall)2]],-Entity_Metrics[[#This Row],[Gain/(loss) on disposal of fixed assets (housing properties)2]])/SUM(Entity_Metrics[[#This Row],[Turnover (overall)]]),"")</f>
        <v>0.37182477745570552</v>
      </c>
      <c r="BH226" s="32">
        <v>148451</v>
      </c>
      <c r="BI226" s="32">
        <v>18380</v>
      </c>
      <c r="BJ226" s="32">
        <v>349818</v>
      </c>
      <c r="BK226" s="34">
        <f>IFERROR(SUM(Entity_Metrics[[#This Row],[Operating surplus/(deficit) (overall)3]],Entity_Metrics[[#This Row],[Share of operating surplus/(deficit) in joint ventures or associates]])/SUM(Entity_Metrics[[#This Row],[Total assets less current liabilities]]),"")</f>
        <v>4.0560360349529867E-2</v>
      </c>
      <c r="BL226" s="32">
        <v>148451</v>
      </c>
      <c r="BM226" s="32">
        <v>0</v>
      </c>
      <c r="BN226" s="32">
        <v>3660002</v>
      </c>
      <c r="BO226" s="34">
        <v>1.9041135855295148E-2</v>
      </c>
      <c r="BP226" s="34">
        <v>5.9010016532140427E-2</v>
      </c>
      <c r="BQ226" s="6" t="s">
        <v>82</v>
      </c>
      <c r="BR226" s="6" t="s">
        <v>83</v>
      </c>
      <c r="BS226" s="6" t="s">
        <v>83</v>
      </c>
      <c r="BT226" s="6" t="s">
        <v>84</v>
      </c>
      <c r="BU226" s="8">
        <v>0.99272820484519952</v>
      </c>
      <c r="BV226" s="37">
        <v>4837</v>
      </c>
      <c r="BW226" s="19" t="s">
        <v>446</v>
      </c>
    </row>
    <row r="227" spans="1:75" x14ac:dyDescent="0.25">
      <c r="A227" s="33" t="s">
        <v>818</v>
      </c>
      <c r="B227" s="7" t="s">
        <v>819</v>
      </c>
      <c r="C227" s="7" t="s">
        <v>81</v>
      </c>
      <c r="D22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5.1924441291238028E-2</v>
      </c>
      <c r="E227" s="32">
        <v>15432</v>
      </c>
      <c r="F227" s="32">
        <v>0</v>
      </c>
      <c r="G227" s="32">
        <v>1227</v>
      </c>
      <c r="H227" s="32">
        <v>906</v>
      </c>
      <c r="I227" s="32">
        <v>0</v>
      </c>
      <c r="J227" s="32">
        <v>338280</v>
      </c>
      <c r="K227" s="32">
        <v>0</v>
      </c>
      <c r="L22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2.2285612408628988E-2</v>
      </c>
      <c r="M227" s="32">
        <v>125</v>
      </c>
      <c r="N227" s="32">
        <v>0</v>
      </c>
      <c r="O227" s="32">
        <v>5609</v>
      </c>
      <c r="P227" s="32">
        <v>0</v>
      </c>
      <c r="Q22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1.7828489926903191E-3</v>
      </c>
      <c r="R227" s="32">
        <v>0</v>
      </c>
      <c r="S227" s="32">
        <v>0</v>
      </c>
      <c r="T227" s="32">
        <v>10</v>
      </c>
      <c r="U227" s="32">
        <v>5609</v>
      </c>
      <c r="V227" s="32">
        <v>0</v>
      </c>
      <c r="W227" s="32">
        <v>0</v>
      </c>
      <c r="X227" s="32">
        <v>0</v>
      </c>
      <c r="Y22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0.52697765164952115</v>
      </c>
      <c r="Z227" s="32">
        <v>816</v>
      </c>
      <c r="AA227" s="32">
        <v>178269</v>
      </c>
      <c r="AB227" s="32">
        <v>819</v>
      </c>
      <c r="AC227" s="32">
        <v>0</v>
      </c>
      <c r="AD227" s="32">
        <v>0</v>
      </c>
      <c r="AE227" s="32">
        <v>338280</v>
      </c>
      <c r="AF227" s="32">
        <v>0</v>
      </c>
      <c r="AG22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1.5756346967559944</v>
      </c>
      <c r="AH227" s="32">
        <v>14263</v>
      </c>
      <c r="AI227" s="32">
        <v>72</v>
      </c>
      <c r="AJ227" s="32">
        <v>187</v>
      </c>
      <c r="AK227" s="32">
        <v>0</v>
      </c>
      <c r="AL227" s="32">
        <v>138</v>
      </c>
      <c r="AM227" s="32">
        <v>1227</v>
      </c>
      <c r="AN227" s="32">
        <v>4959</v>
      </c>
      <c r="AO227" s="32">
        <v>-906</v>
      </c>
      <c r="AP227" s="32">
        <v>-10438</v>
      </c>
      <c r="AQ22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2.2551256908539847</v>
      </c>
      <c r="AR227" s="32">
        <v>3285</v>
      </c>
      <c r="AS227" s="32">
        <v>1423</v>
      </c>
      <c r="AT227" s="32">
        <v>2970</v>
      </c>
      <c r="AU227" s="32">
        <v>1970</v>
      </c>
      <c r="AV227" s="32">
        <v>879</v>
      </c>
      <c r="AW227" s="32">
        <v>1227</v>
      </c>
      <c r="AX227" s="32">
        <v>0</v>
      </c>
      <c r="AY227" s="32">
        <v>308</v>
      </c>
      <c r="AZ227" s="32">
        <v>0</v>
      </c>
      <c r="BA227" s="32">
        <v>79</v>
      </c>
      <c r="BB227" s="32">
        <v>508</v>
      </c>
      <c r="BC227" s="32">
        <v>5609</v>
      </c>
      <c r="BD227" s="34">
        <f>IFERROR(SUM(Entity_Metrics[[#This Row],[Operating surplus/(deficit) (social housing lettings)]])/SUM(Entity_Metrics[[#This Row],[Turnover from social housing lettings]]),"")</f>
        <v>0.44058904406975902</v>
      </c>
      <c r="BE227" s="32">
        <v>12177</v>
      </c>
      <c r="BF227" s="32">
        <v>27638</v>
      </c>
      <c r="BG227" s="34">
        <f>IFERROR(SUM(Entity_Metrics[[#This Row],[Operating surplus/(deficit) (overall)2]],-Entity_Metrics[[#This Row],[Gain/(loss) on disposal of fixed assets (housing properties)2]])/SUM(Entity_Metrics[[#This Row],[Turnover (overall)]]),"")</f>
        <v>0.40793974760686463</v>
      </c>
      <c r="BH227" s="32">
        <v>14263</v>
      </c>
      <c r="BI227" s="32">
        <v>72</v>
      </c>
      <c r="BJ227" s="32">
        <v>34787</v>
      </c>
      <c r="BK227" s="34">
        <f>IFERROR(SUM(Entity_Metrics[[#This Row],[Operating surplus/(deficit) (overall)3]],Entity_Metrics[[#This Row],[Share of operating surplus/(deficit) in joint ventures or associates]])/SUM(Entity_Metrics[[#This Row],[Total assets less current liabilities]]),"")</f>
        <v>4.1418022052054929E-2</v>
      </c>
      <c r="BL227" s="32">
        <v>14263</v>
      </c>
      <c r="BM227" s="32">
        <v>0</v>
      </c>
      <c r="BN227" s="32">
        <v>344367</v>
      </c>
      <c r="BO227" s="34">
        <v>2.3177036904974148E-3</v>
      </c>
      <c r="BP227" s="34">
        <v>9.7700124799429494E-2</v>
      </c>
      <c r="BQ227" s="6" t="s">
        <v>93</v>
      </c>
      <c r="BR227" s="6">
        <v>2001</v>
      </c>
      <c r="BS227" s="6" t="s">
        <v>94</v>
      </c>
      <c r="BT227" s="6" t="s">
        <v>95</v>
      </c>
      <c r="BU227" s="8">
        <v>0.92038375847935383</v>
      </c>
      <c r="BV227" s="37" t="s">
        <v>590</v>
      </c>
      <c r="BW227" s="19" t="s">
        <v>300</v>
      </c>
    </row>
    <row r="228" spans="1:75" x14ac:dyDescent="0.25">
      <c r="A228" s="33" t="s">
        <v>820</v>
      </c>
      <c r="B228" s="7" t="s">
        <v>821</v>
      </c>
      <c r="C228" s="7" t="s">
        <v>81</v>
      </c>
      <c r="D22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4.2460941338311881E-2</v>
      </c>
      <c r="E228" s="32">
        <v>1747</v>
      </c>
      <c r="F228" s="32">
        <v>0</v>
      </c>
      <c r="G228" s="32">
        <v>1710</v>
      </c>
      <c r="H228" s="32">
        <v>0</v>
      </c>
      <c r="I228" s="32">
        <v>0</v>
      </c>
      <c r="J228" s="32">
        <v>81416</v>
      </c>
      <c r="K228" s="32">
        <v>0</v>
      </c>
      <c r="L22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1.4517506404782237E-2</v>
      </c>
      <c r="M228" s="32">
        <v>17</v>
      </c>
      <c r="N228" s="32">
        <v>0</v>
      </c>
      <c r="O228" s="32">
        <v>1171</v>
      </c>
      <c r="P228" s="32">
        <v>0</v>
      </c>
      <c r="Q22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8" s="32">
        <v>0</v>
      </c>
      <c r="S228" s="32">
        <v>0</v>
      </c>
      <c r="T228" s="32">
        <v>0</v>
      </c>
      <c r="U228" s="32">
        <v>1171</v>
      </c>
      <c r="V228" s="32">
        <v>0</v>
      </c>
      <c r="W228" s="32">
        <v>0</v>
      </c>
      <c r="X228" s="32">
        <v>0</v>
      </c>
      <c r="Y22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-0.27580573842979267</v>
      </c>
      <c r="Z228" s="32">
        <v>0</v>
      </c>
      <c r="AA228" s="32">
        <v>0</v>
      </c>
      <c r="AB228" s="32">
        <v>22455</v>
      </c>
      <c r="AC228" s="32">
        <v>0</v>
      </c>
      <c r="AD228" s="32">
        <v>0</v>
      </c>
      <c r="AE228" s="32">
        <v>81416</v>
      </c>
      <c r="AF228" s="32">
        <v>0</v>
      </c>
      <c r="AG22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39.944954128440365</v>
      </c>
      <c r="AH228" s="32">
        <v>4217</v>
      </c>
      <c r="AI228" s="32">
        <v>0</v>
      </c>
      <c r="AJ228" s="32">
        <v>1555</v>
      </c>
      <c r="AK228" s="32">
        <v>0</v>
      </c>
      <c r="AL228" s="32">
        <v>83</v>
      </c>
      <c r="AM228" s="32">
        <v>1710</v>
      </c>
      <c r="AN228" s="32">
        <v>3319</v>
      </c>
      <c r="AO228" s="32">
        <v>0</v>
      </c>
      <c r="AP228" s="32">
        <v>-109</v>
      </c>
      <c r="AQ22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23.008659793814434</v>
      </c>
      <c r="AR228" s="32">
        <v>20433</v>
      </c>
      <c r="AS228" s="32">
        <v>7845</v>
      </c>
      <c r="AT228" s="32">
        <v>1455</v>
      </c>
      <c r="AU228" s="32">
        <v>934</v>
      </c>
      <c r="AV228" s="32">
        <v>0</v>
      </c>
      <c r="AW228" s="32">
        <v>1710</v>
      </c>
      <c r="AX228" s="32">
        <v>408</v>
      </c>
      <c r="AY228" s="32">
        <v>0</v>
      </c>
      <c r="AZ228" s="32">
        <v>0</v>
      </c>
      <c r="BA228" s="32">
        <v>0</v>
      </c>
      <c r="BB228" s="32">
        <v>23011</v>
      </c>
      <c r="BC228" s="32">
        <v>2425</v>
      </c>
      <c r="BD228" s="34">
        <f>IFERROR(SUM(Entity_Metrics[[#This Row],[Operating surplus/(deficit) (social housing lettings)]])/SUM(Entity_Metrics[[#This Row],[Turnover from social housing lettings]]),"")</f>
        <v>1.0775376997524195E-2</v>
      </c>
      <c r="BE228" s="32">
        <v>383</v>
      </c>
      <c r="BF228" s="32">
        <v>35544</v>
      </c>
      <c r="BG228" s="34">
        <f>IFERROR(SUM(Entity_Metrics[[#This Row],[Operating surplus/(deficit) (overall)2]],-Entity_Metrics[[#This Row],[Gain/(loss) on disposal of fixed assets (housing properties)2]])/SUM(Entity_Metrics[[#This Row],[Turnover (overall)]]),"")</f>
        <v>4.7265187177762832E-2</v>
      </c>
      <c r="BH228" s="32">
        <v>4217</v>
      </c>
      <c r="BI228" s="32">
        <v>0</v>
      </c>
      <c r="BJ228" s="32">
        <v>89220</v>
      </c>
      <c r="BK228" s="34">
        <f>IFERROR(SUM(Entity_Metrics[[#This Row],[Operating surplus/(deficit) (overall)3]],Entity_Metrics[[#This Row],[Share of operating surplus/(deficit) in joint ventures or associates]])/SUM(Entity_Metrics[[#This Row],[Total assets less current liabilities]]),"")</f>
        <v>4.4809265752842421E-2</v>
      </c>
      <c r="BL228" s="32">
        <v>4217</v>
      </c>
      <c r="BM228" s="32">
        <v>0</v>
      </c>
      <c r="BN228" s="32">
        <v>94110</v>
      </c>
      <c r="BO228" s="34">
        <v>0.95303159692570449</v>
      </c>
      <c r="BP228" s="34">
        <v>0</v>
      </c>
      <c r="BQ228" s="6" t="s">
        <v>82</v>
      </c>
      <c r="BR228" s="6" t="s">
        <v>83</v>
      </c>
      <c r="BS228" s="6" t="s">
        <v>83</v>
      </c>
      <c r="BT228" s="6" t="s">
        <v>156</v>
      </c>
      <c r="BU228" s="8">
        <v>1.2477578379181831</v>
      </c>
      <c r="BV228" s="37" t="s">
        <v>820</v>
      </c>
      <c r="BW228" s="19" t="s">
        <v>448</v>
      </c>
    </row>
    <row r="229" spans="1:75" x14ac:dyDescent="0.25">
      <c r="A229" s="33" t="s">
        <v>822</v>
      </c>
      <c r="B229" s="7" t="s">
        <v>823</v>
      </c>
      <c r="C229" s="7" t="s">
        <v>81</v>
      </c>
      <c r="D22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0.12608486331047583</v>
      </c>
      <c r="E229" s="32">
        <v>14095</v>
      </c>
      <c r="F229" s="32">
        <v>0</v>
      </c>
      <c r="G229" s="32">
        <v>5285</v>
      </c>
      <c r="H229" s="32">
        <v>0</v>
      </c>
      <c r="I229" s="32">
        <v>0</v>
      </c>
      <c r="J229" s="32">
        <v>153706</v>
      </c>
      <c r="K229" s="32">
        <v>0</v>
      </c>
      <c r="L22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2.0343293070565798E-2</v>
      </c>
      <c r="M229" s="32">
        <v>128</v>
      </c>
      <c r="N229" s="32">
        <v>0</v>
      </c>
      <c r="O229" s="32">
        <v>6292</v>
      </c>
      <c r="P229" s="32">
        <v>0</v>
      </c>
      <c r="Q22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29" s="32">
        <v>0</v>
      </c>
      <c r="S229" s="32">
        <v>0</v>
      </c>
      <c r="T229" s="32">
        <v>0</v>
      </c>
      <c r="U229" s="32">
        <v>6292</v>
      </c>
      <c r="V229" s="32">
        <v>0</v>
      </c>
      <c r="W229" s="32">
        <v>0</v>
      </c>
      <c r="X229" s="32">
        <v>0</v>
      </c>
      <c r="Y22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0.36806630840695875</v>
      </c>
      <c r="Z229" s="32">
        <v>0</v>
      </c>
      <c r="AA229" s="32">
        <v>80000</v>
      </c>
      <c r="AB229" s="32">
        <v>23426</v>
      </c>
      <c r="AC229" s="32">
        <v>0</v>
      </c>
      <c r="AD229" s="32">
        <v>0</v>
      </c>
      <c r="AE229" s="32">
        <v>153706</v>
      </c>
      <c r="AF229" s="32">
        <v>0</v>
      </c>
      <c r="AG22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2.4887198986058303</v>
      </c>
      <c r="AH229" s="32">
        <v>11315</v>
      </c>
      <c r="AI229" s="32">
        <v>1221</v>
      </c>
      <c r="AJ229" s="32">
        <v>228</v>
      </c>
      <c r="AK229" s="32">
        <v>0</v>
      </c>
      <c r="AL229" s="32">
        <v>123</v>
      </c>
      <c r="AM229" s="32">
        <v>5285</v>
      </c>
      <c r="AN229" s="32">
        <v>5114</v>
      </c>
      <c r="AO229" s="32">
        <v>-277</v>
      </c>
      <c r="AP229" s="32">
        <v>-3668</v>
      </c>
      <c r="AQ22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3.0448188175460902</v>
      </c>
      <c r="AR229" s="32">
        <v>4982</v>
      </c>
      <c r="AS229" s="32">
        <v>932</v>
      </c>
      <c r="AT229" s="32">
        <v>4170</v>
      </c>
      <c r="AU229" s="32">
        <v>1919</v>
      </c>
      <c r="AV229" s="32">
        <v>0</v>
      </c>
      <c r="AW229" s="32">
        <v>5285</v>
      </c>
      <c r="AX229" s="32">
        <v>0</v>
      </c>
      <c r="AY229" s="32">
        <v>0</v>
      </c>
      <c r="AZ229" s="32">
        <v>0</v>
      </c>
      <c r="BA229" s="32">
        <v>1633</v>
      </c>
      <c r="BB229" s="32">
        <v>237</v>
      </c>
      <c r="BC229" s="32">
        <v>6292</v>
      </c>
      <c r="BD229" s="34">
        <f>IFERROR(SUM(Entity_Metrics[[#This Row],[Operating surplus/(deficit) (social housing lettings)]])/SUM(Entity_Metrics[[#This Row],[Turnover from social housing lettings]]),"")</f>
        <v>0.3599552572706935</v>
      </c>
      <c r="BE229" s="32">
        <v>9654</v>
      </c>
      <c r="BF229" s="32">
        <v>26820</v>
      </c>
      <c r="BG229" s="34">
        <f>IFERROR(SUM(Entity_Metrics[[#This Row],[Operating surplus/(deficit) (overall)2]],-Entity_Metrics[[#This Row],[Gain/(loss) on disposal of fixed assets (housing properties)2]])/SUM(Entity_Metrics[[#This Row],[Turnover (overall)]]),"")</f>
        <v>0.32368125701459033</v>
      </c>
      <c r="BH229" s="32">
        <v>11315</v>
      </c>
      <c r="BI229" s="32">
        <v>1221</v>
      </c>
      <c r="BJ229" s="32">
        <v>31185</v>
      </c>
      <c r="BK229" s="34">
        <f>IFERROR(SUM(Entity_Metrics[[#This Row],[Operating surplus/(deficit) (overall)3]],Entity_Metrics[[#This Row],[Share of operating surplus/(deficit) in joint ventures or associates]])/SUM(Entity_Metrics[[#This Row],[Total assets less current liabilities]]),"")</f>
        <v>6.0939485986341801E-2</v>
      </c>
      <c r="BL229" s="32">
        <v>11315</v>
      </c>
      <c r="BM229" s="32">
        <v>0</v>
      </c>
      <c r="BN229" s="32">
        <v>185676</v>
      </c>
      <c r="BO229" s="34">
        <v>1.2716579240184391E-3</v>
      </c>
      <c r="BP229" s="34">
        <v>0.22015577809569226</v>
      </c>
      <c r="BQ229" s="6" t="s">
        <v>93</v>
      </c>
      <c r="BR229" s="6">
        <v>2006</v>
      </c>
      <c r="BS229" s="6" t="s">
        <v>94</v>
      </c>
      <c r="BT229" s="6" t="s">
        <v>90</v>
      </c>
      <c r="BU229" s="8">
        <v>0.91571558169387279</v>
      </c>
      <c r="BV229" s="37" t="s">
        <v>822</v>
      </c>
      <c r="BW229" s="19" t="s">
        <v>450</v>
      </c>
    </row>
    <row r="230" spans="1:75" x14ac:dyDescent="0.25">
      <c r="A230" s="33" t="s">
        <v>824</v>
      </c>
      <c r="B230" s="7" t="s">
        <v>452</v>
      </c>
      <c r="C230" s="7" t="s">
        <v>81</v>
      </c>
      <c r="D23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5.3287166445470928E-2</v>
      </c>
      <c r="E230" s="32">
        <v>6105</v>
      </c>
      <c r="F230" s="32">
        <v>0</v>
      </c>
      <c r="G230" s="32">
        <v>1082</v>
      </c>
      <c r="H230" s="32">
        <v>0</v>
      </c>
      <c r="I230" s="32">
        <v>0</v>
      </c>
      <c r="J230" s="32">
        <v>134873</v>
      </c>
      <c r="K230" s="32">
        <v>0</v>
      </c>
      <c r="L23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4.4900800556909155E-2</v>
      </c>
      <c r="M230" s="32">
        <v>129</v>
      </c>
      <c r="N230" s="32">
        <v>0</v>
      </c>
      <c r="O230" s="32">
        <v>2839</v>
      </c>
      <c r="P230" s="32">
        <v>34</v>
      </c>
      <c r="Q23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0" s="32">
        <v>0</v>
      </c>
      <c r="S230" s="32">
        <v>0</v>
      </c>
      <c r="T230" s="32">
        <v>0</v>
      </c>
      <c r="U230" s="32">
        <v>2839</v>
      </c>
      <c r="V230" s="32">
        <v>141</v>
      </c>
      <c r="W230" s="32">
        <v>34</v>
      </c>
      <c r="X230" s="32">
        <v>0</v>
      </c>
      <c r="Y23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0.43996945274443366</v>
      </c>
      <c r="Z230" s="32">
        <v>374</v>
      </c>
      <c r="AA230" s="32">
        <v>63862</v>
      </c>
      <c r="AB230" s="32">
        <v>4896</v>
      </c>
      <c r="AC230" s="32">
        <v>0</v>
      </c>
      <c r="AD230" s="32">
        <v>0</v>
      </c>
      <c r="AE230" s="32">
        <v>134873</v>
      </c>
      <c r="AF230" s="32">
        <v>0</v>
      </c>
      <c r="AG23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1.7959576515880655</v>
      </c>
      <c r="AH230" s="32">
        <v>4793</v>
      </c>
      <c r="AI230" s="32">
        <v>185</v>
      </c>
      <c r="AJ230" s="32">
        <v>961</v>
      </c>
      <c r="AK230" s="32">
        <v>0</v>
      </c>
      <c r="AL230" s="32">
        <v>16</v>
      </c>
      <c r="AM230" s="32">
        <v>1082</v>
      </c>
      <c r="AN230" s="32">
        <v>3017</v>
      </c>
      <c r="AO230" s="32">
        <v>-90</v>
      </c>
      <c r="AP230" s="32">
        <v>-3027</v>
      </c>
      <c r="AQ23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3.1013323983169707</v>
      </c>
      <c r="AR230" s="32">
        <v>2803</v>
      </c>
      <c r="AS230" s="32">
        <v>1887</v>
      </c>
      <c r="AT230" s="32">
        <v>2359</v>
      </c>
      <c r="AU230" s="32">
        <v>335</v>
      </c>
      <c r="AV230" s="32">
        <v>0</v>
      </c>
      <c r="AW230" s="32">
        <v>1082</v>
      </c>
      <c r="AX230" s="32">
        <v>24</v>
      </c>
      <c r="AY230" s="32">
        <v>147</v>
      </c>
      <c r="AZ230" s="32">
        <v>0</v>
      </c>
      <c r="BA230" s="32">
        <v>103</v>
      </c>
      <c r="BB230" s="32">
        <v>105</v>
      </c>
      <c r="BC230" s="32">
        <v>2852</v>
      </c>
      <c r="BD230" s="34">
        <f>IFERROR(SUM(Entity_Metrics[[#This Row],[Operating surplus/(deficit) (social housing lettings)]])/SUM(Entity_Metrics[[#This Row],[Turnover from social housing lettings]]),"")</f>
        <v>0.29322057396367668</v>
      </c>
      <c r="BE230" s="32">
        <v>4230</v>
      </c>
      <c r="BF230" s="32">
        <v>14426</v>
      </c>
      <c r="BG230" s="34">
        <f>IFERROR(SUM(Entity_Metrics[[#This Row],[Operating surplus/(deficit) (overall)2]],-Entity_Metrics[[#This Row],[Gain/(loss) on disposal of fixed assets (housing properties)2]])/SUM(Entity_Metrics[[#This Row],[Turnover (overall)]]),"")</f>
        <v>0.25088473893395763</v>
      </c>
      <c r="BH230" s="32">
        <v>4793</v>
      </c>
      <c r="BI230" s="32">
        <v>185</v>
      </c>
      <c r="BJ230" s="32">
        <v>18367</v>
      </c>
      <c r="BK230" s="34">
        <f>IFERROR(SUM(Entity_Metrics[[#This Row],[Operating surplus/(deficit) (overall)3]],Entity_Metrics[[#This Row],[Share of operating surplus/(deficit) in joint ventures or associates]])/SUM(Entity_Metrics[[#This Row],[Total assets less current liabilities]]),"")</f>
        <v>3.3048334827277114E-2</v>
      </c>
      <c r="BL230" s="32">
        <v>4793</v>
      </c>
      <c r="BM230" s="32">
        <v>0</v>
      </c>
      <c r="BN230" s="32">
        <v>145030</v>
      </c>
      <c r="BO230" s="34">
        <v>4.0154984149348365E-2</v>
      </c>
      <c r="BP230" s="34">
        <v>0.15040507220852412</v>
      </c>
      <c r="BQ230" s="6" t="s">
        <v>82</v>
      </c>
      <c r="BR230" s="6" t="s">
        <v>83</v>
      </c>
      <c r="BS230" s="6" t="s">
        <v>83</v>
      </c>
      <c r="BT230" s="6" t="s">
        <v>90</v>
      </c>
      <c r="BU230" s="8">
        <v>0.91571474691778165</v>
      </c>
      <c r="BV230" s="37" t="s">
        <v>824</v>
      </c>
      <c r="BW230" s="19" t="s">
        <v>452</v>
      </c>
    </row>
    <row r="231" spans="1:75" x14ac:dyDescent="0.25">
      <c r="A231" s="33" t="s">
        <v>825</v>
      </c>
      <c r="B231" s="7" t="s">
        <v>826</v>
      </c>
      <c r="C231" s="7" t="s">
        <v>81</v>
      </c>
      <c r="D23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3.3511279556598071E-2</v>
      </c>
      <c r="E231" s="32">
        <v>14651</v>
      </c>
      <c r="F231" s="32">
        <v>0</v>
      </c>
      <c r="G231" s="32">
        <v>2750</v>
      </c>
      <c r="H231" s="32">
        <v>0</v>
      </c>
      <c r="I231" s="32">
        <v>0</v>
      </c>
      <c r="J231" s="32">
        <v>519258</v>
      </c>
      <c r="K231" s="32">
        <v>0</v>
      </c>
      <c r="L23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1.025010250102501E-2</v>
      </c>
      <c r="M231" s="32">
        <v>100</v>
      </c>
      <c r="N231" s="32">
        <v>0</v>
      </c>
      <c r="O231" s="32">
        <v>9756</v>
      </c>
      <c r="P231" s="32">
        <v>0</v>
      </c>
      <c r="Q23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1" s="32">
        <v>0</v>
      </c>
      <c r="S231" s="32">
        <v>0</v>
      </c>
      <c r="T231" s="32">
        <v>0</v>
      </c>
      <c r="U231" s="32">
        <v>9756</v>
      </c>
      <c r="V231" s="32">
        <v>0</v>
      </c>
      <c r="W231" s="32">
        <v>0</v>
      </c>
      <c r="X231" s="32">
        <v>0</v>
      </c>
      <c r="Y23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0.40337558593223405</v>
      </c>
      <c r="Z231" s="32">
        <v>12139</v>
      </c>
      <c r="AA231" s="32">
        <v>237608</v>
      </c>
      <c r="AB231" s="32">
        <v>40291</v>
      </c>
      <c r="AC231" s="32">
        <v>0</v>
      </c>
      <c r="AD231" s="32">
        <v>0</v>
      </c>
      <c r="AE231" s="32">
        <v>519258</v>
      </c>
      <c r="AF231" s="32">
        <v>0</v>
      </c>
      <c r="AG23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1.8054706082229017</v>
      </c>
      <c r="AH231" s="32">
        <v>27942</v>
      </c>
      <c r="AI231" s="32">
        <v>10437</v>
      </c>
      <c r="AJ231" s="32">
        <v>2438</v>
      </c>
      <c r="AK231" s="32">
        <v>0</v>
      </c>
      <c r="AL231" s="32">
        <v>67</v>
      </c>
      <c r="AM231" s="32">
        <v>2750</v>
      </c>
      <c r="AN231" s="32">
        <v>8870</v>
      </c>
      <c r="AO231" s="32">
        <v>-391</v>
      </c>
      <c r="AP231" s="32">
        <v>-11381</v>
      </c>
      <c r="AQ23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2.5682095577880011</v>
      </c>
      <c r="AR231" s="32">
        <v>9666</v>
      </c>
      <c r="AS231" s="32">
        <v>3685</v>
      </c>
      <c r="AT231" s="32">
        <v>7272</v>
      </c>
      <c r="AU231" s="32">
        <v>1721</v>
      </c>
      <c r="AV231" s="32">
        <v>2260</v>
      </c>
      <c r="AW231" s="32">
        <v>2750</v>
      </c>
      <c r="AX231" s="32">
        <v>0</v>
      </c>
      <c r="AY231" s="32">
        <v>0</v>
      </c>
      <c r="AZ231" s="32">
        <v>0</v>
      </c>
      <c r="BA231" s="32">
        <v>0</v>
      </c>
      <c r="BB231" s="32">
        <v>0</v>
      </c>
      <c r="BC231" s="32">
        <v>10651</v>
      </c>
      <c r="BD231" s="34">
        <f>IFERROR(SUM(Entity_Metrics[[#This Row],[Operating surplus/(deficit) (social housing lettings)]])/SUM(Entity_Metrics[[#This Row],[Turnover from social housing lettings]]),"")</f>
        <v>0.33298285986351372</v>
      </c>
      <c r="BE231" s="32">
        <v>16785</v>
      </c>
      <c r="BF231" s="32">
        <v>50408</v>
      </c>
      <c r="BG231" s="34">
        <f>IFERROR(SUM(Entity_Metrics[[#This Row],[Operating surplus/(deficit) (overall)2]],-Entity_Metrics[[#This Row],[Gain/(loss) on disposal of fixed assets (housing properties)2]])/SUM(Entity_Metrics[[#This Row],[Turnover (overall)]]),"")</f>
        <v>0.32928893905191875</v>
      </c>
      <c r="BH231" s="32">
        <v>27942</v>
      </c>
      <c r="BI231" s="32">
        <v>10437</v>
      </c>
      <c r="BJ231" s="32">
        <v>53160</v>
      </c>
      <c r="BK231" s="34">
        <f>IFERROR(SUM(Entity_Metrics[[#This Row],[Operating surplus/(deficit) (overall)3]],Entity_Metrics[[#This Row],[Share of operating surplus/(deficit) in joint ventures or associates]])/SUM(Entity_Metrics[[#This Row],[Total assets less current liabilities]]),"")</f>
        <v>5.179643271579993E-2</v>
      </c>
      <c r="BL231" s="32">
        <v>27942</v>
      </c>
      <c r="BM231" s="32">
        <v>0</v>
      </c>
      <c r="BN231" s="32">
        <v>539458</v>
      </c>
      <c r="BO231" s="34">
        <v>1.6104294478527608E-2</v>
      </c>
      <c r="BP231" s="34">
        <v>2.5416301489921123E-2</v>
      </c>
      <c r="BQ231" s="6" t="s">
        <v>82</v>
      </c>
      <c r="BR231" s="6" t="s">
        <v>83</v>
      </c>
      <c r="BS231" s="6" t="s">
        <v>83</v>
      </c>
      <c r="BT231" s="6" t="s">
        <v>87</v>
      </c>
      <c r="BU231" s="8">
        <v>0.95922175763494177</v>
      </c>
      <c r="BV231" s="37" t="s">
        <v>827</v>
      </c>
      <c r="BW231" s="19" t="s">
        <v>454</v>
      </c>
    </row>
    <row r="232" spans="1:75" x14ac:dyDescent="0.25">
      <c r="A232" s="33" t="s">
        <v>828</v>
      </c>
      <c r="B232" s="7" t="s">
        <v>829</v>
      </c>
      <c r="C232" s="7" t="s">
        <v>81</v>
      </c>
      <c r="D23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8.3314080505194205E-2</v>
      </c>
      <c r="E232" s="32">
        <v>18454</v>
      </c>
      <c r="F232" s="32">
        <v>0</v>
      </c>
      <c r="G232" s="32">
        <v>2101</v>
      </c>
      <c r="H232" s="32">
        <v>0</v>
      </c>
      <c r="I232" s="32">
        <v>0</v>
      </c>
      <c r="J232" s="32">
        <v>246717</v>
      </c>
      <c r="K232" s="32">
        <v>0</v>
      </c>
      <c r="L23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4.4541273299443233E-2</v>
      </c>
      <c r="M232" s="32">
        <v>184</v>
      </c>
      <c r="N232" s="32">
        <v>0</v>
      </c>
      <c r="O232" s="32">
        <v>4131</v>
      </c>
      <c r="P232" s="32">
        <v>0</v>
      </c>
      <c r="Q23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2" s="32">
        <v>0</v>
      </c>
      <c r="S232" s="32">
        <v>0</v>
      </c>
      <c r="T232" s="32">
        <v>0</v>
      </c>
      <c r="U232" s="32">
        <v>4131</v>
      </c>
      <c r="V232" s="32">
        <v>0</v>
      </c>
      <c r="W232" s="32">
        <v>0</v>
      </c>
      <c r="X232" s="32">
        <v>0</v>
      </c>
      <c r="Y23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0.32114527981452434</v>
      </c>
      <c r="Z232" s="32">
        <v>1949</v>
      </c>
      <c r="AA232" s="32">
        <v>78851</v>
      </c>
      <c r="AB232" s="32">
        <v>1568</v>
      </c>
      <c r="AC232" s="32">
        <v>0</v>
      </c>
      <c r="AD232" s="32">
        <v>0</v>
      </c>
      <c r="AE232" s="32">
        <v>246717</v>
      </c>
      <c r="AF232" s="32">
        <v>0</v>
      </c>
      <c r="AG23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2.6110919738201859</v>
      </c>
      <c r="AH232" s="32">
        <v>7569</v>
      </c>
      <c r="AI232" s="32">
        <v>973</v>
      </c>
      <c r="AJ232" s="32">
        <v>897</v>
      </c>
      <c r="AK232" s="32">
        <v>0</v>
      </c>
      <c r="AL232" s="32">
        <v>16</v>
      </c>
      <c r="AM232" s="32">
        <v>2101</v>
      </c>
      <c r="AN232" s="32">
        <v>3966</v>
      </c>
      <c r="AO232" s="32">
        <v>-516</v>
      </c>
      <c r="AP232" s="32">
        <v>-2387</v>
      </c>
      <c r="AQ23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3.2741754543414854</v>
      </c>
      <c r="AR232" s="32">
        <v>4730</v>
      </c>
      <c r="AS232" s="32">
        <v>2657</v>
      </c>
      <c r="AT232" s="32">
        <v>3018</v>
      </c>
      <c r="AU232" s="32">
        <v>657</v>
      </c>
      <c r="AV232" s="32">
        <v>1430</v>
      </c>
      <c r="AW232" s="32">
        <v>2101</v>
      </c>
      <c r="AX232" s="32">
        <v>0</v>
      </c>
      <c r="AY232" s="32">
        <v>0</v>
      </c>
      <c r="AZ232" s="32">
        <v>0</v>
      </c>
      <c r="BA232" s="32">
        <v>0</v>
      </c>
      <c r="BB232" s="32">
        <v>0</v>
      </c>
      <c r="BC232" s="32">
        <v>4457</v>
      </c>
      <c r="BD232" s="34">
        <f>IFERROR(SUM(Entity_Metrics[[#This Row],[Operating surplus/(deficit) (social housing lettings)]])/SUM(Entity_Metrics[[#This Row],[Turnover from social housing lettings]]),"")</f>
        <v>0.23820657406133958</v>
      </c>
      <c r="BE232" s="32">
        <v>5196</v>
      </c>
      <c r="BF232" s="32">
        <v>21813</v>
      </c>
      <c r="BG232" s="34">
        <f>IFERROR(SUM(Entity_Metrics[[#This Row],[Operating surplus/(deficit) (overall)2]],-Entity_Metrics[[#This Row],[Gain/(loss) on disposal of fixed assets (housing properties)2]])/SUM(Entity_Metrics[[#This Row],[Turnover (overall)]]),"")</f>
        <v>0.24133767516739235</v>
      </c>
      <c r="BH232" s="32">
        <v>7569</v>
      </c>
      <c r="BI232" s="32">
        <v>973</v>
      </c>
      <c r="BJ232" s="32">
        <v>27331</v>
      </c>
      <c r="BK232" s="34">
        <f>IFERROR(SUM(Entity_Metrics[[#This Row],[Operating surplus/(deficit) (overall)3]],Entity_Metrics[[#This Row],[Share of operating surplus/(deficit) in joint ventures or associates]])/SUM(Entity_Metrics[[#This Row],[Total assets less current liabilities]]),"")</f>
        <v>2.9492444728454421E-2</v>
      </c>
      <c r="BL232" s="32">
        <v>7569</v>
      </c>
      <c r="BM232" s="32">
        <v>0</v>
      </c>
      <c r="BN232" s="32">
        <v>256642</v>
      </c>
      <c r="BO232" s="34">
        <v>3.0450669914738125E-2</v>
      </c>
      <c r="BP232" s="34">
        <v>0.13958587088915955</v>
      </c>
      <c r="BQ232" s="6" t="s">
        <v>82</v>
      </c>
      <c r="BR232" s="6" t="s">
        <v>83</v>
      </c>
      <c r="BS232" s="6" t="s">
        <v>83</v>
      </c>
      <c r="BT232" s="6" t="s">
        <v>87</v>
      </c>
      <c r="BU232" s="8">
        <v>0.95074155658577664</v>
      </c>
      <c r="BV232" s="37" t="s">
        <v>827</v>
      </c>
      <c r="BW232" s="19" t="s">
        <v>454</v>
      </c>
    </row>
    <row r="233" spans="1:75" x14ac:dyDescent="0.25">
      <c r="A233" s="33" t="s">
        <v>830</v>
      </c>
      <c r="B233" s="7" t="s">
        <v>831</v>
      </c>
      <c r="C233" s="7" t="s">
        <v>81</v>
      </c>
      <c r="D23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3.2417521569732904E-2</v>
      </c>
      <c r="E233" s="32">
        <v>954</v>
      </c>
      <c r="F233" s="32">
        <v>0</v>
      </c>
      <c r="G233" s="32">
        <v>2255</v>
      </c>
      <c r="H233" s="32">
        <v>0</v>
      </c>
      <c r="I233" s="32">
        <v>11</v>
      </c>
      <c r="J233" s="32">
        <v>99329</v>
      </c>
      <c r="K233" s="32">
        <v>0</v>
      </c>
      <c r="L23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7.3630924988495172E-3</v>
      </c>
      <c r="M233" s="32">
        <v>16</v>
      </c>
      <c r="N233" s="32">
        <v>0</v>
      </c>
      <c r="O233" s="32">
        <v>2173</v>
      </c>
      <c r="P233" s="32">
        <v>0</v>
      </c>
      <c r="Q23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3" s="32">
        <v>0</v>
      </c>
      <c r="S233" s="32">
        <v>0</v>
      </c>
      <c r="T233" s="32">
        <v>0</v>
      </c>
      <c r="U233" s="32">
        <v>2173</v>
      </c>
      <c r="V233" s="32">
        <v>0</v>
      </c>
      <c r="W233" s="32">
        <v>0</v>
      </c>
      <c r="X233" s="32">
        <v>0</v>
      </c>
      <c r="Y23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0.52115696322322791</v>
      </c>
      <c r="Z233" s="32">
        <v>0</v>
      </c>
      <c r="AA233" s="32">
        <v>54707</v>
      </c>
      <c r="AB233" s="32">
        <v>2941</v>
      </c>
      <c r="AC233" s="32">
        <v>0</v>
      </c>
      <c r="AD233" s="32">
        <v>0</v>
      </c>
      <c r="AE233" s="32">
        <v>99329</v>
      </c>
      <c r="AF233" s="32">
        <v>0</v>
      </c>
      <c r="AG23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2.0253549695740367</v>
      </c>
      <c r="AH233" s="32">
        <v>5524</v>
      </c>
      <c r="AI233" s="32">
        <v>797</v>
      </c>
      <c r="AJ233" s="32">
        <v>225</v>
      </c>
      <c r="AK233" s="32">
        <v>31</v>
      </c>
      <c r="AL233" s="32">
        <v>4</v>
      </c>
      <c r="AM233" s="32">
        <v>2255</v>
      </c>
      <c r="AN233" s="32">
        <v>1774</v>
      </c>
      <c r="AO233" s="32">
        <v>-143</v>
      </c>
      <c r="AP233" s="32">
        <v>-1829</v>
      </c>
      <c r="AQ23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3.8739726027397259</v>
      </c>
      <c r="AR233" s="32">
        <v>2505</v>
      </c>
      <c r="AS233" s="32">
        <v>838</v>
      </c>
      <c r="AT233" s="32">
        <v>1774</v>
      </c>
      <c r="AU233" s="32">
        <v>580</v>
      </c>
      <c r="AV233" s="32">
        <v>532</v>
      </c>
      <c r="AW233" s="32">
        <v>2255</v>
      </c>
      <c r="AX233" s="32">
        <v>0</v>
      </c>
      <c r="AY233" s="32">
        <v>0</v>
      </c>
      <c r="AZ233" s="32">
        <v>0</v>
      </c>
      <c r="BA233" s="32">
        <v>0</v>
      </c>
      <c r="BB233" s="32">
        <v>0</v>
      </c>
      <c r="BC233" s="32">
        <v>2190</v>
      </c>
      <c r="BD233" s="34">
        <f>IFERROR(SUM(Entity_Metrics[[#This Row],[Operating surplus/(deficit) (social housing lettings)]])/SUM(Entity_Metrics[[#This Row],[Turnover from social housing lettings]]),"")</f>
        <v>0.36532410320956576</v>
      </c>
      <c r="BE233" s="32">
        <v>4644</v>
      </c>
      <c r="BF233" s="32">
        <v>12712</v>
      </c>
      <c r="BG233" s="34">
        <f>IFERROR(SUM(Entity_Metrics[[#This Row],[Operating surplus/(deficit) (overall)2]],-Entity_Metrics[[#This Row],[Gain/(loss) on disposal of fixed assets (housing properties)2]])/SUM(Entity_Metrics[[#This Row],[Turnover (overall)]]),"")</f>
        <v>0.3610601894286587</v>
      </c>
      <c r="BH233" s="32">
        <v>5524</v>
      </c>
      <c r="BI233" s="32">
        <v>797</v>
      </c>
      <c r="BJ233" s="32">
        <v>13092</v>
      </c>
      <c r="BK233" s="34">
        <f>IFERROR(SUM(Entity_Metrics[[#This Row],[Operating surplus/(deficit) (overall)3]],Entity_Metrics[[#This Row],[Share of operating surplus/(deficit) in joint ventures or associates]])/SUM(Entity_Metrics[[#This Row],[Total assets less current liabilities]]),"")</f>
        <v>5.4629785298218894E-2</v>
      </c>
      <c r="BL233" s="32">
        <v>5524</v>
      </c>
      <c r="BM233" s="32">
        <v>0</v>
      </c>
      <c r="BN233" s="32">
        <v>101117</v>
      </c>
      <c r="BO233" s="34">
        <v>5.4880439043512351E-3</v>
      </c>
      <c r="BP233" s="34">
        <v>9.0160721285770282E-2</v>
      </c>
      <c r="BQ233" s="6" t="s">
        <v>93</v>
      </c>
      <c r="BR233" s="6">
        <v>1994</v>
      </c>
      <c r="BS233" s="6" t="s">
        <v>94</v>
      </c>
      <c r="BT233" s="6" t="s">
        <v>90</v>
      </c>
      <c r="BU233" s="8">
        <v>0.91725842766893284</v>
      </c>
      <c r="BV233" s="37" t="s">
        <v>827</v>
      </c>
      <c r="BW233" s="19" t="s">
        <v>454</v>
      </c>
    </row>
    <row r="234" spans="1:75" x14ac:dyDescent="0.25">
      <c r="A234" s="33" t="s">
        <v>935</v>
      </c>
      <c r="B234" s="7" t="s">
        <v>832</v>
      </c>
      <c r="C234" s="7" t="s">
        <v>81</v>
      </c>
      <c r="D23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2.1722358840831284E-2</v>
      </c>
      <c r="E234" s="32">
        <v>16</v>
      </c>
      <c r="F234" s="32">
        <v>0</v>
      </c>
      <c r="G234" s="32">
        <v>885</v>
      </c>
      <c r="H234" s="32">
        <v>0</v>
      </c>
      <c r="I234" s="32">
        <v>0</v>
      </c>
      <c r="J234" s="32">
        <v>41478</v>
      </c>
      <c r="K234" s="32">
        <v>0</v>
      </c>
      <c r="L23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34" s="32">
        <v>0</v>
      </c>
      <c r="N234" s="32">
        <v>0</v>
      </c>
      <c r="O234" s="32">
        <v>1042</v>
      </c>
      <c r="P234" s="32">
        <v>0</v>
      </c>
      <c r="Q23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4" s="32">
        <v>0</v>
      </c>
      <c r="S234" s="32">
        <v>0</v>
      </c>
      <c r="T234" s="32">
        <v>0</v>
      </c>
      <c r="U234" s="32">
        <v>1042</v>
      </c>
      <c r="V234" s="32">
        <v>0</v>
      </c>
      <c r="W234" s="32">
        <v>0</v>
      </c>
      <c r="X234" s="32">
        <v>0</v>
      </c>
      <c r="Y23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0.50470128742948073</v>
      </c>
      <c r="Z234" s="32">
        <v>31</v>
      </c>
      <c r="AA234" s="32">
        <v>30881</v>
      </c>
      <c r="AB234" s="32">
        <v>9978</v>
      </c>
      <c r="AC234" s="32">
        <v>0</v>
      </c>
      <c r="AD234" s="32">
        <v>0</v>
      </c>
      <c r="AE234" s="32">
        <v>41478</v>
      </c>
      <c r="AF234" s="32">
        <v>0</v>
      </c>
      <c r="AG23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1.058029689608637</v>
      </c>
      <c r="AH234" s="32">
        <v>1809</v>
      </c>
      <c r="AI234" s="32">
        <v>332</v>
      </c>
      <c r="AJ234" s="32">
        <v>188</v>
      </c>
      <c r="AK234" s="32">
        <v>0</v>
      </c>
      <c r="AL234" s="32">
        <v>326</v>
      </c>
      <c r="AM234" s="32">
        <v>885</v>
      </c>
      <c r="AN234" s="32">
        <v>838</v>
      </c>
      <c r="AO234" s="32">
        <v>0</v>
      </c>
      <c r="AP234" s="32">
        <v>-1482</v>
      </c>
      <c r="AQ23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4.157389635316699</v>
      </c>
      <c r="AR234" s="32">
        <v>1112</v>
      </c>
      <c r="AS234" s="32">
        <v>801</v>
      </c>
      <c r="AT234" s="32">
        <v>902</v>
      </c>
      <c r="AU234" s="32">
        <v>54</v>
      </c>
      <c r="AV234" s="32">
        <v>578</v>
      </c>
      <c r="AW234" s="32">
        <v>885</v>
      </c>
      <c r="AX234" s="32">
        <v>0</v>
      </c>
      <c r="AY234" s="32">
        <v>0</v>
      </c>
      <c r="AZ234" s="32">
        <v>0</v>
      </c>
      <c r="BA234" s="32">
        <v>0</v>
      </c>
      <c r="BB234" s="32">
        <v>0</v>
      </c>
      <c r="BC234" s="32">
        <v>1042</v>
      </c>
      <c r="BD234" s="34">
        <f>IFERROR(SUM(Entity_Metrics[[#This Row],[Operating surplus/(deficit) (social housing lettings)]])/SUM(Entity_Metrics[[#This Row],[Turnover from social housing lettings]]),"")</f>
        <v>0.25180598555211559</v>
      </c>
      <c r="BE234" s="32">
        <v>1464</v>
      </c>
      <c r="BF234" s="32">
        <v>5814</v>
      </c>
      <c r="BG234" s="34">
        <f>IFERROR(SUM(Entity_Metrics[[#This Row],[Operating surplus/(deficit) (overall)2]],-Entity_Metrics[[#This Row],[Gain/(loss) on disposal of fixed assets (housing properties)2]])/SUM(Entity_Metrics[[#This Row],[Turnover (overall)]]),"")</f>
        <v>0.25059382422802851</v>
      </c>
      <c r="BH234" s="32">
        <v>1809</v>
      </c>
      <c r="BI234" s="32">
        <v>332</v>
      </c>
      <c r="BJ234" s="32">
        <v>5894</v>
      </c>
      <c r="BK234" s="34">
        <f>IFERROR(SUM(Entity_Metrics[[#This Row],[Operating surplus/(deficit) (overall)3]],Entity_Metrics[[#This Row],[Share of operating surplus/(deficit) in joint ventures or associates]])/SUM(Entity_Metrics[[#This Row],[Total assets less current liabilities]]),"")</f>
        <v>3.5744630401707209E-2</v>
      </c>
      <c r="BL234" s="32">
        <v>1809</v>
      </c>
      <c r="BM234" s="32">
        <v>0</v>
      </c>
      <c r="BN234" s="32">
        <v>50609</v>
      </c>
      <c r="BO234" s="34">
        <v>0</v>
      </c>
      <c r="BP234" s="34">
        <v>0.14356435643564355</v>
      </c>
      <c r="BQ234" s="6" t="s">
        <v>82</v>
      </c>
      <c r="BR234" s="6" t="s">
        <v>83</v>
      </c>
      <c r="BS234" s="6" t="s">
        <v>83</v>
      </c>
      <c r="BT234" s="6" t="s">
        <v>87</v>
      </c>
      <c r="BU234" s="8">
        <v>0.96400923227760549</v>
      </c>
      <c r="BV234" s="37" t="s">
        <v>827</v>
      </c>
      <c r="BW234" s="19" t="s">
        <v>454</v>
      </c>
    </row>
    <row r="235" spans="1:75" x14ac:dyDescent="0.25">
      <c r="A235" s="33" t="s">
        <v>827</v>
      </c>
      <c r="B235" s="7" t="s">
        <v>454</v>
      </c>
      <c r="C235" s="7" t="s">
        <v>81</v>
      </c>
      <c r="D23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5.4484705493982689E-2</v>
      </c>
      <c r="E235" s="32">
        <v>39833</v>
      </c>
      <c r="F235" s="32">
        <v>0</v>
      </c>
      <c r="G235" s="32">
        <v>5060</v>
      </c>
      <c r="H235" s="32">
        <v>0</v>
      </c>
      <c r="I235" s="32">
        <v>0</v>
      </c>
      <c r="J235" s="32">
        <v>823956</v>
      </c>
      <c r="K235" s="32">
        <v>0</v>
      </c>
      <c r="L23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2.5186347587289132E-2</v>
      </c>
      <c r="M235" s="32">
        <v>321</v>
      </c>
      <c r="N235" s="32">
        <v>0</v>
      </c>
      <c r="O235" s="32">
        <v>12745</v>
      </c>
      <c r="P235" s="32">
        <v>0</v>
      </c>
      <c r="Q23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5" s="32">
        <v>0</v>
      </c>
      <c r="S235" s="32">
        <v>0</v>
      </c>
      <c r="T235" s="32">
        <v>0</v>
      </c>
      <c r="U235" s="32">
        <v>12745</v>
      </c>
      <c r="V235" s="32">
        <v>0</v>
      </c>
      <c r="W235" s="32">
        <v>0</v>
      </c>
      <c r="X235" s="32">
        <v>0</v>
      </c>
      <c r="Y23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0.45947477777939599</v>
      </c>
      <c r="Z235" s="32">
        <v>16417</v>
      </c>
      <c r="AA235" s="32">
        <v>414844</v>
      </c>
      <c r="AB235" s="32">
        <v>52674</v>
      </c>
      <c r="AC235" s="32">
        <v>0</v>
      </c>
      <c r="AD235" s="32">
        <v>0</v>
      </c>
      <c r="AE235" s="32">
        <v>823956</v>
      </c>
      <c r="AF235" s="32">
        <v>0</v>
      </c>
      <c r="AG23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1.5541391249606546</v>
      </c>
      <c r="AH235" s="32">
        <v>27201</v>
      </c>
      <c r="AI235" s="32">
        <v>2705</v>
      </c>
      <c r="AJ235" s="32">
        <v>3447</v>
      </c>
      <c r="AK235" s="32">
        <v>0</v>
      </c>
      <c r="AL235" s="32">
        <v>641</v>
      </c>
      <c r="AM235" s="32">
        <v>5060</v>
      </c>
      <c r="AN235" s="32">
        <v>12995</v>
      </c>
      <c r="AO235" s="32">
        <v>-1675</v>
      </c>
      <c r="AP235" s="32">
        <v>-17387</v>
      </c>
      <c r="AQ23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4.917595696577532</v>
      </c>
      <c r="AR235" s="32">
        <v>30279</v>
      </c>
      <c r="AS235" s="32">
        <v>9004</v>
      </c>
      <c r="AT235" s="32">
        <v>10523</v>
      </c>
      <c r="AU235" s="32">
        <v>1728</v>
      </c>
      <c r="AV235" s="32">
        <v>4669</v>
      </c>
      <c r="AW235" s="32">
        <v>5060</v>
      </c>
      <c r="AX235" s="32">
        <v>0</v>
      </c>
      <c r="AY235" s="32">
        <v>815</v>
      </c>
      <c r="AZ235" s="32">
        <v>0</v>
      </c>
      <c r="BA235" s="32">
        <v>1000</v>
      </c>
      <c r="BB235" s="32">
        <v>0</v>
      </c>
      <c r="BC235" s="32">
        <v>12827</v>
      </c>
      <c r="BD235" s="34">
        <f>IFERROR(SUM(Entity_Metrics[[#This Row],[Operating surplus/(deficit) (social housing lettings)]])/SUM(Entity_Metrics[[#This Row],[Turnover from social housing lettings]]),"")</f>
        <v>0.25076121451239386</v>
      </c>
      <c r="BE235" s="32">
        <v>23389</v>
      </c>
      <c r="BF235" s="32">
        <v>93272</v>
      </c>
      <c r="BG235" s="34">
        <f>IFERROR(SUM(Entity_Metrics[[#This Row],[Operating surplus/(deficit) (overall)2]],-Entity_Metrics[[#This Row],[Gain/(loss) on disposal of fixed assets (housing properties)2]])/SUM(Entity_Metrics[[#This Row],[Turnover (overall)]]),"")</f>
        <v>0.23292034725061567</v>
      </c>
      <c r="BH235" s="32">
        <v>27201</v>
      </c>
      <c r="BI235" s="32">
        <v>2705</v>
      </c>
      <c r="BJ235" s="32">
        <v>105169</v>
      </c>
      <c r="BK235" s="34">
        <f>IFERROR(SUM(Entity_Metrics[[#This Row],[Operating surplus/(deficit) (overall)3]],Entity_Metrics[[#This Row],[Share of operating surplus/(deficit) in joint ventures or associates]])/SUM(Entity_Metrics[[#This Row],[Total assets less current liabilities]]),"")</f>
        <v>3.1843271307574791E-2</v>
      </c>
      <c r="BL235" s="32">
        <v>27201</v>
      </c>
      <c r="BM235" s="32">
        <v>0</v>
      </c>
      <c r="BN235" s="32">
        <v>854215</v>
      </c>
      <c r="BO235" s="34">
        <v>2.2466084852674328E-2</v>
      </c>
      <c r="BP235" s="34">
        <v>0.10723235116218785</v>
      </c>
      <c r="BQ235" s="6" t="s">
        <v>82</v>
      </c>
      <c r="BR235" s="6" t="s">
        <v>83</v>
      </c>
      <c r="BS235" s="6" t="s">
        <v>83</v>
      </c>
      <c r="BT235" s="6" t="s">
        <v>87</v>
      </c>
      <c r="BU235" s="8">
        <v>0.99003122933970911</v>
      </c>
      <c r="BV235" s="37" t="s">
        <v>827</v>
      </c>
      <c r="BW235" s="19" t="s">
        <v>454</v>
      </c>
    </row>
    <row r="236" spans="1:75" x14ac:dyDescent="0.25">
      <c r="A236" s="33" t="s">
        <v>833</v>
      </c>
      <c r="B236" s="7" t="s">
        <v>456</v>
      </c>
      <c r="C236" s="7" t="s">
        <v>81</v>
      </c>
      <c r="D23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1.7970738773017407E-2</v>
      </c>
      <c r="E236" s="32">
        <v>2911</v>
      </c>
      <c r="F236" s="32">
        <v>0</v>
      </c>
      <c r="G236" s="32">
        <v>372</v>
      </c>
      <c r="H236" s="32">
        <v>42</v>
      </c>
      <c r="I236" s="32">
        <v>0</v>
      </c>
      <c r="J236" s="32">
        <v>185023</v>
      </c>
      <c r="K236" s="32">
        <v>0</v>
      </c>
      <c r="L23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5.6061667834618077E-3</v>
      </c>
      <c r="M236" s="32">
        <v>16</v>
      </c>
      <c r="N236" s="32">
        <v>0</v>
      </c>
      <c r="O236" s="32">
        <v>2778</v>
      </c>
      <c r="P236" s="32">
        <v>76</v>
      </c>
      <c r="Q23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6" s="32">
        <v>0</v>
      </c>
      <c r="S236" s="32">
        <v>0</v>
      </c>
      <c r="T236" s="32">
        <v>0</v>
      </c>
      <c r="U236" s="32">
        <v>2778</v>
      </c>
      <c r="V236" s="32">
        <v>22</v>
      </c>
      <c r="W236" s="32">
        <v>76</v>
      </c>
      <c r="X236" s="32">
        <v>0</v>
      </c>
      <c r="Y23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0.55132064662231184</v>
      </c>
      <c r="Z236" s="32">
        <v>435</v>
      </c>
      <c r="AA236" s="32">
        <v>101696</v>
      </c>
      <c r="AB236" s="32">
        <v>124</v>
      </c>
      <c r="AC236" s="32">
        <v>0</v>
      </c>
      <c r="AD236" s="32">
        <v>0</v>
      </c>
      <c r="AE236" s="32">
        <v>185023</v>
      </c>
      <c r="AF236" s="32">
        <v>0</v>
      </c>
      <c r="AG23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1.722869722869723</v>
      </c>
      <c r="AH236" s="32">
        <v>6722</v>
      </c>
      <c r="AI236" s="32">
        <v>-386</v>
      </c>
      <c r="AJ236" s="32">
        <v>1232</v>
      </c>
      <c r="AK236" s="32">
        <v>0</v>
      </c>
      <c r="AL236" s="32">
        <v>1</v>
      </c>
      <c r="AM236" s="32">
        <v>372</v>
      </c>
      <c r="AN236" s="32">
        <v>1147</v>
      </c>
      <c r="AO236" s="32">
        <v>-42</v>
      </c>
      <c r="AP236" s="32">
        <v>-3819</v>
      </c>
      <c r="AQ23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2.7667386609071274</v>
      </c>
      <c r="AR236" s="32">
        <v>3589</v>
      </c>
      <c r="AS236" s="32">
        <v>1390</v>
      </c>
      <c r="AT236" s="32">
        <v>2013</v>
      </c>
      <c r="AU236" s="32">
        <v>322</v>
      </c>
      <c r="AV236" s="32">
        <v>0</v>
      </c>
      <c r="AW236" s="32">
        <v>372</v>
      </c>
      <c r="AX236" s="32">
        <v>0</v>
      </c>
      <c r="AY236" s="32">
        <v>0</v>
      </c>
      <c r="AZ236" s="32">
        <v>0</v>
      </c>
      <c r="BA236" s="32">
        <v>0</v>
      </c>
      <c r="BB236" s="32">
        <v>0</v>
      </c>
      <c r="BC236" s="32">
        <v>2778</v>
      </c>
      <c r="BD236" s="34">
        <f>IFERROR(SUM(Entity_Metrics[[#This Row],[Operating surplus/(deficit) (social housing lettings)]])/SUM(Entity_Metrics[[#This Row],[Turnover from social housing lettings]]),"")</f>
        <v>0.43560478152225302</v>
      </c>
      <c r="BE236" s="32">
        <v>6450</v>
      </c>
      <c r="BF236" s="32">
        <v>14807</v>
      </c>
      <c r="BG236" s="34">
        <f>IFERROR(SUM(Entity_Metrics[[#This Row],[Operating surplus/(deficit) (overall)2]],-Entity_Metrics[[#This Row],[Gain/(loss) on disposal of fixed assets (housing properties)2]])/SUM(Entity_Metrics[[#This Row],[Turnover (overall)]]),"")</f>
        <v>0.44763524151394923</v>
      </c>
      <c r="BH236" s="32">
        <v>6722</v>
      </c>
      <c r="BI236" s="32">
        <v>-386</v>
      </c>
      <c r="BJ236" s="32">
        <v>15879</v>
      </c>
      <c r="BK236" s="34">
        <f>IFERROR(SUM(Entity_Metrics[[#This Row],[Operating surplus/(deficit) (overall)3]],Entity_Metrics[[#This Row],[Share of operating surplus/(deficit) in joint ventures or associates]])/SUM(Entity_Metrics[[#This Row],[Total assets less current liabilities]]),"")</f>
        <v>3.4654843532505024E-2</v>
      </c>
      <c r="BL236" s="32">
        <v>6722</v>
      </c>
      <c r="BM236" s="32">
        <v>0</v>
      </c>
      <c r="BN236" s="32">
        <v>193970</v>
      </c>
      <c r="BO236" s="34">
        <v>2.696871628910464E-2</v>
      </c>
      <c r="BP236" s="34">
        <v>0.14814814814814814</v>
      </c>
      <c r="BQ236" s="6" t="s">
        <v>82</v>
      </c>
      <c r="BR236" s="6" t="s">
        <v>83</v>
      </c>
      <c r="BS236" s="6" t="s">
        <v>83</v>
      </c>
      <c r="BT236" s="6" t="s">
        <v>100</v>
      </c>
      <c r="BU236" s="8">
        <v>1.0022399874355168</v>
      </c>
      <c r="BV236" s="37" t="s">
        <v>833</v>
      </c>
      <c r="BW236" s="19" t="s">
        <v>456</v>
      </c>
    </row>
    <row r="237" spans="1:75" x14ac:dyDescent="0.25">
      <c r="A237" s="33" t="s">
        <v>457</v>
      </c>
      <c r="B237" s="7" t="s">
        <v>458</v>
      </c>
      <c r="C237" s="7" t="s">
        <v>81</v>
      </c>
      <c r="D237" s="34" t="str">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
      </c>
      <c r="E237" s="32">
        <v>0</v>
      </c>
      <c r="F237" s="32">
        <v>0</v>
      </c>
      <c r="G237" s="32">
        <v>0</v>
      </c>
      <c r="H237" s="32">
        <v>0</v>
      </c>
      <c r="I237" s="32">
        <v>0</v>
      </c>
      <c r="J237" s="32">
        <v>0</v>
      </c>
      <c r="K237" s="32">
        <v>0</v>
      </c>
      <c r="L237" s="34" t="str">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
      </c>
      <c r="M237" s="32">
        <v>0</v>
      </c>
      <c r="N237" s="32">
        <v>0</v>
      </c>
      <c r="O237" s="32">
        <v>0</v>
      </c>
      <c r="P237" s="32">
        <v>0</v>
      </c>
      <c r="Q237" s="36" t="str">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
      </c>
      <c r="R237" s="32">
        <v>0</v>
      </c>
      <c r="S237" s="32">
        <v>0</v>
      </c>
      <c r="T237" s="32">
        <v>0</v>
      </c>
      <c r="U237" s="32">
        <v>0</v>
      </c>
      <c r="V237" s="32">
        <v>0</v>
      </c>
      <c r="W237" s="32">
        <v>0</v>
      </c>
      <c r="X237" s="32">
        <v>0</v>
      </c>
      <c r="Y237" s="34" t="str">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
      </c>
      <c r="Z237" s="32">
        <v>0</v>
      </c>
      <c r="AA237" s="32">
        <v>0</v>
      </c>
      <c r="AB237" s="32">
        <v>637</v>
      </c>
      <c r="AC237" s="32">
        <v>0</v>
      </c>
      <c r="AD237" s="32">
        <v>0</v>
      </c>
      <c r="AE237" s="32">
        <v>0</v>
      </c>
      <c r="AF237" s="32">
        <v>0</v>
      </c>
      <c r="AG237" s="34" t="str">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
      </c>
      <c r="AH237" s="32">
        <v>428</v>
      </c>
      <c r="AI237" s="32">
        <v>0</v>
      </c>
      <c r="AJ237" s="32">
        <v>0</v>
      </c>
      <c r="AK237" s="32">
        <v>0</v>
      </c>
      <c r="AL237" s="32">
        <v>1</v>
      </c>
      <c r="AM237" s="32">
        <v>0</v>
      </c>
      <c r="AN237" s="32">
        <v>11</v>
      </c>
      <c r="AO237" s="32">
        <v>0</v>
      </c>
      <c r="AP237" s="32">
        <v>0</v>
      </c>
      <c r="AQ23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8.0241014799154335</v>
      </c>
      <c r="AR237" s="32">
        <v>1735</v>
      </c>
      <c r="AS237" s="32">
        <v>17242</v>
      </c>
      <c r="AT237" s="32">
        <v>0</v>
      </c>
      <c r="AU237" s="32">
        <v>0</v>
      </c>
      <c r="AV237" s="32">
        <v>0</v>
      </c>
      <c r="AW237" s="32">
        <v>0</v>
      </c>
      <c r="AX237" s="32">
        <v>0</v>
      </c>
      <c r="AY237" s="32">
        <v>0</v>
      </c>
      <c r="AZ237" s="32">
        <v>0</v>
      </c>
      <c r="BA237" s="32">
        <v>0</v>
      </c>
      <c r="BB237" s="32">
        <v>0</v>
      </c>
      <c r="BC237" s="32">
        <v>2365</v>
      </c>
      <c r="BD237" s="34">
        <f>IFERROR(SUM(Entity_Metrics[[#This Row],[Operating surplus/(deficit) (social housing lettings)]])/SUM(Entity_Metrics[[#This Row],[Turnover from social housing lettings]]),"")</f>
        <v>2.2056171089925278E-2</v>
      </c>
      <c r="BE237" s="32">
        <v>428</v>
      </c>
      <c r="BF237" s="32">
        <v>19405</v>
      </c>
      <c r="BG237" s="34">
        <f>IFERROR(SUM(Entity_Metrics[[#This Row],[Operating surplus/(deficit) (overall)2]],-Entity_Metrics[[#This Row],[Gain/(loss) on disposal of fixed assets (housing properties)2]])/SUM(Entity_Metrics[[#This Row],[Turnover (overall)]]),"")</f>
        <v>2.2056171089925278E-2</v>
      </c>
      <c r="BH237" s="32">
        <v>428</v>
      </c>
      <c r="BI237" s="32">
        <v>0</v>
      </c>
      <c r="BJ237" s="32">
        <v>19405</v>
      </c>
      <c r="BK237" s="34">
        <f>IFERROR(SUM(Entity_Metrics[[#This Row],[Operating surplus/(deficit) (overall)3]],Entity_Metrics[[#This Row],[Share of operating surplus/(deficit) in joint ventures or associates]])/SUM(Entity_Metrics[[#This Row],[Total assets less current liabilities]]),"")</f>
        <v>0.8075471698113208</v>
      </c>
      <c r="BL237" s="32">
        <v>428</v>
      </c>
      <c r="BM237" s="32">
        <v>0</v>
      </c>
      <c r="BN237" s="32">
        <v>530</v>
      </c>
      <c r="BO237" s="34">
        <v>1</v>
      </c>
      <c r="BP237" s="34">
        <v>0</v>
      </c>
      <c r="BQ237" s="6" t="s">
        <v>82</v>
      </c>
      <c r="BR237" s="6" t="s">
        <v>83</v>
      </c>
      <c r="BS237" s="6" t="s">
        <v>83</v>
      </c>
      <c r="BT237" s="6" t="s">
        <v>90</v>
      </c>
      <c r="BU237" s="8">
        <v>0.91572545098940239</v>
      </c>
      <c r="BV237" s="37">
        <v>4687</v>
      </c>
      <c r="BW237" s="19" t="s">
        <v>458</v>
      </c>
    </row>
    <row r="238" spans="1:75" x14ac:dyDescent="0.25">
      <c r="A238" s="33" t="s">
        <v>834</v>
      </c>
      <c r="B238" s="7" t="s">
        <v>460</v>
      </c>
      <c r="C238" s="7" t="s">
        <v>81</v>
      </c>
      <c r="D23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6.3533325255818562E-2</v>
      </c>
      <c r="E238" s="32">
        <v>0</v>
      </c>
      <c r="F238" s="32">
        <v>40182</v>
      </c>
      <c r="G238" s="32">
        <v>4661</v>
      </c>
      <c r="H238" s="32">
        <v>1301</v>
      </c>
      <c r="I238" s="32">
        <v>0</v>
      </c>
      <c r="J238" s="32">
        <v>726296</v>
      </c>
      <c r="K238" s="32">
        <v>0</v>
      </c>
      <c r="L23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2.0212765957446808E-3</v>
      </c>
      <c r="M238" s="32">
        <v>19</v>
      </c>
      <c r="N238" s="32">
        <v>0</v>
      </c>
      <c r="O238" s="32">
        <v>8637</v>
      </c>
      <c r="P238" s="32">
        <v>763</v>
      </c>
      <c r="Q23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8" s="32">
        <v>0</v>
      </c>
      <c r="S238" s="32">
        <v>0</v>
      </c>
      <c r="T238" s="32">
        <v>0</v>
      </c>
      <c r="U238" s="32">
        <v>8637</v>
      </c>
      <c r="V238" s="32">
        <v>0</v>
      </c>
      <c r="W238" s="32">
        <v>763</v>
      </c>
      <c r="X238" s="32">
        <v>0</v>
      </c>
      <c r="Y23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0.63642647075021752</v>
      </c>
      <c r="Z238" s="32">
        <v>0</v>
      </c>
      <c r="AA238" s="32">
        <v>468788</v>
      </c>
      <c r="AB238" s="32">
        <v>9577</v>
      </c>
      <c r="AC238" s="32">
        <v>0</v>
      </c>
      <c r="AD238" s="32">
        <v>3023</v>
      </c>
      <c r="AE238" s="32">
        <v>726296</v>
      </c>
      <c r="AF238" s="32">
        <v>0</v>
      </c>
      <c r="AG23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1.3356503933613535</v>
      </c>
      <c r="AH238" s="32">
        <v>21269</v>
      </c>
      <c r="AI238" s="32">
        <v>510</v>
      </c>
      <c r="AJ238" s="32">
        <v>515</v>
      </c>
      <c r="AK238" s="32">
        <v>0</v>
      </c>
      <c r="AL238" s="32">
        <v>1455</v>
      </c>
      <c r="AM238" s="32">
        <v>4661</v>
      </c>
      <c r="AN238" s="32">
        <v>7749</v>
      </c>
      <c r="AO238" s="32">
        <v>-1301</v>
      </c>
      <c r="AP238" s="32">
        <v>-17257</v>
      </c>
      <c r="AQ23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4.872022864401397</v>
      </c>
      <c r="AR238" s="32">
        <v>11589</v>
      </c>
      <c r="AS238" s="32">
        <v>3330</v>
      </c>
      <c r="AT238" s="32">
        <v>4241</v>
      </c>
      <c r="AU238" s="32">
        <v>6258</v>
      </c>
      <c r="AV238" s="32">
        <v>0</v>
      </c>
      <c r="AW238" s="32">
        <v>4661</v>
      </c>
      <c r="AX238" s="32">
        <v>0</v>
      </c>
      <c r="AY238" s="32">
        <v>0</v>
      </c>
      <c r="AZ238" s="32">
        <v>0</v>
      </c>
      <c r="BA238" s="32">
        <v>13889</v>
      </c>
      <c r="BB238" s="32">
        <v>2058</v>
      </c>
      <c r="BC238" s="32">
        <v>9447</v>
      </c>
      <c r="BD238" s="34">
        <f>IFERROR(SUM(Entity_Metrics[[#This Row],[Operating surplus/(deficit) (social housing lettings)]])/SUM(Entity_Metrics[[#This Row],[Turnover from social housing lettings]]),"")</f>
        <v>0.44379434412724034</v>
      </c>
      <c r="BE238" s="32">
        <v>26396</v>
      </c>
      <c r="BF238" s="32">
        <v>59478</v>
      </c>
      <c r="BG238" s="34">
        <f>IFERROR(SUM(Entity_Metrics[[#This Row],[Operating surplus/(deficit) (overall)2]],-Entity_Metrics[[#This Row],[Gain/(loss) on disposal of fixed assets (housing properties)2]])/SUM(Entity_Metrics[[#This Row],[Turnover (overall)]]),"")</f>
        <v>0.29205942767100929</v>
      </c>
      <c r="BH238" s="32">
        <v>21269</v>
      </c>
      <c r="BI238" s="32">
        <v>510</v>
      </c>
      <c r="BJ238" s="32">
        <v>71078</v>
      </c>
      <c r="BK238" s="34">
        <f>IFERROR(SUM(Entity_Metrics[[#This Row],[Operating surplus/(deficit) (overall)3]],Entity_Metrics[[#This Row],[Share of operating surplus/(deficit) in joint ventures or associates]])/SUM(Entity_Metrics[[#This Row],[Total assets less current liabilities]]),"")</f>
        <v>2.6278885584482495E-2</v>
      </c>
      <c r="BL238" s="32">
        <v>21269</v>
      </c>
      <c r="BM238" s="32">
        <v>0</v>
      </c>
      <c r="BN238" s="32">
        <v>809357</v>
      </c>
      <c r="BO238" s="34">
        <v>3.05661688086141E-2</v>
      </c>
      <c r="BP238" s="34">
        <v>9.1466944540928557E-3</v>
      </c>
      <c r="BQ238" s="6" t="s">
        <v>82</v>
      </c>
      <c r="BR238" s="6" t="s">
        <v>83</v>
      </c>
      <c r="BS238" s="6" t="s">
        <v>83</v>
      </c>
      <c r="BT238" s="6" t="s">
        <v>100</v>
      </c>
      <c r="BU238" s="8">
        <v>1.0944701154790113</v>
      </c>
      <c r="BV238" s="37" t="s">
        <v>834</v>
      </c>
      <c r="BW238" s="19" t="s">
        <v>460</v>
      </c>
    </row>
    <row r="239" spans="1:75" x14ac:dyDescent="0.25">
      <c r="A239" s="33" t="s">
        <v>936</v>
      </c>
      <c r="B239" s="7" t="s">
        <v>835</v>
      </c>
      <c r="C239" s="7" t="s">
        <v>81</v>
      </c>
      <c r="D23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6.8769107117297973E-2</v>
      </c>
      <c r="E239" s="32">
        <v>0</v>
      </c>
      <c r="F239" s="32">
        <v>33261</v>
      </c>
      <c r="G239" s="32">
        <v>4215</v>
      </c>
      <c r="H239" s="32">
        <v>0</v>
      </c>
      <c r="I239" s="32">
        <v>0</v>
      </c>
      <c r="J239" s="32">
        <v>544954</v>
      </c>
      <c r="K239" s="32">
        <v>0</v>
      </c>
      <c r="L23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2.4154589371980676E-2</v>
      </c>
      <c r="M239" s="32">
        <v>245</v>
      </c>
      <c r="N239" s="32">
        <v>0</v>
      </c>
      <c r="O239" s="32">
        <v>9646</v>
      </c>
      <c r="P239" s="32">
        <v>497</v>
      </c>
      <c r="Q23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39" s="32">
        <v>0</v>
      </c>
      <c r="S239" s="32">
        <v>0</v>
      </c>
      <c r="T239" s="32">
        <v>0</v>
      </c>
      <c r="U239" s="32">
        <v>9646</v>
      </c>
      <c r="V239" s="32">
        <v>88</v>
      </c>
      <c r="W239" s="32">
        <v>497</v>
      </c>
      <c r="X239" s="32">
        <v>0</v>
      </c>
      <c r="Y23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0.46636596850376361</v>
      </c>
      <c r="Z239" s="32">
        <v>1520</v>
      </c>
      <c r="AA239" s="32">
        <v>187401</v>
      </c>
      <c r="AB239" s="32">
        <v>48285</v>
      </c>
      <c r="AC239" s="32">
        <v>113512</v>
      </c>
      <c r="AD239" s="32">
        <v>0</v>
      </c>
      <c r="AE239" s="32">
        <v>544954</v>
      </c>
      <c r="AF239" s="32">
        <v>0</v>
      </c>
      <c r="AG23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1.9573204973926996</v>
      </c>
      <c r="AH239" s="32">
        <v>19761</v>
      </c>
      <c r="AI239" s="32">
        <v>0</v>
      </c>
      <c r="AJ239" s="32">
        <v>89</v>
      </c>
      <c r="AK239" s="32">
        <v>0</v>
      </c>
      <c r="AL239" s="32">
        <v>1059</v>
      </c>
      <c r="AM239" s="32">
        <v>4685</v>
      </c>
      <c r="AN239" s="32">
        <v>8352</v>
      </c>
      <c r="AO239" s="32">
        <v>-1503</v>
      </c>
      <c r="AP239" s="32">
        <v>-10962</v>
      </c>
      <c r="AQ23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3.3028771785088171</v>
      </c>
      <c r="AR239" s="32">
        <v>10308</v>
      </c>
      <c r="AS239" s="32">
        <v>4455</v>
      </c>
      <c r="AT239" s="32">
        <v>4554</v>
      </c>
      <c r="AU239" s="32">
        <v>2491</v>
      </c>
      <c r="AV239" s="32">
        <v>4610</v>
      </c>
      <c r="AW239" s="32">
        <v>4685</v>
      </c>
      <c r="AX239" s="32">
        <v>0</v>
      </c>
      <c r="AY239" s="32">
        <v>0</v>
      </c>
      <c r="AZ239" s="32">
        <v>222</v>
      </c>
      <c r="BA239" s="32">
        <v>703</v>
      </c>
      <c r="BB239" s="32">
        <v>0</v>
      </c>
      <c r="BC239" s="32">
        <v>9697</v>
      </c>
      <c r="BD239" s="34">
        <f>IFERROR(SUM(Entity_Metrics[[#This Row],[Operating surplus/(deficit) (social housing lettings)]])/SUM(Entity_Metrics[[#This Row],[Turnover from social housing lettings]]),"")</f>
        <v>0.33185789836744078</v>
      </c>
      <c r="BE239" s="32">
        <v>17319</v>
      </c>
      <c r="BF239" s="32">
        <v>52188</v>
      </c>
      <c r="BG239" s="34">
        <f>IFERROR(SUM(Entity_Metrics[[#This Row],[Operating surplus/(deficit) (overall)2]],-Entity_Metrics[[#This Row],[Gain/(loss) on disposal of fixed assets (housing properties)2]])/SUM(Entity_Metrics[[#This Row],[Turnover (overall)]]),"")</f>
        <v>0.29896064993418964</v>
      </c>
      <c r="BH239" s="32">
        <v>19761</v>
      </c>
      <c r="BI239" s="32">
        <v>0</v>
      </c>
      <c r="BJ239" s="32">
        <v>66099</v>
      </c>
      <c r="BK239" s="34">
        <f>IFERROR(SUM(Entity_Metrics[[#This Row],[Operating surplus/(deficit) (overall)3]],Entity_Metrics[[#This Row],[Share of operating surplus/(deficit) in joint ventures or associates]])/SUM(Entity_Metrics[[#This Row],[Total assets less current liabilities]]),"")</f>
        <v>3.2161620238660996E-2</v>
      </c>
      <c r="BL239" s="32">
        <v>19761</v>
      </c>
      <c r="BM239" s="32">
        <v>0</v>
      </c>
      <c r="BN239" s="32">
        <v>614428</v>
      </c>
      <c r="BO239" s="34">
        <v>4.9968899025502798E-2</v>
      </c>
      <c r="BP239" s="34">
        <v>0.13839933651254405</v>
      </c>
      <c r="BQ239" s="6" t="s">
        <v>93</v>
      </c>
      <c r="BR239" s="6">
        <v>2000</v>
      </c>
      <c r="BS239" s="6" t="s">
        <v>94</v>
      </c>
      <c r="BT239" s="6" t="s">
        <v>115</v>
      </c>
      <c r="BU239" s="8">
        <v>0.96843808774750506</v>
      </c>
      <c r="BV239" s="37" t="s">
        <v>587</v>
      </c>
      <c r="BW239" s="19" t="s">
        <v>114</v>
      </c>
    </row>
    <row r="240" spans="1:75" x14ac:dyDescent="0.25">
      <c r="A240" s="33" t="s">
        <v>836</v>
      </c>
      <c r="B240" s="7" t="s">
        <v>837</v>
      </c>
      <c r="C240" s="7" t="s">
        <v>81</v>
      </c>
      <c r="D24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9.357855687339986E-2</v>
      </c>
      <c r="E240" s="32">
        <v>943</v>
      </c>
      <c r="F240" s="32">
        <v>282</v>
      </c>
      <c r="G240" s="32">
        <v>558</v>
      </c>
      <c r="H240" s="32">
        <v>8</v>
      </c>
      <c r="I240" s="32">
        <v>0</v>
      </c>
      <c r="J240" s="32">
        <v>19139</v>
      </c>
      <c r="K240" s="32">
        <v>0</v>
      </c>
      <c r="L24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40" s="32">
        <v>0</v>
      </c>
      <c r="N240" s="32">
        <v>0</v>
      </c>
      <c r="O240" s="32">
        <v>817</v>
      </c>
      <c r="P240" s="32">
        <v>6</v>
      </c>
      <c r="Q24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0" s="32">
        <v>0</v>
      </c>
      <c r="S240" s="32">
        <v>0</v>
      </c>
      <c r="T240" s="32">
        <v>0</v>
      </c>
      <c r="U240" s="32">
        <v>817</v>
      </c>
      <c r="V240" s="32">
        <v>0</v>
      </c>
      <c r="W240" s="32">
        <v>6</v>
      </c>
      <c r="X240" s="32">
        <v>0</v>
      </c>
      <c r="Y24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0.60159882961492239</v>
      </c>
      <c r="Z240" s="32">
        <v>0</v>
      </c>
      <c r="AA240" s="32">
        <v>12144</v>
      </c>
      <c r="AB240" s="32">
        <v>630</v>
      </c>
      <c r="AC240" s="32">
        <v>0</v>
      </c>
      <c r="AD240" s="32">
        <v>0</v>
      </c>
      <c r="AE240" s="32">
        <v>19139</v>
      </c>
      <c r="AF240" s="32">
        <v>0</v>
      </c>
      <c r="AG24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2.7755681818181817</v>
      </c>
      <c r="AH240" s="32">
        <v>1179</v>
      </c>
      <c r="AI240" s="32">
        <v>82</v>
      </c>
      <c r="AJ240" s="32">
        <v>18</v>
      </c>
      <c r="AK240" s="32">
        <v>0</v>
      </c>
      <c r="AL240" s="32">
        <v>2</v>
      </c>
      <c r="AM240" s="32">
        <v>558</v>
      </c>
      <c r="AN240" s="32">
        <v>454</v>
      </c>
      <c r="AO240" s="32">
        <v>-8</v>
      </c>
      <c r="AP240" s="32">
        <v>-344</v>
      </c>
      <c r="AQ24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2.2187784867821332</v>
      </c>
      <c r="AR240" s="32">
        <v>693</v>
      </c>
      <c r="AS240" s="32">
        <v>55</v>
      </c>
      <c r="AT240" s="32">
        <v>448</v>
      </c>
      <c r="AU240" s="32">
        <v>318</v>
      </c>
      <c r="AV240" s="32">
        <v>301</v>
      </c>
      <c r="AW240" s="32">
        <v>558</v>
      </c>
      <c r="AX240" s="32">
        <v>0</v>
      </c>
      <c r="AY240" s="32">
        <v>0</v>
      </c>
      <c r="AZ240" s="32">
        <v>0</v>
      </c>
      <c r="BA240" s="32">
        <v>61</v>
      </c>
      <c r="BB240" s="32">
        <v>0</v>
      </c>
      <c r="BC240" s="32">
        <v>1097</v>
      </c>
      <c r="BD240" s="34">
        <f>IFERROR(SUM(Entity_Metrics[[#This Row],[Operating surplus/(deficit) (social housing lettings)]])/SUM(Entity_Metrics[[#This Row],[Turnover from social housing lettings]]),"")</f>
        <v>0.33195876288659792</v>
      </c>
      <c r="BE240" s="32">
        <v>1127</v>
      </c>
      <c r="BF240" s="32">
        <v>3395</v>
      </c>
      <c r="BG240" s="34">
        <f>IFERROR(SUM(Entity_Metrics[[#This Row],[Operating surplus/(deficit) (overall)2]],-Entity_Metrics[[#This Row],[Gain/(loss) on disposal of fixed assets (housing properties)2]])/SUM(Entity_Metrics[[#This Row],[Turnover (overall)]]),"")</f>
        <v>0.32019848219497959</v>
      </c>
      <c r="BH240" s="32">
        <v>1179</v>
      </c>
      <c r="BI240" s="32">
        <v>82</v>
      </c>
      <c r="BJ240" s="32">
        <v>3426</v>
      </c>
      <c r="BK240" s="34">
        <f>IFERROR(SUM(Entity_Metrics[[#This Row],[Operating surplus/(deficit) (overall)3]],Entity_Metrics[[#This Row],[Share of operating surplus/(deficit) in joint ventures or associates]])/SUM(Entity_Metrics[[#This Row],[Total assets less current liabilities]]),"")</f>
        <v>5.9899405578417927E-2</v>
      </c>
      <c r="BL240" s="32">
        <v>1179</v>
      </c>
      <c r="BM240" s="32">
        <v>0</v>
      </c>
      <c r="BN240" s="32">
        <v>19683</v>
      </c>
      <c r="BO240" s="34">
        <v>0</v>
      </c>
      <c r="BP240" s="34">
        <v>0</v>
      </c>
      <c r="BQ240" s="6" t="s">
        <v>93</v>
      </c>
      <c r="BR240" s="6">
        <v>2006</v>
      </c>
      <c r="BS240" s="6" t="s">
        <v>94</v>
      </c>
      <c r="BT240" s="6" t="s">
        <v>121</v>
      </c>
      <c r="BU240" s="8">
        <v>0.9026647648742484</v>
      </c>
      <c r="BV240" s="37" t="s">
        <v>645</v>
      </c>
      <c r="BW240" s="19" t="s">
        <v>334</v>
      </c>
    </row>
    <row r="241" spans="1:75" x14ac:dyDescent="0.25">
      <c r="A241" s="33" t="s">
        <v>838</v>
      </c>
      <c r="B241" s="7" t="s">
        <v>839</v>
      </c>
      <c r="C241" s="7" t="s">
        <v>81</v>
      </c>
      <c r="D24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5.3816530068134687E-2</v>
      </c>
      <c r="E241" s="32">
        <v>3790</v>
      </c>
      <c r="F241" s="32">
        <v>0</v>
      </c>
      <c r="G241" s="32">
        <v>2750</v>
      </c>
      <c r="H241" s="32">
        <v>0</v>
      </c>
      <c r="I241" s="32">
        <v>0</v>
      </c>
      <c r="J241" s="32">
        <v>121524</v>
      </c>
      <c r="K241" s="32">
        <v>0</v>
      </c>
      <c r="L24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1.0767531750414136E-2</v>
      </c>
      <c r="M241" s="32">
        <v>39</v>
      </c>
      <c r="N241" s="32">
        <v>0</v>
      </c>
      <c r="O241" s="32">
        <v>3622</v>
      </c>
      <c r="P241" s="32">
        <v>0</v>
      </c>
      <c r="Q24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1" s="32">
        <v>0</v>
      </c>
      <c r="S241" s="32">
        <v>0</v>
      </c>
      <c r="T241" s="32">
        <v>0</v>
      </c>
      <c r="U241" s="32">
        <v>3622</v>
      </c>
      <c r="V241" s="32">
        <v>0</v>
      </c>
      <c r="W241" s="32">
        <v>0</v>
      </c>
      <c r="X241" s="32">
        <v>0</v>
      </c>
      <c r="Y24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0.25958658372008819</v>
      </c>
      <c r="Z241" s="32">
        <v>0</v>
      </c>
      <c r="AA241" s="32">
        <v>46849</v>
      </c>
      <c r="AB241" s="32">
        <v>15416</v>
      </c>
      <c r="AC241" s="32">
        <v>0</v>
      </c>
      <c r="AD241" s="32">
        <v>113</v>
      </c>
      <c r="AE241" s="32">
        <v>121524</v>
      </c>
      <c r="AF241" s="32">
        <v>0</v>
      </c>
      <c r="AG24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2.3368869936034113</v>
      </c>
      <c r="AH241" s="32">
        <v>7948</v>
      </c>
      <c r="AI241" s="32">
        <v>513</v>
      </c>
      <c r="AJ241" s="32">
        <v>66</v>
      </c>
      <c r="AK241" s="32">
        <v>0</v>
      </c>
      <c r="AL241" s="32">
        <v>61</v>
      </c>
      <c r="AM241" s="32">
        <v>2750</v>
      </c>
      <c r="AN241" s="32">
        <v>1896</v>
      </c>
      <c r="AO241" s="32">
        <v>-202</v>
      </c>
      <c r="AP241" s="32">
        <v>-2612</v>
      </c>
      <c r="AQ24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3.1027960526315788</v>
      </c>
      <c r="AR241" s="32">
        <v>3478</v>
      </c>
      <c r="AS241" s="32">
        <v>858</v>
      </c>
      <c r="AT241" s="32">
        <v>2044</v>
      </c>
      <c r="AU241" s="32">
        <v>601</v>
      </c>
      <c r="AV241" s="32">
        <v>1335</v>
      </c>
      <c r="AW241" s="32">
        <v>2750</v>
      </c>
      <c r="AX241" s="32">
        <v>24</v>
      </c>
      <c r="AY241" s="32">
        <v>0</v>
      </c>
      <c r="AZ241" s="32">
        <v>0</v>
      </c>
      <c r="BA241" s="32">
        <v>40</v>
      </c>
      <c r="BB241" s="32">
        <v>189</v>
      </c>
      <c r="BC241" s="32">
        <v>3648</v>
      </c>
      <c r="BD241" s="34">
        <f>IFERROR(SUM(Entity_Metrics[[#This Row],[Operating surplus/(deficit) (social housing lettings)]])/SUM(Entity_Metrics[[#This Row],[Turnover from social housing lettings]]),"")</f>
        <v>0.40855738652789825</v>
      </c>
      <c r="BE241" s="32">
        <v>7066</v>
      </c>
      <c r="BF241" s="32">
        <v>17295</v>
      </c>
      <c r="BG241" s="34">
        <f>IFERROR(SUM(Entity_Metrics[[#This Row],[Operating surplus/(deficit) (overall)2]],-Entity_Metrics[[#This Row],[Gain/(loss) on disposal of fixed assets (housing properties)2]])/SUM(Entity_Metrics[[#This Row],[Turnover (overall)]]),"")</f>
        <v>0.40061425723368715</v>
      </c>
      <c r="BH241" s="32">
        <v>7948</v>
      </c>
      <c r="BI241" s="32">
        <v>513</v>
      </c>
      <c r="BJ241" s="32">
        <v>18559</v>
      </c>
      <c r="BK241" s="34">
        <f>IFERROR(SUM(Entity_Metrics[[#This Row],[Operating surplus/(deficit) (overall)3]],Entity_Metrics[[#This Row],[Share of operating surplus/(deficit) in joint ventures or associates]])/SUM(Entity_Metrics[[#This Row],[Total assets less current liabilities]]),"")</f>
        <v>5.7503780287518902E-2</v>
      </c>
      <c r="BL241" s="32">
        <v>7948</v>
      </c>
      <c r="BM241" s="32">
        <v>0</v>
      </c>
      <c r="BN241" s="32">
        <v>138217</v>
      </c>
      <c r="BO241" s="34">
        <v>0</v>
      </c>
      <c r="BP241" s="34">
        <v>0.27679558011049726</v>
      </c>
      <c r="BQ241" s="6" t="s">
        <v>93</v>
      </c>
      <c r="BR241" s="6">
        <v>2004</v>
      </c>
      <c r="BS241" s="6" t="s">
        <v>94</v>
      </c>
      <c r="BT241" s="6" t="s">
        <v>115</v>
      </c>
      <c r="BU241" s="8">
        <v>0.96617455710897804</v>
      </c>
      <c r="BV241" s="37" t="s">
        <v>838</v>
      </c>
      <c r="BW241" s="19" t="s">
        <v>462</v>
      </c>
    </row>
    <row r="242" spans="1:75" x14ac:dyDescent="0.25">
      <c r="A242" s="33" t="s">
        <v>840</v>
      </c>
      <c r="B242" s="7" t="s">
        <v>841</v>
      </c>
      <c r="C242" s="7" t="s">
        <v>81</v>
      </c>
      <c r="D24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2.8252463975865335E-2</v>
      </c>
      <c r="E242" s="32">
        <v>23098</v>
      </c>
      <c r="F242" s="32">
        <v>0</v>
      </c>
      <c r="G242" s="32">
        <v>3667</v>
      </c>
      <c r="H242" s="32">
        <v>0</v>
      </c>
      <c r="I242" s="32">
        <v>0</v>
      </c>
      <c r="J242" s="32">
        <v>947351</v>
      </c>
      <c r="K242" s="32">
        <v>0</v>
      </c>
      <c r="L24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1.2260680939356786E-2</v>
      </c>
      <c r="M242" s="32">
        <v>130</v>
      </c>
      <c r="N242" s="32">
        <v>0</v>
      </c>
      <c r="O242" s="32">
        <v>10603</v>
      </c>
      <c r="P242" s="32">
        <v>0</v>
      </c>
      <c r="Q24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2" s="32">
        <v>0</v>
      </c>
      <c r="S242" s="32">
        <v>0</v>
      </c>
      <c r="T242" s="32">
        <v>0</v>
      </c>
      <c r="U242" s="32">
        <v>10603</v>
      </c>
      <c r="V242" s="32">
        <v>532</v>
      </c>
      <c r="W242" s="32">
        <v>0</v>
      </c>
      <c r="X242" s="32">
        <v>0</v>
      </c>
      <c r="Y24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0.59499066343942209</v>
      </c>
      <c r="Z242" s="32">
        <v>4781</v>
      </c>
      <c r="AA242" s="32">
        <v>573656</v>
      </c>
      <c r="AB242" s="32">
        <v>14772</v>
      </c>
      <c r="AC242" s="32">
        <v>0</v>
      </c>
      <c r="AD242" s="32">
        <v>0</v>
      </c>
      <c r="AE242" s="32">
        <v>947351</v>
      </c>
      <c r="AF242" s="32">
        <v>0</v>
      </c>
      <c r="AG24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1.7166845781837721</v>
      </c>
      <c r="AH242" s="32">
        <v>39617</v>
      </c>
      <c r="AI242" s="32">
        <v>7609</v>
      </c>
      <c r="AJ242" s="32">
        <v>104</v>
      </c>
      <c r="AK242" s="32">
        <v>18</v>
      </c>
      <c r="AL242" s="32">
        <v>925</v>
      </c>
      <c r="AM242" s="32">
        <v>3667</v>
      </c>
      <c r="AN242" s="32">
        <v>9193</v>
      </c>
      <c r="AO242" s="32">
        <v>-802</v>
      </c>
      <c r="AP242" s="32">
        <v>-21530</v>
      </c>
      <c r="AQ24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3.476185985098557</v>
      </c>
      <c r="AR242" s="32">
        <v>4353</v>
      </c>
      <c r="AS242" s="32">
        <v>10615</v>
      </c>
      <c r="AT242" s="32">
        <v>8796</v>
      </c>
      <c r="AU242" s="32">
        <v>1193</v>
      </c>
      <c r="AV242" s="32">
        <v>1877</v>
      </c>
      <c r="AW242" s="32">
        <v>3667</v>
      </c>
      <c r="AX242" s="32">
        <v>536</v>
      </c>
      <c r="AY242" s="32">
        <v>0</v>
      </c>
      <c r="AZ242" s="32">
        <v>0</v>
      </c>
      <c r="BA242" s="32">
        <v>5821</v>
      </c>
      <c r="BB242" s="32">
        <v>0</v>
      </c>
      <c r="BC242" s="32">
        <v>10603</v>
      </c>
      <c r="BD242" s="34">
        <f>IFERROR(SUM(Entity_Metrics[[#This Row],[Operating surplus/(deficit) (social housing lettings)]])/SUM(Entity_Metrics[[#This Row],[Turnover from social housing lettings]]),"")</f>
        <v>0.44878187562703081</v>
      </c>
      <c r="BE242" s="32">
        <v>29971</v>
      </c>
      <c r="BF242" s="32">
        <v>66783</v>
      </c>
      <c r="BG242" s="34">
        <f>IFERROR(SUM(Entity_Metrics[[#This Row],[Operating surplus/(deficit) (overall)2]],-Entity_Metrics[[#This Row],[Gain/(loss) on disposal of fixed assets (housing properties)2]])/SUM(Entity_Metrics[[#This Row],[Turnover (overall)]]),"")</f>
        <v>0.42210763691991193</v>
      </c>
      <c r="BH242" s="32">
        <v>39617</v>
      </c>
      <c r="BI242" s="32">
        <v>7609</v>
      </c>
      <c r="BJ242" s="32">
        <v>75829</v>
      </c>
      <c r="BK242" s="34">
        <f>IFERROR(SUM(Entity_Metrics[[#This Row],[Operating surplus/(deficit) (overall)3]],Entity_Metrics[[#This Row],[Share of operating surplus/(deficit) in joint ventures or associates]])/SUM(Entity_Metrics[[#This Row],[Total assets less current liabilities]]),"")</f>
        <v>3.3105344302432949E-2</v>
      </c>
      <c r="BL242" s="32">
        <v>39617</v>
      </c>
      <c r="BM242" s="32">
        <v>0</v>
      </c>
      <c r="BN242" s="32">
        <v>1196695</v>
      </c>
      <c r="BO242" s="34">
        <v>0</v>
      </c>
      <c r="BP242" s="34">
        <v>1.8100409640849767E-3</v>
      </c>
      <c r="BQ242" s="6" t="s">
        <v>82</v>
      </c>
      <c r="BR242" s="6" t="s">
        <v>83</v>
      </c>
      <c r="BS242" s="6" t="s">
        <v>83</v>
      </c>
      <c r="BT242" s="6" t="s">
        <v>84</v>
      </c>
      <c r="BU242" s="8">
        <v>1.0676595403038782</v>
      </c>
      <c r="BV242" s="37" t="s">
        <v>842</v>
      </c>
      <c r="BW242" s="19" t="s">
        <v>464</v>
      </c>
    </row>
    <row r="243" spans="1:75" x14ac:dyDescent="0.25">
      <c r="A243" s="33" t="s">
        <v>842</v>
      </c>
      <c r="B243" s="7" t="s">
        <v>464</v>
      </c>
      <c r="C243" s="7" t="s">
        <v>81</v>
      </c>
      <c r="D24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0.74513332242761332</v>
      </c>
      <c r="E243" s="32">
        <v>80938</v>
      </c>
      <c r="F243" s="32">
        <v>0</v>
      </c>
      <c r="G243" s="32">
        <v>1052</v>
      </c>
      <c r="H243" s="32">
        <v>0</v>
      </c>
      <c r="I243" s="32">
        <v>0</v>
      </c>
      <c r="J243" s="32">
        <v>110034</v>
      </c>
      <c r="K243" s="32">
        <v>0</v>
      </c>
      <c r="L24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0.11835443037974684</v>
      </c>
      <c r="M243" s="32">
        <v>187</v>
      </c>
      <c r="N243" s="32">
        <v>0</v>
      </c>
      <c r="O243" s="32">
        <v>1580</v>
      </c>
      <c r="P243" s="32">
        <v>0</v>
      </c>
      <c r="Q24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1.2523481527864746E-2</v>
      </c>
      <c r="R243" s="32">
        <v>0</v>
      </c>
      <c r="S243" s="32">
        <v>0</v>
      </c>
      <c r="T243" s="32">
        <v>20</v>
      </c>
      <c r="U243" s="32">
        <v>1580</v>
      </c>
      <c r="V243" s="32">
        <v>17</v>
      </c>
      <c r="W243" s="32">
        <v>0</v>
      </c>
      <c r="X243" s="32">
        <v>0</v>
      </c>
      <c r="Y24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8.0566006870603626E-2</v>
      </c>
      <c r="Z243" s="32">
        <v>0</v>
      </c>
      <c r="AA243" s="32">
        <v>39152</v>
      </c>
      <c r="AB243" s="32">
        <v>54951</v>
      </c>
      <c r="AC243" s="32">
        <v>0</v>
      </c>
      <c r="AD243" s="32">
        <v>24664</v>
      </c>
      <c r="AE243" s="32">
        <v>110034</v>
      </c>
      <c r="AF243" s="32">
        <v>0</v>
      </c>
      <c r="AG24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5.3433904372283303</v>
      </c>
      <c r="AH243" s="32">
        <v>15581</v>
      </c>
      <c r="AI243" s="32">
        <v>346</v>
      </c>
      <c r="AJ243" s="32">
        <v>9</v>
      </c>
      <c r="AK243" s="32">
        <v>74</v>
      </c>
      <c r="AL243" s="32">
        <v>2414</v>
      </c>
      <c r="AM243" s="32">
        <v>1052</v>
      </c>
      <c r="AN243" s="32">
        <v>4384</v>
      </c>
      <c r="AO243" s="32">
        <v>0</v>
      </c>
      <c r="AP243" s="32">
        <v>-3911</v>
      </c>
      <c r="AQ24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13.89240506329114</v>
      </c>
      <c r="AR243" s="32">
        <v>512</v>
      </c>
      <c r="AS243" s="32">
        <v>1822</v>
      </c>
      <c r="AT243" s="32">
        <v>719</v>
      </c>
      <c r="AU243" s="32">
        <v>0</v>
      </c>
      <c r="AV243" s="32">
        <v>245</v>
      </c>
      <c r="AW243" s="32">
        <v>1052</v>
      </c>
      <c r="AX243" s="32">
        <v>-2</v>
      </c>
      <c r="AY243" s="32">
        <v>0</v>
      </c>
      <c r="AZ243" s="32">
        <v>0</v>
      </c>
      <c r="BA243" s="32">
        <v>17602</v>
      </c>
      <c r="BB243" s="32">
        <v>0</v>
      </c>
      <c r="BC243" s="32">
        <v>1580</v>
      </c>
      <c r="BD243" s="34">
        <f>IFERROR(SUM(Entity_Metrics[[#This Row],[Operating surplus/(deficit) (social housing lettings)]])/SUM(Entity_Metrics[[#This Row],[Turnover from social housing lettings]]),"")</f>
        <v>0.46466629276500282</v>
      </c>
      <c r="BE243" s="32">
        <v>4971</v>
      </c>
      <c r="BF243" s="32">
        <v>10698</v>
      </c>
      <c r="BG243" s="34">
        <f>IFERROR(SUM(Entity_Metrics[[#This Row],[Operating surplus/(deficit) (overall)2]],-Entity_Metrics[[#This Row],[Gain/(loss) on disposal of fixed assets (housing properties)2]])/SUM(Entity_Metrics[[#This Row],[Turnover (overall)]]),"")</f>
        <v>0.18017218950306299</v>
      </c>
      <c r="BH243" s="32">
        <v>15581</v>
      </c>
      <c r="BI243" s="32">
        <v>346</v>
      </c>
      <c r="BJ243" s="32">
        <v>84558</v>
      </c>
      <c r="BK243" s="34">
        <f>IFERROR(SUM(Entity_Metrics[[#This Row],[Operating surplus/(deficit) (overall)3]],Entity_Metrics[[#This Row],[Share of operating surplus/(deficit) in joint ventures or associates]])/SUM(Entity_Metrics[[#This Row],[Total assets less current liabilities]]),"")</f>
        <v>9.0761873139588389E-2</v>
      </c>
      <c r="BL243" s="32">
        <v>15581</v>
      </c>
      <c r="BM243" s="32">
        <v>0</v>
      </c>
      <c r="BN243" s="32">
        <v>171669</v>
      </c>
      <c r="BO243" s="34">
        <v>0</v>
      </c>
      <c r="BP243" s="34">
        <v>0</v>
      </c>
      <c r="BQ243" s="6" t="s">
        <v>82</v>
      </c>
      <c r="BR243" s="6" t="s">
        <v>83</v>
      </c>
      <c r="BS243" s="6" t="s">
        <v>83</v>
      </c>
      <c r="BT243" s="6" t="s">
        <v>156</v>
      </c>
      <c r="BU243" s="8">
        <v>1.2205761453779502</v>
      </c>
      <c r="BV243" s="37" t="s">
        <v>842</v>
      </c>
      <c r="BW243" s="19" t="s">
        <v>464</v>
      </c>
    </row>
    <row r="244" spans="1:75" x14ac:dyDescent="0.25">
      <c r="A244" s="33" t="s">
        <v>843</v>
      </c>
      <c r="B244" s="7" t="s">
        <v>466</v>
      </c>
      <c r="C244" s="7" t="s">
        <v>81</v>
      </c>
      <c r="D24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7.3738956492748794E-2</v>
      </c>
      <c r="E244" s="32">
        <v>8239</v>
      </c>
      <c r="F244" s="32">
        <v>0</v>
      </c>
      <c r="G244" s="32">
        <v>2820</v>
      </c>
      <c r="H244" s="32">
        <v>0</v>
      </c>
      <c r="I244" s="32">
        <v>0</v>
      </c>
      <c r="J244" s="32">
        <v>149975</v>
      </c>
      <c r="K244" s="32">
        <v>0</v>
      </c>
      <c r="L24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44" s="32">
        <v>0</v>
      </c>
      <c r="N244" s="32">
        <v>0</v>
      </c>
      <c r="O244" s="32">
        <v>2152</v>
      </c>
      <c r="P244" s="32">
        <v>0</v>
      </c>
      <c r="Q24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4" s="32">
        <v>0</v>
      </c>
      <c r="S244" s="32">
        <v>0</v>
      </c>
      <c r="T244" s="32">
        <v>0</v>
      </c>
      <c r="U244" s="32">
        <v>2152</v>
      </c>
      <c r="V244" s="32">
        <v>0</v>
      </c>
      <c r="W244" s="32">
        <v>0</v>
      </c>
      <c r="X244" s="32">
        <v>0</v>
      </c>
      <c r="Y24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-8.6427737956326051E-2</v>
      </c>
      <c r="Z244" s="32">
        <v>0</v>
      </c>
      <c r="AA244" s="32">
        <v>0</v>
      </c>
      <c r="AB244" s="32">
        <v>12962</v>
      </c>
      <c r="AC244" s="32">
        <v>0</v>
      </c>
      <c r="AD244" s="32">
        <v>0</v>
      </c>
      <c r="AE244" s="32">
        <v>149975</v>
      </c>
      <c r="AF244" s="32">
        <v>0</v>
      </c>
      <c r="AG24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-5.011705685618729</v>
      </c>
      <c r="AH244" s="32">
        <v>-5500</v>
      </c>
      <c r="AI244" s="32">
        <v>77</v>
      </c>
      <c r="AJ244" s="32">
        <v>94</v>
      </c>
      <c r="AK244" s="32">
        <v>0</v>
      </c>
      <c r="AL244" s="32">
        <v>139</v>
      </c>
      <c r="AM244" s="32">
        <v>445</v>
      </c>
      <c r="AN244" s="32">
        <v>2980</v>
      </c>
      <c r="AO244" s="32">
        <v>0</v>
      </c>
      <c r="AP244" s="32">
        <v>-598</v>
      </c>
      <c r="AQ24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21.960966542750928</v>
      </c>
      <c r="AR244" s="32">
        <v>9167</v>
      </c>
      <c r="AS244" s="32">
        <v>33530</v>
      </c>
      <c r="AT244" s="32">
        <v>2465</v>
      </c>
      <c r="AU244" s="32">
        <v>0</v>
      </c>
      <c r="AV244" s="32">
        <v>548</v>
      </c>
      <c r="AW244" s="32">
        <v>445</v>
      </c>
      <c r="AX244" s="32">
        <v>1105</v>
      </c>
      <c r="AY244" s="32">
        <v>0</v>
      </c>
      <c r="AZ244" s="32">
        <v>0</v>
      </c>
      <c r="BA244" s="32">
        <v>0</v>
      </c>
      <c r="BB244" s="32">
        <v>0</v>
      </c>
      <c r="BC244" s="32">
        <v>2152</v>
      </c>
      <c r="BD244" s="34">
        <f>IFERROR(SUM(Entity_Metrics[[#This Row],[Operating surplus/(deficit) (social housing lettings)]])/SUM(Entity_Metrics[[#This Row],[Turnover from social housing lettings]]),"")</f>
        <v>-0.29446037389608898</v>
      </c>
      <c r="BE244" s="32">
        <v>-12837</v>
      </c>
      <c r="BF244" s="32">
        <v>43595</v>
      </c>
      <c r="BG244" s="34">
        <f>IFERROR(SUM(Entity_Metrics[[#This Row],[Operating surplus/(deficit) (overall)2]],-Entity_Metrics[[#This Row],[Gain/(loss) on disposal of fixed assets (housing properties)2]])/SUM(Entity_Metrics[[#This Row],[Turnover (overall)]]),"")</f>
        <v>-9.9674721189591073E-2</v>
      </c>
      <c r="BH244" s="32">
        <v>-5500</v>
      </c>
      <c r="BI244" s="32">
        <v>77</v>
      </c>
      <c r="BJ244" s="32">
        <v>55952</v>
      </c>
      <c r="BK244" s="34">
        <f>IFERROR(SUM(Entity_Metrics[[#This Row],[Operating surplus/(deficit) (overall)3]],Entity_Metrics[[#This Row],[Share of operating surplus/(deficit) in joint ventures or associates]])/SUM(Entity_Metrics[[#This Row],[Total assets less current liabilities]]),"")</f>
        <v>-3.273556212912096E-2</v>
      </c>
      <c r="BL244" s="32">
        <v>-5500</v>
      </c>
      <c r="BM244" s="32">
        <v>0</v>
      </c>
      <c r="BN244" s="32">
        <v>168013</v>
      </c>
      <c r="BO244" s="34">
        <v>0</v>
      </c>
      <c r="BP244" s="34">
        <v>0.63045586808923371</v>
      </c>
      <c r="BQ244" s="6" t="s">
        <v>82</v>
      </c>
      <c r="BR244" s="6" t="s">
        <v>83</v>
      </c>
      <c r="BS244" s="6" t="s">
        <v>83</v>
      </c>
      <c r="BT244" s="6" t="s">
        <v>87</v>
      </c>
      <c r="BU244" s="8">
        <v>0.97490667488432636</v>
      </c>
      <c r="BV244" s="37" t="s">
        <v>843</v>
      </c>
      <c r="BW244" s="19" t="s">
        <v>466</v>
      </c>
    </row>
    <row r="245" spans="1:75" x14ac:dyDescent="0.25">
      <c r="A245" s="33" t="s">
        <v>844</v>
      </c>
      <c r="B245" s="7" t="s">
        <v>468</v>
      </c>
      <c r="C245" s="7" t="s">
        <v>81</v>
      </c>
      <c r="D24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8.1402263571839634E-2</v>
      </c>
      <c r="E245" s="32">
        <v>15572</v>
      </c>
      <c r="F245" s="32">
        <v>0</v>
      </c>
      <c r="G245" s="32">
        <v>1402</v>
      </c>
      <c r="H245" s="32">
        <v>0</v>
      </c>
      <c r="I245" s="32">
        <v>0</v>
      </c>
      <c r="J245" s="32">
        <v>208520</v>
      </c>
      <c r="K245" s="32">
        <v>0</v>
      </c>
      <c r="L24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1.0057471264367816E-2</v>
      </c>
      <c r="M245" s="32">
        <v>28</v>
      </c>
      <c r="N245" s="32">
        <v>0</v>
      </c>
      <c r="O245" s="32">
        <v>2774</v>
      </c>
      <c r="P245" s="32">
        <v>10</v>
      </c>
      <c r="Q24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5" s="32">
        <v>0</v>
      </c>
      <c r="S245" s="32">
        <v>0</v>
      </c>
      <c r="T245" s="32">
        <v>0</v>
      </c>
      <c r="U245" s="32">
        <v>2774</v>
      </c>
      <c r="V245" s="32">
        <v>1</v>
      </c>
      <c r="W245" s="32">
        <v>10</v>
      </c>
      <c r="X245" s="32">
        <v>0</v>
      </c>
      <c r="Y24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0.52988682140801846</v>
      </c>
      <c r="Z245" s="32">
        <v>1393</v>
      </c>
      <c r="AA245" s="32">
        <v>110227</v>
      </c>
      <c r="AB245" s="32">
        <v>1128</v>
      </c>
      <c r="AC245" s="32">
        <v>0</v>
      </c>
      <c r="AD245" s="32">
        <v>0</v>
      </c>
      <c r="AE245" s="32">
        <v>208520</v>
      </c>
      <c r="AF245" s="32">
        <v>0</v>
      </c>
      <c r="AG24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1.4573468620819241</v>
      </c>
      <c r="AH245" s="32">
        <v>8685</v>
      </c>
      <c r="AI245" s="32">
        <v>1186</v>
      </c>
      <c r="AJ245" s="32">
        <v>850</v>
      </c>
      <c r="AK245" s="32">
        <v>0</v>
      </c>
      <c r="AL245" s="32">
        <v>290</v>
      </c>
      <c r="AM245" s="32">
        <v>1402</v>
      </c>
      <c r="AN245" s="32">
        <v>2219</v>
      </c>
      <c r="AO245" s="32">
        <v>-328</v>
      </c>
      <c r="AP245" s="32">
        <v>-4994</v>
      </c>
      <c r="AQ24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6.4444844989185288</v>
      </c>
      <c r="AR245" s="32">
        <v>2832</v>
      </c>
      <c r="AS245" s="32">
        <v>852</v>
      </c>
      <c r="AT245" s="32">
        <v>1719</v>
      </c>
      <c r="AU245" s="32">
        <v>872</v>
      </c>
      <c r="AV245" s="32">
        <v>0</v>
      </c>
      <c r="AW245" s="32">
        <v>1402</v>
      </c>
      <c r="AX245" s="32">
        <v>451</v>
      </c>
      <c r="AY245" s="32">
        <v>0</v>
      </c>
      <c r="AZ245" s="32">
        <v>663</v>
      </c>
      <c r="BA245" s="32">
        <v>8006</v>
      </c>
      <c r="BB245" s="32">
        <v>1080</v>
      </c>
      <c r="BC245" s="32">
        <v>2774</v>
      </c>
      <c r="BD245" s="34">
        <f>IFERROR(SUM(Entity_Metrics[[#This Row],[Operating surplus/(deficit) (social housing lettings)]])/SUM(Entity_Metrics[[#This Row],[Turnover from social housing lettings]]),"")</f>
        <v>0.43720991043995555</v>
      </c>
      <c r="BE245" s="32">
        <v>6688</v>
      </c>
      <c r="BF245" s="32">
        <v>15297</v>
      </c>
      <c r="BG245" s="34">
        <f>IFERROR(SUM(Entity_Metrics[[#This Row],[Operating surplus/(deficit) (overall)2]],-Entity_Metrics[[#This Row],[Gain/(loss) on disposal of fixed assets (housing properties)2]])/SUM(Entity_Metrics[[#This Row],[Turnover (overall)]]),"")</f>
        <v>0.26226698842374008</v>
      </c>
      <c r="BH245" s="32">
        <v>8685</v>
      </c>
      <c r="BI245" s="32">
        <v>1186</v>
      </c>
      <c r="BJ245" s="32">
        <v>28593</v>
      </c>
      <c r="BK245" s="34">
        <f>IFERROR(SUM(Entity_Metrics[[#This Row],[Operating surplus/(deficit) (overall)3]],Entity_Metrics[[#This Row],[Share of operating surplus/(deficit) in joint ventures or associates]])/SUM(Entity_Metrics[[#This Row],[Total assets less current liabilities]]),"")</f>
        <v>3.9030550337500788E-2</v>
      </c>
      <c r="BL245" s="32">
        <v>8685</v>
      </c>
      <c r="BM245" s="32">
        <v>0</v>
      </c>
      <c r="BN245" s="32">
        <v>222518</v>
      </c>
      <c r="BO245" s="34">
        <v>6.6278222869628547E-2</v>
      </c>
      <c r="BP245" s="34">
        <v>7.8295702840495265E-2</v>
      </c>
      <c r="BQ245" s="6" t="s">
        <v>82</v>
      </c>
      <c r="BR245" s="6" t="s">
        <v>83</v>
      </c>
      <c r="BS245" s="6" t="s">
        <v>83</v>
      </c>
      <c r="BT245" s="6" t="s">
        <v>100</v>
      </c>
      <c r="BU245" s="8">
        <v>1.0022399874355168</v>
      </c>
      <c r="BV245" s="37" t="s">
        <v>844</v>
      </c>
      <c r="BW245" s="19" t="s">
        <v>468</v>
      </c>
    </row>
    <row r="246" spans="1:75" x14ac:dyDescent="0.25">
      <c r="A246" s="33" t="s">
        <v>845</v>
      </c>
      <c r="B246" s="7" t="s">
        <v>470</v>
      </c>
      <c r="C246" s="7" t="s">
        <v>81</v>
      </c>
      <c r="D24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6.9661352721123546E-2</v>
      </c>
      <c r="E246" s="32">
        <v>9066</v>
      </c>
      <c r="F246" s="32">
        <v>0</v>
      </c>
      <c r="G246" s="32">
        <v>5004</v>
      </c>
      <c r="H246" s="32">
        <v>101</v>
      </c>
      <c r="I246" s="32">
        <v>0</v>
      </c>
      <c r="J246" s="32">
        <v>203427</v>
      </c>
      <c r="K246" s="32">
        <v>0</v>
      </c>
      <c r="L24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4.2108809162876874E-3</v>
      </c>
      <c r="M246" s="32">
        <v>25</v>
      </c>
      <c r="N246" s="32">
        <v>0</v>
      </c>
      <c r="O246" s="32">
        <v>5937</v>
      </c>
      <c r="P246" s="32">
        <v>0</v>
      </c>
      <c r="Q24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6" s="32">
        <v>0</v>
      </c>
      <c r="S246" s="32">
        <v>0</v>
      </c>
      <c r="T246" s="32">
        <v>0</v>
      </c>
      <c r="U246" s="32">
        <v>5937</v>
      </c>
      <c r="V246" s="32">
        <v>0</v>
      </c>
      <c r="W246" s="32">
        <v>0</v>
      </c>
      <c r="X246" s="32">
        <v>0</v>
      </c>
      <c r="Y24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0.72011089973307374</v>
      </c>
      <c r="Z246" s="32">
        <v>25004</v>
      </c>
      <c r="AA246" s="32">
        <v>124509</v>
      </c>
      <c r="AB246" s="32">
        <v>3431</v>
      </c>
      <c r="AC246" s="32">
        <v>408</v>
      </c>
      <c r="AD246" s="32">
        <v>0</v>
      </c>
      <c r="AE246" s="32">
        <v>203427</v>
      </c>
      <c r="AF246" s="32">
        <v>0</v>
      </c>
      <c r="AG24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0.99838926174496645</v>
      </c>
      <c r="AH246" s="32">
        <v>8902</v>
      </c>
      <c r="AI246" s="32">
        <v>380</v>
      </c>
      <c r="AJ246" s="32">
        <v>334</v>
      </c>
      <c r="AK246" s="32">
        <v>0</v>
      </c>
      <c r="AL246" s="32">
        <v>88</v>
      </c>
      <c r="AM246" s="32">
        <v>5004</v>
      </c>
      <c r="AN246" s="32">
        <v>4166</v>
      </c>
      <c r="AO246" s="32">
        <v>-101</v>
      </c>
      <c r="AP246" s="32">
        <v>-7349</v>
      </c>
      <c r="AQ24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3.6070405928920328</v>
      </c>
      <c r="AR246" s="32">
        <v>6748</v>
      </c>
      <c r="AS246" s="32">
        <v>2519</v>
      </c>
      <c r="AT246" s="32">
        <v>3860</v>
      </c>
      <c r="AU246" s="32">
        <v>2348</v>
      </c>
      <c r="AV246" s="32">
        <v>761</v>
      </c>
      <c r="AW246" s="32">
        <v>5004</v>
      </c>
      <c r="AX246" s="32">
        <v>0</v>
      </c>
      <c r="AY246" s="32">
        <v>0</v>
      </c>
      <c r="AZ246" s="32">
        <v>37</v>
      </c>
      <c r="BA246" s="32">
        <v>13</v>
      </c>
      <c r="BB246" s="32">
        <v>125</v>
      </c>
      <c r="BC246" s="32">
        <v>5937</v>
      </c>
      <c r="BD246" s="34">
        <f>IFERROR(SUM(Entity_Metrics[[#This Row],[Operating surplus/(deficit) (social housing lettings)]])/SUM(Entity_Metrics[[#This Row],[Turnover from social housing lettings]]),"")</f>
        <v>0.30584406591884783</v>
      </c>
      <c r="BE246" s="32">
        <v>8834</v>
      </c>
      <c r="BF246" s="32">
        <v>28884</v>
      </c>
      <c r="BG246" s="34">
        <f>IFERROR(SUM(Entity_Metrics[[#This Row],[Operating surplus/(deficit) (overall)2]],-Entity_Metrics[[#This Row],[Gain/(loss) on disposal of fixed assets (housing properties)2]])/SUM(Entity_Metrics[[#This Row],[Turnover (overall)]]),"")</f>
        <v>0.18863163486652795</v>
      </c>
      <c r="BH246" s="32">
        <v>8902</v>
      </c>
      <c r="BI246" s="32">
        <v>380</v>
      </c>
      <c r="BJ246" s="32">
        <v>45178</v>
      </c>
      <c r="BK246" s="34">
        <f>IFERROR(SUM(Entity_Metrics[[#This Row],[Operating surplus/(deficit) (overall)3]],Entity_Metrics[[#This Row],[Share of operating surplus/(deficit) in joint ventures or associates]])/SUM(Entity_Metrics[[#This Row],[Total assets less current liabilities]]),"")</f>
        <v>4.7017191750072622E-2</v>
      </c>
      <c r="BL246" s="32">
        <v>8902</v>
      </c>
      <c r="BM246" s="32">
        <v>0</v>
      </c>
      <c r="BN246" s="32">
        <v>189335</v>
      </c>
      <c r="BO246" s="34">
        <v>0.33636516759306045</v>
      </c>
      <c r="BP246" s="34">
        <v>0</v>
      </c>
      <c r="BQ246" s="6" t="s">
        <v>93</v>
      </c>
      <c r="BR246" s="6">
        <v>2000</v>
      </c>
      <c r="BS246" s="6" t="s">
        <v>94</v>
      </c>
      <c r="BT246" s="6" t="s">
        <v>90</v>
      </c>
      <c r="BU246" s="8">
        <v>0.91571558169387279</v>
      </c>
      <c r="BV246" s="37" t="s">
        <v>845</v>
      </c>
      <c r="BW246" s="19" t="s">
        <v>470</v>
      </c>
    </row>
    <row r="247" spans="1:75" x14ac:dyDescent="0.25">
      <c r="A247" s="33" t="s">
        <v>937</v>
      </c>
      <c r="B247" s="7" t="s">
        <v>472</v>
      </c>
      <c r="C247" s="7" t="s">
        <v>81</v>
      </c>
      <c r="D24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3.0355039542318694E-2</v>
      </c>
      <c r="E247" s="32">
        <v>59900</v>
      </c>
      <c r="F247" s="32">
        <v>0</v>
      </c>
      <c r="G247" s="32">
        <v>27300</v>
      </c>
      <c r="H247" s="32">
        <v>3000</v>
      </c>
      <c r="I247" s="32">
        <v>0</v>
      </c>
      <c r="J247" s="32">
        <v>2971500</v>
      </c>
      <c r="K247" s="32">
        <v>0</v>
      </c>
      <c r="L24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4.7097979496679597E-3</v>
      </c>
      <c r="M247" s="32">
        <v>300</v>
      </c>
      <c r="N247" s="32">
        <v>0</v>
      </c>
      <c r="O247" s="32">
        <v>60492</v>
      </c>
      <c r="P247" s="32">
        <v>3205</v>
      </c>
      <c r="Q24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7" s="32">
        <v>0</v>
      </c>
      <c r="S247" s="32">
        <v>0</v>
      </c>
      <c r="T247" s="32">
        <v>0</v>
      </c>
      <c r="U247" s="32">
        <v>60492</v>
      </c>
      <c r="V247" s="32">
        <v>107</v>
      </c>
      <c r="W247" s="32">
        <v>3205</v>
      </c>
      <c r="X247" s="32">
        <v>123</v>
      </c>
      <c r="Y24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0.39094733299680295</v>
      </c>
      <c r="Z247" s="32">
        <v>14200</v>
      </c>
      <c r="AA247" s="32">
        <v>1185400</v>
      </c>
      <c r="AB247" s="32">
        <v>37900</v>
      </c>
      <c r="AC247" s="32">
        <v>0</v>
      </c>
      <c r="AD247" s="32">
        <v>0</v>
      </c>
      <c r="AE247" s="32">
        <v>2971500</v>
      </c>
      <c r="AF247" s="32">
        <v>0</v>
      </c>
      <c r="AG24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1.8858024691358024</v>
      </c>
      <c r="AH247" s="32">
        <v>110900</v>
      </c>
      <c r="AI247" s="32">
        <v>5700</v>
      </c>
      <c r="AJ247" s="32">
        <v>14200</v>
      </c>
      <c r="AK247" s="32">
        <v>0</v>
      </c>
      <c r="AL247" s="32">
        <v>500</v>
      </c>
      <c r="AM247" s="32">
        <v>27300</v>
      </c>
      <c r="AN247" s="32">
        <v>58000</v>
      </c>
      <c r="AO247" s="32">
        <v>-3800</v>
      </c>
      <c r="AP247" s="32">
        <v>-61000</v>
      </c>
      <c r="AQ24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3.3388147288321401</v>
      </c>
      <c r="AR247" s="32">
        <v>93700</v>
      </c>
      <c r="AS247" s="32">
        <v>18200</v>
      </c>
      <c r="AT247" s="32">
        <v>31100</v>
      </c>
      <c r="AU247" s="32">
        <v>19800</v>
      </c>
      <c r="AV247" s="32">
        <v>7700</v>
      </c>
      <c r="AW247" s="32">
        <v>27300</v>
      </c>
      <c r="AX247" s="32">
        <v>0</v>
      </c>
      <c r="AY247" s="32">
        <v>900</v>
      </c>
      <c r="AZ247" s="32">
        <v>0</v>
      </c>
      <c r="BA247" s="32">
        <v>8400</v>
      </c>
      <c r="BB247" s="32">
        <v>0</v>
      </c>
      <c r="BC247" s="32">
        <v>62028</v>
      </c>
      <c r="BD247" s="34">
        <f>IFERROR(SUM(Entity_Metrics[[#This Row],[Operating surplus/(deficit) (social housing lettings)]])/SUM(Entity_Metrics[[#This Row],[Turnover from social housing lettings]]),"")</f>
        <v>0.32862841362381101</v>
      </c>
      <c r="BE247" s="32">
        <v>107100</v>
      </c>
      <c r="BF247" s="32">
        <v>325900</v>
      </c>
      <c r="BG247" s="34">
        <f>IFERROR(SUM(Entity_Metrics[[#This Row],[Operating surplus/(deficit) (overall)2]],-Entity_Metrics[[#This Row],[Gain/(loss) on disposal of fixed assets (housing properties)2]])/SUM(Entity_Metrics[[#This Row],[Turnover (overall)]]),"")</f>
        <v>0.31188852653424254</v>
      </c>
      <c r="BH247" s="32">
        <v>110900</v>
      </c>
      <c r="BI247" s="32">
        <v>5700</v>
      </c>
      <c r="BJ247" s="32">
        <v>337300</v>
      </c>
      <c r="BK247" s="34">
        <f>IFERROR(SUM(Entity_Metrics[[#This Row],[Operating surplus/(deficit) (overall)3]],Entity_Metrics[[#This Row],[Share of operating surplus/(deficit) in joint ventures or associates]])/SUM(Entity_Metrics[[#This Row],[Total assets less current liabilities]]),"")</f>
        <v>3.5558548159548543E-2</v>
      </c>
      <c r="BL247" s="32">
        <v>110900</v>
      </c>
      <c r="BM247" s="32">
        <v>0</v>
      </c>
      <c r="BN247" s="32">
        <v>3118800</v>
      </c>
      <c r="BO247" s="34">
        <v>1.0562089761103522E-2</v>
      </c>
      <c r="BP247" s="34">
        <v>0.11026888348382367</v>
      </c>
      <c r="BQ247" s="6" t="s">
        <v>82</v>
      </c>
      <c r="BR247" s="6" t="s">
        <v>83</v>
      </c>
      <c r="BS247" s="6" t="s">
        <v>83</v>
      </c>
      <c r="BT247" s="6" t="s">
        <v>87</v>
      </c>
      <c r="BU247" s="8">
        <v>0.98106420582854104</v>
      </c>
      <c r="BV247" s="37">
        <v>4729</v>
      </c>
      <c r="BW247" s="19" t="s">
        <v>472</v>
      </c>
    </row>
    <row r="248" spans="1:75" x14ac:dyDescent="0.25">
      <c r="A248" s="33" t="s">
        <v>473</v>
      </c>
      <c r="B248" s="7" t="s">
        <v>474</v>
      </c>
      <c r="C248" s="7" t="s">
        <v>81</v>
      </c>
      <c r="D24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8.8750119834314592E-2</v>
      </c>
      <c r="E248" s="32">
        <v>23293</v>
      </c>
      <c r="F248" s="32">
        <v>0</v>
      </c>
      <c r="G248" s="32">
        <v>2869</v>
      </c>
      <c r="H248" s="32">
        <v>685</v>
      </c>
      <c r="I248" s="32">
        <v>0</v>
      </c>
      <c r="J248" s="32">
        <v>302501</v>
      </c>
      <c r="K248" s="32">
        <v>0</v>
      </c>
      <c r="L24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3.218784014927694E-2</v>
      </c>
      <c r="M248" s="32">
        <v>207</v>
      </c>
      <c r="N248" s="32">
        <v>0</v>
      </c>
      <c r="O248" s="32">
        <v>6431</v>
      </c>
      <c r="P248" s="32">
        <v>0</v>
      </c>
      <c r="Q24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8" s="32">
        <v>0</v>
      </c>
      <c r="S248" s="32">
        <v>0</v>
      </c>
      <c r="T248" s="32">
        <v>0</v>
      </c>
      <c r="U248" s="32">
        <v>6431</v>
      </c>
      <c r="V248" s="32">
        <v>0</v>
      </c>
      <c r="W248" s="32">
        <v>0</v>
      </c>
      <c r="X248" s="32">
        <v>0</v>
      </c>
      <c r="Y24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0.53065279123044218</v>
      </c>
      <c r="Z248" s="32">
        <v>0</v>
      </c>
      <c r="AA248" s="32">
        <v>169399</v>
      </c>
      <c r="AB248" s="32">
        <v>8876</v>
      </c>
      <c r="AC248" s="32">
        <v>0</v>
      </c>
      <c r="AD248" s="32">
        <v>0</v>
      </c>
      <c r="AE248" s="32">
        <v>302501</v>
      </c>
      <c r="AF248" s="32">
        <v>0</v>
      </c>
      <c r="AG24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2.0323835822768923</v>
      </c>
      <c r="AH248" s="32">
        <v>13976</v>
      </c>
      <c r="AI248" s="32">
        <v>985</v>
      </c>
      <c r="AJ248" s="32">
        <v>133</v>
      </c>
      <c r="AK248" s="32">
        <v>0</v>
      </c>
      <c r="AL248" s="32">
        <v>7</v>
      </c>
      <c r="AM248" s="32">
        <v>2869</v>
      </c>
      <c r="AN248" s="32">
        <v>6196</v>
      </c>
      <c r="AO248" s="32">
        <v>-797</v>
      </c>
      <c r="AP248" s="32">
        <v>-7170</v>
      </c>
      <c r="AQ24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2.9699891152231381</v>
      </c>
      <c r="AR248" s="32">
        <v>3848</v>
      </c>
      <c r="AS248" s="32">
        <v>2342</v>
      </c>
      <c r="AT248" s="32">
        <v>3760</v>
      </c>
      <c r="AU248" s="32">
        <v>2320</v>
      </c>
      <c r="AV248" s="32">
        <v>3550</v>
      </c>
      <c r="AW248" s="32">
        <v>2869</v>
      </c>
      <c r="AX248" s="32">
        <v>4</v>
      </c>
      <c r="AY248" s="32">
        <v>0</v>
      </c>
      <c r="AZ248" s="32">
        <v>0</v>
      </c>
      <c r="BA248" s="32">
        <v>185</v>
      </c>
      <c r="BB248" s="32">
        <v>222</v>
      </c>
      <c r="BC248" s="32">
        <v>6431</v>
      </c>
      <c r="BD248" s="34">
        <f>IFERROR(SUM(Entity_Metrics[[#This Row],[Operating surplus/(deficit) (social housing lettings)]])/SUM(Entity_Metrics[[#This Row],[Turnover from social housing lettings]]),"")</f>
        <v>0.36792967740082155</v>
      </c>
      <c r="BE248" s="32">
        <v>12808</v>
      </c>
      <c r="BF248" s="32">
        <v>34811</v>
      </c>
      <c r="BG248" s="34">
        <f>IFERROR(SUM(Entity_Metrics[[#This Row],[Operating surplus/(deficit) (overall)2]],-Entity_Metrics[[#This Row],[Gain/(loss) on disposal of fixed assets (housing properties)2]])/SUM(Entity_Metrics[[#This Row],[Turnover (overall)]]),"")</f>
        <v>0.35702311265012232</v>
      </c>
      <c r="BH248" s="32">
        <v>13976</v>
      </c>
      <c r="BI248" s="32">
        <v>985</v>
      </c>
      <c r="BJ248" s="32">
        <v>36387</v>
      </c>
      <c r="BK248" s="34">
        <f>IFERROR(SUM(Entity_Metrics[[#This Row],[Operating surplus/(deficit) (overall)3]],Entity_Metrics[[#This Row],[Share of operating surplus/(deficit) in joint ventures or associates]])/SUM(Entity_Metrics[[#This Row],[Total assets less current liabilities]]),"")</f>
        <v>4.4642058594299004E-2</v>
      </c>
      <c r="BL248" s="32">
        <v>13976</v>
      </c>
      <c r="BM248" s="32">
        <v>0</v>
      </c>
      <c r="BN248" s="32">
        <v>313068</v>
      </c>
      <c r="BO248" s="34">
        <v>1.4876801487680148E-2</v>
      </c>
      <c r="BP248" s="34">
        <v>5.4083372075003876E-2</v>
      </c>
      <c r="BQ248" s="6" t="s">
        <v>93</v>
      </c>
      <c r="BR248" s="6">
        <v>2002</v>
      </c>
      <c r="BS248" s="6" t="s">
        <v>94</v>
      </c>
      <c r="BT248" s="6" t="s">
        <v>100</v>
      </c>
      <c r="BU248" s="8">
        <v>1.0022399874355168</v>
      </c>
      <c r="BV248" s="37" t="s">
        <v>473</v>
      </c>
      <c r="BW248" s="19" t="s">
        <v>474</v>
      </c>
    </row>
    <row r="249" spans="1:75" x14ac:dyDescent="0.25">
      <c r="A249" s="33" t="s">
        <v>477</v>
      </c>
      <c r="B249" s="7" t="s">
        <v>478</v>
      </c>
      <c r="C249" s="7" t="s">
        <v>81</v>
      </c>
      <c r="D24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5.0524975149105367E-2</v>
      </c>
      <c r="E249" s="32">
        <v>1782</v>
      </c>
      <c r="F249" s="32">
        <v>0</v>
      </c>
      <c r="G249" s="32">
        <v>1471</v>
      </c>
      <c r="H249" s="32">
        <v>0</v>
      </c>
      <c r="I249" s="32">
        <v>0</v>
      </c>
      <c r="J249" s="32">
        <v>64384</v>
      </c>
      <c r="K249" s="32">
        <v>0</v>
      </c>
      <c r="L24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2.8129395218002813E-3</v>
      </c>
      <c r="M249" s="32">
        <v>4</v>
      </c>
      <c r="N249" s="32">
        <v>0</v>
      </c>
      <c r="O249" s="32">
        <v>1422</v>
      </c>
      <c r="P249" s="32">
        <v>0</v>
      </c>
      <c r="Q24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49" s="32">
        <v>0</v>
      </c>
      <c r="S249" s="32">
        <v>0</v>
      </c>
      <c r="T249" s="32">
        <v>0</v>
      </c>
      <c r="U249" s="32">
        <v>1422</v>
      </c>
      <c r="V249" s="32">
        <v>0</v>
      </c>
      <c r="W249" s="32">
        <v>0</v>
      </c>
      <c r="X249" s="32">
        <v>0</v>
      </c>
      <c r="Y24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0.12526404075546721</v>
      </c>
      <c r="Z249" s="32">
        <v>165</v>
      </c>
      <c r="AA249" s="32">
        <v>9149</v>
      </c>
      <c r="AB249" s="32">
        <v>1249</v>
      </c>
      <c r="AC249" s="32">
        <v>0</v>
      </c>
      <c r="AD249" s="32">
        <v>0</v>
      </c>
      <c r="AE249" s="32">
        <v>64384</v>
      </c>
      <c r="AF249" s="32">
        <v>0</v>
      </c>
      <c r="AG24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2.8230383973288813</v>
      </c>
      <c r="AH249" s="32">
        <v>2442</v>
      </c>
      <c r="AI249" s="32">
        <v>30</v>
      </c>
      <c r="AJ249" s="32">
        <v>615</v>
      </c>
      <c r="AK249" s="32">
        <v>0</v>
      </c>
      <c r="AL249" s="32">
        <v>42</v>
      </c>
      <c r="AM249" s="32">
        <v>1471</v>
      </c>
      <c r="AN249" s="32">
        <v>1323</v>
      </c>
      <c r="AO249" s="32">
        <v>0</v>
      </c>
      <c r="AP249" s="32">
        <v>-599</v>
      </c>
      <c r="AQ24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5.2433687002652523</v>
      </c>
      <c r="AR249" s="32">
        <v>1657</v>
      </c>
      <c r="AS249" s="32">
        <v>1876</v>
      </c>
      <c r="AT249" s="32">
        <v>1762</v>
      </c>
      <c r="AU249" s="32">
        <v>363</v>
      </c>
      <c r="AV249" s="32">
        <v>426</v>
      </c>
      <c r="AW249" s="32">
        <v>1471</v>
      </c>
      <c r="AX249" s="32">
        <v>0</v>
      </c>
      <c r="AY249" s="32">
        <v>155</v>
      </c>
      <c r="AZ249" s="32">
        <v>197</v>
      </c>
      <c r="BA249" s="32">
        <v>0</v>
      </c>
      <c r="BB249" s="32">
        <v>0</v>
      </c>
      <c r="BC249" s="32">
        <v>1508</v>
      </c>
      <c r="BD249" s="34">
        <f>IFERROR(SUM(Entity_Metrics[[#This Row],[Operating surplus/(deficit) (social housing lettings)]])/SUM(Entity_Metrics[[#This Row],[Turnover from social housing lettings]]),"")</f>
        <v>0.25800874605918844</v>
      </c>
      <c r="BE249" s="32">
        <v>2537</v>
      </c>
      <c r="BF249" s="32">
        <v>9833</v>
      </c>
      <c r="BG249" s="34">
        <f>IFERROR(SUM(Entity_Metrics[[#This Row],[Operating surplus/(deficit) (overall)2]],-Entity_Metrics[[#This Row],[Gain/(loss) on disposal of fixed assets (housing properties)2]])/SUM(Entity_Metrics[[#This Row],[Turnover (overall)]]),"")</f>
        <v>0.22658525129168625</v>
      </c>
      <c r="BH249" s="32">
        <v>2442</v>
      </c>
      <c r="BI249" s="32">
        <v>30</v>
      </c>
      <c r="BJ249" s="32">
        <v>10645</v>
      </c>
      <c r="BK249" s="34">
        <f>IFERROR(SUM(Entity_Metrics[[#This Row],[Operating surplus/(deficit) (overall)3]],Entity_Metrics[[#This Row],[Share of operating surplus/(deficit) in joint ventures or associates]])/SUM(Entity_Metrics[[#This Row],[Total assets less current liabilities]]),"")</f>
        <v>3.5409265569491769E-2</v>
      </c>
      <c r="BL249" s="32">
        <v>2442</v>
      </c>
      <c r="BM249" s="32">
        <v>0</v>
      </c>
      <c r="BN249" s="32">
        <v>68965</v>
      </c>
      <c r="BO249" s="34">
        <v>2.1613832853025938E-3</v>
      </c>
      <c r="BP249" s="34">
        <v>0.13688760806916425</v>
      </c>
      <c r="BQ249" s="6" t="s">
        <v>82</v>
      </c>
      <c r="BR249" s="6" t="s">
        <v>83</v>
      </c>
      <c r="BS249" s="6" t="s">
        <v>83</v>
      </c>
      <c r="BT249" s="6" t="s">
        <v>156</v>
      </c>
      <c r="BU249" s="8">
        <v>1.246908275350141</v>
      </c>
      <c r="BV249" s="37" t="s">
        <v>477</v>
      </c>
      <c r="BW249" s="19" t="s">
        <v>478</v>
      </c>
    </row>
    <row r="250" spans="1:75" x14ac:dyDescent="0.25">
      <c r="A250" s="33" t="s">
        <v>479</v>
      </c>
      <c r="B250" s="7" t="s">
        <v>480</v>
      </c>
      <c r="C250" s="7" t="s">
        <v>134</v>
      </c>
      <c r="D25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3.8842745040218868E-2</v>
      </c>
      <c r="E250" s="32">
        <v>3135</v>
      </c>
      <c r="F250" s="32">
        <v>0</v>
      </c>
      <c r="G250" s="32">
        <v>1271</v>
      </c>
      <c r="H250" s="32">
        <v>336</v>
      </c>
      <c r="I250" s="32">
        <v>0</v>
      </c>
      <c r="J250" s="32">
        <v>122082</v>
      </c>
      <c r="K250" s="32">
        <v>0</v>
      </c>
      <c r="L25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9.6842105263157899E-3</v>
      </c>
      <c r="M250" s="32">
        <v>23</v>
      </c>
      <c r="N250" s="32">
        <v>0</v>
      </c>
      <c r="O250" s="32">
        <v>2121</v>
      </c>
      <c r="P250" s="32">
        <v>254</v>
      </c>
      <c r="Q25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50" s="32">
        <v>0</v>
      </c>
      <c r="S250" s="32">
        <v>0</v>
      </c>
      <c r="T250" s="32">
        <v>0</v>
      </c>
      <c r="U250" s="32">
        <v>2121</v>
      </c>
      <c r="V250" s="32">
        <v>0</v>
      </c>
      <c r="W250" s="32">
        <v>254</v>
      </c>
      <c r="X250" s="32">
        <v>211</v>
      </c>
      <c r="Y25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0.34249111253092185</v>
      </c>
      <c r="Z250" s="32">
        <v>422</v>
      </c>
      <c r="AA250" s="32">
        <v>48945</v>
      </c>
      <c r="AB250" s="32">
        <v>7555</v>
      </c>
      <c r="AC250" s="32">
        <v>0</v>
      </c>
      <c r="AD250" s="32">
        <v>0</v>
      </c>
      <c r="AE250" s="32">
        <v>122082</v>
      </c>
      <c r="AF250" s="32">
        <v>0</v>
      </c>
      <c r="AG25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0.45792811839323466</v>
      </c>
      <c r="AH250" s="32">
        <v>1055</v>
      </c>
      <c r="AI250" s="32">
        <v>863</v>
      </c>
      <c r="AJ250" s="32">
        <v>434</v>
      </c>
      <c r="AK250" s="32">
        <v>0</v>
      </c>
      <c r="AL250" s="32">
        <v>151</v>
      </c>
      <c r="AM250" s="32">
        <v>1271</v>
      </c>
      <c r="AN250" s="32">
        <v>2445</v>
      </c>
      <c r="AO250" s="32">
        <v>-336</v>
      </c>
      <c r="AP250" s="32">
        <v>-2029</v>
      </c>
      <c r="AQ25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8.4672324375294679</v>
      </c>
      <c r="AR250" s="32">
        <v>3407</v>
      </c>
      <c r="AS250" s="32">
        <v>8705</v>
      </c>
      <c r="AT250" s="32">
        <v>1687</v>
      </c>
      <c r="AU250" s="32">
        <v>350</v>
      </c>
      <c r="AV250" s="32">
        <v>382</v>
      </c>
      <c r="AW250" s="32">
        <v>1271</v>
      </c>
      <c r="AX250" s="32">
        <v>288</v>
      </c>
      <c r="AY250" s="32">
        <v>0</v>
      </c>
      <c r="AZ250" s="32">
        <v>1282</v>
      </c>
      <c r="BA250" s="32">
        <v>587</v>
      </c>
      <c r="BB250" s="32">
        <v>0</v>
      </c>
      <c r="BC250" s="32">
        <v>2121</v>
      </c>
      <c r="BD250" s="34">
        <f>IFERROR(SUM(Entity_Metrics[[#This Row],[Operating surplus/(deficit) (social housing lettings)]])/SUM(Entity_Metrics[[#This Row],[Turnover from social housing lettings]]),"")</f>
        <v>-8.7286978207944902E-3</v>
      </c>
      <c r="BE250" s="32">
        <v>-147</v>
      </c>
      <c r="BF250" s="32">
        <v>16841</v>
      </c>
      <c r="BG250" s="34">
        <f>IFERROR(SUM(Entity_Metrics[[#This Row],[Operating surplus/(deficit) (overall)2]],-Entity_Metrics[[#This Row],[Gain/(loss) on disposal of fixed assets (housing properties)2]])/SUM(Entity_Metrics[[#This Row],[Turnover (overall)]]),"")</f>
        <v>8.8162365690146027E-3</v>
      </c>
      <c r="BH250" s="32">
        <v>1055</v>
      </c>
      <c r="BI250" s="32">
        <v>863</v>
      </c>
      <c r="BJ250" s="32">
        <v>21778</v>
      </c>
      <c r="BK250" s="34">
        <f>IFERROR(SUM(Entity_Metrics[[#This Row],[Operating surplus/(deficit) (overall)3]],Entity_Metrics[[#This Row],[Share of operating surplus/(deficit) in joint ventures or associates]])/SUM(Entity_Metrics[[#This Row],[Total assets less current liabilities]]),"")</f>
        <v>6.0726414551315255E-3</v>
      </c>
      <c r="BL250" s="32">
        <v>1055</v>
      </c>
      <c r="BM250" s="32">
        <v>0</v>
      </c>
      <c r="BN250" s="32">
        <v>173730</v>
      </c>
      <c r="BO250" s="34">
        <v>3.1633616619452312E-2</v>
      </c>
      <c r="BP250" s="34">
        <v>0.12559017941454201</v>
      </c>
      <c r="BQ250" s="6" t="s">
        <v>82</v>
      </c>
      <c r="BR250" s="6" t="s">
        <v>83</v>
      </c>
      <c r="BS250" s="6" t="s">
        <v>83</v>
      </c>
      <c r="BT250" s="6" t="s">
        <v>108</v>
      </c>
      <c r="BU250" s="8">
        <v>0.94315959117664216</v>
      </c>
      <c r="BV250" s="37" t="s">
        <v>479</v>
      </c>
      <c r="BW250" s="19" t="s">
        <v>480</v>
      </c>
    </row>
    <row r="251" spans="1:75" x14ac:dyDescent="0.25">
      <c r="A251" s="33" t="s">
        <v>846</v>
      </c>
      <c r="B251" s="7" t="s">
        <v>482</v>
      </c>
      <c r="C251" s="7" t="s">
        <v>81</v>
      </c>
      <c r="D25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1.7590137679501499E-2</v>
      </c>
      <c r="E251" s="32">
        <v>0</v>
      </c>
      <c r="F251" s="32">
        <v>0</v>
      </c>
      <c r="G251" s="32">
        <v>1307</v>
      </c>
      <c r="H251" s="32">
        <v>0</v>
      </c>
      <c r="I251" s="32">
        <v>0</v>
      </c>
      <c r="J251" s="32">
        <v>74303</v>
      </c>
      <c r="K251" s="32">
        <v>0</v>
      </c>
      <c r="L25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51" s="32">
        <v>0</v>
      </c>
      <c r="N251" s="32">
        <v>0</v>
      </c>
      <c r="O251" s="32">
        <v>2365</v>
      </c>
      <c r="P251" s="32">
        <v>0</v>
      </c>
      <c r="Q25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5.4012345679012343E-3</v>
      </c>
      <c r="R251" s="32">
        <v>14</v>
      </c>
      <c r="S251" s="32">
        <v>0</v>
      </c>
      <c r="T251" s="32">
        <v>0</v>
      </c>
      <c r="U251" s="32">
        <v>2365</v>
      </c>
      <c r="V251" s="32">
        <v>96</v>
      </c>
      <c r="W251" s="32">
        <v>0</v>
      </c>
      <c r="X251" s="32">
        <v>131</v>
      </c>
      <c r="Y25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0.48622532064654184</v>
      </c>
      <c r="Z251" s="32">
        <v>945</v>
      </c>
      <c r="AA251" s="32">
        <v>40991</v>
      </c>
      <c r="AB251" s="32">
        <v>5808</v>
      </c>
      <c r="AC251" s="32">
        <v>0</v>
      </c>
      <c r="AD251" s="32">
        <v>0</v>
      </c>
      <c r="AE251" s="32">
        <v>74303</v>
      </c>
      <c r="AF251" s="32">
        <v>0</v>
      </c>
      <c r="AG25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2.7816753926701572</v>
      </c>
      <c r="AH251" s="32">
        <v>5707</v>
      </c>
      <c r="AI251" s="32">
        <v>407</v>
      </c>
      <c r="AJ251" s="32">
        <v>236</v>
      </c>
      <c r="AK251" s="32">
        <v>0</v>
      </c>
      <c r="AL251" s="32">
        <v>18</v>
      </c>
      <c r="AM251" s="32">
        <v>1307</v>
      </c>
      <c r="AN251" s="32">
        <v>1538</v>
      </c>
      <c r="AO251" s="32">
        <v>0</v>
      </c>
      <c r="AP251" s="32">
        <v>-1910</v>
      </c>
      <c r="AQ25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2.73276955602537</v>
      </c>
      <c r="AR251" s="32">
        <v>1534</v>
      </c>
      <c r="AS251" s="32">
        <v>752</v>
      </c>
      <c r="AT251" s="32">
        <v>1576</v>
      </c>
      <c r="AU251" s="32">
        <v>837</v>
      </c>
      <c r="AV251" s="32">
        <v>457</v>
      </c>
      <c r="AW251" s="32">
        <v>1307</v>
      </c>
      <c r="AX251" s="32">
        <v>0</v>
      </c>
      <c r="AY251" s="32">
        <v>0</v>
      </c>
      <c r="AZ251" s="32">
        <v>0</v>
      </c>
      <c r="BA251" s="32">
        <v>0</v>
      </c>
      <c r="BB251" s="32">
        <v>0</v>
      </c>
      <c r="BC251" s="32">
        <v>2365</v>
      </c>
      <c r="BD251" s="34">
        <f>IFERROR(SUM(Entity_Metrics[[#This Row],[Operating surplus/(deficit) (social housing lettings)]])/SUM(Entity_Metrics[[#This Row],[Turnover from social housing lettings]]),"")</f>
        <v>0.45927903871829107</v>
      </c>
      <c r="BE251" s="32">
        <v>5504</v>
      </c>
      <c r="BF251" s="32">
        <v>11984</v>
      </c>
      <c r="BG251" s="34">
        <f>IFERROR(SUM(Entity_Metrics[[#This Row],[Operating surplus/(deficit) (overall)2]],-Entity_Metrics[[#This Row],[Gain/(loss) on disposal of fixed assets (housing properties)2]])/SUM(Entity_Metrics[[#This Row],[Turnover (overall)]]),"")</f>
        <v>0.37905878987269348</v>
      </c>
      <c r="BH251" s="32">
        <v>5707</v>
      </c>
      <c r="BI251" s="32">
        <v>407</v>
      </c>
      <c r="BJ251" s="32">
        <v>13982</v>
      </c>
      <c r="BK251" s="34">
        <f>IFERROR(SUM(Entity_Metrics[[#This Row],[Operating surplus/(deficit) (overall)3]],Entity_Metrics[[#This Row],[Share of operating surplus/(deficit) in joint ventures or associates]])/SUM(Entity_Metrics[[#This Row],[Total assets less current liabilities]]),"")</f>
        <v>5.9975198621211485E-2</v>
      </c>
      <c r="BL251" s="32">
        <v>5707</v>
      </c>
      <c r="BM251" s="32">
        <v>0</v>
      </c>
      <c r="BN251" s="32">
        <v>95156</v>
      </c>
      <c r="BO251" s="34">
        <v>0</v>
      </c>
      <c r="BP251" s="34">
        <v>5.4168429961912824E-2</v>
      </c>
      <c r="BQ251" s="6" t="s">
        <v>82</v>
      </c>
      <c r="BR251" s="6" t="s">
        <v>83</v>
      </c>
      <c r="BS251" s="6" t="s">
        <v>83</v>
      </c>
      <c r="BT251" s="6" t="s">
        <v>90</v>
      </c>
      <c r="BU251" s="8">
        <v>0.91571558169387279</v>
      </c>
      <c r="BV251" s="37" t="s">
        <v>846</v>
      </c>
      <c r="BW251" s="19" t="s">
        <v>482</v>
      </c>
    </row>
    <row r="252" spans="1:75" x14ac:dyDescent="0.25">
      <c r="A252" s="33" t="s">
        <v>847</v>
      </c>
      <c r="B252" s="7" t="s">
        <v>484</v>
      </c>
      <c r="C252" s="7" t="s">
        <v>81</v>
      </c>
      <c r="D25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3.6530113403415117E-2</v>
      </c>
      <c r="E252" s="32">
        <v>31135</v>
      </c>
      <c r="F252" s="32">
        <v>0</v>
      </c>
      <c r="G252" s="32">
        <v>32037</v>
      </c>
      <c r="H252" s="32">
        <v>0</v>
      </c>
      <c r="I252" s="32">
        <v>0</v>
      </c>
      <c r="J252" s="32">
        <v>1729313</v>
      </c>
      <c r="K252" s="32">
        <v>0</v>
      </c>
      <c r="L25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3.6590295062437508E-3</v>
      </c>
      <c r="M252" s="32">
        <v>171</v>
      </c>
      <c r="N252" s="32">
        <v>1</v>
      </c>
      <c r="O252" s="32">
        <v>45951</v>
      </c>
      <c r="P252" s="32">
        <v>1056</v>
      </c>
      <c r="Q25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52" s="32">
        <v>0</v>
      </c>
      <c r="S252" s="32">
        <v>0</v>
      </c>
      <c r="T252" s="32">
        <v>0</v>
      </c>
      <c r="U252" s="32">
        <v>45951</v>
      </c>
      <c r="V252" s="32">
        <v>358</v>
      </c>
      <c r="W252" s="32">
        <v>1056</v>
      </c>
      <c r="X252" s="32">
        <v>660</v>
      </c>
      <c r="Y25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0.35458127013444068</v>
      </c>
      <c r="Z252" s="32">
        <v>16300</v>
      </c>
      <c r="AA252" s="32">
        <v>653043</v>
      </c>
      <c r="AB252" s="32">
        <v>56161</v>
      </c>
      <c r="AC252" s="32">
        <v>0</v>
      </c>
      <c r="AD252" s="32">
        <v>0</v>
      </c>
      <c r="AE252" s="32">
        <v>1729313</v>
      </c>
      <c r="AF252" s="32">
        <v>0</v>
      </c>
      <c r="AG25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1.8728149181783584</v>
      </c>
      <c r="AH252" s="32">
        <v>88323</v>
      </c>
      <c r="AI252" s="32">
        <v>15245</v>
      </c>
      <c r="AJ252" s="32">
        <v>10376</v>
      </c>
      <c r="AK252" s="32">
        <v>0</v>
      </c>
      <c r="AL252" s="32">
        <v>4666</v>
      </c>
      <c r="AM252" s="32">
        <v>32037</v>
      </c>
      <c r="AN252" s="32">
        <v>38486</v>
      </c>
      <c r="AO252" s="32">
        <v>0</v>
      </c>
      <c r="AP252" s="32">
        <v>-39415</v>
      </c>
      <c r="AQ25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4.3804872925855909</v>
      </c>
      <c r="AR252" s="32">
        <v>41963</v>
      </c>
      <c r="AS252" s="32">
        <v>67390</v>
      </c>
      <c r="AT252" s="32">
        <v>53140</v>
      </c>
      <c r="AU252" s="32">
        <v>0</v>
      </c>
      <c r="AV252" s="32">
        <v>5575</v>
      </c>
      <c r="AW252" s="32">
        <v>32037</v>
      </c>
      <c r="AX252" s="32">
        <v>239</v>
      </c>
      <c r="AY252" s="32">
        <v>0</v>
      </c>
      <c r="AZ252" s="32">
        <v>2187</v>
      </c>
      <c r="BA252" s="32">
        <v>6024</v>
      </c>
      <c r="BB252" s="32">
        <v>0</v>
      </c>
      <c r="BC252" s="32">
        <v>47610</v>
      </c>
      <c r="BD252" s="34">
        <f>IFERROR(SUM(Entity_Metrics[[#This Row],[Operating surplus/(deficit) (social housing lettings)]])/SUM(Entity_Metrics[[#This Row],[Turnover from social housing lettings]]),"")</f>
        <v>0.23409759881815381</v>
      </c>
      <c r="BE252" s="32">
        <v>63068</v>
      </c>
      <c r="BF252" s="32">
        <v>269409</v>
      </c>
      <c r="BG252" s="34">
        <f>IFERROR(SUM(Entity_Metrics[[#This Row],[Operating surplus/(deficit) (overall)2]],-Entity_Metrics[[#This Row],[Gain/(loss) on disposal of fixed assets (housing properties)2]])/SUM(Entity_Metrics[[#This Row],[Turnover (overall)]]),"")</f>
        <v>0.2478186411652</v>
      </c>
      <c r="BH252" s="32">
        <v>88323</v>
      </c>
      <c r="BI252" s="32">
        <v>15245</v>
      </c>
      <c r="BJ252" s="32">
        <v>294885</v>
      </c>
      <c r="BK252" s="34">
        <f>IFERROR(SUM(Entity_Metrics[[#This Row],[Operating surplus/(deficit) (overall)3]],Entity_Metrics[[#This Row],[Share of operating surplus/(deficit) in joint ventures or associates]])/SUM(Entity_Metrics[[#This Row],[Total assets less current liabilities]]),"")</f>
        <v>4.6559353251822089E-2</v>
      </c>
      <c r="BL252" s="32">
        <v>88323</v>
      </c>
      <c r="BM252" s="32">
        <v>0</v>
      </c>
      <c r="BN252" s="32">
        <v>1896998</v>
      </c>
      <c r="BO252" s="34">
        <v>8.8746708450305758E-2</v>
      </c>
      <c r="BP252" s="34">
        <v>0.10112946399425475</v>
      </c>
      <c r="BQ252" s="6" t="s">
        <v>82</v>
      </c>
      <c r="BR252" s="6" t="s">
        <v>83</v>
      </c>
      <c r="BS252" s="6" t="s">
        <v>83</v>
      </c>
      <c r="BT252" s="6" t="s">
        <v>105</v>
      </c>
      <c r="BU252" s="8">
        <v>0.94222714511047756</v>
      </c>
      <c r="BV252" s="37" t="s">
        <v>847</v>
      </c>
      <c r="BW252" s="19" t="s">
        <v>484</v>
      </c>
    </row>
    <row r="253" spans="1:75" x14ac:dyDescent="0.25">
      <c r="A253" s="33" t="s">
        <v>848</v>
      </c>
      <c r="B253" s="7" t="s">
        <v>849</v>
      </c>
      <c r="C253" s="7" t="s">
        <v>81</v>
      </c>
      <c r="D25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7.3285386883304909E-2</v>
      </c>
      <c r="E253" s="32">
        <v>14435</v>
      </c>
      <c r="F253" s="32">
        <v>21766</v>
      </c>
      <c r="G253" s="32">
        <v>1308</v>
      </c>
      <c r="H253" s="32">
        <v>0</v>
      </c>
      <c r="I253" s="32">
        <v>0</v>
      </c>
      <c r="J253" s="32">
        <v>511821</v>
      </c>
      <c r="K253" s="32">
        <v>0</v>
      </c>
      <c r="L25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3.9308657081676357E-2</v>
      </c>
      <c r="M253" s="32">
        <v>257</v>
      </c>
      <c r="N253" s="32">
        <v>0</v>
      </c>
      <c r="O253" s="32">
        <v>6538</v>
      </c>
      <c r="P253" s="32">
        <v>0</v>
      </c>
      <c r="Q25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8.0134964150147623E-3</v>
      </c>
      <c r="R253" s="32">
        <v>0</v>
      </c>
      <c r="S253" s="32">
        <v>0</v>
      </c>
      <c r="T253" s="32">
        <v>57</v>
      </c>
      <c r="U253" s="32">
        <v>6538</v>
      </c>
      <c r="V253" s="32">
        <v>194</v>
      </c>
      <c r="W253" s="32">
        <v>0</v>
      </c>
      <c r="X253" s="32">
        <v>381</v>
      </c>
      <c r="Y25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0.42452537117468803</v>
      </c>
      <c r="Z253" s="32">
        <v>3315</v>
      </c>
      <c r="AA253" s="32">
        <v>289293</v>
      </c>
      <c r="AB253" s="32">
        <v>75327</v>
      </c>
      <c r="AC253" s="32">
        <v>0</v>
      </c>
      <c r="AD253" s="32">
        <v>0</v>
      </c>
      <c r="AE253" s="32">
        <v>511821</v>
      </c>
      <c r="AF253" s="32">
        <v>0</v>
      </c>
      <c r="AG25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2.8492447428176524</v>
      </c>
      <c r="AH253" s="32">
        <v>59890</v>
      </c>
      <c r="AI253" s="32">
        <v>35373</v>
      </c>
      <c r="AJ253" s="32">
        <v>2172</v>
      </c>
      <c r="AK253" s="32">
        <v>0</v>
      </c>
      <c r="AL253" s="32">
        <v>1110</v>
      </c>
      <c r="AM253" s="32">
        <v>1308</v>
      </c>
      <c r="AN253" s="32">
        <v>6713</v>
      </c>
      <c r="AO253" s="32">
        <v>0</v>
      </c>
      <c r="AP253" s="32">
        <v>-10129</v>
      </c>
      <c r="AQ25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5.8545426736004895</v>
      </c>
      <c r="AR253" s="32">
        <v>8865</v>
      </c>
      <c r="AS253" s="32">
        <v>2308</v>
      </c>
      <c r="AT253" s="32">
        <v>3274</v>
      </c>
      <c r="AU253" s="32">
        <v>1106</v>
      </c>
      <c r="AV253" s="32">
        <v>2236</v>
      </c>
      <c r="AW253" s="32">
        <v>1308</v>
      </c>
      <c r="AX253" s="32">
        <v>-394</v>
      </c>
      <c r="AY253" s="32">
        <v>197</v>
      </c>
      <c r="AZ253" s="32">
        <v>0</v>
      </c>
      <c r="BA253" s="32">
        <v>871</v>
      </c>
      <c r="BB253" s="32">
        <v>18506</v>
      </c>
      <c r="BC253" s="32">
        <v>6538</v>
      </c>
      <c r="BD253" s="34">
        <f>IFERROR(SUM(Entity_Metrics[[#This Row],[Operating surplus/(deficit) (social housing lettings)]])/SUM(Entity_Metrics[[#This Row],[Turnover from social housing lettings]]),"")</f>
        <v>0.43535065325123895</v>
      </c>
      <c r="BE253" s="32">
        <v>17394</v>
      </c>
      <c r="BF253" s="32">
        <v>39954</v>
      </c>
      <c r="BG253" s="34">
        <f>IFERROR(SUM(Entity_Metrics[[#This Row],[Operating surplus/(deficit) (overall)2]],-Entity_Metrics[[#This Row],[Gain/(loss) on disposal of fixed assets (housing properties)2]])/SUM(Entity_Metrics[[#This Row],[Turnover (overall)]]),"")</f>
        <v>0.27354480234750689</v>
      </c>
      <c r="BH253" s="32">
        <v>59890</v>
      </c>
      <c r="BI253" s="32">
        <v>35373</v>
      </c>
      <c r="BJ253" s="32">
        <v>89627</v>
      </c>
      <c r="BK253" s="34">
        <f>IFERROR(SUM(Entity_Metrics[[#This Row],[Operating surplus/(deficit) (overall)3]],Entity_Metrics[[#This Row],[Share of operating surplus/(deficit) in joint ventures or associates]])/SUM(Entity_Metrics[[#This Row],[Total assets less current liabilities]]),"")</f>
        <v>8.6320462374425269E-2</v>
      </c>
      <c r="BL253" s="32">
        <v>59890</v>
      </c>
      <c r="BM253" s="32">
        <v>0</v>
      </c>
      <c r="BN253" s="32">
        <v>693810</v>
      </c>
      <c r="BO253" s="34">
        <v>1.4886433394720688E-2</v>
      </c>
      <c r="BP253" s="34">
        <v>2.4401473296500921E-2</v>
      </c>
      <c r="BQ253" s="6" t="s">
        <v>82</v>
      </c>
      <c r="BR253" s="6" t="s">
        <v>83</v>
      </c>
      <c r="BS253" s="6" t="s">
        <v>83</v>
      </c>
      <c r="BT253" s="6" t="s">
        <v>84</v>
      </c>
      <c r="BU253" s="8">
        <v>1.0030290031901921</v>
      </c>
      <c r="BV253" s="37" t="s">
        <v>634</v>
      </c>
      <c r="BW253" s="19" t="s">
        <v>392</v>
      </c>
    </row>
    <row r="254" spans="1:75" x14ac:dyDescent="0.25">
      <c r="A254" s="33" t="s">
        <v>850</v>
      </c>
      <c r="B254" s="7" t="s">
        <v>851</v>
      </c>
      <c r="C254" s="7" t="s">
        <v>81</v>
      </c>
      <c r="D25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2.7622539422631973E-2</v>
      </c>
      <c r="E254" s="32">
        <v>0</v>
      </c>
      <c r="F254" s="32">
        <v>0</v>
      </c>
      <c r="G254" s="32">
        <v>1552</v>
      </c>
      <c r="H254" s="32">
        <v>0</v>
      </c>
      <c r="I254" s="32">
        <v>0</v>
      </c>
      <c r="J254" s="32">
        <v>56186</v>
      </c>
      <c r="K254" s="32">
        <v>0</v>
      </c>
      <c r="L25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54" s="32">
        <v>0</v>
      </c>
      <c r="N254" s="32">
        <v>0</v>
      </c>
      <c r="O254" s="32">
        <v>2526</v>
      </c>
      <c r="P254" s="32">
        <v>0</v>
      </c>
      <c r="Q25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54" s="32">
        <v>0</v>
      </c>
      <c r="S254" s="32">
        <v>0</v>
      </c>
      <c r="T254" s="32">
        <v>0</v>
      </c>
      <c r="U254" s="32">
        <v>2526</v>
      </c>
      <c r="V254" s="32">
        <v>1</v>
      </c>
      <c r="W254" s="32">
        <v>0</v>
      </c>
      <c r="X254" s="32">
        <v>18</v>
      </c>
      <c r="Y25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0.38125155732744814</v>
      </c>
      <c r="Z254" s="32">
        <v>11</v>
      </c>
      <c r="AA254" s="32">
        <v>1244</v>
      </c>
      <c r="AB254" s="32">
        <v>2087</v>
      </c>
      <c r="AC254" s="32">
        <v>22253</v>
      </c>
      <c r="AD254" s="32">
        <v>0</v>
      </c>
      <c r="AE254" s="32">
        <v>56186</v>
      </c>
      <c r="AF254" s="32">
        <v>0</v>
      </c>
      <c r="AG25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2.639455782312925</v>
      </c>
      <c r="AH254" s="32">
        <v>3236</v>
      </c>
      <c r="AI254" s="32">
        <v>70</v>
      </c>
      <c r="AJ254" s="32">
        <v>190</v>
      </c>
      <c r="AK254" s="32">
        <v>0</v>
      </c>
      <c r="AL254" s="32">
        <v>4</v>
      </c>
      <c r="AM254" s="32">
        <v>1552</v>
      </c>
      <c r="AN254" s="32">
        <v>2064</v>
      </c>
      <c r="AO254" s="32">
        <v>0</v>
      </c>
      <c r="AP254" s="32">
        <v>-1323</v>
      </c>
      <c r="AQ25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2.7802278574053658</v>
      </c>
      <c r="AR254" s="32">
        <v>2359</v>
      </c>
      <c r="AS254" s="32">
        <v>506</v>
      </c>
      <c r="AT254" s="32">
        <v>1489</v>
      </c>
      <c r="AU254" s="32">
        <v>1138</v>
      </c>
      <c r="AV254" s="32">
        <v>154</v>
      </c>
      <c r="AW254" s="32">
        <v>1552</v>
      </c>
      <c r="AX254" s="32">
        <v>147</v>
      </c>
      <c r="AY254" s="32">
        <v>0</v>
      </c>
      <c r="AZ254" s="32">
        <v>0</v>
      </c>
      <c r="BA254" s="32">
        <v>6</v>
      </c>
      <c r="BB254" s="32">
        <v>214</v>
      </c>
      <c r="BC254" s="32">
        <v>2721</v>
      </c>
      <c r="BD254" s="34">
        <f>IFERROR(SUM(Entity_Metrics[[#This Row],[Operating surplus/(deficit) (social housing lettings)]])/SUM(Entity_Metrics[[#This Row],[Turnover from social housing lettings]]),"")</f>
        <v>0.27899313501144163</v>
      </c>
      <c r="BE254" s="32">
        <v>3048</v>
      </c>
      <c r="BF254" s="32">
        <v>10925</v>
      </c>
      <c r="BG254" s="34">
        <f>IFERROR(SUM(Entity_Metrics[[#This Row],[Operating surplus/(deficit) (overall)2]],-Entity_Metrics[[#This Row],[Gain/(loss) on disposal of fixed assets (housing properties)2]])/SUM(Entity_Metrics[[#This Row],[Turnover (overall)]]),"")</f>
        <v>0.27769493904043507</v>
      </c>
      <c r="BH254" s="32">
        <v>3236</v>
      </c>
      <c r="BI254" s="32">
        <v>70</v>
      </c>
      <c r="BJ254" s="32">
        <v>11401</v>
      </c>
      <c r="BK254" s="34">
        <f>IFERROR(SUM(Entity_Metrics[[#This Row],[Operating surplus/(deficit) (overall)3]],Entity_Metrics[[#This Row],[Share of operating surplus/(deficit) in joint ventures or associates]])/SUM(Entity_Metrics[[#This Row],[Total assets less current liabilities]]),"")</f>
        <v>5.4306236154930521E-2</v>
      </c>
      <c r="BL254" s="32">
        <v>3236</v>
      </c>
      <c r="BM254" s="32">
        <v>0</v>
      </c>
      <c r="BN254" s="32">
        <v>59588</v>
      </c>
      <c r="BO254" s="34">
        <v>5.8194774346793349E-2</v>
      </c>
      <c r="BP254" s="34">
        <v>0</v>
      </c>
      <c r="BQ254" s="6" t="s">
        <v>93</v>
      </c>
      <c r="BR254" s="6">
        <v>2004</v>
      </c>
      <c r="BS254" s="6" t="s">
        <v>94</v>
      </c>
      <c r="BT254" s="6" t="s">
        <v>105</v>
      </c>
      <c r="BU254" s="8">
        <v>0.9156653862445665</v>
      </c>
      <c r="BV254" s="37">
        <v>4820</v>
      </c>
      <c r="BW254" s="19" t="s">
        <v>214</v>
      </c>
    </row>
    <row r="255" spans="1:75" x14ac:dyDescent="0.25">
      <c r="A255" s="33" t="s">
        <v>852</v>
      </c>
      <c r="B255" s="7" t="s">
        <v>853</v>
      </c>
      <c r="C255" s="7" t="s">
        <v>81</v>
      </c>
      <c r="D25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8.4803251641044894E-2</v>
      </c>
      <c r="E255" s="32">
        <v>0</v>
      </c>
      <c r="F255" s="32">
        <v>41579</v>
      </c>
      <c r="G255" s="32">
        <v>6325</v>
      </c>
      <c r="H255" s="32">
        <v>0</v>
      </c>
      <c r="I255" s="32">
        <v>0</v>
      </c>
      <c r="J255" s="32">
        <v>564884</v>
      </c>
      <c r="K255" s="32">
        <v>0</v>
      </c>
      <c r="L25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4.4472884338505839E-2</v>
      </c>
      <c r="M255" s="32">
        <v>556</v>
      </c>
      <c r="N255" s="32">
        <v>0</v>
      </c>
      <c r="O255" s="32">
        <v>12502</v>
      </c>
      <c r="P255" s="32">
        <v>0</v>
      </c>
      <c r="Q25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7.4310767630229619E-4</v>
      </c>
      <c r="R255" s="32">
        <v>10</v>
      </c>
      <c r="S255" s="32">
        <v>0</v>
      </c>
      <c r="T255" s="32">
        <v>0</v>
      </c>
      <c r="U255" s="32">
        <v>12502</v>
      </c>
      <c r="V255" s="32">
        <v>127</v>
      </c>
      <c r="W255" s="32">
        <v>0</v>
      </c>
      <c r="X255" s="32">
        <v>828</v>
      </c>
      <c r="Y25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0.63964459959920972</v>
      </c>
      <c r="Z255" s="32">
        <v>0</v>
      </c>
      <c r="AA255" s="32">
        <v>369284</v>
      </c>
      <c r="AB255" s="32">
        <v>7959</v>
      </c>
      <c r="AC255" s="32">
        <v>0</v>
      </c>
      <c r="AD255" s="32">
        <v>0</v>
      </c>
      <c r="AE255" s="32">
        <v>564884</v>
      </c>
      <c r="AF255" s="32">
        <v>0</v>
      </c>
      <c r="AG25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1.3646447486759268</v>
      </c>
      <c r="AH255" s="32">
        <v>32563</v>
      </c>
      <c r="AI255" s="32">
        <v>9452</v>
      </c>
      <c r="AJ255" s="32">
        <v>816</v>
      </c>
      <c r="AK255" s="32">
        <v>0</v>
      </c>
      <c r="AL255" s="32">
        <v>18</v>
      </c>
      <c r="AM255" s="32">
        <v>6325</v>
      </c>
      <c r="AN255" s="32">
        <v>11324</v>
      </c>
      <c r="AO255" s="32">
        <v>0</v>
      </c>
      <c r="AP255" s="32">
        <v>-20014</v>
      </c>
      <c r="AQ25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3.2698768197088466</v>
      </c>
      <c r="AR255" s="32">
        <v>6912</v>
      </c>
      <c r="AS255" s="32">
        <v>9757</v>
      </c>
      <c r="AT255" s="32">
        <v>11227</v>
      </c>
      <c r="AU255" s="32">
        <v>0</v>
      </c>
      <c r="AV255" s="32">
        <v>5805</v>
      </c>
      <c r="AW255" s="32">
        <v>6325</v>
      </c>
      <c r="AX255" s="32">
        <v>0</v>
      </c>
      <c r="AY255" s="32">
        <v>0</v>
      </c>
      <c r="AZ255" s="32">
        <v>0</v>
      </c>
      <c r="BA255" s="32">
        <v>854</v>
      </c>
      <c r="BB255" s="32">
        <v>0</v>
      </c>
      <c r="BC255" s="32">
        <v>12502</v>
      </c>
      <c r="BD255" s="34">
        <f>IFERROR(SUM(Entity_Metrics[[#This Row],[Operating surplus/(deficit) (social housing lettings)]])/SUM(Entity_Metrics[[#This Row],[Turnover from social housing lettings]]),"")</f>
        <v>0.31530882736006621</v>
      </c>
      <c r="BE255" s="32">
        <v>20578</v>
      </c>
      <c r="BF255" s="32">
        <v>65263</v>
      </c>
      <c r="BG255" s="34">
        <f>IFERROR(SUM(Entity_Metrics[[#This Row],[Operating surplus/(deficit) (overall)2]],-Entity_Metrics[[#This Row],[Gain/(loss) on disposal of fixed assets (housing properties)2]])/SUM(Entity_Metrics[[#This Row],[Turnover (overall)]]),"")</f>
        <v>0.32383314417027476</v>
      </c>
      <c r="BH255" s="32">
        <v>32563</v>
      </c>
      <c r="BI255" s="32">
        <v>9452</v>
      </c>
      <c r="BJ255" s="32">
        <v>71367</v>
      </c>
      <c r="BK255" s="34">
        <f>IFERROR(SUM(Entity_Metrics[[#This Row],[Operating surplus/(deficit) (overall)3]],Entity_Metrics[[#This Row],[Share of operating surplus/(deficit) in joint ventures or associates]])/SUM(Entity_Metrics[[#This Row],[Total assets less current liabilities]]),"")</f>
        <v>5.5227095417387469E-2</v>
      </c>
      <c r="BL255" s="32">
        <v>32563</v>
      </c>
      <c r="BM255" s="32">
        <v>0</v>
      </c>
      <c r="BN255" s="32">
        <v>589620</v>
      </c>
      <c r="BO255" s="34">
        <v>5.5191169412893938E-3</v>
      </c>
      <c r="BP255" s="34">
        <v>0.10590305551111823</v>
      </c>
      <c r="BQ255" s="6" t="s">
        <v>93</v>
      </c>
      <c r="BR255" s="6">
        <v>1999</v>
      </c>
      <c r="BS255" s="6" t="s">
        <v>94</v>
      </c>
      <c r="BT255" s="6" t="s">
        <v>90</v>
      </c>
      <c r="BU255" s="8">
        <v>0.91571558169387279</v>
      </c>
      <c r="BV255" s="37" t="s">
        <v>854</v>
      </c>
      <c r="BW255" s="19" t="s">
        <v>486</v>
      </c>
    </row>
    <row r="256" spans="1:75" x14ac:dyDescent="0.25">
      <c r="A256" s="33" t="s">
        <v>855</v>
      </c>
      <c r="B256" s="7" t="s">
        <v>488</v>
      </c>
      <c r="C256" s="7" t="s">
        <v>81</v>
      </c>
      <c r="D25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4.4287253800472333E-2</v>
      </c>
      <c r="E256" s="32">
        <v>27455</v>
      </c>
      <c r="F256" s="32">
        <v>0</v>
      </c>
      <c r="G256" s="32">
        <v>13525</v>
      </c>
      <c r="H256" s="32">
        <v>1513</v>
      </c>
      <c r="I256" s="32">
        <v>0</v>
      </c>
      <c r="J256" s="32">
        <v>959486</v>
      </c>
      <c r="K256" s="32">
        <v>0</v>
      </c>
      <c r="L25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5.7235059518373063E-3</v>
      </c>
      <c r="M256" s="32">
        <v>188</v>
      </c>
      <c r="N256" s="32">
        <v>0</v>
      </c>
      <c r="O256" s="32">
        <v>32150</v>
      </c>
      <c r="P256" s="32">
        <v>697</v>
      </c>
      <c r="Q25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9.706970818418977E-4</v>
      </c>
      <c r="R256" s="32">
        <v>0</v>
      </c>
      <c r="S256" s="32">
        <v>4</v>
      </c>
      <c r="T256" s="32">
        <v>28</v>
      </c>
      <c r="U256" s="32">
        <v>32150</v>
      </c>
      <c r="V256" s="32">
        <v>115</v>
      </c>
      <c r="W256" s="32">
        <v>697</v>
      </c>
      <c r="X256" s="32">
        <v>4</v>
      </c>
      <c r="Y25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0.24854765989290098</v>
      </c>
      <c r="Z256" s="32">
        <v>5442</v>
      </c>
      <c r="AA256" s="32">
        <v>239968</v>
      </c>
      <c r="AB256" s="32">
        <v>6932</v>
      </c>
      <c r="AC256" s="32">
        <v>0</v>
      </c>
      <c r="AD256" s="32">
        <v>0</v>
      </c>
      <c r="AE256" s="32">
        <v>959486</v>
      </c>
      <c r="AF256" s="32">
        <v>0</v>
      </c>
      <c r="AG25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3.1657296881016559</v>
      </c>
      <c r="AH256" s="32">
        <v>40487</v>
      </c>
      <c r="AI256" s="32">
        <v>1671</v>
      </c>
      <c r="AJ256" s="32">
        <v>1103</v>
      </c>
      <c r="AK256" s="32">
        <v>0</v>
      </c>
      <c r="AL256" s="32">
        <v>34</v>
      </c>
      <c r="AM256" s="32">
        <v>14405</v>
      </c>
      <c r="AN256" s="32">
        <v>17765</v>
      </c>
      <c r="AO256" s="32">
        <v>-1513</v>
      </c>
      <c r="AP256" s="32">
        <v>-11472</v>
      </c>
      <c r="AQ25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3.0721208930728023</v>
      </c>
      <c r="AR256" s="32">
        <v>19363</v>
      </c>
      <c r="AS256" s="32">
        <v>9930</v>
      </c>
      <c r="AT256" s="32">
        <v>25535</v>
      </c>
      <c r="AU256" s="32">
        <v>3451</v>
      </c>
      <c r="AV256" s="32">
        <v>19387</v>
      </c>
      <c r="AW256" s="32">
        <v>14405</v>
      </c>
      <c r="AX256" s="32">
        <v>0</v>
      </c>
      <c r="AY256" s="32">
        <v>0</v>
      </c>
      <c r="AZ256" s="32">
        <v>916</v>
      </c>
      <c r="BA256" s="32">
        <v>4511</v>
      </c>
      <c r="BB256" s="32">
        <v>1710</v>
      </c>
      <c r="BC256" s="32">
        <v>32293</v>
      </c>
      <c r="BD256" s="34">
        <f>IFERROR(SUM(Entity_Metrics[[#This Row],[Operating surplus/(deficit) (social housing lettings)]])/SUM(Entity_Metrics[[#This Row],[Turnover from social housing lettings]]),"")</f>
        <v>0.29143342730350569</v>
      </c>
      <c r="BE256" s="32">
        <v>43212</v>
      </c>
      <c r="BF256" s="32">
        <v>148274</v>
      </c>
      <c r="BG256" s="34">
        <f>IFERROR(SUM(Entity_Metrics[[#This Row],[Operating surplus/(deficit) (overall)2]],-Entity_Metrics[[#This Row],[Gain/(loss) on disposal of fixed assets (housing properties)2]])/SUM(Entity_Metrics[[#This Row],[Turnover (overall)]]),"")</f>
        <v>0.24343986754302344</v>
      </c>
      <c r="BH256" s="32">
        <v>40487</v>
      </c>
      <c r="BI256" s="32">
        <v>1671</v>
      </c>
      <c r="BJ256" s="32">
        <v>159448</v>
      </c>
      <c r="BK256" s="34">
        <f>IFERROR(SUM(Entity_Metrics[[#This Row],[Operating surplus/(deficit) (overall)3]],Entity_Metrics[[#This Row],[Share of operating surplus/(deficit) in joint ventures or associates]])/SUM(Entity_Metrics[[#This Row],[Total assets less current liabilities]]),"")</f>
        <v>4.02580924861239E-2</v>
      </c>
      <c r="BL256" s="32">
        <v>40487</v>
      </c>
      <c r="BM256" s="32">
        <v>0</v>
      </c>
      <c r="BN256" s="32">
        <v>1005686</v>
      </c>
      <c r="BO256" s="34">
        <v>7.7142069978877762E-3</v>
      </c>
      <c r="BP256" s="34">
        <v>7.3223742614871273E-2</v>
      </c>
      <c r="BQ256" s="6" t="s">
        <v>93</v>
      </c>
      <c r="BR256" s="6">
        <v>2004</v>
      </c>
      <c r="BS256" s="6" t="s">
        <v>94</v>
      </c>
      <c r="BT256" s="6" t="s">
        <v>121</v>
      </c>
      <c r="BU256" s="8">
        <v>0.90346997028720288</v>
      </c>
      <c r="BV256" s="37" t="s">
        <v>855</v>
      </c>
      <c r="BW256" s="19" t="s">
        <v>488</v>
      </c>
    </row>
    <row r="257" spans="1:75" x14ac:dyDescent="0.25">
      <c r="A257" s="33" t="s">
        <v>856</v>
      </c>
      <c r="B257" s="7" t="s">
        <v>490</v>
      </c>
      <c r="C257" s="7" t="s">
        <v>81</v>
      </c>
      <c r="D25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0.14895153169471237</v>
      </c>
      <c r="E257" s="32">
        <v>19160</v>
      </c>
      <c r="F257" s="32">
        <v>0</v>
      </c>
      <c r="G257" s="32">
        <v>4359</v>
      </c>
      <c r="H257" s="32">
        <v>0</v>
      </c>
      <c r="I257" s="32">
        <v>0</v>
      </c>
      <c r="J257" s="32">
        <v>157897</v>
      </c>
      <c r="K257" s="32">
        <v>0</v>
      </c>
      <c r="L25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1.160541586073501E-2</v>
      </c>
      <c r="M257" s="32">
        <v>54</v>
      </c>
      <c r="N257" s="32">
        <v>0</v>
      </c>
      <c r="O257" s="32">
        <v>4162</v>
      </c>
      <c r="P257" s="32">
        <v>491</v>
      </c>
      <c r="Q25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57" s="32">
        <v>0</v>
      </c>
      <c r="S257" s="32">
        <v>0</v>
      </c>
      <c r="T257" s="32">
        <v>0</v>
      </c>
      <c r="U257" s="32">
        <v>4162</v>
      </c>
      <c r="V257" s="32">
        <v>1</v>
      </c>
      <c r="W257" s="32">
        <v>491</v>
      </c>
      <c r="X257" s="32">
        <v>0</v>
      </c>
      <c r="Y25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0.68114657023249336</v>
      </c>
      <c r="Z257" s="32">
        <v>0</v>
      </c>
      <c r="AA257" s="32">
        <v>124148</v>
      </c>
      <c r="AB257" s="32">
        <v>16597</v>
      </c>
      <c r="AC257" s="32">
        <v>0</v>
      </c>
      <c r="AD257" s="32">
        <v>0</v>
      </c>
      <c r="AE257" s="32">
        <v>157897</v>
      </c>
      <c r="AF257" s="32">
        <v>0</v>
      </c>
      <c r="AG25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1.4299212598425197</v>
      </c>
      <c r="AH257" s="32">
        <v>12713</v>
      </c>
      <c r="AI257" s="32">
        <v>4464</v>
      </c>
      <c r="AJ257" s="32">
        <v>103</v>
      </c>
      <c r="AK257" s="32">
        <v>0</v>
      </c>
      <c r="AL257" s="32">
        <v>151</v>
      </c>
      <c r="AM257" s="32">
        <v>4359</v>
      </c>
      <c r="AN257" s="32">
        <v>4234</v>
      </c>
      <c r="AO257" s="32">
        <v>-205</v>
      </c>
      <c r="AP257" s="32">
        <v>-5510</v>
      </c>
      <c r="AQ25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4.3435848149927923</v>
      </c>
      <c r="AR257" s="32">
        <v>6399</v>
      </c>
      <c r="AS257" s="32">
        <v>2125</v>
      </c>
      <c r="AT257" s="32">
        <v>2843</v>
      </c>
      <c r="AU257" s="32">
        <v>1361</v>
      </c>
      <c r="AV257" s="32">
        <v>0</v>
      </c>
      <c r="AW257" s="32">
        <v>4359</v>
      </c>
      <c r="AX257" s="32">
        <v>0</v>
      </c>
      <c r="AY257" s="32">
        <v>301</v>
      </c>
      <c r="AZ257" s="32">
        <v>0</v>
      </c>
      <c r="BA257" s="32">
        <v>682</v>
      </c>
      <c r="BB257" s="32">
        <v>8</v>
      </c>
      <c r="BC257" s="32">
        <v>4162</v>
      </c>
      <c r="BD257" s="34">
        <f>IFERROR(SUM(Entity_Metrics[[#This Row],[Operating surplus/(deficit) (social housing lettings)]])/SUM(Entity_Metrics[[#This Row],[Turnover from social housing lettings]]),"")</f>
        <v>0.34526499385578946</v>
      </c>
      <c r="BE257" s="32">
        <v>8710</v>
      </c>
      <c r="BF257" s="32">
        <v>25227</v>
      </c>
      <c r="BG257" s="34">
        <f>IFERROR(SUM(Entity_Metrics[[#This Row],[Operating surplus/(deficit) (overall)2]],-Entity_Metrics[[#This Row],[Gain/(loss) on disposal of fixed assets (housing properties)2]])/SUM(Entity_Metrics[[#This Row],[Turnover (overall)]]),"")</f>
        <v>0.31202481370806068</v>
      </c>
      <c r="BH257" s="32">
        <v>12713</v>
      </c>
      <c r="BI257" s="32">
        <v>4464</v>
      </c>
      <c r="BJ257" s="32">
        <v>26437</v>
      </c>
      <c r="BK257" s="34">
        <f>IFERROR(SUM(Entity_Metrics[[#This Row],[Operating surplus/(deficit) (overall)3]],Entity_Metrics[[#This Row],[Share of operating surplus/(deficit) in joint ventures or associates]])/SUM(Entity_Metrics[[#This Row],[Total assets less current liabilities]]),"")</f>
        <v>6.4045340050377833E-2</v>
      </c>
      <c r="BL257" s="32">
        <v>12713</v>
      </c>
      <c r="BM257" s="32">
        <v>0</v>
      </c>
      <c r="BN257" s="32">
        <v>198500</v>
      </c>
      <c r="BO257" s="34">
        <v>0</v>
      </c>
      <c r="BP257" s="34">
        <v>0.13719365689572321</v>
      </c>
      <c r="BQ257" s="6" t="s">
        <v>93</v>
      </c>
      <c r="BR257" s="6">
        <v>2008</v>
      </c>
      <c r="BS257" s="6" t="s">
        <v>120</v>
      </c>
      <c r="BT257" s="6" t="s">
        <v>100</v>
      </c>
      <c r="BU257" s="8">
        <v>1.0024917305184322</v>
      </c>
      <c r="BV257" s="37" t="s">
        <v>856</v>
      </c>
      <c r="BW257" s="19" t="s">
        <v>490</v>
      </c>
    </row>
    <row r="258" spans="1:75" x14ac:dyDescent="0.25">
      <c r="A258" s="33" t="s">
        <v>857</v>
      </c>
      <c r="B258" s="7" t="s">
        <v>858</v>
      </c>
      <c r="C258" s="7" t="s">
        <v>81</v>
      </c>
      <c r="D25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5.7181756296800543E-2</v>
      </c>
      <c r="E258" s="32">
        <v>42875</v>
      </c>
      <c r="F258" s="32">
        <v>0</v>
      </c>
      <c r="G258" s="32">
        <v>11473</v>
      </c>
      <c r="H258" s="32">
        <v>0</v>
      </c>
      <c r="I258" s="32">
        <v>0</v>
      </c>
      <c r="J258" s="32">
        <v>950443</v>
      </c>
      <c r="K258" s="32">
        <v>0</v>
      </c>
      <c r="L25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9.2676872155564756E-3</v>
      </c>
      <c r="M258" s="32">
        <v>336</v>
      </c>
      <c r="N258" s="32">
        <v>0</v>
      </c>
      <c r="O258" s="32">
        <v>35073</v>
      </c>
      <c r="P258" s="32">
        <v>1182</v>
      </c>
      <c r="Q25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2.2767312643989699E-3</v>
      </c>
      <c r="R258" s="32">
        <v>0</v>
      </c>
      <c r="S258" s="32">
        <v>0</v>
      </c>
      <c r="T258" s="32">
        <v>84</v>
      </c>
      <c r="U258" s="32">
        <v>35073</v>
      </c>
      <c r="V258" s="32">
        <v>378</v>
      </c>
      <c r="W258" s="32">
        <v>1182</v>
      </c>
      <c r="X258" s="32">
        <v>262</v>
      </c>
      <c r="Y25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0.49701560219813284</v>
      </c>
      <c r="Z258" s="32">
        <v>9642</v>
      </c>
      <c r="AA258" s="32">
        <v>541069</v>
      </c>
      <c r="AB258" s="32">
        <v>78761</v>
      </c>
      <c r="AC258" s="32">
        <v>0</v>
      </c>
      <c r="AD258" s="32">
        <v>435</v>
      </c>
      <c r="AE258" s="32">
        <v>950443</v>
      </c>
      <c r="AF258" s="32">
        <v>0</v>
      </c>
      <c r="AG25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1.8428854751420216</v>
      </c>
      <c r="AH258" s="32">
        <v>45625</v>
      </c>
      <c r="AI258" s="32">
        <v>7065</v>
      </c>
      <c r="AJ258" s="32">
        <v>6083</v>
      </c>
      <c r="AK258" s="32">
        <v>0</v>
      </c>
      <c r="AL258" s="32">
        <v>491</v>
      </c>
      <c r="AM258" s="32">
        <v>11473</v>
      </c>
      <c r="AN258" s="32">
        <v>33329</v>
      </c>
      <c r="AO258" s="32">
        <v>-164</v>
      </c>
      <c r="AP258" s="32">
        <v>-29585</v>
      </c>
      <c r="AQ25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2.7572727272727273</v>
      </c>
      <c r="AR258" s="32">
        <v>31976</v>
      </c>
      <c r="AS258" s="32">
        <v>11675</v>
      </c>
      <c r="AT258" s="32">
        <v>25313</v>
      </c>
      <c r="AU258" s="32">
        <v>0</v>
      </c>
      <c r="AV258" s="32">
        <v>8447</v>
      </c>
      <c r="AW258" s="32">
        <v>11473</v>
      </c>
      <c r="AX258" s="32">
        <v>6281</v>
      </c>
      <c r="AY258" s="32">
        <v>0</v>
      </c>
      <c r="AZ258" s="32">
        <v>977</v>
      </c>
      <c r="BA258" s="32">
        <v>3947</v>
      </c>
      <c r="BB258" s="32">
        <v>0</v>
      </c>
      <c r="BC258" s="32">
        <v>36300</v>
      </c>
      <c r="BD258" s="34">
        <f>IFERROR(SUM(Entity_Metrics[[#This Row],[Operating surplus/(deficit) (social housing lettings)]])/SUM(Entity_Metrics[[#This Row],[Turnover from social housing lettings]]),"")</f>
        <v>0.24140896660108155</v>
      </c>
      <c r="BE258" s="32">
        <v>39017</v>
      </c>
      <c r="BF258" s="32">
        <v>161622</v>
      </c>
      <c r="BG258" s="34">
        <f>IFERROR(SUM(Entity_Metrics[[#This Row],[Operating surplus/(deficit) (overall)2]],-Entity_Metrics[[#This Row],[Gain/(loss) on disposal of fixed assets (housing properties)2]])/SUM(Entity_Metrics[[#This Row],[Turnover (overall)]]),"")</f>
        <v>0.23036023657327201</v>
      </c>
      <c r="BH258" s="32">
        <v>45625</v>
      </c>
      <c r="BI258" s="32">
        <v>7065</v>
      </c>
      <c r="BJ258" s="32">
        <v>167390</v>
      </c>
      <c r="BK258" s="34">
        <f>IFERROR(SUM(Entity_Metrics[[#This Row],[Operating surplus/(deficit) (overall)3]],Entity_Metrics[[#This Row],[Share of operating surplus/(deficit) in joint ventures or associates]])/SUM(Entity_Metrics[[#This Row],[Total assets less current liabilities]]),"")</f>
        <v>4.2920211209771415E-2</v>
      </c>
      <c r="BL258" s="32">
        <v>45625</v>
      </c>
      <c r="BM258" s="32">
        <v>0</v>
      </c>
      <c r="BN258" s="32">
        <v>1063019</v>
      </c>
      <c r="BO258" s="34">
        <v>1.2488238816183389E-2</v>
      </c>
      <c r="BP258" s="34">
        <v>2.4634334103156273E-2</v>
      </c>
      <c r="BQ258" s="6" t="s">
        <v>93</v>
      </c>
      <c r="BR258" s="6">
        <v>2001</v>
      </c>
      <c r="BS258" s="6" t="s">
        <v>94</v>
      </c>
      <c r="BT258" s="6" t="s">
        <v>108</v>
      </c>
      <c r="BU258" s="8">
        <v>0.9341564271704772</v>
      </c>
      <c r="BV258" s="37" t="s">
        <v>859</v>
      </c>
      <c r="BW258" s="19" t="s">
        <v>492</v>
      </c>
    </row>
    <row r="259" spans="1:75" x14ac:dyDescent="0.25">
      <c r="A259" s="33" t="s">
        <v>860</v>
      </c>
      <c r="B259" s="7" t="s">
        <v>496</v>
      </c>
      <c r="C259" s="7" t="s">
        <v>81</v>
      </c>
      <c r="D25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1.0963431186765198E-2</v>
      </c>
      <c r="E259" s="32">
        <v>158</v>
      </c>
      <c r="F259" s="32">
        <v>0</v>
      </c>
      <c r="G259" s="32">
        <v>1514</v>
      </c>
      <c r="H259" s="32">
        <v>0</v>
      </c>
      <c r="I259" s="32">
        <v>0</v>
      </c>
      <c r="J259" s="32">
        <v>152507</v>
      </c>
      <c r="K259" s="32">
        <v>0</v>
      </c>
      <c r="L25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59" s="32">
        <v>0</v>
      </c>
      <c r="N259" s="32">
        <v>0</v>
      </c>
      <c r="O259" s="32">
        <v>2072</v>
      </c>
      <c r="P259" s="32">
        <v>1121</v>
      </c>
      <c r="Q25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59" s="32">
        <v>0</v>
      </c>
      <c r="S259" s="32">
        <v>0</v>
      </c>
      <c r="T259" s="32">
        <v>0</v>
      </c>
      <c r="U259" s="32">
        <v>2072</v>
      </c>
      <c r="V259" s="32">
        <v>0</v>
      </c>
      <c r="W259" s="32">
        <v>1121</v>
      </c>
      <c r="X259" s="32">
        <v>0</v>
      </c>
      <c r="Y25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0.28869494515005867</v>
      </c>
      <c r="Z259" s="32">
        <v>0</v>
      </c>
      <c r="AA259" s="32">
        <v>56624</v>
      </c>
      <c r="AB259" s="32">
        <v>12596</v>
      </c>
      <c r="AC259" s="32">
        <v>0</v>
      </c>
      <c r="AD259" s="32">
        <v>0</v>
      </c>
      <c r="AE259" s="32">
        <v>152507</v>
      </c>
      <c r="AF259" s="32">
        <v>0</v>
      </c>
      <c r="AG25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1.2612748045700541</v>
      </c>
      <c r="AH259" s="32">
        <v>3946</v>
      </c>
      <c r="AI259" s="32">
        <v>822</v>
      </c>
      <c r="AJ259" s="32">
        <v>60</v>
      </c>
      <c r="AK259" s="32">
        <v>0</v>
      </c>
      <c r="AL259" s="32">
        <v>19</v>
      </c>
      <c r="AM259" s="32">
        <v>1514</v>
      </c>
      <c r="AN259" s="32">
        <v>2626</v>
      </c>
      <c r="AO259" s="32">
        <v>0</v>
      </c>
      <c r="AP259" s="32">
        <v>-3326</v>
      </c>
      <c r="AQ25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6.66023166023166</v>
      </c>
      <c r="AR259" s="32">
        <v>2458</v>
      </c>
      <c r="AS259" s="32">
        <v>3317</v>
      </c>
      <c r="AT259" s="32">
        <v>2371</v>
      </c>
      <c r="AU259" s="32">
        <v>3409</v>
      </c>
      <c r="AV259" s="32">
        <v>0</v>
      </c>
      <c r="AW259" s="32">
        <v>1514</v>
      </c>
      <c r="AX259" s="32">
        <v>0</v>
      </c>
      <c r="AY259" s="32">
        <v>266</v>
      </c>
      <c r="AZ259" s="32">
        <v>465</v>
      </c>
      <c r="BA259" s="32">
        <v>0</v>
      </c>
      <c r="BB259" s="32">
        <v>0</v>
      </c>
      <c r="BC259" s="32">
        <v>2072</v>
      </c>
      <c r="BD259" s="34">
        <f>IFERROR(SUM(Entity_Metrics[[#This Row],[Operating surplus/(deficit) (social housing lettings)]])/SUM(Entity_Metrics[[#This Row],[Turnover from social housing lettings]]),"")</f>
        <v>0.20233802489240432</v>
      </c>
      <c r="BE259" s="32">
        <v>3479</v>
      </c>
      <c r="BF259" s="32">
        <v>17194</v>
      </c>
      <c r="BG259" s="34">
        <f>IFERROR(SUM(Entity_Metrics[[#This Row],[Operating surplus/(deficit) (overall)2]],-Entity_Metrics[[#This Row],[Gain/(loss) on disposal of fixed assets (housing properties)2]])/SUM(Entity_Metrics[[#This Row],[Turnover (overall)]]),"")</f>
        <v>0.17582170193606483</v>
      </c>
      <c r="BH259" s="32">
        <v>3946</v>
      </c>
      <c r="BI259" s="32">
        <v>822</v>
      </c>
      <c r="BJ259" s="32">
        <v>17768</v>
      </c>
      <c r="BK259" s="34">
        <f>IFERROR(SUM(Entity_Metrics[[#This Row],[Operating surplus/(deficit) (overall)3]],Entity_Metrics[[#This Row],[Share of operating surplus/(deficit) in joint ventures or associates]])/SUM(Entity_Metrics[[#This Row],[Total assets less current liabilities]]),"")</f>
        <v>2.2664614253549601E-2</v>
      </c>
      <c r="BL259" s="32">
        <v>3946</v>
      </c>
      <c r="BM259" s="32">
        <v>0</v>
      </c>
      <c r="BN259" s="32">
        <v>174104</v>
      </c>
      <c r="BO259" s="34">
        <v>0</v>
      </c>
      <c r="BP259" s="34">
        <v>0</v>
      </c>
      <c r="BQ259" s="6" t="s">
        <v>93</v>
      </c>
      <c r="BR259" s="6">
        <v>2000</v>
      </c>
      <c r="BS259" s="6" t="s">
        <v>94</v>
      </c>
      <c r="BT259" s="6" t="s">
        <v>156</v>
      </c>
      <c r="BU259" s="8">
        <v>1.2488627787394371</v>
      </c>
      <c r="BV259" s="37" t="s">
        <v>860</v>
      </c>
      <c r="BW259" s="19" t="s">
        <v>496</v>
      </c>
    </row>
    <row r="260" spans="1:75" x14ac:dyDescent="0.25">
      <c r="A260" s="33" t="s">
        <v>861</v>
      </c>
      <c r="B260" s="7" t="s">
        <v>498</v>
      </c>
      <c r="C260" s="7" t="s">
        <v>81</v>
      </c>
      <c r="D26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2.0393514891725154E-2</v>
      </c>
      <c r="E260" s="32">
        <v>11099</v>
      </c>
      <c r="F260" s="32">
        <v>0</v>
      </c>
      <c r="G260" s="32">
        <v>4130</v>
      </c>
      <c r="H260" s="32">
        <v>0</v>
      </c>
      <c r="I260" s="32">
        <v>0</v>
      </c>
      <c r="J260" s="32">
        <v>746757</v>
      </c>
      <c r="K260" s="32">
        <v>0</v>
      </c>
      <c r="L26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5.473828258638385E-3</v>
      </c>
      <c r="M260" s="32">
        <v>48</v>
      </c>
      <c r="N260" s="32">
        <v>0</v>
      </c>
      <c r="O260" s="32">
        <v>8769</v>
      </c>
      <c r="P260" s="32">
        <v>0</v>
      </c>
      <c r="Q26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0" s="32">
        <v>0</v>
      </c>
      <c r="S260" s="32">
        <v>0</v>
      </c>
      <c r="T260" s="32">
        <v>0</v>
      </c>
      <c r="U260" s="32">
        <v>8769</v>
      </c>
      <c r="V260" s="32">
        <v>0</v>
      </c>
      <c r="W260" s="32">
        <v>0</v>
      </c>
      <c r="X260" s="32">
        <v>0</v>
      </c>
      <c r="Y26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0.49710682323701016</v>
      </c>
      <c r="Z260" s="32">
        <v>0</v>
      </c>
      <c r="AA260" s="32">
        <v>374093</v>
      </c>
      <c r="AB260" s="32">
        <v>2875</v>
      </c>
      <c r="AC260" s="32">
        <v>0</v>
      </c>
      <c r="AD260" s="32">
        <v>0</v>
      </c>
      <c r="AE260" s="32">
        <v>746757</v>
      </c>
      <c r="AF260" s="32">
        <v>0</v>
      </c>
      <c r="AG26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1.7705679966197863</v>
      </c>
      <c r="AH260" s="32">
        <v>26794</v>
      </c>
      <c r="AI260" s="32">
        <v>0</v>
      </c>
      <c r="AJ260" s="32">
        <v>86</v>
      </c>
      <c r="AK260" s="32">
        <v>0</v>
      </c>
      <c r="AL260" s="32">
        <v>674</v>
      </c>
      <c r="AM260" s="32">
        <v>4132</v>
      </c>
      <c r="AN260" s="32">
        <v>6083</v>
      </c>
      <c r="AO260" s="32">
        <v>-181</v>
      </c>
      <c r="AP260" s="32">
        <v>-16386</v>
      </c>
      <c r="AQ26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3.0851864522750598</v>
      </c>
      <c r="AR260" s="32">
        <v>9284</v>
      </c>
      <c r="AS260" s="32">
        <v>2786</v>
      </c>
      <c r="AT260" s="32">
        <v>4789</v>
      </c>
      <c r="AU260" s="32">
        <v>4365</v>
      </c>
      <c r="AV260" s="32">
        <v>1473</v>
      </c>
      <c r="AW260" s="32">
        <v>4132</v>
      </c>
      <c r="AX260" s="32">
        <v>225</v>
      </c>
      <c r="AY260" s="32">
        <v>0</v>
      </c>
      <c r="AZ260" s="32">
        <v>0</v>
      </c>
      <c r="BA260" s="32">
        <v>0</v>
      </c>
      <c r="BB260" s="32">
        <v>0</v>
      </c>
      <c r="BC260" s="32">
        <v>8769</v>
      </c>
      <c r="BD260" s="34">
        <f>IFERROR(SUM(Entity_Metrics[[#This Row],[Operating surplus/(deficit) (social housing lettings)]])/SUM(Entity_Metrics[[#This Row],[Turnover from social housing lettings]]),"")</f>
        <v>0.44812576034063262</v>
      </c>
      <c r="BE260" s="32">
        <v>23575</v>
      </c>
      <c r="BF260" s="32">
        <v>52608</v>
      </c>
      <c r="BG260" s="34">
        <f>IFERROR(SUM(Entity_Metrics[[#This Row],[Operating surplus/(deficit) (overall)2]],-Entity_Metrics[[#This Row],[Gain/(loss) on disposal of fixed assets (housing properties)2]])/SUM(Entity_Metrics[[#This Row],[Turnover (overall)]]),"")</f>
        <v>0.44461038099030931</v>
      </c>
      <c r="BH260" s="32">
        <v>26794</v>
      </c>
      <c r="BI260" s="32">
        <v>0</v>
      </c>
      <c r="BJ260" s="32">
        <v>60264</v>
      </c>
      <c r="BK260" s="34">
        <f>IFERROR(SUM(Entity_Metrics[[#This Row],[Operating surplus/(deficit) (overall)3]],Entity_Metrics[[#This Row],[Share of operating surplus/(deficit) in joint ventures or associates]])/SUM(Entity_Metrics[[#This Row],[Total assets less current liabilities]]),"")</f>
        <v>3.4047863208763948E-2</v>
      </c>
      <c r="BL260" s="32">
        <v>26794</v>
      </c>
      <c r="BM260" s="32">
        <v>0</v>
      </c>
      <c r="BN260" s="32">
        <v>786951</v>
      </c>
      <c r="BO260" s="34">
        <v>5.017675903751853E-3</v>
      </c>
      <c r="BP260" s="34">
        <v>4.2764283270612387E-2</v>
      </c>
      <c r="BQ260" s="6" t="s">
        <v>93</v>
      </c>
      <c r="BR260" s="6">
        <v>1992</v>
      </c>
      <c r="BS260" s="6" t="s">
        <v>94</v>
      </c>
      <c r="BT260" s="6" t="s">
        <v>84</v>
      </c>
      <c r="BU260" s="8">
        <v>1.0118524159776632</v>
      </c>
      <c r="BV260" s="37" t="s">
        <v>861</v>
      </c>
      <c r="BW260" s="19" t="s">
        <v>498</v>
      </c>
    </row>
    <row r="261" spans="1:75" x14ac:dyDescent="0.25">
      <c r="A261" s="33" t="s">
        <v>862</v>
      </c>
      <c r="B261" s="7" t="s">
        <v>500</v>
      </c>
      <c r="C261" s="7" t="s">
        <v>81</v>
      </c>
      <c r="D26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5.6436805193848617E-2</v>
      </c>
      <c r="E261" s="32">
        <v>5098</v>
      </c>
      <c r="F261" s="32">
        <v>0</v>
      </c>
      <c r="G261" s="32">
        <v>5516</v>
      </c>
      <c r="H261" s="32">
        <v>113</v>
      </c>
      <c r="I261" s="32">
        <v>0</v>
      </c>
      <c r="J261" s="32">
        <v>190071</v>
      </c>
      <c r="K261" s="32">
        <v>0</v>
      </c>
      <c r="L26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9.0090090090090089E-3</v>
      </c>
      <c r="M261" s="32">
        <v>84</v>
      </c>
      <c r="N261" s="32">
        <v>0</v>
      </c>
      <c r="O261" s="32">
        <v>8926</v>
      </c>
      <c r="P261" s="32">
        <v>398</v>
      </c>
      <c r="Q26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1" s="32">
        <v>0</v>
      </c>
      <c r="S261" s="32">
        <v>0</v>
      </c>
      <c r="T261" s="32">
        <v>0</v>
      </c>
      <c r="U261" s="32">
        <v>8926</v>
      </c>
      <c r="V261" s="32">
        <v>0</v>
      </c>
      <c r="W261" s="32">
        <v>398</v>
      </c>
      <c r="X261" s="32">
        <v>0</v>
      </c>
      <c r="Y26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0.84075950565841184</v>
      </c>
      <c r="Z261" s="32">
        <v>13000</v>
      </c>
      <c r="AA261" s="32">
        <v>149087</v>
      </c>
      <c r="AB261" s="32">
        <v>2283</v>
      </c>
      <c r="AC261" s="32">
        <v>0</v>
      </c>
      <c r="AD261" s="32">
        <v>0</v>
      </c>
      <c r="AE261" s="32">
        <v>190071</v>
      </c>
      <c r="AF261" s="32">
        <v>0</v>
      </c>
      <c r="AG26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1.9302829099307159</v>
      </c>
      <c r="AH261" s="32">
        <v>11057</v>
      </c>
      <c r="AI261" s="32">
        <v>3567</v>
      </c>
      <c r="AJ261" s="32">
        <v>235</v>
      </c>
      <c r="AK261" s="32">
        <v>0</v>
      </c>
      <c r="AL261" s="32">
        <v>989</v>
      </c>
      <c r="AM261" s="32">
        <v>5516</v>
      </c>
      <c r="AN261" s="32">
        <v>10645</v>
      </c>
      <c r="AO261" s="32">
        <v>-113</v>
      </c>
      <c r="AP261" s="32">
        <v>-6815</v>
      </c>
      <c r="AQ26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3.7795205019045484</v>
      </c>
      <c r="AR261" s="32">
        <v>11043</v>
      </c>
      <c r="AS261" s="32">
        <v>4127</v>
      </c>
      <c r="AT261" s="32">
        <v>4326</v>
      </c>
      <c r="AU261" s="32">
        <v>3240</v>
      </c>
      <c r="AV261" s="32">
        <v>126</v>
      </c>
      <c r="AW261" s="32">
        <v>5516</v>
      </c>
      <c r="AX261" s="32">
        <v>3569</v>
      </c>
      <c r="AY261" s="32">
        <v>0</v>
      </c>
      <c r="AZ261" s="32">
        <v>1074</v>
      </c>
      <c r="BA261" s="32">
        <v>65</v>
      </c>
      <c r="BB261" s="32">
        <v>650</v>
      </c>
      <c r="BC261" s="32">
        <v>8926</v>
      </c>
      <c r="BD261" s="34">
        <f>IFERROR(SUM(Entity_Metrics[[#This Row],[Operating surplus/(deficit) (social housing lettings)]])/SUM(Entity_Metrics[[#This Row],[Turnover from social housing lettings]]),"")</f>
        <v>0.19716327414465137</v>
      </c>
      <c r="BE261" s="32">
        <v>9105</v>
      </c>
      <c r="BF261" s="32">
        <v>46180</v>
      </c>
      <c r="BG261" s="34">
        <f>IFERROR(SUM(Entity_Metrics[[#This Row],[Operating surplus/(deficit) (overall)2]],-Entity_Metrics[[#This Row],[Gain/(loss) on disposal of fixed assets (housing properties)2]])/SUM(Entity_Metrics[[#This Row],[Turnover (overall)]]),"")</f>
        <v>0.14450532489581724</v>
      </c>
      <c r="BH261" s="32">
        <v>11057</v>
      </c>
      <c r="BI261" s="32">
        <v>3567</v>
      </c>
      <c r="BJ261" s="32">
        <v>51832</v>
      </c>
      <c r="BK261" s="34">
        <f>IFERROR(SUM(Entity_Metrics[[#This Row],[Operating surplus/(deficit) (overall)3]],Entity_Metrics[[#This Row],[Share of operating surplus/(deficit) in joint ventures or associates]])/SUM(Entity_Metrics[[#This Row],[Total assets less current liabilities]]),"")</f>
        <v>4.9781863859636483E-2</v>
      </c>
      <c r="BL261" s="32">
        <v>11057</v>
      </c>
      <c r="BM261" s="32">
        <v>0</v>
      </c>
      <c r="BN261" s="32">
        <v>222109</v>
      </c>
      <c r="BO261" s="34">
        <v>2.2406453058480841E-3</v>
      </c>
      <c r="BP261" s="34">
        <v>0.28512211516916874</v>
      </c>
      <c r="BQ261" s="6" t="s">
        <v>93</v>
      </c>
      <c r="BR261" s="6">
        <v>2005</v>
      </c>
      <c r="BS261" s="6" t="s">
        <v>94</v>
      </c>
      <c r="BT261" s="6" t="s">
        <v>105</v>
      </c>
      <c r="BU261" s="8">
        <v>0.9156653862445665</v>
      </c>
      <c r="BV261" s="37" t="s">
        <v>862</v>
      </c>
      <c r="BW261" s="19" t="s">
        <v>500</v>
      </c>
    </row>
    <row r="262" spans="1:75" x14ac:dyDescent="0.25">
      <c r="A262" s="33" t="s">
        <v>863</v>
      </c>
      <c r="B262" s="7" t="s">
        <v>502</v>
      </c>
      <c r="C262" s="7" t="s">
        <v>81</v>
      </c>
      <c r="D26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0.13367937764720605</v>
      </c>
      <c r="E262" s="32">
        <v>16811</v>
      </c>
      <c r="F262" s="32">
        <v>0</v>
      </c>
      <c r="G262" s="32">
        <v>3483</v>
      </c>
      <c r="H262" s="32">
        <v>0</v>
      </c>
      <c r="I262" s="32">
        <v>0</v>
      </c>
      <c r="J262" s="32">
        <v>151811</v>
      </c>
      <c r="K262" s="32">
        <v>0</v>
      </c>
      <c r="L26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2.8580552450902123E-2</v>
      </c>
      <c r="M262" s="32">
        <v>179</v>
      </c>
      <c r="N262" s="32">
        <v>0</v>
      </c>
      <c r="O262" s="32">
        <v>5980</v>
      </c>
      <c r="P262" s="32">
        <v>283</v>
      </c>
      <c r="Q26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2" s="32">
        <v>0</v>
      </c>
      <c r="S262" s="32">
        <v>0</v>
      </c>
      <c r="T262" s="32">
        <v>0</v>
      </c>
      <c r="U262" s="32">
        <v>5980</v>
      </c>
      <c r="V262" s="32">
        <v>0</v>
      </c>
      <c r="W262" s="32">
        <v>283</v>
      </c>
      <c r="X262" s="32">
        <v>0</v>
      </c>
      <c r="Y26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0.79772216769535809</v>
      </c>
      <c r="Z262" s="32">
        <v>181</v>
      </c>
      <c r="AA262" s="32">
        <v>124851</v>
      </c>
      <c r="AB262" s="32">
        <v>3929</v>
      </c>
      <c r="AC262" s="32">
        <v>0</v>
      </c>
      <c r="AD262" s="32">
        <v>0</v>
      </c>
      <c r="AE262" s="32">
        <v>151811</v>
      </c>
      <c r="AF262" s="32">
        <v>0</v>
      </c>
      <c r="AG26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2.5723140495867769</v>
      </c>
      <c r="AH262" s="32">
        <v>10103</v>
      </c>
      <c r="AI262" s="32">
        <v>1068</v>
      </c>
      <c r="AJ262" s="32">
        <v>309</v>
      </c>
      <c r="AK262" s="32">
        <v>0</v>
      </c>
      <c r="AL262" s="32">
        <v>15</v>
      </c>
      <c r="AM262" s="32">
        <v>3483</v>
      </c>
      <c r="AN262" s="32">
        <v>4702</v>
      </c>
      <c r="AO262" s="32">
        <v>0</v>
      </c>
      <c r="AP262" s="32">
        <v>-3872</v>
      </c>
      <c r="AQ26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2.9262541806020068</v>
      </c>
      <c r="AR262" s="32">
        <v>4682</v>
      </c>
      <c r="AS262" s="32">
        <v>1354</v>
      </c>
      <c r="AT262" s="32">
        <v>1920</v>
      </c>
      <c r="AU262" s="32">
        <v>3990</v>
      </c>
      <c r="AV262" s="32">
        <v>856</v>
      </c>
      <c r="AW262" s="32">
        <v>3483</v>
      </c>
      <c r="AX262" s="32">
        <v>80</v>
      </c>
      <c r="AY262" s="32">
        <v>670</v>
      </c>
      <c r="AZ262" s="32">
        <v>0</v>
      </c>
      <c r="BA262" s="32">
        <v>0</v>
      </c>
      <c r="BB262" s="32">
        <v>464</v>
      </c>
      <c r="BC262" s="32">
        <v>5980</v>
      </c>
      <c r="BD262" s="34">
        <f>IFERROR(SUM(Entity_Metrics[[#This Row],[Operating surplus/(deficit) (social housing lettings)]])/SUM(Entity_Metrics[[#This Row],[Turnover from social housing lettings]]),"")</f>
        <v>0.33875014041262591</v>
      </c>
      <c r="BE262" s="32">
        <v>9047</v>
      </c>
      <c r="BF262" s="32">
        <v>26707</v>
      </c>
      <c r="BG262" s="34">
        <f>IFERROR(SUM(Entity_Metrics[[#This Row],[Operating surplus/(deficit) (overall)2]],-Entity_Metrics[[#This Row],[Gain/(loss) on disposal of fixed assets (housing properties)2]])/SUM(Entity_Metrics[[#This Row],[Turnover (overall)]]),"")</f>
        <v>0.31292210715893742</v>
      </c>
      <c r="BH262" s="32">
        <v>10103</v>
      </c>
      <c r="BI262" s="32">
        <v>1068</v>
      </c>
      <c r="BJ262" s="32">
        <v>28873</v>
      </c>
      <c r="BK262" s="34">
        <f>IFERROR(SUM(Entity_Metrics[[#This Row],[Operating surplus/(deficit) (overall)3]],Entity_Metrics[[#This Row],[Share of operating surplus/(deficit) in joint ventures or associates]])/SUM(Entity_Metrics[[#This Row],[Total assets less current liabilities]]),"")</f>
        <v>5.487629341951604E-2</v>
      </c>
      <c r="BL262" s="32">
        <v>10103</v>
      </c>
      <c r="BM262" s="32">
        <v>0</v>
      </c>
      <c r="BN262" s="32">
        <v>184105</v>
      </c>
      <c r="BO262" s="34">
        <v>3.3444816053511704E-4</v>
      </c>
      <c r="BP262" s="34">
        <v>3.1438127090301006E-2</v>
      </c>
      <c r="BQ262" s="6" t="s">
        <v>93</v>
      </c>
      <c r="BR262" s="6">
        <v>2001</v>
      </c>
      <c r="BS262" s="6" t="s">
        <v>94</v>
      </c>
      <c r="BT262" s="6" t="s">
        <v>90</v>
      </c>
      <c r="BU262" s="8">
        <v>0.91596616442767542</v>
      </c>
      <c r="BV262" s="37" t="s">
        <v>863</v>
      </c>
      <c r="BW262" s="19" t="s">
        <v>502</v>
      </c>
    </row>
    <row r="263" spans="1:75" x14ac:dyDescent="0.25">
      <c r="A263" s="33" t="s">
        <v>864</v>
      </c>
      <c r="B263" s="7" t="s">
        <v>504</v>
      </c>
      <c r="C263" s="7" t="s">
        <v>81</v>
      </c>
      <c r="D26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4.3741223343457106E-2</v>
      </c>
      <c r="E263" s="32">
        <v>5770</v>
      </c>
      <c r="F263" s="32">
        <v>0</v>
      </c>
      <c r="G263" s="32">
        <v>927</v>
      </c>
      <c r="H263" s="32">
        <v>0</v>
      </c>
      <c r="I263" s="32">
        <v>0</v>
      </c>
      <c r="J263" s="32">
        <v>153105</v>
      </c>
      <c r="K263" s="32">
        <v>0</v>
      </c>
      <c r="L26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6.2073246430788334E-3</v>
      </c>
      <c r="M263" s="32">
        <v>20</v>
      </c>
      <c r="N263" s="32">
        <v>0</v>
      </c>
      <c r="O263" s="32">
        <v>3222</v>
      </c>
      <c r="P263" s="32">
        <v>0</v>
      </c>
      <c r="Q26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3" s="32">
        <v>0</v>
      </c>
      <c r="S263" s="32">
        <v>0</v>
      </c>
      <c r="T263" s="32">
        <v>0</v>
      </c>
      <c r="U263" s="32">
        <v>3222</v>
      </c>
      <c r="V263" s="32">
        <v>18</v>
      </c>
      <c r="W263" s="32">
        <v>0</v>
      </c>
      <c r="X263" s="32">
        <v>0</v>
      </c>
      <c r="Y26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0.49110740994742169</v>
      </c>
      <c r="Z263" s="32">
        <v>3205</v>
      </c>
      <c r="AA263" s="32">
        <v>78115</v>
      </c>
      <c r="AB263" s="32">
        <v>6129</v>
      </c>
      <c r="AC263" s="32">
        <v>0</v>
      </c>
      <c r="AD263" s="32">
        <v>0</v>
      </c>
      <c r="AE263" s="32">
        <v>153105</v>
      </c>
      <c r="AF263" s="32">
        <v>0</v>
      </c>
      <c r="AG26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2.1751548520302824</v>
      </c>
      <c r="AH263" s="32">
        <v>5010</v>
      </c>
      <c r="AI263" s="32">
        <v>120</v>
      </c>
      <c r="AJ263" s="32">
        <v>919</v>
      </c>
      <c r="AK263" s="32">
        <v>0</v>
      </c>
      <c r="AL263" s="32">
        <v>3</v>
      </c>
      <c r="AM263" s="32">
        <v>927</v>
      </c>
      <c r="AN263" s="32">
        <v>3274</v>
      </c>
      <c r="AO263" s="32">
        <v>-55</v>
      </c>
      <c r="AP263" s="32">
        <v>-2851</v>
      </c>
      <c r="AQ26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3.0599006828057109</v>
      </c>
      <c r="AR263" s="32">
        <v>1985</v>
      </c>
      <c r="AS263" s="32">
        <v>3931</v>
      </c>
      <c r="AT263" s="32">
        <v>2172</v>
      </c>
      <c r="AU263" s="32">
        <v>844</v>
      </c>
      <c r="AV263" s="32">
        <v>0</v>
      </c>
      <c r="AW263" s="32">
        <v>927</v>
      </c>
      <c r="AX263" s="32">
        <v>0</v>
      </c>
      <c r="AY263" s="32">
        <v>0</v>
      </c>
      <c r="AZ263" s="32">
        <v>0</v>
      </c>
      <c r="BA263" s="32">
        <v>0</v>
      </c>
      <c r="BB263" s="32">
        <v>0</v>
      </c>
      <c r="BC263" s="32">
        <v>3222</v>
      </c>
      <c r="BD263" s="34">
        <f>IFERROR(SUM(Entity_Metrics[[#This Row],[Operating surplus/(deficit) (social housing lettings)]])/SUM(Entity_Metrics[[#This Row],[Turnover from social housing lettings]]),"")</f>
        <v>0.30088799770839303</v>
      </c>
      <c r="BE263" s="32">
        <v>5252</v>
      </c>
      <c r="BF263" s="32">
        <v>17455</v>
      </c>
      <c r="BG263" s="34">
        <f>IFERROR(SUM(Entity_Metrics[[#This Row],[Operating surplus/(deficit) (overall)2]],-Entity_Metrics[[#This Row],[Gain/(loss) on disposal of fixed assets (housing properties)2]])/SUM(Entity_Metrics[[#This Row],[Turnover (overall)]]),"")</f>
        <v>0.26548672566371684</v>
      </c>
      <c r="BH263" s="32">
        <v>5010</v>
      </c>
      <c r="BI263" s="32">
        <v>120</v>
      </c>
      <c r="BJ263" s="32">
        <v>18419</v>
      </c>
      <c r="BK263" s="34">
        <f>IFERROR(SUM(Entity_Metrics[[#This Row],[Operating surplus/(deficit) (overall)3]],Entity_Metrics[[#This Row],[Share of operating surplus/(deficit) in joint ventures or associates]])/SUM(Entity_Metrics[[#This Row],[Total assets less current liabilities]]),"")</f>
        <v>3.1873473127035833E-2</v>
      </c>
      <c r="BL263" s="32">
        <v>5010</v>
      </c>
      <c r="BM263" s="32">
        <v>0</v>
      </c>
      <c r="BN263" s="32">
        <v>157184</v>
      </c>
      <c r="BO263" s="34">
        <v>0.11509562841530055</v>
      </c>
      <c r="BP263" s="34">
        <v>0</v>
      </c>
      <c r="BQ263" s="6" t="s">
        <v>82</v>
      </c>
      <c r="BR263" s="6" t="s">
        <v>83</v>
      </c>
      <c r="BS263" s="6" t="s">
        <v>83</v>
      </c>
      <c r="BT263" s="6" t="s">
        <v>90</v>
      </c>
      <c r="BU263" s="8">
        <v>0.91628629923190974</v>
      </c>
      <c r="BV263" s="37" t="s">
        <v>864</v>
      </c>
      <c r="BW263" s="19" t="s">
        <v>504</v>
      </c>
    </row>
    <row r="264" spans="1:75" x14ac:dyDescent="0.25">
      <c r="A264" s="33" t="s">
        <v>865</v>
      </c>
      <c r="B264" s="7" t="s">
        <v>506</v>
      </c>
      <c r="C264" s="7" t="s">
        <v>81</v>
      </c>
      <c r="D26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4.1493829387061039E-2</v>
      </c>
      <c r="E264" s="32">
        <v>2585</v>
      </c>
      <c r="F264" s="32">
        <v>0</v>
      </c>
      <c r="G264" s="32">
        <v>636</v>
      </c>
      <c r="H264" s="32">
        <v>32</v>
      </c>
      <c r="I264" s="32">
        <v>-32</v>
      </c>
      <c r="J264" s="32">
        <v>77626</v>
      </c>
      <c r="K264" s="32">
        <v>0</v>
      </c>
      <c r="L26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2.2539444027047332E-2</v>
      </c>
      <c r="M264" s="32">
        <v>30</v>
      </c>
      <c r="N264" s="32">
        <v>0</v>
      </c>
      <c r="O264" s="32">
        <v>1331</v>
      </c>
      <c r="P264" s="32">
        <v>0</v>
      </c>
      <c r="Q26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4" s="32">
        <v>0</v>
      </c>
      <c r="S264" s="32">
        <v>0</v>
      </c>
      <c r="T264" s="32">
        <v>0</v>
      </c>
      <c r="U264" s="32">
        <v>1331</v>
      </c>
      <c r="V264" s="32">
        <v>0</v>
      </c>
      <c r="W264" s="32">
        <v>0</v>
      </c>
      <c r="X264" s="32">
        <v>1</v>
      </c>
      <c r="Y26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0.50623502434751244</v>
      </c>
      <c r="Z264" s="32">
        <v>493</v>
      </c>
      <c r="AA264" s="32">
        <v>41439</v>
      </c>
      <c r="AB264" s="32">
        <v>2635</v>
      </c>
      <c r="AC264" s="32">
        <v>0</v>
      </c>
      <c r="AD264" s="32">
        <v>0</v>
      </c>
      <c r="AE264" s="32">
        <v>77626</v>
      </c>
      <c r="AF264" s="32">
        <v>0</v>
      </c>
      <c r="AG26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1.6147585458491589</v>
      </c>
      <c r="AH264" s="32">
        <v>2582</v>
      </c>
      <c r="AI264" s="32">
        <v>0</v>
      </c>
      <c r="AJ264" s="32">
        <v>382</v>
      </c>
      <c r="AK264" s="32">
        <v>0</v>
      </c>
      <c r="AL264" s="32">
        <v>0</v>
      </c>
      <c r="AM264" s="32">
        <v>636</v>
      </c>
      <c r="AN264" s="32">
        <v>1412</v>
      </c>
      <c r="AO264" s="32">
        <v>-33</v>
      </c>
      <c r="AP264" s="32">
        <v>-1810</v>
      </c>
      <c r="AQ26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3.3472834067547725</v>
      </c>
      <c r="AR264" s="32">
        <v>1473</v>
      </c>
      <c r="AS264" s="32">
        <v>926</v>
      </c>
      <c r="AT264" s="32">
        <v>1055</v>
      </c>
      <c r="AU264" s="32">
        <v>286</v>
      </c>
      <c r="AV264" s="32">
        <v>0</v>
      </c>
      <c r="AW264" s="32">
        <v>636</v>
      </c>
      <c r="AX264" s="32">
        <v>106</v>
      </c>
      <c r="AY264" s="32">
        <v>0</v>
      </c>
      <c r="AZ264" s="32">
        <v>0</v>
      </c>
      <c r="BA264" s="32">
        <v>17</v>
      </c>
      <c r="BB264" s="32">
        <v>60</v>
      </c>
      <c r="BC264" s="32">
        <v>1362</v>
      </c>
      <c r="BD264" s="34">
        <f>IFERROR(SUM(Entity_Metrics[[#This Row],[Operating surplus/(deficit) (social housing lettings)]])/SUM(Entity_Metrics[[#This Row],[Turnover from social housing lettings]]),"")</f>
        <v>0.32058899509170757</v>
      </c>
      <c r="BE264" s="32">
        <v>2482</v>
      </c>
      <c r="BF264" s="32">
        <v>7742</v>
      </c>
      <c r="BG264" s="34">
        <f>IFERROR(SUM(Entity_Metrics[[#This Row],[Operating surplus/(deficit) (overall)2]],-Entity_Metrics[[#This Row],[Gain/(loss) on disposal of fixed assets (housing properties)2]])/SUM(Entity_Metrics[[#This Row],[Turnover (overall)]]),"")</f>
        <v>0.31399732457740481</v>
      </c>
      <c r="BH264" s="32">
        <v>2582</v>
      </c>
      <c r="BI264" s="32">
        <v>0</v>
      </c>
      <c r="BJ264" s="32">
        <v>8223</v>
      </c>
      <c r="BK264" s="34">
        <f>IFERROR(SUM(Entity_Metrics[[#This Row],[Operating surplus/(deficit) (overall)3]],Entity_Metrics[[#This Row],[Share of operating surplus/(deficit) in joint ventures or associates]])/SUM(Entity_Metrics[[#This Row],[Total assets less current liabilities]]),"")</f>
        <v>3.3047907947113105E-2</v>
      </c>
      <c r="BL264" s="32">
        <v>2582</v>
      </c>
      <c r="BM264" s="32">
        <v>0</v>
      </c>
      <c r="BN264" s="32">
        <v>78129</v>
      </c>
      <c r="BO264" s="34">
        <v>7.0623591284748308E-2</v>
      </c>
      <c r="BP264" s="34">
        <v>4.2824943651389932E-2</v>
      </c>
      <c r="BQ264" s="6" t="s">
        <v>82</v>
      </c>
      <c r="BR264" s="6" t="s">
        <v>83</v>
      </c>
      <c r="BS264" s="6" t="s">
        <v>83</v>
      </c>
      <c r="BT264" s="6" t="s">
        <v>95</v>
      </c>
      <c r="BU264" s="8">
        <v>0.92038375847935383</v>
      </c>
      <c r="BV264" s="37" t="s">
        <v>865</v>
      </c>
      <c r="BW264" s="19" t="s">
        <v>506</v>
      </c>
    </row>
    <row r="265" spans="1:75" x14ac:dyDescent="0.25">
      <c r="A265" s="33" t="s">
        <v>866</v>
      </c>
      <c r="B265" s="7" t="s">
        <v>508</v>
      </c>
      <c r="C265" s="7" t="s">
        <v>81</v>
      </c>
      <c r="D26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0.12663475446994438</v>
      </c>
      <c r="E265" s="32">
        <v>14850</v>
      </c>
      <c r="F265" s="32">
        <v>0</v>
      </c>
      <c r="G265" s="32">
        <v>2134</v>
      </c>
      <c r="H265" s="32">
        <v>0</v>
      </c>
      <c r="I265" s="32">
        <v>0</v>
      </c>
      <c r="J265" s="32">
        <v>134118</v>
      </c>
      <c r="K265" s="32">
        <v>0</v>
      </c>
      <c r="L26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2.5738077214231644E-2</v>
      </c>
      <c r="M265" s="32">
        <v>102</v>
      </c>
      <c r="N265" s="32">
        <v>0</v>
      </c>
      <c r="O265" s="32">
        <v>3963</v>
      </c>
      <c r="P265" s="32">
        <v>0</v>
      </c>
      <c r="Q26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5" s="32">
        <v>0</v>
      </c>
      <c r="S265" s="32">
        <v>0</v>
      </c>
      <c r="T265" s="32">
        <v>0</v>
      </c>
      <c r="U265" s="32">
        <v>3963</v>
      </c>
      <c r="V265" s="32">
        <v>0</v>
      </c>
      <c r="W265" s="32">
        <v>0</v>
      </c>
      <c r="X265" s="32">
        <v>0</v>
      </c>
      <c r="Y26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0.588690556077484</v>
      </c>
      <c r="Z265" s="32">
        <v>1073</v>
      </c>
      <c r="AA265" s="32">
        <v>112217</v>
      </c>
      <c r="AB265" s="32">
        <v>34336</v>
      </c>
      <c r="AC265" s="32">
        <v>0</v>
      </c>
      <c r="AD265" s="32">
        <v>0</v>
      </c>
      <c r="AE265" s="32">
        <v>134118</v>
      </c>
      <c r="AF265" s="32">
        <v>0</v>
      </c>
      <c r="AG26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2.4778965616873734</v>
      </c>
      <c r="AH265" s="32">
        <v>7665</v>
      </c>
      <c r="AI265" s="32">
        <v>1409</v>
      </c>
      <c r="AJ265" s="32">
        <v>370</v>
      </c>
      <c r="AK265" s="32">
        <v>0</v>
      </c>
      <c r="AL265" s="32">
        <v>129</v>
      </c>
      <c r="AM265" s="32">
        <v>2134</v>
      </c>
      <c r="AN265" s="32">
        <v>4695</v>
      </c>
      <c r="AO265" s="32">
        <v>-197</v>
      </c>
      <c r="AP265" s="32">
        <v>-3264</v>
      </c>
      <c r="AQ26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3.0683825384809489</v>
      </c>
      <c r="AR265" s="32">
        <v>4513</v>
      </c>
      <c r="AS265" s="32">
        <v>499</v>
      </c>
      <c r="AT265" s="32">
        <v>2203</v>
      </c>
      <c r="AU265" s="32">
        <v>2712</v>
      </c>
      <c r="AV265" s="32">
        <v>0</v>
      </c>
      <c r="AW265" s="32">
        <v>2134</v>
      </c>
      <c r="AX265" s="32">
        <v>73</v>
      </c>
      <c r="AY265" s="32">
        <v>0</v>
      </c>
      <c r="AZ265" s="32">
        <v>0</v>
      </c>
      <c r="BA265" s="32">
        <v>26</v>
      </c>
      <c r="BB265" s="32">
        <v>0</v>
      </c>
      <c r="BC265" s="32">
        <v>3963</v>
      </c>
      <c r="BD265" s="34">
        <f>IFERROR(SUM(Entity_Metrics[[#This Row],[Operating surplus/(deficit) (social housing lettings)]])/SUM(Entity_Metrics[[#This Row],[Turnover from social housing lettings]]),"")</f>
        <v>0.28082665875605656</v>
      </c>
      <c r="BE265" s="32">
        <v>5680</v>
      </c>
      <c r="BF265" s="32">
        <v>20226</v>
      </c>
      <c r="BG265" s="34">
        <f>IFERROR(SUM(Entity_Metrics[[#This Row],[Operating surplus/(deficit) (overall)2]],-Entity_Metrics[[#This Row],[Gain/(loss) on disposal of fixed assets (housing properties)2]])/SUM(Entity_Metrics[[#This Row],[Turnover (overall)]]),"")</f>
        <v>0.27473540907294364</v>
      </c>
      <c r="BH265" s="32">
        <v>7665</v>
      </c>
      <c r="BI265" s="32">
        <v>1409</v>
      </c>
      <c r="BJ265" s="32">
        <v>22771</v>
      </c>
      <c r="BK265" s="34">
        <f>IFERROR(SUM(Entity_Metrics[[#This Row],[Operating surplus/(deficit) (overall)3]],Entity_Metrics[[#This Row],[Share of operating surplus/(deficit) in joint ventures or associates]])/SUM(Entity_Metrics[[#This Row],[Total assets less current liabilities]]),"")</f>
        <v>4.4066666283394944E-2</v>
      </c>
      <c r="BL265" s="32">
        <v>7665</v>
      </c>
      <c r="BM265" s="32">
        <v>0</v>
      </c>
      <c r="BN265" s="32">
        <v>173941</v>
      </c>
      <c r="BO265" s="34">
        <v>0</v>
      </c>
      <c r="BP265" s="34">
        <v>0.14988644965934897</v>
      </c>
      <c r="BQ265" s="6" t="s">
        <v>93</v>
      </c>
      <c r="BR265" s="6">
        <v>2003</v>
      </c>
      <c r="BS265" s="6" t="s">
        <v>94</v>
      </c>
      <c r="BT265" s="6" t="s">
        <v>115</v>
      </c>
      <c r="BU265" s="8">
        <v>0.96575438396017699</v>
      </c>
      <c r="BV265" s="37" t="s">
        <v>866</v>
      </c>
      <c r="BW265" s="19" t="s">
        <v>508</v>
      </c>
    </row>
    <row r="266" spans="1:75" x14ac:dyDescent="0.25">
      <c r="A266" s="33" t="s">
        <v>867</v>
      </c>
      <c r="B266" s="7" t="s">
        <v>510</v>
      </c>
      <c r="C266" s="7" t="s">
        <v>81</v>
      </c>
      <c r="D26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2.2793018764038071E-2</v>
      </c>
      <c r="E266" s="32">
        <v>2003</v>
      </c>
      <c r="F266" s="32">
        <v>0</v>
      </c>
      <c r="G266" s="32">
        <v>605</v>
      </c>
      <c r="H266" s="32">
        <v>0</v>
      </c>
      <c r="I266" s="32">
        <v>0</v>
      </c>
      <c r="J266" s="32">
        <v>114421</v>
      </c>
      <c r="K266" s="32">
        <v>0</v>
      </c>
      <c r="L26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9.9357101110461726E-3</v>
      </c>
      <c r="M266" s="32">
        <v>17</v>
      </c>
      <c r="N266" s="32">
        <v>0</v>
      </c>
      <c r="O266" s="32">
        <v>1711</v>
      </c>
      <c r="P266" s="32">
        <v>0</v>
      </c>
      <c r="Q26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6" s="32">
        <v>0</v>
      </c>
      <c r="S266" s="32">
        <v>0</v>
      </c>
      <c r="T266" s="32">
        <v>0</v>
      </c>
      <c r="U266" s="32">
        <v>1711</v>
      </c>
      <c r="V266" s="32">
        <v>0</v>
      </c>
      <c r="W266" s="32">
        <v>0</v>
      </c>
      <c r="X266" s="32">
        <v>0</v>
      </c>
      <c r="Y26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0.39081986698245952</v>
      </c>
      <c r="Z266" s="32">
        <v>132</v>
      </c>
      <c r="AA266" s="32">
        <v>53355</v>
      </c>
      <c r="AB266" s="32">
        <v>8769</v>
      </c>
      <c r="AC266" s="32">
        <v>0</v>
      </c>
      <c r="AD266" s="32">
        <v>0</v>
      </c>
      <c r="AE266" s="32">
        <v>114421</v>
      </c>
      <c r="AF266" s="32">
        <v>0</v>
      </c>
      <c r="AG26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2.7103134479271991</v>
      </c>
      <c r="AH266" s="32">
        <v>4282</v>
      </c>
      <c r="AI266" s="32">
        <v>240</v>
      </c>
      <c r="AJ266" s="32">
        <v>27</v>
      </c>
      <c r="AK266" s="32">
        <v>0</v>
      </c>
      <c r="AL266" s="32">
        <v>24</v>
      </c>
      <c r="AM266" s="32">
        <v>605</v>
      </c>
      <c r="AN266" s="32">
        <v>1927</v>
      </c>
      <c r="AO266" s="32">
        <v>-6</v>
      </c>
      <c r="AP266" s="32">
        <v>-1972</v>
      </c>
      <c r="AQ26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3.0470110272780033</v>
      </c>
      <c r="AR266" s="32">
        <v>1276</v>
      </c>
      <c r="AS266" s="32">
        <v>614</v>
      </c>
      <c r="AT266" s="32">
        <v>1771</v>
      </c>
      <c r="AU266" s="32">
        <v>561</v>
      </c>
      <c r="AV266" s="32">
        <v>0</v>
      </c>
      <c r="AW266" s="32">
        <v>605</v>
      </c>
      <c r="AX266" s="32">
        <v>394</v>
      </c>
      <c r="AY266" s="32">
        <v>0</v>
      </c>
      <c r="AZ266" s="32">
        <v>6</v>
      </c>
      <c r="BA266" s="32">
        <v>0</v>
      </c>
      <c r="BB266" s="32">
        <v>23</v>
      </c>
      <c r="BC266" s="32">
        <v>1723</v>
      </c>
      <c r="BD266" s="34">
        <f>IFERROR(SUM(Entity_Metrics[[#This Row],[Operating surplus/(deficit) (social housing lettings)]])/SUM(Entity_Metrics[[#This Row],[Turnover from social housing lettings]]),"")</f>
        <v>0.34604280736684917</v>
      </c>
      <c r="BE266" s="32">
        <v>3476</v>
      </c>
      <c r="BF266" s="32">
        <v>10045</v>
      </c>
      <c r="BG266" s="34">
        <f>IFERROR(SUM(Entity_Metrics[[#This Row],[Operating surplus/(deficit) (overall)2]],-Entity_Metrics[[#This Row],[Gain/(loss) on disposal of fixed assets (housing properties)2]])/SUM(Entity_Metrics[[#This Row],[Turnover (overall)]]),"")</f>
        <v>0.37031607879065503</v>
      </c>
      <c r="BH266" s="32">
        <v>4282</v>
      </c>
      <c r="BI266" s="32">
        <v>240</v>
      </c>
      <c r="BJ266" s="32">
        <v>10915</v>
      </c>
      <c r="BK266" s="34">
        <f>IFERROR(SUM(Entity_Metrics[[#This Row],[Operating surplus/(deficit) (overall)3]],Entity_Metrics[[#This Row],[Share of operating surplus/(deficit) in joint ventures or associates]])/SUM(Entity_Metrics[[#This Row],[Total assets less current liabilities]]),"")</f>
        <v>3.4702130590876304E-2</v>
      </c>
      <c r="BL266" s="32">
        <v>4282</v>
      </c>
      <c r="BM266" s="32">
        <v>0</v>
      </c>
      <c r="BN266" s="32">
        <v>123393</v>
      </c>
      <c r="BO266" s="34">
        <v>7.2423398328690805E-3</v>
      </c>
      <c r="BP266" s="34">
        <v>1.4484679665738161E-2</v>
      </c>
      <c r="BQ266" s="6" t="s">
        <v>82</v>
      </c>
      <c r="BR266" s="6" t="s">
        <v>83</v>
      </c>
      <c r="BS266" s="6" t="s">
        <v>83</v>
      </c>
      <c r="BT266" s="6" t="s">
        <v>115</v>
      </c>
      <c r="BU266" s="8">
        <v>0.96617455710897804</v>
      </c>
      <c r="BV266" s="37" t="s">
        <v>867</v>
      </c>
      <c r="BW266" s="19" t="s">
        <v>510</v>
      </c>
    </row>
    <row r="267" spans="1:75" x14ac:dyDescent="0.25">
      <c r="A267" s="33" t="s">
        <v>868</v>
      </c>
      <c r="B267" s="7" t="s">
        <v>512</v>
      </c>
      <c r="C267" s="7" t="s">
        <v>81</v>
      </c>
      <c r="D26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6.0754258706141068E-2</v>
      </c>
      <c r="E267" s="32">
        <v>3306</v>
      </c>
      <c r="F267" s="32">
        <v>0</v>
      </c>
      <c r="G267" s="32">
        <v>396</v>
      </c>
      <c r="H267" s="32">
        <v>0</v>
      </c>
      <c r="I267" s="32">
        <v>0</v>
      </c>
      <c r="J267" s="32">
        <v>60934</v>
      </c>
      <c r="K267" s="32">
        <v>0</v>
      </c>
      <c r="L26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1.8749999999999999E-2</v>
      </c>
      <c r="M267" s="32">
        <v>24</v>
      </c>
      <c r="N267" s="32">
        <v>0</v>
      </c>
      <c r="O267" s="32">
        <v>1280</v>
      </c>
      <c r="P267" s="32">
        <v>0</v>
      </c>
      <c r="Q26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7" s="32">
        <v>0</v>
      </c>
      <c r="S267" s="32">
        <v>0</v>
      </c>
      <c r="T267" s="32">
        <v>0</v>
      </c>
      <c r="U267" s="32">
        <v>1280</v>
      </c>
      <c r="V267" s="32">
        <v>0</v>
      </c>
      <c r="W267" s="32">
        <v>0</v>
      </c>
      <c r="X267" s="32">
        <v>0</v>
      </c>
      <c r="Y26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0.21815406833623263</v>
      </c>
      <c r="Z267" s="32">
        <v>1461</v>
      </c>
      <c r="AA267" s="32">
        <v>15595</v>
      </c>
      <c r="AB267" s="32">
        <v>3763</v>
      </c>
      <c r="AC267" s="32">
        <v>0</v>
      </c>
      <c r="AD267" s="32">
        <v>0</v>
      </c>
      <c r="AE267" s="32">
        <v>60934</v>
      </c>
      <c r="AF267" s="32">
        <v>0</v>
      </c>
      <c r="AG26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5.0968421052631578</v>
      </c>
      <c r="AH267" s="32">
        <v>2379</v>
      </c>
      <c r="AI267" s="32">
        <v>215</v>
      </c>
      <c r="AJ267" s="32">
        <v>1032</v>
      </c>
      <c r="AK267" s="32">
        <v>0</v>
      </c>
      <c r="AL267" s="32">
        <v>29</v>
      </c>
      <c r="AM267" s="32">
        <v>396</v>
      </c>
      <c r="AN267" s="32">
        <v>1656</v>
      </c>
      <c r="AO267" s="32">
        <v>0</v>
      </c>
      <c r="AP267" s="32">
        <v>-475</v>
      </c>
      <c r="AQ26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2.7664062500000002</v>
      </c>
      <c r="AR267" s="32">
        <v>1978</v>
      </c>
      <c r="AS267" s="32">
        <v>222</v>
      </c>
      <c r="AT267" s="32">
        <v>587</v>
      </c>
      <c r="AU267" s="32">
        <v>289</v>
      </c>
      <c r="AV267" s="32">
        <v>0</v>
      </c>
      <c r="AW267" s="32">
        <v>396</v>
      </c>
      <c r="AX267" s="32">
        <v>69</v>
      </c>
      <c r="AY267" s="32">
        <v>0</v>
      </c>
      <c r="AZ267" s="32">
        <v>0</v>
      </c>
      <c r="BA267" s="32">
        <v>0</v>
      </c>
      <c r="BB267" s="32">
        <v>0</v>
      </c>
      <c r="BC267" s="32">
        <v>1280</v>
      </c>
      <c r="BD267" s="34">
        <f>IFERROR(SUM(Entity_Metrics[[#This Row],[Operating surplus/(deficit) (social housing lettings)]])/SUM(Entity_Metrics[[#This Row],[Turnover from social housing lettings]]),"")</f>
        <v>0.30196423336265027</v>
      </c>
      <c r="BE267" s="32">
        <v>2060</v>
      </c>
      <c r="BF267" s="32">
        <v>6822</v>
      </c>
      <c r="BG267" s="34">
        <f>IFERROR(SUM(Entity_Metrics[[#This Row],[Operating surplus/(deficit) (overall)2]],-Entity_Metrics[[#This Row],[Gain/(loss) on disposal of fixed assets (housing properties)2]])/SUM(Entity_Metrics[[#This Row],[Turnover (overall)]]),"")</f>
        <v>0.31244585619405141</v>
      </c>
      <c r="BH267" s="32">
        <v>2379</v>
      </c>
      <c r="BI267" s="32">
        <v>215</v>
      </c>
      <c r="BJ267" s="32">
        <v>6926</v>
      </c>
      <c r="BK267" s="34">
        <f>IFERROR(SUM(Entity_Metrics[[#This Row],[Operating surplus/(deficit) (overall)3]],Entity_Metrics[[#This Row],[Share of operating surplus/(deficit) in joint ventures or associates]])/SUM(Entity_Metrics[[#This Row],[Total assets less current liabilities]]),"")</f>
        <v>3.7906913749422393E-2</v>
      </c>
      <c r="BL267" s="32">
        <v>2379</v>
      </c>
      <c r="BM267" s="32">
        <v>0</v>
      </c>
      <c r="BN267" s="32">
        <v>62759</v>
      </c>
      <c r="BO267" s="34">
        <v>0</v>
      </c>
      <c r="BP267" s="34">
        <v>0</v>
      </c>
      <c r="BQ267" s="6" t="s">
        <v>82</v>
      </c>
      <c r="BR267" s="6" t="s">
        <v>83</v>
      </c>
      <c r="BS267" s="6" t="s">
        <v>83</v>
      </c>
      <c r="BT267" s="6" t="s">
        <v>108</v>
      </c>
      <c r="BU267" s="8">
        <v>0.94807909763407583</v>
      </c>
      <c r="BV267" s="37" t="s">
        <v>868</v>
      </c>
      <c r="BW267" s="19" t="s">
        <v>512</v>
      </c>
    </row>
    <row r="268" spans="1:75" x14ac:dyDescent="0.25">
      <c r="A268" s="33" t="s">
        <v>513</v>
      </c>
      <c r="B268" s="7" t="s">
        <v>514</v>
      </c>
      <c r="C268" s="7" t="s">
        <v>81</v>
      </c>
      <c r="D26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4.4935756772795647E-2</v>
      </c>
      <c r="E268" s="32">
        <v>0</v>
      </c>
      <c r="F268" s="32">
        <v>10863</v>
      </c>
      <c r="G268" s="32">
        <v>2161</v>
      </c>
      <c r="H268" s="32">
        <v>436</v>
      </c>
      <c r="I268" s="32">
        <v>-436</v>
      </c>
      <c r="J268" s="32">
        <v>289836</v>
      </c>
      <c r="K268" s="32">
        <v>0</v>
      </c>
      <c r="L26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1.4153439153439154E-2</v>
      </c>
      <c r="M268" s="32">
        <v>107</v>
      </c>
      <c r="N268" s="32">
        <v>0</v>
      </c>
      <c r="O268" s="32">
        <v>7560</v>
      </c>
      <c r="P268" s="32">
        <v>0</v>
      </c>
      <c r="Q26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8" s="32">
        <v>0</v>
      </c>
      <c r="S268" s="32">
        <v>0</v>
      </c>
      <c r="T268" s="32">
        <v>0</v>
      </c>
      <c r="U268" s="32">
        <v>7560</v>
      </c>
      <c r="V268" s="32">
        <v>8</v>
      </c>
      <c r="W268" s="32">
        <v>0</v>
      </c>
      <c r="X268" s="32">
        <v>0</v>
      </c>
      <c r="Y26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0.40671276169971982</v>
      </c>
      <c r="Z268" s="32">
        <v>0</v>
      </c>
      <c r="AA268" s="32">
        <v>122220</v>
      </c>
      <c r="AB268" s="32">
        <v>4340</v>
      </c>
      <c r="AC268" s="32">
        <v>0</v>
      </c>
      <c r="AD268" s="32">
        <v>0</v>
      </c>
      <c r="AE268" s="32">
        <v>289836</v>
      </c>
      <c r="AF268" s="32">
        <v>0</v>
      </c>
      <c r="AG26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3.1702008928571428</v>
      </c>
      <c r="AH268" s="32">
        <v>13844</v>
      </c>
      <c r="AI268" s="32">
        <v>991</v>
      </c>
      <c r="AJ268" s="32">
        <v>116</v>
      </c>
      <c r="AK268" s="32">
        <v>0</v>
      </c>
      <c r="AL268" s="32">
        <v>8</v>
      </c>
      <c r="AM268" s="32">
        <v>2204</v>
      </c>
      <c r="AN268" s="32">
        <v>6502</v>
      </c>
      <c r="AO268" s="32">
        <v>-436</v>
      </c>
      <c r="AP268" s="32">
        <v>-4940</v>
      </c>
      <c r="AQ26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3.5088624338624337</v>
      </c>
      <c r="AR268" s="32">
        <v>9296</v>
      </c>
      <c r="AS268" s="32">
        <v>1314</v>
      </c>
      <c r="AT268" s="32">
        <v>8134</v>
      </c>
      <c r="AU268" s="32">
        <v>1000</v>
      </c>
      <c r="AV268" s="32">
        <v>4579</v>
      </c>
      <c r="AW268" s="32">
        <v>2204</v>
      </c>
      <c r="AX268" s="32">
        <v>0</v>
      </c>
      <c r="AY268" s="32">
        <v>0</v>
      </c>
      <c r="AZ268" s="32">
        <v>0</v>
      </c>
      <c r="BA268" s="32">
        <v>0</v>
      </c>
      <c r="BB268" s="32">
        <v>0</v>
      </c>
      <c r="BC268" s="32">
        <v>7560</v>
      </c>
      <c r="BD268" s="34">
        <f>IFERROR(SUM(Entity_Metrics[[#This Row],[Operating surplus/(deficit) (social housing lettings)]])/SUM(Entity_Metrics[[#This Row],[Turnover from social housing lettings]]),"")</f>
        <v>0.28355409960594408</v>
      </c>
      <c r="BE268" s="32">
        <v>11945</v>
      </c>
      <c r="BF268" s="32">
        <v>42126</v>
      </c>
      <c r="BG268" s="34">
        <f>IFERROR(SUM(Entity_Metrics[[#This Row],[Operating surplus/(deficit) (overall)2]],-Entity_Metrics[[#This Row],[Gain/(loss) on disposal of fixed assets (housing properties)2]])/SUM(Entity_Metrics[[#This Row],[Turnover (overall)]]),"")</f>
        <v>0.28411954551483265</v>
      </c>
      <c r="BH268" s="32">
        <v>13844</v>
      </c>
      <c r="BI268" s="32">
        <v>991</v>
      </c>
      <c r="BJ268" s="32">
        <v>45238</v>
      </c>
      <c r="BK268" s="34">
        <f>IFERROR(SUM(Entity_Metrics[[#This Row],[Operating surplus/(deficit) (overall)3]],Entity_Metrics[[#This Row],[Share of operating surplus/(deficit) in joint ventures or associates]])/SUM(Entity_Metrics[[#This Row],[Total assets less current liabilities]]),"")</f>
        <v>4.5830891822012998E-2</v>
      </c>
      <c r="BL268" s="32">
        <v>13844</v>
      </c>
      <c r="BM268" s="32">
        <v>0</v>
      </c>
      <c r="BN268" s="32">
        <v>302067</v>
      </c>
      <c r="BO268" s="34">
        <v>1.455026455026455E-3</v>
      </c>
      <c r="BP268" s="34">
        <v>7.6719576719576715E-2</v>
      </c>
      <c r="BQ268" s="6" t="s">
        <v>93</v>
      </c>
      <c r="BR268" s="6">
        <v>2006</v>
      </c>
      <c r="BS268" s="6" t="s">
        <v>94</v>
      </c>
      <c r="BT268" s="6" t="s">
        <v>84</v>
      </c>
      <c r="BU268" s="8">
        <v>1.0111927109978194</v>
      </c>
      <c r="BV268" s="37" t="s">
        <v>513</v>
      </c>
      <c r="BW268" s="19" t="s">
        <v>514</v>
      </c>
    </row>
    <row r="269" spans="1:75" x14ac:dyDescent="0.25">
      <c r="A269" s="33" t="s">
        <v>515</v>
      </c>
      <c r="B269" s="7" t="s">
        <v>516</v>
      </c>
      <c r="C269" s="7" t="s">
        <v>81</v>
      </c>
      <c r="D26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0.12856019079251313</v>
      </c>
      <c r="E269" s="32">
        <v>17481</v>
      </c>
      <c r="F269" s="32">
        <v>0</v>
      </c>
      <c r="G269" s="32">
        <v>3111</v>
      </c>
      <c r="H269" s="32">
        <v>122</v>
      </c>
      <c r="I269" s="32">
        <v>-122</v>
      </c>
      <c r="J269" s="32">
        <v>160174</v>
      </c>
      <c r="K269" s="32">
        <v>0</v>
      </c>
      <c r="L26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3.8582060321190756E-2</v>
      </c>
      <c r="M269" s="32">
        <v>197</v>
      </c>
      <c r="N269" s="32">
        <v>0</v>
      </c>
      <c r="O269" s="32">
        <v>5106</v>
      </c>
      <c r="P269" s="32">
        <v>0</v>
      </c>
      <c r="Q26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69" s="32">
        <v>0</v>
      </c>
      <c r="S269" s="32">
        <v>0</v>
      </c>
      <c r="T269" s="32">
        <v>0</v>
      </c>
      <c r="U269" s="32">
        <v>5106</v>
      </c>
      <c r="V269" s="32">
        <v>0</v>
      </c>
      <c r="W269" s="32">
        <v>0</v>
      </c>
      <c r="X269" s="32">
        <v>48</v>
      </c>
      <c r="Y26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0.41021638967622709</v>
      </c>
      <c r="Z269" s="32">
        <v>2000</v>
      </c>
      <c r="AA269" s="32">
        <v>65000</v>
      </c>
      <c r="AB269" s="32">
        <v>1294</v>
      </c>
      <c r="AC269" s="32">
        <v>0</v>
      </c>
      <c r="AD269" s="32">
        <v>0</v>
      </c>
      <c r="AE269" s="32">
        <v>160174</v>
      </c>
      <c r="AF269" s="32">
        <v>0</v>
      </c>
      <c r="AG26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2.2154750244857984</v>
      </c>
      <c r="AH269" s="32">
        <v>13752</v>
      </c>
      <c r="AI269" s="32">
        <v>6931</v>
      </c>
      <c r="AJ269" s="32">
        <v>182</v>
      </c>
      <c r="AK269" s="32">
        <v>0</v>
      </c>
      <c r="AL269" s="32">
        <v>11</v>
      </c>
      <c r="AM269" s="32">
        <v>3111</v>
      </c>
      <c r="AN269" s="32">
        <v>3247</v>
      </c>
      <c r="AO269" s="32">
        <v>-122</v>
      </c>
      <c r="AP269" s="32">
        <v>-2941</v>
      </c>
      <c r="AQ26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3.4620054837446141</v>
      </c>
      <c r="AR269" s="32">
        <v>3395</v>
      </c>
      <c r="AS269" s="32">
        <v>1204</v>
      </c>
      <c r="AT269" s="32">
        <v>3745</v>
      </c>
      <c r="AU269" s="32">
        <v>816</v>
      </c>
      <c r="AV269" s="32">
        <v>2001</v>
      </c>
      <c r="AW269" s="32">
        <v>3111</v>
      </c>
      <c r="AX269" s="32">
        <v>2983</v>
      </c>
      <c r="AY269" s="32">
        <v>0</v>
      </c>
      <c r="AZ269" s="32">
        <v>0</v>
      </c>
      <c r="BA269" s="32">
        <v>422</v>
      </c>
      <c r="BB269" s="32">
        <v>0</v>
      </c>
      <c r="BC269" s="32">
        <v>5106</v>
      </c>
      <c r="BD269" s="34">
        <f>IFERROR(SUM(Entity_Metrics[[#This Row],[Operating surplus/(deficit) (social housing lettings)]])/SUM(Entity_Metrics[[#This Row],[Turnover from social housing lettings]]),"")</f>
        <v>0.27490462060194998</v>
      </c>
      <c r="BE269" s="32">
        <v>6485</v>
      </c>
      <c r="BF269" s="32">
        <v>23590</v>
      </c>
      <c r="BG269" s="34">
        <f>IFERROR(SUM(Entity_Metrics[[#This Row],[Operating surplus/(deficit) (overall)2]],-Entity_Metrics[[#This Row],[Gain/(loss) on disposal of fixed assets (housing properties)2]])/SUM(Entity_Metrics[[#This Row],[Turnover (overall)]]),"")</f>
        <v>0.2649755263771269</v>
      </c>
      <c r="BH269" s="32">
        <v>13752</v>
      </c>
      <c r="BI269" s="32">
        <v>6931</v>
      </c>
      <c r="BJ269" s="32">
        <v>25742</v>
      </c>
      <c r="BK269" s="34">
        <f>IFERROR(SUM(Entity_Metrics[[#This Row],[Operating surplus/(deficit) (overall)3]],Entity_Metrics[[#This Row],[Share of operating surplus/(deficit) in joint ventures or associates]])/SUM(Entity_Metrics[[#This Row],[Total assets less current liabilities]]),"")</f>
        <v>8.5578269392327086E-2</v>
      </c>
      <c r="BL269" s="32">
        <v>13752</v>
      </c>
      <c r="BM269" s="32">
        <v>0</v>
      </c>
      <c r="BN269" s="32">
        <v>160695</v>
      </c>
      <c r="BO269" s="34">
        <v>2.7602523659305996E-3</v>
      </c>
      <c r="BP269" s="34">
        <v>0</v>
      </c>
      <c r="BQ269" s="6" t="s">
        <v>93</v>
      </c>
      <c r="BR269" s="6">
        <v>2006</v>
      </c>
      <c r="BS269" s="6" t="s">
        <v>94</v>
      </c>
      <c r="BT269" s="6" t="s">
        <v>100</v>
      </c>
      <c r="BU269" s="8">
        <v>1.0022399874355168</v>
      </c>
      <c r="BV269" s="37" t="s">
        <v>515</v>
      </c>
      <c r="BW269" s="19" t="s">
        <v>516</v>
      </c>
    </row>
    <row r="270" spans="1:75" x14ac:dyDescent="0.25">
      <c r="A270" s="33" t="s">
        <v>938</v>
      </c>
      <c r="B270" s="7" t="s">
        <v>518</v>
      </c>
      <c r="C270" s="7" t="s">
        <v>81</v>
      </c>
      <c r="D27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7.8758779935489687E-2</v>
      </c>
      <c r="E270" s="32">
        <v>125561</v>
      </c>
      <c r="F270" s="32">
        <v>0</v>
      </c>
      <c r="G270" s="32">
        <v>12578</v>
      </c>
      <c r="H270" s="32">
        <v>6754</v>
      </c>
      <c r="I270" s="32">
        <v>0</v>
      </c>
      <c r="J270" s="32">
        <v>1839706</v>
      </c>
      <c r="K270" s="32">
        <v>0</v>
      </c>
      <c r="L27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1.9759688845673012E-2</v>
      </c>
      <c r="M270" s="32">
        <v>569</v>
      </c>
      <c r="N270" s="32">
        <v>0</v>
      </c>
      <c r="O270" s="32">
        <v>27111</v>
      </c>
      <c r="P270" s="32">
        <v>1685</v>
      </c>
      <c r="Q27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2.3639065243820073E-3</v>
      </c>
      <c r="R270" s="32">
        <v>12</v>
      </c>
      <c r="S270" s="32">
        <v>0</v>
      </c>
      <c r="T270" s="32">
        <v>58</v>
      </c>
      <c r="U270" s="32">
        <v>27111</v>
      </c>
      <c r="V270" s="32">
        <v>493</v>
      </c>
      <c r="W270" s="32">
        <v>1685</v>
      </c>
      <c r="X270" s="32">
        <v>323</v>
      </c>
      <c r="Y27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0.5260579679579237</v>
      </c>
      <c r="Z270" s="32">
        <v>7989</v>
      </c>
      <c r="AA270" s="32">
        <v>990223</v>
      </c>
      <c r="AB270" s="32">
        <v>30420</v>
      </c>
      <c r="AC270" s="32">
        <v>0</v>
      </c>
      <c r="AD270" s="32">
        <v>0</v>
      </c>
      <c r="AE270" s="32">
        <v>1839706</v>
      </c>
      <c r="AF270" s="32">
        <v>0</v>
      </c>
      <c r="AG27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2.6872317006053934</v>
      </c>
      <c r="AH270" s="32">
        <v>90460</v>
      </c>
      <c r="AI270" s="32">
        <v>7796</v>
      </c>
      <c r="AJ270" s="32">
        <v>5412</v>
      </c>
      <c r="AK270" s="32">
        <v>0</v>
      </c>
      <c r="AL270" s="32">
        <v>1308</v>
      </c>
      <c r="AM270" s="32">
        <v>12578</v>
      </c>
      <c r="AN270" s="32">
        <v>31672</v>
      </c>
      <c r="AO270" s="32">
        <v>-6754</v>
      </c>
      <c r="AP270" s="32">
        <v>-29586</v>
      </c>
      <c r="AQ27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2.7733435942538844</v>
      </c>
      <c r="AR270" s="32">
        <v>17555</v>
      </c>
      <c r="AS270" s="32">
        <v>10829</v>
      </c>
      <c r="AT270" s="32">
        <v>13706</v>
      </c>
      <c r="AU270" s="32">
        <v>5497</v>
      </c>
      <c r="AV270" s="32">
        <v>12451</v>
      </c>
      <c r="AW270" s="32">
        <v>12578</v>
      </c>
      <c r="AX270" s="32">
        <v>138</v>
      </c>
      <c r="AY270" s="32">
        <v>1776</v>
      </c>
      <c r="AZ270" s="32">
        <v>1149</v>
      </c>
      <c r="BA270" s="32">
        <v>0</v>
      </c>
      <c r="BB270" s="32">
        <v>0</v>
      </c>
      <c r="BC270" s="32">
        <v>27288</v>
      </c>
      <c r="BD270" s="34">
        <f>IFERROR(SUM(Entity_Metrics[[#This Row],[Operating surplus/(deficit) (social housing lettings)]])/SUM(Entity_Metrics[[#This Row],[Turnover from social housing lettings]]),"")</f>
        <v>0.45047678665848218</v>
      </c>
      <c r="BE270" s="32">
        <v>74121</v>
      </c>
      <c r="BF270" s="32">
        <v>164539</v>
      </c>
      <c r="BG270" s="34">
        <f>IFERROR(SUM(Entity_Metrics[[#This Row],[Operating surplus/(deficit) (overall)2]],-Entity_Metrics[[#This Row],[Gain/(loss) on disposal of fixed assets (housing properties)2]])/SUM(Entity_Metrics[[#This Row],[Turnover (overall)]]),"")</f>
        <v>0.3908130750101646</v>
      </c>
      <c r="BH270" s="32">
        <v>90460</v>
      </c>
      <c r="BI270" s="32">
        <v>7796</v>
      </c>
      <c r="BJ270" s="32">
        <v>211518</v>
      </c>
      <c r="BK270" s="34">
        <f>IFERROR(SUM(Entity_Metrics[[#This Row],[Operating surplus/(deficit) (overall)3]],Entity_Metrics[[#This Row],[Share of operating surplus/(deficit) in joint ventures or associates]])/SUM(Entity_Metrics[[#This Row],[Total assets less current liabilities]]),"")</f>
        <v>4.5854655038258682E-2</v>
      </c>
      <c r="BL270" s="32">
        <v>90460</v>
      </c>
      <c r="BM270" s="32">
        <v>0</v>
      </c>
      <c r="BN270" s="32">
        <v>1972755</v>
      </c>
      <c r="BO270" s="34">
        <v>1.4053336284165099E-2</v>
      </c>
      <c r="BP270" s="34">
        <v>5.6545313710302095E-2</v>
      </c>
      <c r="BQ270" s="6" t="s">
        <v>93</v>
      </c>
      <c r="BR270" s="6">
        <v>1995</v>
      </c>
      <c r="BS270" s="6" t="s">
        <v>94</v>
      </c>
      <c r="BT270" s="6" t="s">
        <v>84</v>
      </c>
      <c r="BU270" s="8">
        <v>1.0118524159776632</v>
      </c>
      <c r="BV270" s="37">
        <v>4850</v>
      </c>
      <c r="BW270" s="19" t="s">
        <v>518</v>
      </c>
    </row>
    <row r="271" spans="1:75" x14ac:dyDescent="0.25">
      <c r="A271" s="33" t="s">
        <v>869</v>
      </c>
      <c r="B271" s="7" t="s">
        <v>520</v>
      </c>
      <c r="C271" s="7" t="s">
        <v>81</v>
      </c>
      <c r="D27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5.9224758850627369E-2</v>
      </c>
      <c r="E271" s="32">
        <v>7048</v>
      </c>
      <c r="F271" s="32">
        <v>14466</v>
      </c>
      <c r="G271" s="32">
        <v>18045</v>
      </c>
      <c r="H271" s="32">
        <v>0</v>
      </c>
      <c r="I271" s="32">
        <v>0</v>
      </c>
      <c r="J271" s="32">
        <v>6164</v>
      </c>
      <c r="K271" s="32">
        <v>661783</v>
      </c>
      <c r="L27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9.9222225778574404E-3</v>
      </c>
      <c r="M271" s="32">
        <v>310</v>
      </c>
      <c r="N271" s="32">
        <v>0</v>
      </c>
      <c r="O271" s="32">
        <v>31243</v>
      </c>
      <c r="P271" s="32">
        <v>0</v>
      </c>
      <c r="Q27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1" s="32">
        <v>0</v>
      </c>
      <c r="S271" s="32">
        <v>0</v>
      </c>
      <c r="T271" s="32">
        <v>0</v>
      </c>
      <c r="U271" s="32">
        <v>31243</v>
      </c>
      <c r="V271" s="32">
        <v>0</v>
      </c>
      <c r="W271" s="32">
        <v>0</v>
      </c>
      <c r="X271" s="32">
        <v>0</v>
      </c>
      <c r="Y27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0.4950602368151964</v>
      </c>
      <c r="Z271" s="32">
        <v>1100</v>
      </c>
      <c r="AA271" s="32">
        <v>409500</v>
      </c>
      <c r="AB271" s="32">
        <v>79926</v>
      </c>
      <c r="AC271" s="32">
        <v>0</v>
      </c>
      <c r="AD271" s="32">
        <v>0</v>
      </c>
      <c r="AE271" s="32">
        <v>6164</v>
      </c>
      <c r="AF271" s="32">
        <v>661783</v>
      </c>
      <c r="AG27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2.6316394213192669</v>
      </c>
      <c r="AH271" s="32">
        <v>49015</v>
      </c>
      <c r="AI271" s="32">
        <v>0</v>
      </c>
      <c r="AJ271" s="32">
        <v>0</v>
      </c>
      <c r="AK271" s="32">
        <v>2117</v>
      </c>
      <c r="AL271" s="32">
        <v>306</v>
      </c>
      <c r="AM271" s="32">
        <v>18045</v>
      </c>
      <c r="AN271" s="32">
        <v>21229</v>
      </c>
      <c r="AO271" s="32">
        <v>0</v>
      </c>
      <c r="AP271" s="32">
        <v>-19147</v>
      </c>
      <c r="AQ27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2.9258347978910368</v>
      </c>
      <c r="AR271" s="32">
        <v>34411</v>
      </c>
      <c r="AS271" s="32">
        <v>4889</v>
      </c>
      <c r="AT271" s="32">
        <v>15458</v>
      </c>
      <c r="AU271" s="32">
        <v>2421</v>
      </c>
      <c r="AV271" s="32">
        <v>7206</v>
      </c>
      <c r="AW271" s="32">
        <v>18045</v>
      </c>
      <c r="AX271" s="32">
        <v>1595</v>
      </c>
      <c r="AY271" s="32">
        <v>1576</v>
      </c>
      <c r="AZ271" s="32">
        <v>0</v>
      </c>
      <c r="BA271" s="32">
        <v>4972</v>
      </c>
      <c r="BB271" s="32">
        <v>991</v>
      </c>
      <c r="BC271" s="32">
        <v>31295</v>
      </c>
      <c r="BD271" s="34">
        <f>IFERROR(SUM(Entity_Metrics[[#This Row],[Operating surplus/(deficit) (social housing lettings)]])/SUM(Entity_Metrics[[#This Row],[Turnover from social housing lettings]]),"")</f>
        <v>0.36957546656608808</v>
      </c>
      <c r="BE271" s="32">
        <v>50953</v>
      </c>
      <c r="BF271" s="32">
        <v>137869</v>
      </c>
      <c r="BG271" s="34">
        <f>IFERROR(SUM(Entity_Metrics[[#This Row],[Operating surplus/(deficit) (overall)2]],-Entity_Metrics[[#This Row],[Gain/(loss) on disposal of fixed assets (housing properties)2]])/SUM(Entity_Metrics[[#This Row],[Turnover (overall)]]),"")</f>
        <v>0.31681651595555582</v>
      </c>
      <c r="BH271" s="32">
        <v>49015</v>
      </c>
      <c r="BI271" s="32">
        <v>0</v>
      </c>
      <c r="BJ271" s="32">
        <v>154711</v>
      </c>
      <c r="BK271" s="34">
        <f>IFERROR(SUM(Entity_Metrics[[#This Row],[Operating surplus/(deficit) (overall)3]],Entity_Metrics[[#This Row],[Share of operating surplus/(deficit) in joint ventures or associates]])/SUM(Entity_Metrics[[#This Row],[Total assets less current liabilities]]),"")</f>
        <v>6.3169439471910449E-2</v>
      </c>
      <c r="BL271" s="32">
        <v>49015</v>
      </c>
      <c r="BM271" s="32">
        <v>0</v>
      </c>
      <c r="BN271" s="32">
        <v>775929</v>
      </c>
      <c r="BO271" s="34">
        <v>5.4860288704669843E-2</v>
      </c>
      <c r="BP271" s="34">
        <v>0</v>
      </c>
      <c r="BQ271" s="6" t="s">
        <v>93</v>
      </c>
      <c r="BR271" s="6">
        <v>2005</v>
      </c>
      <c r="BS271" s="6" t="s">
        <v>94</v>
      </c>
      <c r="BT271" s="6" t="s">
        <v>108</v>
      </c>
      <c r="BU271" s="8">
        <v>0.94807909763407583</v>
      </c>
      <c r="BV271" s="37" t="s">
        <v>869</v>
      </c>
      <c r="BW271" s="19" t="s">
        <v>520</v>
      </c>
    </row>
    <row r="272" spans="1:75" x14ac:dyDescent="0.25">
      <c r="A272" s="33" t="s">
        <v>870</v>
      </c>
      <c r="B272" s="7" t="s">
        <v>522</v>
      </c>
      <c r="C272" s="7" t="s">
        <v>81</v>
      </c>
      <c r="D27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0.12031604229941711</v>
      </c>
      <c r="E272" s="32">
        <v>40044</v>
      </c>
      <c r="F272" s="32">
        <v>0</v>
      </c>
      <c r="G272" s="32">
        <v>9035</v>
      </c>
      <c r="H272" s="32">
        <v>914</v>
      </c>
      <c r="I272" s="32">
        <v>0</v>
      </c>
      <c r="J272" s="32">
        <v>415514</v>
      </c>
      <c r="K272" s="32">
        <v>0</v>
      </c>
      <c r="L27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2.4436547729153484E-2</v>
      </c>
      <c r="M272" s="32">
        <v>497</v>
      </c>
      <c r="N272" s="32">
        <v>5</v>
      </c>
      <c r="O272" s="32">
        <v>19938</v>
      </c>
      <c r="P272" s="32">
        <v>605</v>
      </c>
      <c r="Q27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2" s="32">
        <v>0</v>
      </c>
      <c r="S272" s="32">
        <v>0</v>
      </c>
      <c r="T272" s="32">
        <v>0</v>
      </c>
      <c r="U272" s="32">
        <v>19938</v>
      </c>
      <c r="V272" s="32">
        <v>101</v>
      </c>
      <c r="W272" s="32">
        <v>605</v>
      </c>
      <c r="X272" s="32">
        <v>0</v>
      </c>
      <c r="Y27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0.65614154998387542</v>
      </c>
      <c r="Z272" s="32">
        <v>0</v>
      </c>
      <c r="AA272" s="32">
        <v>163018</v>
      </c>
      <c r="AB272" s="32">
        <v>123855</v>
      </c>
      <c r="AC272" s="32">
        <v>233473</v>
      </c>
      <c r="AD272" s="32">
        <v>0</v>
      </c>
      <c r="AE272" s="32">
        <v>415514</v>
      </c>
      <c r="AF272" s="32">
        <v>0</v>
      </c>
      <c r="AG27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1.9543541437017737</v>
      </c>
      <c r="AH272" s="32">
        <v>44956</v>
      </c>
      <c r="AI272" s="32">
        <v>7410</v>
      </c>
      <c r="AJ272" s="32">
        <v>887</v>
      </c>
      <c r="AK272" s="32">
        <v>0</v>
      </c>
      <c r="AL272" s="32">
        <v>412</v>
      </c>
      <c r="AM272" s="32">
        <v>9035</v>
      </c>
      <c r="AN272" s="32">
        <v>10969</v>
      </c>
      <c r="AO272" s="32">
        <v>-914</v>
      </c>
      <c r="AP272" s="32">
        <v>-19044</v>
      </c>
      <c r="AQ27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3.0252282074430736</v>
      </c>
      <c r="AR272" s="32">
        <v>13115</v>
      </c>
      <c r="AS272" s="32">
        <v>4833</v>
      </c>
      <c r="AT272" s="32">
        <v>10008</v>
      </c>
      <c r="AU272" s="32">
        <v>14680</v>
      </c>
      <c r="AV272" s="32">
        <v>3313</v>
      </c>
      <c r="AW272" s="32">
        <v>9035</v>
      </c>
      <c r="AX272" s="32">
        <v>0</v>
      </c>
      <c r="AY272" s="32">
        <v>843</v>
      </c>
      <c r="AZ272" s="32">
        <v>306</v>
      </c>
      <c r="BA272" s="32">
        <v>3607</v>
      </c>
      <c r="BB272" s="32">
        <v>577</v>
      </c>
      <c r="BC272" s="32">
        <v>19938</v>
      </c>
      <c r="BD272" s="34">
        <f>IFERROR(SUM(Entity_Metrics[[#This Row],[Operating surplus/(deficit) (social housing lettings)]])/SUM(Entity_Metrics[[#This Row],[Turnover from social housing lettings]]),"")</f>
        <v>0.4034942995536942</v>
      </c>
      <c r="BE272" s="32">
        <v>38152</v>
      </c>
      <c r="BF272" s="32">
        <v>94554</v>
      </c>
      <c r="BG272" s="34">
        <f>IFERROR(SUM(Entity_Metrics[[#This Row],[Operating surplus/(deficit) (overall)2]],-Entity_Metrics[[#This Row],[Gain/(loss) on disposal of fixed assets (housing properties)2]])/SUM(Entity_Metrics[[#This Row],[Turnover (overall)]]),"")</f>
        <v>0.35615970555592447</v>
      </c>
      <c r="BH272" s="32">
        <v>44956</v>
      </c>
      <c r="BI272" s="32">
        <v>7410</v>
      </c>
      <c r="BJ272" s="32">
        <v>105419</v>
      </c>
      <c r="BK272" s="34">
        <f>IFERROR(SUM(Entity_Metrics[[#This Row],[Operating surplus/(deficit) (overall)3]],Entity_Metrics[[#This Row],[Share of operating surplus/(deficit) in joint ventures or associates]])/SUM(Entity_Metrics[[#This Row],[Total assets less current liabilities]]),"")</f>
        <v>7.8954116130482588E-2</v>
      </c>
      <c r="BL272" s="32">
        <v>44956</v>
      </c>
      <c r="BM272" s="32">
        <v>0</v>
      </c>
      <c r="BN272" s="32">
        <v>569394</v>
      </c>
      <c r="BO272" s="34">
        <v>4.2632159695054671E-3</v>
      </c>
      <c r="BP272" s="34">
        <v>0</v>
      </c>
      <c r="BQ272" s="6" t="s">
        <v>93</v>
      </c>
      <c r="BR272" s="6">
        <v>2003</v>
      </c>
      <c r="BS272" s="6" t="s">
        <v>94</v>
      </c>
      <c r="BT272" s="6" t="s">
        <v>90</v>
      </c>
      <c r="BU272" s="8">
        <v>0.91571558169387279</v>
      </c>
      <c r="BV272" s="37" t="s">
        <v>870</v>
      </c>
      <c r="BW272" s="19" t="s">
        <v>522</v>
      </c>
    </row>
    <row r="273" spans="1:75" x14ac:dyDescent="0.25">
      <c r="A273" s="33" t="s">
        <v>871</v>
      </c>
      <c r="B273" s="7" t="s">
        <v>524</v>
      </c>
      <c r="C273" s="7" t="s">
        <v>81</v>
      </c>
      <c r="D27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6.4640731589376541E-2</v>
      </c>
      <c r="E273" s="32">
        <v>48280</v>
      </c>
      <c r="F273" s="32">
        <v>1899</v>
      </c>
      <c r="G273" s="32">
        <v>5832</v>
      </c>
      <c r="H273" s="32">
        <v>0</v>
      </c>
      <c r="I273" s="32">
        <v>0</v>
      </c>
      <c r="J273" s="32">
        <v>866497</v>
      </c>
      <c r="K273" s="32">
        <v>0</v>
      </c>
      <c r="L27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1.9610691458454389E-2</v>
      </c>
      <c r="M273" s="32">
        <v>135</v>
      </c>
      <c r="N273" s="32">
        <v>0</v>
      </c>
      <c r="O273" s="32">
        <v>6884</v>
      </c>
      <c r="P273" s="32">
        <v>0</v>
      </c>
      <c r="Q27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3" s="32">
        <v>0</v>
      </c>
      <c r="S273" s="32">
        <v>0</v>
      </c>
      <c r="T273" s="32">
        <v>0</v>
      </c>
      <c r="U273" s="32">
        <v>6884</v>
      </c>
      <c r="V273" s="32">
        <v>0</v>
      </c>
      <c r="W273" s="32">
        <v>0</v>
      </c>
      <c r="X273" s="32">
        <v>0</v>
      </c>
      <c r="Y27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0.33644778920180912</v>
      </c>
      <c r="Z273" s="32">
        <v>6182</v>
      </c>
      <c r="AA273" s="32">
        <v>291226</v>
      </c>
      <c r="AB273" s="32">
        <v>5877</v>
      </c>
      <c r="AC273" s="32">
        <v>0</v>
      </c>
      <c r="AD273" s="32">
        <v>0</v>
      </c>
      <c r="AE273" s="32">
        <v>866497</v>
      </c>
      <c r="AF273" s="32">
        <v>0</v>
      </c>
      <c r="AG27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1.8710884863003443</v>
      </c>
      <c r="AH273" s="32">
        <v>29869</v>
      </c>
      <c r="AI273" s="32">
        <v>7110</v>
      </c>
      <c r="AJ273" s="32">
        <v>3278</v>
      </c>
      <c r="AK273" s="32">
        <v>0</v>
      </c>
      <c r="AL273" s="32">
        <v>10</v>
      </c>
      <c r="AM273" s="32">
        <v>2851</v>
      </c>
      <c r="AN273" s="32">
        <v>8354</v>
      </c>
      <c r="AO273" s="32">
        <v>-1197</v>
      </c>
      <c r="AP273" s="32">
        <v>-12161</v>
      </c>
      <c r="AQ27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4.2288478198094142</v>
      </c>
      <c r="AR273" s="32">
        <v>11897</v>
      </c>
      <c r="AS273" s="32">
        <v>3776</v>
      </c>
      <c r="AT273" s="32">
        <v>4776</v>
      </c>
      <c r="AU273" s="32">
        <v>2774</v>
      </c>
      <c r="AV273" s="32">
        <v>2871</v>
      </c>
      <c r="AW273" s="32">
        <v>2851</v>
      </c>
      <c r="AX273" s="32">
        <v>0</v>
      </c>
      <c r="AY273" s="32">
        <v>308</v>
      </c>
      <c r="AZ273" s="32">
        <v>0</v>
      </c>
      <c r="BA273" s="32">
        <v>36</v>
      </c>
      <c r="BB273" s="32">
        <v>0</v>
      </c>
      <c r="BC273" s="32">
        <v>6926</v>
      </c>
      <c r="BD273" s="34">
        <f>IFERROR(SUM(Entity_Metrics[[#This Row],[Operating surplus/(deficit) (social housing lettings)]])/SUM(Entity_Metrics[[#This Row],[Turnover from social housing lettings]]),"")</f>
        <v>0.29738236906768473</v>
      </c>
      <c r="BE273" s="32">
        <v>14644</v>
      </c>
      <c r="BF273" s="32">
        <v>49243</v>
      </c>
      <c r="BG273" s="34">
        <f>IFERROR(SUM(Entity_Metrics[[#This Row],[Operating surplus/(deficit) (overall)2]],-Entity_Metrics[[#This Row],[Gain/(loss) on disposal of fixed assets (housing properties)2]])/SUM(Entity_Metrics[[#This Row],[Turnover (overall)]]),"")</f>
        <v>0.3409434781957365</v>
      </c>
      <c r="BH273" s="32">
        <v>29869</v>
      </c>
      <c r="BI273" s="32">
        <v>7110</v>
      </c>
      <c r="BJ273" s="32">
        <v>66753</v>
      </c>
      <c r="BK273" s="34">
        <f>IFERROR(SUM(Entity_Metrics[[#This Row],[Operating surplus/(deficit) (overall)3]],Entity_Metrics[[#This Row],[Share of operating surplus/(deficit) in joint ventures or associates]])/SUM(Entity_Metrics[[#This Row],[Total assets less current liabilities]]),"")</f>
        <v>3.4418427784563617E-2</v>
      </c>
      <c r="BL273" s="32">
        <v>29869</v>
      </c>
      <c r="BM273" s="32">
        <v>0</v>
      </c>
      <c r="BN273" s="32">
        <v>867820</v>
      </c>
      <c r="BO273" s="34">
        <v>3.3164373642288199E-2</v>
      </c>
      <c r="BP273" s="34">
        <v>1.4627081824764663E-2</v>
      </c>
      <c r="BQ273" s="6" t="s">
        <v>82</v>
      </c>
      <c r="BR273" s="6" t="s">
        <v>83</v>
      </c>
      <c r="BS273" s="6" t="s">
        <v>83</v>
      </c>
      <c r="BT273" s="6" t="s">
        <v>156</v>
      </c>
      <c r="BU273" s="8">
        <v>1.2487254809188655</v>
      </c>
      <c r="BV273" s="37" t="s">
        <v>871</v>
      </c>
      <c r="BW273" s="19" t="s">
        <v>524</v>
      </c>
    </row>
    <row r="274" spans="1:75" x14ac:dyDescent="0.25">
      <c r="A274" s="33" t="s">
        <v>872</v>
      </c>
      <c r="B274" s="7" t="s">
        <v>526</v>
      </c>
      <c r="C274" s="7" t="s">
        <v>81</v>
      </c>
      <c r="D27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2.2791694512939876E-2</v>
      </c>
      <c r="E274" s="32">
        <v>96</v>
      </c>
      <c r="F274" s="32">
        <v>0</v>
      </c>
      <c r="G274" s="32">
        <v>893</v>
      </c>
      <c r="H274" s="32">
        <v>0</v>
      </c>
      <c r="I274" s="32">
        <v>0</v>
      </c>
      <c r="J274" s="32">
        <v>43393</v>
      </c>
      <c r="K274" s="32">
        <v>0</v>
      </c>
      <c r="L27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1.557632398753894E-3</v>
      </c>
      <c r="M274" s="32">
        <v>2</v>
      </c>
      <c r="N274" s="32">
        <v>0</v>
      </c>
      <c r="O274" s="32">
        <v>1284</v>
      </c>
      <c r="P274" s="32">
        <v>0</v>
      </c>
      <c r="Q27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4" s="32">
        <v>0</v>
      </c>
      <c r="S274" s="32">
        <v>0</v>
      </c>
      <c r="T274" s="32">
        <v>0</v>
      </c>
      <c r="U274" s="32">
        <v>1284</v>
      </c>
      <c r="V274" s="32">
        <v>0</v>
      </c>
      <c r="W274" s="32">
        <v>0</v>
      </c>
      <c r="X274" s="32">
        <v>0</v>
      </c>
      <c r="Y27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9.6881985573710042E-2</v>
      </c>
      <c r="Z274" s="32">
        <v>594</v>
      </c>
      <c r="AA274" s="32">
        <v>7735</v>
      </c>
      <c r="AB274" s="32">
        <v>4125</v>
      </c>
      <c r="AC274" s="32">
        <v>0</v>
      </c>
      <c r="AD274" s="32">
        <v>0</v>
      </c>
      <c r="AE274" s="32">
        <v>43393</v>
      </c>
      <c r="AF274" s="32">
        <v>0</v>
      </c>
      <c r="AG27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2.9067961165048546</v>
      </c>
      <c r="AH274" s="32">
        <v>1884</v>
      </c>
      <c r="AI274" s="32">
        <v>55</v>
      </c>
      <c r="AJ274" s="32">
        <v>257</v>
      </c>
      <c r="AK274" s="32">
        <v>0</v>
      </c>
      <c r="AL274" s="32">
        <v>13</v>
      </c>
      <c r="AM274" s="32">
        <v>1069</v>
      </c>
      <c r="AN274" s="32">
        <v>981</v>
      </c>
      <c r="AO274" s="32">
        <v>0</v>
      </c>
      <c r="AP274" s="32">
        <v>-515</v>
      </c>
      <c r="AQ27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3.9454828660436139</v>
      </c>
      <c r="AR274" s="32">
        <v>900</v>
      </c>
      <c r="AS274" s="32">
        <v>551</v>
      </c>
      <c r="AT274" s="32">
        <v>923</v>
      </c>
      <c r="AU274" s="32">
        <v>0</v>
      </c>
      <c r="AV274" s="32">
        <v>414</v>
      </c>
      <c r="AW274" s="32">
        <v>1069</v>
      </c>
      <c r="AX274" s="32">
        <v>98</v>
      </c>
      <c r="AY274" s="32">
        <v>0</v>
      </c>
      <c r="AZ274" s="32">
        <v>0</v>
      </c>
      <c r="BA274" s="32">
        <v>1111</v>
      </c>
      <c r="BB274" s="32">
        <v>0</v>
      </c>
      <c r="BC274" s="32">
        <v>1284</v>
      </c>
      <c r="BD274" s="34">
        <f>IFERROR(SUM(Entity_Metrics[[#This Row],[Operating surplus/(deficit) (social housing lettings)]])/SUM(Entity_Metrics[[#This Row],[Turnover from social housing lettings]]),"")</f>
        <v>0.36843832020997375</v>
      </c>
      <c r="BE274" s="32">
        <v>2246</v>
      </c>
      <c r="BF274" s="32">
        <v>6096</v>
      </c>
      <c r="BG274" s="34">
        <f>IFERROR(SUM(Entity_Metrics[[#This Row],[Operating surplus/(deficit) (overall)2]],-Entity_Metrics[[#This Row],[Gain/(loss) on disposal of fixed assets (housing properties)2]])/SUM(Entity_Metrics[[#This Row],[Turnover (overall)]]),"")</f>
        <v>0.2643445584622055</v>
      </c>
      <c r="BH274" s="32">
        <v>1884</v>
      </c>
      <c r="BI274" s="32">
        <v>55</v>
      </c>
      <c r="BJ274" s="32">
        <v>6919</v>
      </c>
      <c r="BK274" s="34">
        <f>IFERROR(SUM(Entity_Metrics[[#This Row],[Operating surplus/(deficit) (overall)3]],Entity_Metrics[[#This Row],[Share of operating surplus/(deficit) in joint ventures or associates]])/SUM(Entity_Metrics[[#This Row],[Total assets less current liabilities]]),"")</f>
        <v>3.7133396404919583E-2</v>
      </c>
      <c r="BL274" s="32">
        <v>1884</v>
      </c>
      <c r="BM274" s="32">
        <v>0</v>
      </c>
      <c r="BN274" s="32">
        <v>50736</v>
      </c>
      <c r="BO274" s="34">
        <v>5.8411214953271028E-2</v>
      </c>
      <c r="BP274" s="34">
        <v>0.12227414330218069</v>
      </c>
      <c r="BQ274" s="6" t="s">
        <v>82</v>
      </c>
      <c r="BR274" s="6" t="s">
        <v>83</v>
      </c>
      <c r="BS274" s="6" t="s">
        <v>83</v>
      </c>
      <c r="BT274" s="6" t="s">
        <v>105</v>
      </c>
      <c r="BU274" s="8">
        <v>0.9156653862445665</v>
      </c>
      <c r="BV274" s="37" t="s">
        <v>872</v>
      </c>
      <c r="BW274" s="19" t="s">
        <v>526</v>
      </c>
    </row>
    <row r="275" spans="1:75" x14ac:dyDescent="0.25">
      <c r="A275" s="33" t="s">
        <v>939</v>
      </c>
      <c r="B275" s="7" t="s">
        <v>528</v>
      </c>
      <c r="C275" s="7" t="s">
        <v>81</v>
      </c>
      <c r="D27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7.8918914091935022E-2</v>
      </c>
      <c r="E275" s="32">
        <v>100783</v>
      </c>
      <c r="F275" s="32">
        <v>0</v>
      </c>
      <c r="G275" s="32">
        <v>2868</v>
      </c>
      <c r="H275" s="32">
        <v>2400</v>
      </c>
      <c r="I275" s="32">
        <v>0</v>
      </c>
      <c r="J275" s="32">
        <v>1343797</v>
      </c>
      <c r="K275" s="32">
        <v>0</v>
      </c>
      <c r="L27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2.3690535230610765E-2</v>
      </c>
      <c r="M275" s="32">
        <v>621</v>
      </c>
      <c r="N275" s="32">
        <v>0</v>
      </c>
      <c r="O275" s="32">
        <v>25628</v>
      </c>
      <c r="P275" s="32">
        <v>585</v>
      </c>
      <c r="Q27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5" s="32">
        <v>0</v>
      </c>
      <c r="S275" s="32">
        <v>0</v>
      </c>
      <c r="T275" s="32">
        <v>0</v>
      </c>
      <c r="U275" s="32">
        <v>25628</v>
      </c>
      <c r="V275" s="32">
        <v>8</v>
      </c>
      <c r="W275" s="32">
        <v>585</v>
      </c>
      <c r="X275" s="32">
        <v>386</v>
      </c>
      <c r="Y27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0.48348671711575486</v>
      </c>
      <c r="Z275" s="32">
        <v>29828</v>
      </c>
      <c r="AA275" s="32">
        <v>681504</v>
      </c>
      <c r="AB275" s="32">
        <v>61624</v>
      </c>
      <c r="AC275" s="32">
        <v>0</v>
      </c>
      <c r="AD275" s="32">
        <v>0</v>
      </c>
      <c r="AE275" s="32">
        <v>1343797</v>
      </c>
      <c r="AF275" s="32">
        <v>0</v>
      </c>
      <c r="AG27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2.3043370431224228</v>
      </c>
      <c r="AH275" s="32">
        <v>69782</v>
      </c>
      <c r="AI275" s="32">
        <v>7499</v>
      </c>
      <c r="AJ275" s="32">
        <v>4241</v>
      </c>
      <c r="AK275" s="32">
        <v>0</v>
      </c>
      <c r="AL275" s="32">
        <v>206</v>
      </c>
      <c r="AM275" s="32">
        <v>2861</v>
      </c>
      <c r="AN275" s="32">
        <v>18944</v>
      </c>
      <c r="AO275" s="32">
        <v>-2400</v>
      </c>
      <c r="AP275" s="32">
        <v>-29857</v>
      </c>
      <c r="AQ27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1.9199392239364188</v>
      </c>
      <c r="AR275" s="32">
        <v>11852</v>
      </c>
      <c r="AS275" s="32">
        <v>7948</v>
      </c>
      <c r="AT275" s="32">
        <v>15489</v>
      </c>
      <c r="AU275" s="32">
        <v>3432</v>
      </c>
      <c r="AV275" s="32">
        <v>4813</v>
      </c>
      <c r="AW275" s="32">
        <v>2861</v>
      </c>
      <c r="AX275" s="32">
        <v>0</v>
      </c>
      <c r="AY275" s="32">
        <v>662</v>
      </c>
      <c r="AZ275" s="32">
        <v>0</v>
      </c>
      <c r="BA275" s="32">
        <v>2224</v>
      </c>
      <c r="BB275" s="32">
        <v>0</v>
      </c>
      <c r="BC275" s="32">
        <v>25668</v>
      </c>
      <c r="BD275" s="34">
        <f>IFERROR(SUM(Entity_Metrics[[#This Row],[Operating surplus/(deficit) (social housing lettings)]])/SUM(Entity_Metrics[[#This Row],[Turnover from social housing lettings]]),"")</f>
        <v>0.49030705867960689</v>
      </c>
      <c r="BE275" s="32">
        <v>60119</v>
      </c>
      <c r="BF275" s="32">
        <v>122615</v>
      </c>
      <c r="BG275" s="34">
        <f>IFERROR(SUM(Entity_Metrics[[#This Row],[Operating surplus/(deficit) (overall)2]],-Entity_Metrics[[#This Row],[Gain/(loss) on disposal of fixed assets (housing properties)2]])/SUM(Entity_Metrics[[#This Row],[Turnover (overall)]]),"")</f>
        <v>0.43620128164723188</v>
      </c>
      <c r="BH275" s="32">
        <v>69782</v>
      </c>
      <c r="BI275" s="32">
        <v>7499</v>
      </c>
      <c r="BJ275" s="32">
        <v>142785</v>
      </c>
      <c r="BK275" s="34">
        <f>IFERROR(SUM(Entity_Metrics[[#This Row],[Operating surplus/(deficit) (overall)3]],Entity_Metrics[[#This Row],[Share of operating surplus/(deficit) in joint ventures or associates]])/SUM(Entity_Metrics[[#This Row],[Total assets less current liabilities]]),"")</f>
        <v>5.1317538946674825E-2</v>
      </c>
      <c r="BL275" s="32">
        <v>69782</v>
      </c>
      <c r="BM275" s="32">
        <v>0</v>
      </c>
      <c r="BN275" s="32">
        <v>1359808</v>
      </c>
      <c r="BO275" s="34">
        <v>7.0312500000000002E-3</v>
      </c>
      <c r="BP275" s="34">
        <v>4.8085937500000002E-2</v>
      </c>
      <c r="BQ275" s="6" t="s">
        <v>82</v>
      </c>
      <c r="BR275" s="6" t="s">
        <v>83</v>
      </c>
      <c r="BS275" s="6" t="s">
        <v>83</v>
      </c>
      <c r="BT275" s="6" t="s">
        <v>95</v>
      </c>
      <c r="BU275" s="8">
        <v>0.91938821115213809</v>
      </c>
      <c r="BV275" s="37">
        <v>4879</v>
      </c>
      <c r="BW275" s="19" t="s">
        <v>528</v>
      </c>
    </row>
    <row r="276" spans="1:75" x14ac:dyDescent="0.25">
      <c r="A276" s="33" t="s">
        <v>873</v>
      </c>
      <c r="B276" s="7" t="s">
        <v>530</v>
      </c>
      <c r="C276" s="7" t="s">
        <v>81</v>
      </c>
      <c r="D27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0.11519126601523405</v>
      </c>
      <c r="E276" s="32">
        <v>26571</v>
      </c>
      <c r="F276" s="32">
        <v>0</v>
      </c>
      <c r="G276" s="32">
        <v>3584</v>
      </c>
      <c r="H276" s="32">
        <v>0</v>
      </c>
      <c r="I276" s="32">
        <v>0</v>
      </c>
      <c r="J276" s="32">
        <v>261782</v>
      </c>
      <c r="K276" s="32">
        <v>0</v>
      </c>
      <c r="L27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1.6187433439829604E-2</v>
      </c>
      <c r="M276" s="32">
        <v>76</v>
      </c>
      <c r="N276" s="32">
        <v>0</v>
      </c>
      <c r="O276" s="32">
        <v>4695</v>
      </c>
      <c r="P276" s="32">
        <v>0</v>
      </c>
      <c r="Q27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6" s="32">
        <v>0</v>
      </c>
      <c r="S276" s="32">
        <v>0</v>
      </c>
      <c r="T276" s="32">
        <v>0</v>
      </c>
      <c r="U276" s="32">
        <v>4695</v>
      </c>
      <c r="V276" s="32">
        <v>27</v>
      </c>
      <c r="W276" s="32">
        <v>0</v>
      </c>
      <c r="X276" s="32">
        <v>0</v>
      </c>
      <c r="Y27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0.41879502792399781</v>
      </c>
      <c r="Z276" s="32">
        <v>0</v>
      </c>
      <c r="AA276" s="32">
        <v>155129</v>
      </c>
      <c r="AB276" s="32">
        <v>45725</v>
      </c>
      <c r="AC276" s="32">
        <v>0</v>
      </c>
      <c r="AD276" s="32">
        <v>229</v>
      </c>
      <c r="AE276" s="32">
        <v>261782</v>
      </c>
      <c r="AF276" s="32">
        <v>0</v>
      </c>
      <c r="AG27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2.53889234598631</v>
      </c>
      <c r="AH276" s="32">
        <v>10888</v>
      </c>
      <c r="AI276" s="32">
        <v>-125</v>
      </c>
      <c r="AJ276" s="32">
        <v>63</v>
      </c>
      <c r="AK276" s="32">
        <v>0</v>
      </c>
      <c r="AL276" s="32">
        <v>407</v>
      </c>
      <c r="AM276" s="32">
        <v>3584</v>
      </c>
      <c r="AN276" s="32">
        <v>4467</v>
      </c>
      <c r="AO276" s="32">
        <v>-473</v>
      </c>
      <c r="AP276" s="32">
        <v>-4348</v>
      </c>
      <c r="AQ27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3.8279950083194674</v>
      </c>
      <c r="AR276" s="32">
        <v>8514</v>
      </c>
      <c r="AS276" s="32">
        <v>1249</v>
      </c>
      <c r="AT276" s="32">
        <v>3372</v>
      </c>
      <c r="AU276" s="32">
        <v>354</v>
      </c>
      <c r="AV276" s="32">
        <v>214</v>
      </c>
      <c r="AW276" s="32">
        <v>3584</v>
      </c>
      <c r="AX276" s="32">
        <v>0</v>
      </c>
      <c r="AY276" s="32">
        <v>289</v>
      </c>
      <c r="AZ276" s="32">
        <v>0</v>
      </c>
      <c r="BA276" s="32">
        <v>795</v>
      </c>
      <c r="BB276" s="32">
        <v>34</v>
      </c>
      <c r="BC276" s="32">
        <v>4808</v>
      </c>
      <c r="BD276" s="34">
        <f>IFERROR(SUM(Entity_Metrics[[#This Row],[Operating surplus/(deficit) (social housing lettings)]])/SUM(Entity_Metrics[[#This Row],[Turnover from social housing lettings]]),"")</f>
        <v>0.35229202037351443</v>
      </c>
      <c r="BE276" s="32">
        <v>9960</v>
      </c>
      <c r="BF276" s="32">
        <v>28272</v>
      </c>
      <c r="BG276" s="34">
        <f>IFERROR(SUM(Entity_Metrics[[#This Row],[Operating surplus/(deficit) (overall)2]],-Entity_Metrics[[#This Row],[Gain/(loss) on disposal of fixed assets (housing properties)2]])/SUM(Entity_Metrics[[#This Row],[Turnover (overall)]]),"")</f>
        <v>0.34431764889792088</v>
      </c>
      <c r="BH276" s="32">
        <v>10888</v>
      </c>
      <c r="BI276" s="32">
        <v>-125</v>
      </c>
      <c r="BJ276" s="32">
        <v>31985</v>
      </c>
      <c r="BK276" s="34">
        <f>IFERROR(SUM(Entity_Metrics[[#This Row],[Operating surplus/(deficit) (overall)3]],Entity_Metrics[[#This Row],[Share of operating surplus/(deficit) in joint ventures or associates]])/SUM(Entity_Metrics[[#This Row],[Total assets less current liabilities]]),"")</f>
        <v>3.6166629574391047E-2</v>
      </c>
      <c r="BL276" s="32">
        <v>10888</v>
      </c>
      <c r="BM276" s="32">
        <v>0</v>
      </c>
      <c r="BN276" s="32">
        <v>301051</v>
      </c>
      <c r="BO276" s="34">
        <v>0</v>
      </c>
      <c r="BP276" s="34">
        <v>0.103369384359401</v>
      </c>
      <c r="BQ276" s="6" t="s">
        <v>93</v>
      </c>
      <c r="BR276" s="6">
        <v>2007</v>
      </c>
      <c r="BS276" s="6" t="s">
        <v>120</v>
      </c>
      <c r="BT276" s="6" t="s">
        <v>100</v>
      </c>
      <c r="BU276" s="8">
        <v>1.0022399874355168</v>
      </c>
      <c r="BV276" s="37" t="s">
        <v>873</v>
      </c>
      <c r="BW276" s="19" t="s">
        <v>530</v>
      </c>
    </row>
    <row r="277" spans="1:75" x14ac:dyDescent="0.25">
      <c r="A277" s="33" t="s">
        <v>874</v>
      </c>
      <c r="B277" s="7" t="s">
        <v>532</v>
      </c>
      <c r="C277" s="7" t="s">
        <v>81</v>
      </c>
      <c r="D27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6.9382216095123211E-2</v>
      </c>
      <c r="E277" s="32">
        <v>0</v>
      </c>
      <c r="F277" s="32">
        <v>0</v>
      </c>
      <c r="G277" s="32">
        <v>3221</v>
      </c>
      <c r="H277" s="32">
        <v>0</v>
      </c>
      <c r="I277" s="32">
        <v>0</v>
      </c>
      <c r="J277" s="32">
        <v>46424</v>
      </c>
      <c r="K277" s="32">
        <v>0</v>
      </c>
      <c r="L27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77" s="32">
        <v>0</v>
      </c>
      <c r="N277" s="32">
        <v>0</v>
      </c>
      <c r="O277" s="32">
        <v>2636</v>
      </c>
      <c r="P277" s="32">
        <v>0</v>
      </c>
      <c r="Q27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7" s="32">
        <v>0</v>
      </c>
      <c r="S277" s="32">
        <v>0</v>
      </c>
      <c r="T277" s="32">
        <v>0</v>
      </c>
      <c r="U277" s="32">
        <v>2636</v>
      </c>
      <c r="V277" s="32">
        <v>0</v>
      </c>
      <c r="W277" s="32">
        <v>0</v>
      </c>
      <c r="X277" s="32">
        <v>378</v>
      </c>
      <c r="Y27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0.10233930725486817</v>
      </c>
      <c r="Z277" s="32">
        <v>0</v>
      </c>
      <c r="AA277" s="32">
        <v>8279</v>
      </c>
      <c r="AB277" s="32">
        <v>3528</v>
      </c>
      <c r="AC277" s="32">
        <v>0</v>
      </c>
      <c r="AD277" s="32">
        <v>0</v>
      </c>
      <c r="AE277" s="32">
        <v>46424</v>
      </c>
      <c r="AF277" s="32">
        <v>0</v>
      </c>
      <c r="AG27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3.7315112540192925</v>
      </c>
      <c r="AH277" s="32">
        <v>5007</v>
      </c>
      <c r="AI277" s="32">
        <v>501</v>
      </c>
      <c r="AJ277" s="32">
        <v>508</v>
      </c>
      <c r="AK277" s="32">
        <v>0</v>
      </c>
      <c r="AL277" s="32">
        <v>1</v>
      </c>
      <c r="AM277" s="32">
        <v>3221</v>
      </c>
      <c r="AN277" s="32">
        <v>1543</v>
      </c>
      <c r="AO277" s="32">
        <v>0</v>
      </c>
      <c r="AP277" s="32">
        <v>-622</v>
      </c>
      <c r="AQ27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4.9669954476479514</v>
      </c>
      <c r="AR277" s="32">
        <v>2446</v>
      </c>
      <c r="AS277" s="32">
        <v>2648</v>
      </c>
      <c r="AT277" s="32">
        <v>2883</v>
      </c>
      <c r="AU277" s="32">
        <v>1110</v>
      </c>
      <c r="AV277" s="32">
        <v>0</v>
      </c>
      <c r="AW277" s="32">
        <v>3221</v>
      </c>
      <c r="AX277" s="32">
        <v>0</v>
      </c>
      <c r="AY277" s="32">
        <v>0</v>
      </c>
      <c r="AZ277" s="32">
        <v>0</v>
      </c>
      <c r="BA277" s="32">
        <v>785</v>
      </c>
      <c r="BB277" s="32">
        <v>0</v>
      </c>
      <c r="BC277" s="32">
        <v>2636</v>
      </c>
      <c r="BD277" s="34">
        <f>IFERROR(SUM(Entity_Metrics[[#This Row],[Operating surplus/(deficit) (social housing lettings)]])/SUM(Entity_Metrics[[#This Row],[Turnover from social housing lettings]]),"")</f>
        <v>0.26594564614531335</v>
      </c>
      <c r="BE277" s="32">
        <v>3836</v>
      </c>
      <c r="BF277" s="32">
        <v>14424</v>
      </c>
      <c r="BG277" s="34">
        <f>IFERROR(SUM(Entity_Metrics[[#This Row],[Operating surplus/(deficit) (overall)2]],-Entity_Metrics[[#This Row],[Gain/(loss) on disposal of fixed assets (housing properties)2]])/SUM(Entity_Metrics[[#This Row],[Turnover (overall)]]),"")</f>
        <v>0.28332494969818911</v>
      </c>
      <c r="BH277" s="32">
        <v>5007</v>
      </c>
      <c r="BI277" s="32">
        <v>501</v>
      </c>
      <c r="BJ277" s="32">
        <v>15904</v>
      </c>
      <c r="BK277" s="34">
        <f>IFERROR(SUM(Entity_Metrics[[#This Row],[Operating surplus/(deficit) (overall)3]],Entity_Metrics[[#This Row],[Share of operating surplus/(deficit) in joint ventures or associates]])/SUM(Entity_Metrics[[#This Row],[Total assets less current liabilities]]),"")</f>
        <v>9.7547195542480855E-2</v>
      </c>
      <c r="BL277" s="32">
        <v>5007</v>
      </c>
      <c r="BM277" s="32">
        <v>0</v>
      </c>
      <c r="BN277" s="32">
        <v>51329</v>
      </c>
      <c r="BO277" s="34">
        <v>0</v>
      </c>
      <c r="BP277" s="34">
        <v>3.2625189681335355E-2</v>
      </c>
      <c r="BQ277" s="6" t="s">
        <v>93</v>
      </c>
      <c r="BR277" s="6">
        <v>2003</v>
      </c>
      <c r="BS277" s="6" t="s">
        <v>94</v>
      </c>
      <c r="BT277" s="6" t="s">
        <v>90</v>
      </c>
      <c r="BU277" s="8">
        <v>1.0335051065976915</v>
      </c>
      <c r="BV277" s="37" t="s">
        <v>874</v>
      </c>
      <c r="BW277" s="19" t="s">
        <v>532</v>
      </c>
    </row>
    <row r="278" spans="1:75" x14ac:dyDescent="0.25">
      <c r="A278" s="33" t="s">
        <v>875</v>
      </c>
      <c r="B278" s="7" t="s">
        <v>534</v>
      </c>
      <c r="C278" s="7" t="s">
        <v>81</v>
      </c>
      <c r="D27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4.1617701551003125E-2</v>
      </c>
      <c r="E278" s="32">
        <v>836</v>
      </c>
      <c r="F278" s="32">
        <v>945</v>
      </c>
      <c r="G278" s="32">
        <v>2106</v>
      </c>
      <c r="H278" s="32">
        <v>44</v>
      </c>
      <c r="I278" s="32">
        <v>0</v>
      </c>
      <c r="J278" s="32">
        <v>94455</v>
      </c>
      <c r="K278" s="32">
        <v>0</v>
      </c>
      <c r="L27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2.6182294223531335E-3</v>
      </c>
      <c r="M278" s="32">
        <v>16</v>
      </c>
      <c r="N278" s="32">
        <v>0</v>
      </c>
      <c r="O278" s="32">
        <v>6111</v>
      </c>
      <c r="P278" s="32">
        <v>0</v>
      </c>
      <c r="Q27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8" s="32">
        <v>0</v>
      </c>
      <c r="S278" s="32">
        <v>0</v>
      </c>
      <c r="T278" s="32">
        <v>0</v>
      </c>
      <c r="U278" s="32">
        <v>6111</v>
      </c>
      <c r="V278" s="32">
        <v>0</v>
      </c>
      <c r="W278" s="32">
        <v>0</v>
      </c>
      <c r="X278" s="32">
        <v>0</v>
      </c>
      <c r="Y27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0.60939071515536503</v>
      </c>
      <c r="Z278" s="32">
        <v>3230</v>
      </c>
      <c r="AA278" s="32">
        <v>70168</v>
      </c>
      <c r="AB278" s="32">
        <v>15933</v>
      </c>
      <c r="AC278" s="32">
        <v>0</v>
      </c>
      <c r="AD278" s="32">
        <v>95</v>
      </c>
      <c r="AE278" s="32">
        <v>94455</v>
      </c>
      <c r="AF278" s="32">
        <v>0</v>
      </c>
      <c r="AG27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2.8676517828461292</v>
      </c>
      <c r="AH278" s="32">
        <v>8447</v>
      </c>
      <c r="AI278" s="32">
        <v>578</v>
      </c>
      <c r="AJ278" s="32">
        <v>110</v>
      </c>
      <c r="AK278" s="32">
        <v>0</v>
      </c>
      <c r="AL278" s="32">
        <v>38</v>
      </c>
      <c r="AM278" s="32">
        <v>2106</v>
      </c>
      <c r="AN278" s="32">
        <v>3236</v>
      </c>
      <c r="AO278" s="32">
        <v>-44</v>
      </c>
      <c r="AP278" s="32">
        <v>-3069</v>
      </c>
      <c r="AQ27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3.6776305023727702</v>
      </c>
      <c r="AR278" s="32">
        <v>5174</v>
      </c>
      <c r="AS278" s="32">
        <v>1919</v>
      </c>
      <c r="AT278" s="32">
        <v>5275</v>
      </c>
      <c r="AU278" s="32">
        <v>4300</v>
      </c>
      <c r="AV278" s="32">
        <v>2037</v>
      </c>
      <c r="AW278" s="32">
        <v>2106</v>
      </c>
      <c r="AX278" s="32">
        <v>0</v>
      </c>
      <c r="AY278" s="32">
        <v>61</v>
      </c>
      <c r="AZ278" s="32">
        <v>1602</v>
      </c>
      <c r="BA278" s="32">
        <v>0</v>
      </c>
      <c r="BB278" s="32">
        <v>0</v>
      </c>
      <c r="BC278" s="32">
        <v>6111</v>
      </c>
      <c r="BD278" s="34">
        <f>IFERROR(SUM(Entity_Metrics[[#This Row],[Operating surplus/(deficit) (social housing lettings)]])/SUM(Entity_Metrics[[#This Row],[Turnover from social housing lettings]]),"")</f>
        <v>0.28514136090948261</v>
      </c>
      <c r="BE278" s="32">
        <v>8603</v>
      </c>
      <c r="BF278" s="32">
        <v>30171</v>
      </c>
      <c r="BG278" s="34">
        <f>IFERROR(SUM(Entity_Metrics[[#This Row],[Operating surplus/(deficit) (overall)2]],-Entity_Metrics[[#This Row],[Gain/(loss) on disposal of fixed assets (housing properties)2]])/SUM(Entity_Metrics[[#This Row],[Turnover (overall)]]),"")</f>
        <v>0.24418171662632657</v>
      </c>
      <c r="BH278" s="32">
        <v>8447</v>
      </c>
      <c r="BI278" s="32">
        <v>578</v>
      </c>
      <c r="BJ278" s="32">
        <v>32226</v>
      </c>
      <c r="BK278" s="34">
        <f>IFERROR(SUM(Entity_Metrics[[#This Row],[Operating surplus/(deficit) (overall)3]],Entity_Metrics[[#This Row],[Share of operating surplus/(deficit) in joint ventures or associates]])/SUM(Entity_Metrics[[#This Row],[Total assets less current liabilities]]),"")</f>
        <v>7.6933585922984438E-2</v>
      </c>
      <c r="BL278" s="32">
        <v>8447</v>
      </c>
      <c r="BM278" s="32">
        <v>0</v>
      </c>
      <c r="BN278" s="32">
        <v>109796</v>
      </c>
      <c r="BO278" s="34">
        <v>1.4727540500736377E-3</v>
      </c>
      <c r="BP278" s="34">
        <v>3.0764195712649323E-2</v>
      </c>
      <c r="BQ278" s="6" t="s">
        <v>93</v>
      </c>
      <c r="BR278" s="6">
        <v>2002</v>
      </c>
      <c r="BS278" s="6" t="s">
        <v>94</v>
      </c>
      <c r="BT278" s="6" t="s">
        <v>105</v>
      </c>
      <c r="BU278" s="8">
        <v>0.9156653862445665</v>
      </c>
      <c r="BV278" s="37" t="s">
        <v>875</v>
      </c>
      <c r="BW278" s="19" t="s">
        <v>534</v>
      </c>
    </row>
    <row r="279" spans="1:75" x14ac:dyDescent="0.25">
      <c r="A279" s="33" t="s">
        <v>535</v>
      </c>
      <c r="B279" s="7" t="s">
        <v>536</v>
      </c>
      <c r="C279" s="7" t="s">
        <v>81</v>
      </c>
      <c r="D27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8.5159609659278865E-2</v>
      </c>
      <c r="E279" s="32">
        <v>2414</v>
      </c>
      <c r="F279" s="32">
        <v>4109</v>
      </c>
      <c r="G279" s="32">
        <v>1665</v>
      </c>
      <c r="H279" s="32">
        <v>50</v>
      </c>
      <c r="I279" s="32">
        <v>0</v>
      </c>
      <c r="J279" s="32">
        <v>96736</v>
      </c>
      <c r="K279" s="32">
        <v>0</v>
      </c>
      <c r="L27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8.997698263234986E-3</v>
      </c>
      <c r="M279" s="32">
        <v>43</v>
      </c>
      <c r="N279" s="32">
        <v>0</v>
      </c>
      <c r="O279" s="32">
        <v>4674</v>
      </c>
      <c r="P279" s="32">
        <v>105</v>
      </c>
      <c r="Q27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79" s="32">
        <v>0</v>
      </c>
      <c r="S279" s="32">
        <v>0</v>
      </c>
      <c r="T279" s="32">
        <v>0</v>
      </c>
      <c r="U279" s="32">
        <v>4674</v>
      </c>
      <c r="V279" s="32">
        <v>16</v>
      </c>
      <c r="W279" s="32">
        <v>105</v>
      </c>
      <c r="X279" s="32">
        <v>0</v>
      </c>
      <c r="Y27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0.31334766787958979</v>
      </c>
      <c r="Z279" s="32">
        <v>0</v>
      </c>
      <c r="AA279" s="32">
        <v>35843</v>
      </c>
      <c r="AB279" s="32">
        <v>5531</v>
      </c>
      <c r="AC279" s="32">
        <v>0</v>
      </c>
      <c r="AD279" s="32">
        <v>0</v>
      </c>
      <c r="AE279" s="32">
        <v>96736</v>
      </c>
      <c r="AF279" s="32">
        <v>0</v>
      </c>
      <c r="AG27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4.5016362786348765</v>
      </c>
      <c r="AH279" s="32">
        <v>9309</v>
      </c>
      <c r="AI279" s="32">
        <v>1151</v>
      </c>
      <c r="AJ279" s="32">
        <v>51</v>
      </c>
      <c r="AK279" s="32">
        <v>0</v>
      </c>
      <c r="AL279" s="32">
        <v>5</v>
      </c>
      <c r="AM279" s="32">
        <v>1665</v>
      </c>
      <c r="AN279" s="32">
        <v>3182</v>
      </c>
      <c r="AO279" s="32">
        <v>-50</v>
      </c>
      <c r="AP279" s="32">
        <v>-2089</v>
      </c>
      <c r="AQ27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2.6465554129225501</v>
      </c>
      <c r="AR279" s="32">
        <v>3847</v>
      </c>
      <c r="AS279" s="32">
        <v>503</v>
      </c>
      <c r="AT279" s="32">
        <v>4633</v>
      </c>
      <c r="AU279" s="32">
        <v>661</v>
      </c>
      <c r="AV279" s="32">
        <v>603</v>
      </c>
      <c r="AW279" s="32">
        <v>1665</v>
      </c>
      <c r="AX279" s="32">
        <v>0</v>
      </c>
      <c r="AY279" s="32">
        <v>0</v>
      </c>
      <c r="AZ279" s="32">
        <v>0</v>
      </c>
      <c r="BA279" s="32">
        <v>175</v>
      </c>
      <c r="BB279" s="32">
        <v>283</v>
      </c>
      <c r="BC279" s="32">
        <v>4674</v>
      </c>
      <c r="BD279" s="34">
        <f>IFERROR(SUM(Entity_Metrics[[#This Row],[Operating surplus/(deficit) (social housing lettings)]])/SUM(Entity_Metrics[[#This Row],[Turnover from social housing lettings]]),"")</f>
        <v>0.35154809278850818</v>
      </c>
      <c r="BE279" s="32">
        <v>7244</v>
      </c>
      <c r="BF279" s="32">
        <v>20606</v>
      </c>
      <c r="BG279" s="34">
        <f>IFERROR(SUM(Entity_Metrics[[#This Row],[Operating surplus/(deficit) (overall)2]],-Entity_Metrics[[#This Row],[Gain/(loss) on disposal of fixed assets (housing properties)2]])/SUM(Entity_Metrics[[#This Row],[Turnover (overall)]]),"")</f>
        <v>0.35532906485474108</v>
      </c>
      <c r="BH279" s="32">
        <v>9309</v>
      </c>
      <c r="BI279" s="32">
        <v>1151</v>
      </c>
      <c r="BJ279" s="32">
        <v>22959</v>
      </c>
      <c r="BK279" s="34">
        <f>IFERROR(SUM(Entity_Metrics[[#This Row],[Operating surplus/(deficit) (overall)3]],Entity_Metrics[[#This Row],[Share of operating surplus/(deficit) in joint ventures or associates]])/SUM(Entity_Metrics[[#This Row],[Total assets less current liabilities]]),"")</f>
        <v>8.9516501269328405E-2</v>
      </c>
      <c r="BL279" s="32">
        <v>9309</v>
      </c>
      <c r="BM279" s="32">
        <v>0</v>
      </c>
      <c r="BN279" s="32">
        <v>103992</v>
      </c>
      <c r="BO279" s="34">
        <v>5.546075085324232E-2</v>
      </c>
      <c r="BP279" s="34">
        <v>0</v>
      </c>
      <c r="BQ279" s="6" t="s">
        <v>93</v>
      </c>
      <c r="BR279" s="6">
        <v>2007</v>
      </c>
      <c r="BS279" s="6" t="s">
        <v>120</v>
      </c>
      <c r="BT279" s="6" t="s">
        <v>95</v>
      </c>
      <c r="BU279" s="8">
        <v>0.92038375847935383</v>
      </c>
      <c r="BV279" s="37" t="s">
        <v>535</v>
      </c>
      <c r="BW279" s="19" t="s">
        <v>536</v>
      </c>
    </row>
    <row r="280" spans="1:75" x14ac:dyDescent="0.25">
      <c r="A280" s="33" t="s">
        <v>876</v>
      </c>
      <c r="B280" s="7" t="s">
        <v>538</v>
      </c>
      <c r="C280" s="7" t="s">
        <v>134</v>
      </c>
      <c r="D28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4.5272010060030836E-2</v>
      </c>
      <c r="E280" s="32">
        <v>0</v>
      </c>
      <c r="F280" s="32">
        <v>20515</v>
      </c>
      <c r="G280" s="32">
        <v>2888</v>
      </c>
      <c r="H280" s="32">
        <v>790</v>
      </c>
      <c r="I280" s="32">
        <v>0</v>
      </c>
      <c r="J280" s="32">
        <v>534392</v>
      </c>
      <c r="K280" s="32">
        <v>0</v>
      </c>
      <c r="L28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1.4904187366926898E-2</v>
      </c>
      <c r="M280" s="32">
        <v>105</v>
      </c>
      <c r="N280" s="32">
        <v>0</v>
      </c>
      <c r="O280" s="32">
        <v>7045</v>
      </c>
      <c r="P280" s="32">
        <v>0</v>
      </c>
      <c r="Q28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0" s="32">
        <v>0</v>
      </c>
      <c r="S280" s="32">
        <v>0</v>
      </c>
      <c r="T280" s="32">
        <v>0</v>
      </c>
      <c r="U280" s="32">
        <v>7045</v>
      </c>
      <c r="V280" s="32">
        <v>0</v>
      </c>
      <c r="W280" s="32">
        <v>0</v>
      </c>
      <c r="X280" s="32">
        <v>0</v>
      </c>
      <c r="Y28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0.4134698872737616</v>
      </c>
      <c r="Z280" s="32">
        <v>1519</v>
      </c>
      <c r="AA280" s="32">
        <v>229562</v>
      </c>
      <c r="AB280" s="32">
        <v>32491</v>
      </c>
      <c r="AC280" s="32">
        <v>0</v>
      </c>
      <c r="AD280" s="32">
        <v>22365</v>
      </c>
      <c r="AE280" s="32">
        <v>534392</v>
      </c>
      <c r="AF280" s="32">
        <v>0</v>
      </c>
      <c r="AG28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2.3696905518296272</v>
      </c>
      <c r="AH280" s="32">
        <v>19216</v>
      </c>
      <c r="AI280" s="32">
        <v>1288</v>
      </c>
      <c r="AJ280" s="32">
        <v>956</v>
      </c>
      <c r="AK280" s="32">
        <v>0</v>
      </c>
      <c r="AL280" s="32">
        <v>103</v>
      </c>
      <c r="AM280" s="32">
        <v>2890</v>
      </c>
      <c r="AN280" s="32">
        <v>5955</v>
      </c>
      <c r="AO280" s="32">
        <v>-981</v>
      </c>
      <c r="AP280" s="32">
        <v>-7518</v>
      </c>
      <c r="AQ28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3.6870120652945353</v>
      </c>
      <c r="AR280" s="32">
        <v>3961</v>
      </c>
      <c r="AS280" s="32">
        <v>5901</v>
      </c>
      <c r="AT280" s="32">
        <v>3699</v>
      </c>
      <c r="AU280" s="32">
        <v>6422</v>
      </c>
      <c r="AV280" s="32">
        <v>562</v>
      </c>
      <c r="AW280" s="32">
        <v>2890</v>
      </c>
      <c r="AX280" s="32">
        <v>44</v>
      </c>
      <c r="AY280" s="32">
        <v>471</v>
      </c>
      <c r="AZ280" s="32">
        <v>930</v>
      </c>
      <c r="BA280" s="32">
        <v>73</v>
      </c>
      <c r="BB280" s="32">
        <v>1022</v>
      </c>
      <c r="BC280" s="32">
        <v>7045</v>
      </c>
      <c r="BD280" s="34">
        <f>IFERROR(SUM(Entity_Metrics[[#This Row],[Operating surplus/(deficit) (social housing lettings)]])/SUM(Entity_Metrics[[#This Row],[Turnover from social housing lettings]]),"")</f>
        <v>0.4087375797039407</v>
      </c>
      <c r="BE280" s="32">
        <v>18141</v>
      </c>
      <c r="BF280" s="32">
        <v>44383</v>
      </c>
      <c r="BG280" s="34">
        <f>IFERROR(SUM(Entity_Metrics[[#This Row],[Operating surplus/(deficit) (overall)2]],-Entity_Metrics[[#This Row],[Gain/(loss) on disposal of fixed assets (housing properties)2]])/SUM(Entity_Metrics[[#This Row],[Turnover (overall)]]),"")</f>
        <v>0.361714147365023</v>
      </c>
      <c r="BH280" s="32">
        <v>19216</v>
      </c>
      <c r="BI280" s="32">
        <v>1288</v>
      </c>
      <c r="BJ280" s="32">
        <v>49564</v>
      </c>
      <c r="BK280" s="34">
        <f>IFERROR(SUM(Entity_Metrics[[#This Row],[Operating surplus/(deficit) (overall)3]],Entity_Metrics[[#This Row],[Share of operating surplus/(deficit) in joint ventures or associates]])/SUM(Entity_Metrics[[#This Row],[Total assets less current liabilities]]),"")</f>
        <v>3.1252134597557206E-2</v>
      </c>
      <c r="BL280" s="32">
        <v>19216</v>
      </c>
      <c r="BM280" s="32">
        <v>0</v>
      </c>
      <c r="BN280" s="32">
        <v>614870</v>
      </c>
      <c r="BO280" s="34">
        <v>9.4968107725017722E-3</v>
      </c>
      <c r="BP280" s="34">
        <v>0.15067328136073707</v>
      </c>
      <c r="BQ280" s="6" t="s">
        <v>93</v>
      </c>
      <c r="BR280" s="6">
        <v>1989</v>
      </c>
      <c r="BS280" s="6" t="s">
        <v>94</v>
      </c>
      <c r="BT280" s="6" t="s">
        <v>84</v>
      </c>
      <c r="BU280" s="8">
        <v>1.0118524159776632</v>
      </c>
      <c r="BV280" s="37" t="s">
        <v>876</v>
      </c>
      <c r="BW280" s="19" t="s">
        <v>538</v>
      </c>
    </row>
    <row r="281" spans="1:75" x14ac:dyDescent="0.25">
      <c r="A281" s="33" t="s">
        <v>940</v>
      </c>
      <c r="B281" s="7" t="s">
        <v>877</v>
      </c>
      <c r="C281" s="7" t="s">
        <v>81</v>
      </c>
      <c r="D28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2.8654287452343236E-2</v>
      </c>
      <c r="E281" s="32">
        <v>2163</v>
      </c>
      <c r="F281" s="32">
        <v>5753</v>
      </c>
      <c r="G281" s="32">
        <v>1539</v>
      </c>
      <c r="H281" s="32">
        <v>60</v>
      </c>
      <c r="I281" s="32">
        <v>0</v>
      </c>
      <c r="J281" s="32">
        <v>332062</v>
      </c>
      <c r="K281" s="32">
        <v>0</v>
      </c>
      <c r="L28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1.2307212961520486E-2</v>
      </c>
      <c r="M281" s="32">
        <v>79</v>
      </c>
      <c r="N281" s="32">
        <v>0</v>
      </c>
      <c r="O281" s="32">
        <v>6419</v>
      </c>
      <c r="P281" s="32">
        <v>0</v>
      </c>
      <c r="Q28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1" s="32">
        <v>0</v>
      </c>
      <c r="S281" s="32">
        <v>0</v>
      </c>
      <c r="T281" s="32">
        <v>0</v>
      </c>
      <c r="U281" s="32">
        <v>6419</v>
      </c>
      <c r="V281" s="32">
        <v>46</v>
      </c>
      <c r="W281" s="32">
        <v>0</v>
      </c>
      <c r="X281" s="32">
        <v>511</v>
      </c>
      <c r="Y28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0.37519499370599468</v>
      </c>
      <c r="Z281" s="32">
        <v>1698</v>
      </c>
      <c r="AA281" s="32">
        <v>92832</v>
      </c>
      <c r="AB281" s="32">
        <v>22331</v>
      </c>
      <c r="AC281" s="32">
        <v>52389</v>
      </c>
      <c r="AD281" s="32">
        <v>0</v>
      </c>
      <c r="AE281" s="32">
        <v>332062</v>
      </c>
      <c r="AF281" s="32">
        <v>0</v>
      </c>
      <c r="AG28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0.89220786812415975</v>
      </c>
      <c r="AH281" s="32">
        <v>13608</v>
      </c>
      <c r="AI281" s="32">
        <v>1043</v>
      </c>
      <c r="AJ281" s="32">
        <v>2011</v>
      </c>
      <c r="AK281" s="32">
        <v>0</v>
      </c>
      <c r="AL281" s="32">
        <v>369</v>
      </c>
      <c r="AM281" s="32">
        <v>1544</v>
      </c>
      <c r="AN281" s="32">
        <v>5884</v>
      </c>
      <c r="AO281" s="32">
        <v>-60</v>
      </c>
      <c r="AP281" s="32">
        <v>-17047</v>
      </c>
      <c r="AQ28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2.7065601474880934</v>
      </c>
      <c r="AR281" s="32">
        <v>4241</v>
      </c>
      <c r="AS281" s="32">
        <v>2872</v>
      </c>
      <c r="AT281" s="32">
        <v>4593</v>
      </c>
      <c r="AU281" s="32">
        <v>2211</v>
      </c>
      <c r="AV281" s="32">
        <v>731</v>
      </c>
      <c r="AW281" s="32">
        <v>1544</v>
      </c>
      <c r="AX281" s="32">
        <v>275</v>
      </c>
      <c r="AY281" s="32">
        <v>496</v>
      </c>
      <c r="AZ281" s="32">
        <v>0</v>
      </c>
      <c r="BA281" s="32">
        <v>-25</v>
      </c>
      <c r="BB281" s="32">
        <v>679</v>
      </c>
      <c r="BC281" s="32">
        <v>6509</v>
      </c>
      <c r="BD281" s="34">
        <f>IFERROR(SUM(Entity_Metrics[[#This Row],[Operating surplus/(deficit) (social housing lettings)]])/SUM(Entity_Metrics[[#This Row],[Turnover from social housing lettings]]),"")</f>
        <v>0.37319221864758412</v>
      </c>
      <c r="BE281" s="32">
        <v>12412</v>
      </c>
      <c r="BF281" s="32">
        <v>33259</v>
      </c>
      <c r="BG281" s="34">
        <f>IFERROR(SUM(Entity_Metrics[[#This Row],[Operating surplus/(deficit) (overall)2]],-Entity_Metrics[[#This Row],[Gain/(loss) on disposal of fixed assets (housing properties)2]])/SUM(Entity_Metrics[[#This Row],[Turnover (overall)]]),"")</f>
        <v>0.35678791492744982</v>
      </c>
      <c r="BH281" s="32">
        <v>13608</v>
      </c>
      <c r="BI281" s="32">
        <v>1043</v>
      </c>
      <c r="BJ281" s="32">
        <v>35217</v>
      </c>
      <c r="BK281" s="34">
        <f>IFERROR(SUM(Entity_Metrics[[#This Row],[Operating surplus/(deficit) (overall)3]],Entity_Metrics[[#This Row],[Share of operating surplus/(deficit) in joint ventures or associates]])/SUM(Entity_Metrics[[#This Row],[Total assets less current liabilities]]),"")</f>
        <v>3.8448606633571331E-2</v>
      </c>
      <c r="BL281" s="32">
        <v>13608</v>
      </c>
      <c r="BM281" s="32">
        <v>0</v>
      </c>
      <c r="BN281" s="32">
        <v>353927</v>
      </c>
      <c r="BO281" s="34">
        <v>4.3357076494270674E-2</v>
      </c>
      <c r="BP281" s="34">
        <v>2.3072158563022607E-2</v>
      </c>
      <c r="BQ281" s="6" t="s">
        <v>82</v>
      </c>
      <c r="BR281" s="6" t="s">
        <v>83</v>
      </c>
      <c r="BS281" s="6" t="s">
        <v>83</v>
      </c>
      <c r="BT281" s="6" t="s">
        <v>90</v>
      </c>
      <c r="BU281" s="8">
        <v>0.91592782539790885</v>
      </c>
      <c r="BV281" s="37" t="s">
        <v>650</v>
      </c>
      <c r="BW281" s="19" t="s">
        <v>544</v>
      </c>
    </row>
    <row r="282" spans="1:75" x14ac:dyDescent="0.25">
      <c r="A282" s="33" t="s">
        <v>878</v>
      </c>
      <c r="B282" s="7" t="s">
        <v>879</v>
      </c>
      <c r="C282" s="7" t="s">
        <v>81</v>
      </c>
      <c r="D28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2.1582184818068097E-2</v>
      </c>
      <c r="E282" s="32">
        <v>0</v>
      </c>
      <c r="F282" s="32">
        <v>3315</v>
      </c>
      <c r="G282" s="32">
        <v>4500</v>
      </c>
      <c r="H282" s="32">
        <v>104</v>
      </c>
      <c r="I282" s="32">
        <v>0</v>
      </c>
      <c r="J282" s="32">
        <v>366923</v>
      </c>
      <c r="K282" s="32">
        <v>0</v>
      </c>
      <c r="L28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5.5858310626702998E-3</v>
      </c>
      <c r="M282" s="32">
        <v>41</v>
      </c>
      <c r="N282" s="32">
        <v>0</v>
      </c>
      <c r="O282" s="32">
        <v>7001</v>
      </c>
      <c r="P282" s="32">
        <v>339</v>
      </c>
      <c r="Q28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2" s="32">
        <v>0</v>
      </c>
      <c r="S282" s="32">
        <v>0</v>
      </c>
      <c r="T282" s="32">
        <v>0</v>
      </c>
      <c r="U282" s="32">
        <v>7001</v>
      </c>
      <c r="V282" s="32">
        <v>37</v>
      </c>
      <c r="W282" s="32">
        <v>339</v>
      </c>
      <c r="X282" s="32">
        <v>0</v>
      </c>
      <c r="Y28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0.421096524338894</v>
      </c>
      <c r="Z282" s="32">
        <v>7474</v>
      </c>
      <c r="AA282" s="32">
        <v>173180</v>
      </c>
      <c r="AB282" s="32">
        <v>26144</v>
      </c>
      <c r="AC282" s="32">
        <v>0</v>
      </c>
      <c r="AD282" s="32">
        <v>0</v>
      </c>
      <c r="AE282" s="32">
        <v>366923</v>
      </c>
      <c r="AF282" s="32">
        <v>0</v>
      </c>
      <c r="AG28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1.9217403588077413</v>
      </c>
      <c r="AH282" s="32">
        <v>12213</v>
      </c>
      <c r="AI282" s="32">
        <v>0</v>
      </c>
      <c r="AJ282" s="32">
        <v>67</v>
      </c>
      <c r="AK282" s="32">
        <v>0</v>
      </c>
      <c r="AL282" s="32">
        <v>135</v>
      </c>
      <c r="AM282" s="32">
        <v>4500</v>
      </c>
      <c r="AN282" s="32">
        <v>5823</v>
      </c>
      <c r="AO282" s="32">
        <v>-105</v>
      </c>
      <c r="AP282" s="32">
        <v>-6974</v>
      </c>
      <c r="AQ28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3.55724043715847</v>
      </c>
      <c r="AR282" s="32">
        <v>7953</v>
      </c>
      <c r="AS282" s="32">
        <v>1884</v>
      </c>
      <c r="AT282" s="32">
        <v>5924</v>
      </c>
      <c r="AU282" s="32">
        <v>1731</v>
      </c>
      <c r="AV282" s="32">
        <v>1298</v>
      </c>
      <c r="AW282" s="32">
        <v>4500</v>
      </c>
      <c r="AX282" s="32">
        <v>0</v>
      </c>
      <c r="AY282" s="32">
        <v>0</v>
      </c>
      <c r="AZ282" s="32">
        <v>0</v>
      </c>
      <c r="BA282" s="32">
        <v>598</v>
      </c>
      <c r="BB282" s="32">
        <v>2151</v>
      </c>
      <c r="BC282" s="32">
        <v>7320</v>
      </c>
      <c r="BD282" s="34">
        <f>IFERROR(SUM(Entity_Metrics[[#This Row],[Operating surplus/(deficit) (social housing lettings)]])/SUM(Entity_Metrics[[#This Row],[Turnover from social housing lettings]]),"")</f>
        <v>0.32924587825419033</v>
      </c>
      <c r="BE282" s="32">
        <v>12002</v>
      </c>
      <c r="BF282" s="32">
        <v>36453</v>
      </c>
      <c r="BG282" s="34">
        <f>IFERROR(SUM(Entity_Metrics[[#This Row],[Operating surplus/(deficit) (overall)2]],-Entity_Metrics[[#This Row],[Gain/(loss) on disposal of fixed assets (housing properties)2]])/SUM(Entity_Metrics[[#This Row],[Turnover (overall)]]),"")</f>
        <v>0.2889556617612265</v>
      </c>
      <c r="BH282" s="32">
        <v>12213</v>
      </c>
      <c r="BI282" s="32">
        <v>0</v>
      </c>
      <c r="BJ282" s="32">
        <v>42266</v>
      </c>
      <c r="BK282" s="34">
        <f>IFERROR(SUM(Entity_Metrics[[#This Row],[Operating surplus/(deficit) (overall)3]],Entity_Metrics[[#This Row],[Share of operating surplus/(deficit) in joint ventures or associates]])/SUM(Entity_Metrics[[#This Row],[Total assets less current liabilities]]),"")</f>
        <v>3.0835458378569446E-2</v>
      </c>
      <c r="BL282" s="32">
        <v>12213</v>
      </c>
      <c r="BM282" s="32">
        <v>0</v>
      </c>
      <c r="BN282" s="32">
        <v>396070</v>
      </c>
      <c r="BO282" s="34">
        <v>3.7719674239177027E-2</v>
      </c>
      <c r="BP282" s="34">
        <v>3.9862837548221175E-2</v>
      </c>
      <c r="BQ282" s="6" t="s">
        <v>93</v>
      </c>
      <c r="BR282" s="6">
        <v>1995</v>
      </c>
      <c r="BS282" s="6" t="s">
        <v>94</v>
      </c>
      <c r="BT282" s="6" t="s">
        <v>115</v>
      </c>
      <c r="BU282" s="8">
        <v>0.96654003219065343</v>
      </c>
      <c r="BV282" s="37">
        <v>4833</v>
      </c>
      <c r="BW282" s="19" t="s">
        <v>238</v>
      </c>
    </row>
    <row r="283" spans="1:75" x14ac:dyDescent="0.25">
      <c r="A283" s="33" t="s">
        <v>941</v>
      </c>
      <c r="B283" s="7" t="s">
        <v>540</v>
      </c>
      <c r="C283" s="7" t="s">
        <v>81</v>
      </c>
      <c r="D283"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4.9783216136454721E-2</v>
      </c>
      <c r="E283" s="32">
        <v>10883</v>
      </c>
      <c r="F283" s="32">
        <v>0</v>
      </c>
      <c r="G283" s="32">
        <v>4839</v>
      </c>
      <c r="H283" s="32">
        <v>648</v>
      </c>
      <c r="I283" s="32">
        <v>1393</v>
      </c>
      <c r="J283" s="32">
        <v>356807</v>
      </c>
      <c r="K283" s="32">
        <v>0</v>
      </c>
      <c r="L283"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7.3249753486406537E-3</v>
      </c>
      <c r="M283" s="32">
        <v>52</v>
      </c>
      <c r="N283" s="32">
        <v>0</v>
      </c>
      <c r="O283" s="32">
        <v>7099</v>
      </c>
      <c r="P283" s="32">
        <v>0</v>
      </c>
      <c r="Q283"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3" s="32">
        <v>0</v>
      </c>
      <c r="S283" s="32">
        <v>0</v>
      </c>
      <c r="T283" s="32">
        <v>0</v>
      </c>
      <c r="U283" s="32">
        <v>7099</v>
      </c>
      <c r="V283" s="32">
        <v>0</v>
      </c>
      <c r="W283" s="32">
        <v>0</v>
      </c>
      <c r="X283" s="32">
        <v>0</v>
      </c>
      <c r="Y283"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0.34524266620329758</v>
      </c>
      <c r="Z283" s="32">
        <v>1630</v>
      </c>
      <c r="AA283" s="32">
        <v>132144</v>
      </c>
      <c r="AB283" s="32">
        <v>10589</v>
      </c>
      <c r="AC283" s="32">
        <v>0</v>
      </c>
      <c r="AD283" s="32">
        <v>0</v>
      </c>
      <c r="AE283" s="32">
        <v>356807</v>
      </c>
      <c r="AF283" s="32">
        <v>0</v>
      </c>
      <c r="AG283"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2.1748974861829202</v>
      </c>
      <c r="AH283" s="32">
        <v>12480</v>
      </c>
      <c r="AI283" s="32">
        <v>0</v>
      </c>
      <c r="AJ283" s="32">
        <v>1965</v>
      </c>
      <c r="AK283" s="32">
        <v>0</v>
      </c>
      <c r="AL283" s="32">
        <v>32</v>
      </c>
      <c r="AM283" s="32">
        <v>4839</v>
      </c>
      <c r="AN283" s="32">
        <v>6491</v>
      </c>
      <c r="AO283" s="32">
        <v>-648</v>
      </c>
      <c r="AP283" s="32">
        <v>-4961</v>
      </c>
      <c r="AQ283"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3.2790206838328411</v>
      </c>
      <c r="AR283" s="32">
        <v>4678</v>
      </c>
      <c r="AS283" s="32">
        <v>3919</v>
      </c>
      <c r="AT283" s="32">
        <v>5151</v>
      </c>
      <c r="AU283" s="32">
        <v>1345</v>
      </c>
      <c r="AV283" s="32">
        <v>1686</v>
      </c>
      <c r="AW283" s="32">
        <v>4839</v>
      </c>
      <c r="AX283" s="32">
        <v>1484</v>
      </c>
      <c r="AY283" s="32">
        <v>0</v>
      </c>
      <c r="AZ283" s="32">
        <v>0</v>
      </c>
      <c r="BA283" s="32">
        <v>0</v>
      </c>
      <c r="BB283" s="32">
        <v>202</v>
      </c>
      <c r="BC283" s="32">
        <v>7107</v>
      </c>
      <c r="BD283" s="34">
        <f>IFERROR(SUM(Entity_Metrics[[#This Row],[Operating surplus/(deficit) (social housing lettings)]])/SUM(Entity_Metrics[[#This Row],[Turnover from social housing lettings]]),"")</f>
        <v>0.31816044910262437</v>
      </c>
      <c r="BE283" s="32">
        <v>11505</v>
      </c>
      <c r="BF283" s="32">
        <v>36161</v>
      </c>
      <c r="BG283" s="34">
        <f>IFERROR(SUM(Entity_Metrics[[#This Row],[Operating surplus/(deficit) (overall)2]],-Entity_Metrics[[#This Row],[Gain/(loss) on disposal of fixed assets (housing properties)2]])/SUM(Entity_Metrics[[#This Row],[Turnover (overall)]]),"")</f>
        <v>0.31795368270872082</v>
      </c>
      <c r="BH283" s="32">
        <v>12480</v>
      </c>
      <c r="BI283" s="32">
        <v>0</v>
      </c>
      <c r="BJ283" s="32">
        <v>39251</v>
      </c>
      <c r="BK283" s="34">
        <f>IFERROR(SUM(Entity_Metrics[[#This Row],[Operating surplus/(deficit) (overall)3]],Entity_Metrics[[#This Row],[Share of operating surplus/(deficit) in joint ventures or associates]])/SUM(Entity_Metrics[[#This Row],[Total assets less current liabilities]]),"")</f>
        <v>3.4081319995739837E-2</v>
      </c>
      <c r="BL283" s="32">
        <v>12480</v>
      </c>
      <c r="BM283" s="32">
        <v>0</v>
      </c>
      <c r="BN283" s="32">
        <v>366183</v>
      </c>
      <c r="BO283" s="34">
        <v>6.2966615016199462E-2</v>
      </c>
      <c r="BP283" s="34">
        <v>0.10240878997041837</v>
      </c>
      <c r="BQ283" s="6" t="s">
        <v>82</v>
      </c>
      <c r="BR283" s="6" t="s">
        <v>83</v>
      </c>
      <c r="BS283" s="6" t="s">
        <v>83</v>
      </c>
      <c r="BT283" s="6" t="s">
        <v>115</v>
      </c>
      <c r="BU283" s="8">
        <v>0.96617455710897804</v>
      </c>
      <c r="BV283" s="37">
        <v>4826</v>
      </c>
      <c r="BW283" s="19" t="s">
        <v>540</v>
      </c>
    </row>
    <row r="284" spans="1:75" x14ac:dyDescent="0.25">
      <c r="A284" s="33" t="s">
        <v>880</v>
      </c>
      <c r="B284" s="7" t="s">
        <v>881</v>
      </c>
      <c r="C284" s="7" t="s">
        <v>81</v>
      </c>
      <c r="D284"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8.449790199843539E-2</v>
      </c>
      <c r="E284" s="32">
        <v>10199</v>
      </c>
      <c r="F284" s="32">
        <v>4549</v>
      </c>
      <c r="G284" s="32">
        <v>13628</v>
      </c>
      <c r="H284" s="32">
        <v>139</v>
      </c>
      <c r="I284" s="32">
        <v>0</v>
      </c>
      <c r="J284" s="32">
        <v>337464</v>
      </c>
      <c r="K284" s="32">
        <v>0</v>
      </c>
      <c r="L284"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4.1970271058000587E-3</v>
      </c>
      <c r="M284" s="32">
        <v>72</v>
      </c>
      <c r="N284" s="32">
        <v>0</v>
      </c>
      <c r="O284" s="32">
        <v>17155</v>
      </c>
      <c r="P284" s="32">
        <v>0</v>
      </c>
      <c r="Q284"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4" s="32">
        <v>0</v>
      </c>
      <c r="S284" s="32">
        <v>0</v>
      </c>
      <c r="T284" s="32">
        <v>0</v>
      </c>
      <c r="U284" s="32">
        <v>17155</v>
      </c>
      <c r="V284" s="32">
        <v>0</v>
      </c>
      <c r="W284" s="32">
        <v>0</v>
      </c>
      <c r="X284" s="32">
        <v>1434</v>
      </c>
      <c r="Y284"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0.88473437166631108</v>
      </c>
      <c r="Z284" s="32">
        <v>0</v>
      </c>
      <c r="AA284" s="32">
        <v>339054</v>
      </c>
      <c r="AB284" s="32">
        <v>40488</v>
      </c>
      <c r="AC284" s="32">
        <v>0</v>
      </c>
      <c r="AD284" s="32">
        <v>0</v>
      </c>
      <c r="AE284" s="32">
        <v>337464</v>
      </c>
      <c r="AF284" s="32">
        <v>0</v>
      </c>
      <c r="AG284"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0.34607103528754335</v>
      </c>
      <c r="AH284" s="32">
        <v>24904</v>
      </c>
      <c r="AI284" s="32">
        <v>2814</v>
      </c>
      <c r="AJ284" s="32">
        <v>440</v>
      </c>
      <c r="AK284" s="32">
        <v>142</v>
      </c>
      <c r="AL284" s="32">
        <v>138</v>
      </c>
      <c r="AM284" s="32">
        <v>13628</v>
      </c>
      <c r="AN284" s="32">
        <v>13038</v>
      </c>
      <c r="AO284" s="32">
        <v>-139</v>
      </c>
      <c r="AP284" s="32">
        <v>-60704</v>
      </c>
      <c r="AQ284"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3.7235663603582645</v>
      </c>
      <c r="AR284" s="32">
        <v>8685</v>
      </c>
      <c r="AS284" s="32">
        <v>8478</v>
      </c>
      <c r="AT284" s="32">
        <v>17470</v>
      </c>
      <c r="AU284" s="32">
        <v>4341</v>
      </c>
      <c r="AV284" s="32">
        <v>9167</v>
      </c>
      <c r="AW284" s="32">
        <v>13628</v>
      </c>
      <c r="AX284" s="32">
        <v>2048</v>
      </c>
      <c r="AY284" s="32">
        <v>0</v>
      </c>
      <c r="AZ284" s="32">
        <v>0</v>
      </c>
      <c r="BA284" s="32">
        <v>132</v>
      </c>
      <c r="BB284" s="32">
        <v>74</v>
      </c>
      <c r="BC284" s="32">
        <v>17194</v>
      </c>
      <c r="BD284" s="34">
        <f>IFERROR(SUM(Entity_Metrics[[#This Row],[Operating surplus/(deficit) (social housing lettings)]])/SUM(Entity_Metrics[[#This Row],[Turnover from social housing lettings]]),"")</f>
        <v>0.24591981871218149</v>
      </c>
      <c r="BE284" s="32">
        <v>20402</v>
      </c>
      <c r="BF284" s="32">
        <v>82962</v>
      </c>
      <c r="BG284" s="34">
        <f>IFERROR(SUM(Entity_Metrics[[#This Row],[Operating surplus/(deficit) (overall)2]],-Entity_Metrics[[#This Row],[Gain/(loss) on disposal of fixed assets (housing properties)2]])/SUM(Entity_Metrics[[#This Row],[Turnover (overall)]]),"")</f>
        <v>0.25987012375888191</v>
      </c>
      <c r="BH284" s="32">
        <v>24904</v>
      </c>
      <c r="BI284" s="32">
        <v>2814</v>
      </c>
      <c r="BJ284" s="32">
        <v>85004</v>
      </c>
      <c r="BK284" s="34">
        <f>IFERROR(SUM(Entity_Metrics[[#This Row],[Operating surplus/(deficit) (overall)3]],Entity_Metrics[[#This Row],[Share of operating surplus/(deficit) in joint ventures or associates]])/SUM(Entity_Metrics[[#This Row],[Total assets less current liabilities]]),"")</f>
        <v>6.7590160019106754E-2</v>
      </c>
      <c r="BL284" s="32">
        <v>24904</v>
      </c>
      <c r="BM284" s="32">
        <v>0</v>
      </c>
      <c r="BN284" s="32">
        <v>368456</v>
      </c>
      <c r="BO284" s="34">
        <v>5.304575925386185E-3</v>
      </c>
      <c r="BP284" s="34">
        <v>3.9463713203147767E-2</v>
      </c>
      <c r="BQ284" s="6" t="s">
        <v>93</v>
      </c>
      <c r="BR284" s="6">
        <v>2000</v>
      </c>
      <c r="BS284" s="6" t="s">
        <v>94</v>
      </c>
      <c r="BT284" s="6" t="s">
        <v>90</v>
      </c>
      <c r="BU284" s="8">
        <v>0.91571558169387279</v>
      </c>
      <c r="BV284" s="37" t="s">
        <v>650</v>
      </c>
      <c r="BW284" s="19" t="s">
        <v>544</v>
      </c>
    </row>
    <row r="285" spans="1:75" x14ac:dyDescent="0.25">
      <c r="A285" s="33" t="s">
        <v>882</v>
      </c>
      <c r="B285" s="7" t="s">
        <v>883</v>
      </c>
      <c r="C285" s="7" t="s">
        <v>81</v>
      </c>
      <c r="D285"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6.1558797855094154E-2</v>
      </c>
      <c r="E285" s="32">
        <v>5745</v>
      </c>
      <c r="F285" s="32">
        <v>108</v>
      </c>
      <c r="G285" s="32">
        <v>6488</v>
      </c>
      <c r="H285" s="32">
        <v>0</v>
      </c>
      <c r="I285" s="32">
        <v>0</v>
      </c>
      <c r="J285" s="32">
        <v>200475</v>
      </c>
      <c r="K285" s="32">
        <v>0</v>
      </c>
      <c r="L285"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2.3407662929653813E-3</v>
      </c>
      <c r="M285" s="32">
        <v>19</v>
      </c>
      <c r="N285" s="32">
        <v>0</v>
      </c>
      <c r="O285" s="32">
        <v>7884</v>
      </c>
      <c r="P285" s="32">
        <v>233</v>
      </c>
      <c r="Q285"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5" s="32">
        <v>0</v>
      </c>
      <c r="S285" s="32">
        <v>0</v>
      </c>
      <c r="T285" s="32">
        <v>0</v>
      </c>
      <c r="U285" s="32">
        <v>7884</v>
      </c>
      <c r="V285" s="32">
        <v>0</v>
      </c>
      <c r="W285" s="32">
        <v>233</v>
      </c>
      <c r="X285" s="32">
        <v>0</v>
      </c>
      <c r="Y285"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0.35390447686743981</v>
      </c>
      <c r="Z285" s="32">
        <v>0</v>
      </c>
      <c r="AA285" s="32">
        <v>74000</v>
      </c>
      <c r="AB285" s="32">
        <v>3051</v>
      </c>
      <c r="AC285" s="32">
        <v>0</v>
      </c>
      <c r="AD285" s="32">
        <v>0</v>
      </c>
      <c r="AE285" s="32">
        <v>200475</v>
      </c>
      <c r="AF285" s="32">
        <v>0</v>
      </c>
      <c r="AG285"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0.18910171730515191</v>
      </c>
      <c r="AH285" s="32">
        <v>1619</v>
      </c>
      <c r="AI285" s="32">
        <v>1387</v>
      </c>
      <c r="AJ285" s="32">
        <v>159</v>
      </c>
      <c r="AK285" s="32">
        <v>0</v>
      </c>
      <c r="AL285" s="32">
        <v>5</v>
      </c>
      <c r="AM285" s="32">
        <v>6488</v>
      </c>
      <c r="AN285" s="32">
        <v>9273</v>
      </c>
      <c r="AO285" s="32">
        <v>0</v>
      </c>
      <c r="AP285" s="32">
        <v>-15140</v>
      </c>
      <c r="AQ285"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4.2890664637239979</v>
      </c>
      <c r="AR285" s="32">
        <v>7302</v>
      </c>
      <c r="AS285" s="32">
        <v>5029</v>
      </c>
      <c r="AT285" s="32">
        <v>5922</v>
      </c>
      <c r="AU285" s="32">
        <v>960</v>
      </c>
      <c r="AV285" s="32">
        <v>5204</v>
      </c>
      <c r="AW285" s="32">
        <v>6488</v>
      </c>
      <c r="AX285" s="32">
        <v>2910</v>
      </c>
      <c r="AY285" s="32">
        <v>0</v>
      </c>
      <c r="AZ285" s="32">
        <v>0</v>
      </c>
      <c r="BA285" s="32">
        <v>0</v>
      </c>
      <c r="BB285" s="32">
        <v>0</v>
      </c>
      <c r="BC285" s="32">
        <v>7884</v>
      </c>
      <c r="BD285" s="34">
        <f>IFERROR(SUM(Entity_Metrics[[#This Row],[Operating surplus/(deficit) (social housing lettings)]])/SUM(Entity_Metrics[[#This Row],[Turnover from social housing lettings]]),"")</f>
        <v>2.4143455409089631E-2</v>
      </c>
      <c r="BE285" s="32">
        <v>859</v>
      </c>
      <c r="BF285" s="32">
        <v>35579</v>
      </c>
      <c r="BG285" s="34">
        <f>IFERROR(SUM(Entity_Metrics[[#This Row],[Operating surplus/(deficit) (overall)2]],-Entity_Metrics[[#This Row],[Gain/(loss) on disposal of fixed assets (housing properties)2]])/SUM(Entity_Metrics[[#This Row],[Turnover (overall)]]),"")</f>
        <v>5.8587338064092524E-3</v>
      </c>
      <c r="BH285" s="32">
        <v>1619</v>
      </c>
      <c r="BI285" s="32">
        <v>1387</v>
      </c>
      <c r="BJ285" s="32">
        <v>39599</v>
      </c>
      <c r="BK285" s="34">
        <f>IFERROR(SUM(Entity_Metrics[[#This Row],[Operating surplus/(deficit) (overall)3]],Entity_Metrics[[#This Row],[Share of operating surplus/(deficit) in joint ventures or associates]])/SUM(Entity_Metrics[[#This Row],[Total assets less current liabilities]]),"")</f>
        <v>7.7518637510593574E-3</v>
      </c>
      <c r="BL285" s="32">
        <v>1619</v>
      </c>
      <c r="BM285" s="32">
        <v>0</v>
      </c>
      <c r="BN285" s="32">
        <v>208853</v>
      </c>
      <c r="BO285" s="34">
        <v>1.523035918263739E-3</v>
      </c>
      <c r="BP285" s="34">
        <v>8.7574565300164997E-3</v>
      </c>
      <c r="BQ285" s="6" t="s">
        <v>93</v>
      </c>
      <c r="BR285" s="6">
        <v>1999</v>
      </c>
      <c r="BS285" s="6" t="s">
        <v>94</v>
      </c>
      <c r="BT285" s="6" t="s">
        <v>105</v>
      </c>
      <c r="BU285" s="8">
        <v>0.9156653862445665</v>
      </c>
      <c r="BV285" s="37">
        <v>4755</v>
      </c>
      <c r="BW285" s="19" t="s">
        <v>548</v>
      </c>
    </row>
    <row r="286" spans="1:75" x14ac:dyDescent="0.25">
      <c r="A286" s="33" t="s">
        <v>884</v>
      </c>
      <c r="B286" s="7" t="s">
        <v>885</v>
      </c>
      <c r="C286" s="7" t="s">
        <v>81</v>
      </c>
      <c r="D286"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6.997042769114524E-2</v>
      </c>
      <c r="E286" s="32">
        <v>574</v>
      </c>
      <c r="F286" s="32">
        <v>9188</v>
      </c>
      <c r="G286" s="32">
        <v>980</v>
      </c>
      <c r="H286" s="32">
        <v>0</v>
      </c>
      <c r="I286" s="32">
        <v>0</v>
      </c>
      <c r="J286" s="32">
        <v>153522</v>
      </c>
      <c r="K286" s="32">
        <v>0</v>
      </c>
      <c r="L286"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5.2673163023439556E-3</v>
      </c>
      <c r="M286" s="32">
        <v>20</v>
      </c>
      <c r="N286" s="32">
        <v>0</v>
      </c>
      <c r="O286" s="32">
        <v>3797</v>
      </c>
      <c r="P286" s="32">
        <v>0</v>
      </c>
      <c r="Q286"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6" s="32">
        <v>0</v>
      </c>
      <c r="S286" s="32">
        <v>0</v>
      </c>
      <c r="T286" s="32">
        <v>0</v>
      </c>
      <c r="U286" s="32">
        <v>3797</v>
      </c>
      <c r="V286" s="32">
        <v>62</v>
      </c>
      <c r="W286" s="32">
        <v>0</v>
      </c>
      <c r="X286" s="32">
        <v>517</v>
      </c>
      <c r="Y286"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0.51387423300894985</v>
      </c>
      <c r="Z286" s="32">
        <v>3369</v>
      </c>
      <c r="AA286" s="32">
        <v>97029</v>
      </c>
      <c r="AB286" s="32">
        <v>21507</v>
      </c>
      <c r="AC286" s="32">
        <v>0</v>
      </c>
      <c r="AD286" s="32">
        <v>0</v>
      </c>
      <c r="AE286" s="32">
        <v>153522</v>
      </c>
      <c r="AF286" s="32">
        <v>0</v>
      </c>
      <c r="AG286"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3.1467889908256881</v>
      </c>
      <c r="AH286" s="32">
        <v>17605</v>
      </c>
      <c r="AI286" s="32">
        <v>8738</v>
      </c>
      <c r="AJ286" s="32">
        <v>458</v>
      </c>
      <c r="AK286" s="32">
        <v>0</v>
      </c>
      <c r="AL286" s="32">
        <v>237</v>
      </c>
      <c r="AM286" s="32">
        <v>980</v>
      </c>
      <c r="AN286" s="32">
        <v>2624</v>
      </c>
      <c r="AO286" s="32">
        <v>0</v>
      </c>
      <c r="AP286" s="32">
        <v>-3270</v>
      </c>
      <c r="AQ286"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4.5075059257308405</v>
      </c>
      <c r="AR286" s="32">
        <v>5652</v>
      </c>
      <c r="AS286" s="32">
        <v>2542</v>
      </c>
      <c r="AT286" s="32">
        <v>2829</v>
      </c>
      <c r="AU286" s="32">
        <v>1114</v>
      </c>
      <c r="AV286" s="32">
        <v>3115</v>
      </c>
      <c r="AW286" s="32">
        <v>980</v>
      </c>
      <c r="AX286" s="32">
        <v>-23</v>
      </c>
      <c r="AY286" s="32">
        <v>350</v>
      </c>
      <c r="AZ286" s="32">
        <v>0</v>
      </c>
      <c r="BA286" s="32">
        <v>74</v>
      </c>
      <c r="BB286" s="32">
        <v>482</v>
      </c>
      <c r="BC286" s="32">
        <v>3797</v>
      </c>
      <c r="BD286" s="34">
        <f>IFERROR(SUM(Entity_Metrics[[#This Row],[Operating surplus/(deficit) (social housing lettings)]])/SUM(Entity_Metrics[[#This Row],[Turnover from social housing lettings]]),"")</f>
        <v>0.29863281250000001</v>
      </c>
      <c r="BE286" s="32">
        <v>7645</v>
      </c>
      <c r="BF286" s="32">
        <v>25600</v>
      </c>
      <c r="BG286" s="34">
        <f>IFERROR(SUM(Entity_Metrics[[#This Row],[Operating surplus/(deficit) (overall)2]],-Entity_Metrics[[#This Row],[Gain/(loss) on disposal of fixed assets (housing properties)2]])/SUM(Entity_Metrics[[#This Row],[Turnover (overall)]]),"")</f>
        <v>0.30798888502952415</v>
      </c>
      <c r="BH286" s="32">
        <v>17605</v>
      </c>
      <c r="BI286" s="32">
        <v>8738</v>
      </c>
      <c r="BJ286" s="32">
        <v>28790</v>
      </c>
      <c r="BK286" s="34">
        <f>IFERROR(SUM(Entity_Metrics[[#This Row],[Operating surplus/(deficit) (overall)3]],Entity_Metrics[[#This Row],[Share of operating surplus/(deficit) in joint ventures or associates]])/SUM(Entity_Metrics[[#This Row],[Total assets less current liabilities]]),"")</f>
        <v>9.2981245753830113E-2</v>
      </c>
      <c r="BL286" s="32">
        <v>17605</v>
      </c>
      <c r="BM286" s="32">
        <v>50</v>
      </c>
      <c r="BN286" s="32">
        <v>189877</v>
      </c>
      <c r="BO286" s="34">
        <v>3.214756258234519E-2</v>
      </c>
      <c r="BP286" s="34">
        <v>0.10566534914361002</v>
      </c>
      <c r="BQ286" s="6" t="s">
        <v>93</v>
      </c>
      <c r="BR286" s="6">
        <v>1995</v>
      </c>
      <c r="BS286" s="6" t="s">
        <v>94</v>
      </c>
      <c r="BT286" s="6" t="s">
        <v>84</v>
      </c>
      <c r="BU286" s="8">
        <v>1.0118524159776632</v>
      </c>
      <c r="BV286" s="37" t="s">
        <v>634</v>
      </c>
      <c r="BW286" s="19" t="s">
        <v>392</v>
      </c>
    </row>
    <row r="287" spans="1:75" x14ac:dyDescent="0.25">
      <c r="A287" s="33" t="s">
        <v>886</v>
      </c>
      <c r="B287" s="7" t="s">
        <v>542</v>
      </c>
      <c r="C287" s="7" t="s">
        <v>81</v>
      </c>
      <c r="D287"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6.2360715649639131E-2</v>
      </c>
      <c r="E287" s="32">
        <v>11203</v>
      </c>
      <c r="F287" s="32">
        <v>0</v>
      </c>
      <c r="G287" s="32">
        <v>1697</v>
      </c>
      <c r="H287" s="32">
        <v>0</v>
      </c>
      <c r="I287" s="32">
        <v>0</v>
      </c>
      <c r="J287" s="32">
        <v>206861</v>
      </c>
      <c r="K287" s="32">
        <v>0</v>
      </c>
      <c r="L287"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1.4191320018020724E-2</v>
      </c>
      <c r="M287" s="32">
        <v>183</v>
      </c>
      <c r="N287" s="32">
        <v>6</v>
      </c>
      <c r="O287" s="32">
        <v>12833</v>
      </c>
      <c r="P287" s="32">
        <v>485</v>
      </c>
      <c r="Q287"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5.2560444511187861E-4</v>
      </c>
      <c r="R287" s="32">
        <v>0</v>
      </c>
      <c r="S287" s="32">
        <v>0</v>
      </c>
      <c r="T287" s="32">
        <v>7</v>
      </c>
      <c r="U287" s="32">
        <v>12833</v>
      </c>
      <c r="V287" s="32">
        <v>0</v>
      </c>
      <c r="W287" s="32">
        <v>485</v>
      </c>
      <c r="X287" s="32">
        <v>0</v>
      </c>
      <c r="Y287"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0.39704439212804732</v>
      </c>
      <c r="Z287" s="32">
        <v>0</v>
      </c>
      <c r="AA287" s="32">
        <v>89300</v>
      </c>
      <c r="AB287" s="32">
        <v>7167</v>
      </c>
      <c r="AC287" s="32">
        <v>0</v>
      </c>
      <c r="AD287" s="32">
        <v>0</v>
      </c>
      <c r="AE287" s="32">
        <v>206861</v>
      </c>
      <c r="AF287" s="32">
        <v>0</v>
      </c>
      <c r="AG287"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4.6707135777998019</v>
      </c>
      <c r="AH287" s="32">
        <v>13413</v>
      </c>
      <c r="AI287" s="32">
        <v>2172</v>
      </c>
      <c r="AJ287" s="32">
        <v>58</v>
      </c>
      <c r="AK287" s="32">
        <v>0</v>
      </c>
      <c r="AL287" s="32">
        <v>82</v>
      </c>
      <c r="AM287" s="32">
        <v>1697</v>
      </c>
      <c r="AN287" s="32">
        <v>9283</v>
      </c>
      <c r="AO287" s="32">
        <v>0</v>
      </c>
      <c r="AP287" s="32">
        <v>-4036</v>
      </c>
      <c r="AQ287"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3.418873786407767</v>
      </c>
      <c r="AR287" s="32">
        <v>12011</v>
      </c>
      <c r="AS287" s="32">
        <v>7167</v>
      </c>
      <c r="AT287" s="32">
        <v>9823</v>
      </c>
      <c r="AU287" s="32">
        <v>3846</v>
      </c>
      <c r="AV287" s="32">
        <v>8464</v>
      </c>
      <c r="AW287" s="32">
        <v>1697</v>
      </c>
      <c r="AX287" s="32">
        <v>472</v>
      </c>
      <c r="AY287" s="32">
        <v>0</v>
      </c>
      <c r="AZ287" s="32">
        <v>0</v>
      </c>
      <c r="BA287" s="32">
        <v>538</v>
      </c>
      <c r="BB287" s="32">
        <v>0</v>
      </c>
      <c r="BC287" s="32">
        <v>12875</v>
      </c>
      <c r="BD287" s="34">
        <f>IFERROR(SUM(Entity_Metrics[[#This Row],[Operating surplus/(deficit) (social housing lettings)]])/SUM(Entity_Metrics[[#This Row],[Turnover from social housing lettings]]),"")</f>
        <v>0.15632218289379662</v>
      </c>
      <c r="BE287" s="32">
        <v>9407</v>
      </c>
      <c r="BF287" s="32">
        <v>60177</v>
      </c>
      <c r="BG287" s="34">
        <f>IFERROR(SUM(Entity_Metrics[[#This Row],[Operating surplus/(deficit) (overall)2]],-Entity_Metrics[[#This Row],[Gain/(loss) on disposal of fixed assets (housing properties)2]])/SUM(Entity_Metrics[[#This Row],[Turnover (overall)]]),"")</f>
        <v>0.17195961450206518</v>
      </c>
      <c r="BH287" s="32">
        <v>13413</v>
      </c>
      <c r="BI287" s="32">
        <v>2172</v>
      </c>
      <c r="BJ287" s="32">
        <v>65370</v>
      </c>
      <c r="BK287" s="34">
        <f>IFERROR(SUM(Entity_Metrics[[#This Row],[Operating surplus/(deficit) (overall)3]],Entity_Metrics[[#This Row],[Share of operating surplus/(deficit) in joint ventures or associates]])/SUM(Entity_Metrics[[#This Row],[Total assets less current liabilities]]),"")</f>
        <v>5.9247054874089516E-2</v>
      </c>
      <c r="BL287" s="32">
        <v>13413</v>
      </c>
      <c r="BM287" s="32">
        <v>0</v>
      </c>
      <c r="BN287" s="32">
        <v>226391</v>
      </c>
      <c r="BO287" s="34">
        <v>1.483332032164884E-3</v>
      </c>
      <c r="BP287" s="34">
        <v>0.12819111562182839</v>
      </c>
      <c r="BQ287" s="6" t="s">
        <v>93</v>
      </c>
      <c r="BR287" s="6">
        <v>2005</v>
      </c>
      <c r="BS287" s="6" t="s">
        <v>94</v>
      </c>
      <c r="BT287" s="6" t="s">
        <v>105</v>
      </c>
      <c r="BU287" s="8">
        <v>0.9156653862445665</v>
      </c>
      <c r="BV287" s="37" t="s">
        <v>886</v>
      </c>
      <c r="BW287" s="19" t="s">
        <v>542</v>
      </c>
    </row>
    <row r="288" spans="1:75" x14ac:dyDescent="0.25">
      <c r="A288" s="33" t="s">
        <v>545</v>
      </c>
      <c r="B288" s="7" t="s">
        <v>546</v>
      </c>
      <c r="C288" s="7" t="s">
        <v>81</v>
      </c>
      <c r="D288"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5.8134311596915476E-2</v>
      </c>
      <c r="E288" s="32">
        <v>7519</v>
      </c>
      <c r="F288" s="32">
        <v>1040</v>
      </c>
      <c r="G288" s="32">
        <v>2177</v>
      </c>
      <c r="H288" s="32">
        <v>135</v>
      </c>
      <c r="I288" s="32">
        <v>0</v>
      </c>
      <c r="J288" s="32">
        <v>186998</v>
      </c>
      <c r="K288" s="32">
        <v>0</v>
      </c>
      <c r="L288"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1.9047619047619049E-2</v>
      </c>
      <c r="M288" s="32">
        <v>70</v>
      </c>
      <c r="N288" s="32">
        <v>0</v>
      </c>
      <c r="O288" s="32">
        <v>3421</v>
      </c>
      <c r="P288" s="32">
        <v>254</v>
      </c>
      <c r="Q288"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8" s="32">
        <v>0</v>
      </c>
      <c r="S288" s="32">
        <v>0</v>
      </c>
      <c r="T288" s="32">
        <v>0</v>
      </c>
      <c r="U288" s="32">
        <v>3421</v>
      </c>
      <c r="V288" s="32">
        <v>0</v>
      </c>
      <c r="W288" s="32">
        <v>254</v>
      </c>
      <c r="X288" s="32">
        <v>0</v>
      </c>
      <c r="Y288"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0.58142867838158696</v>
      </c>
      <c r="Z288" s="32">
        <v>3000</v>
      </c>
      <c r="AA288" s="32">
        <v>118563</v>
      </c>
      <c r="AB288" s="32">
        <v>12837</v>
      </c>
      <c r="AC288" s="32">
        <v>0</v>
      </c>
      <c r="AD288" s="32">
        <v>0</v>
      </c>
      <c r="AE288" s="32">
        <v>186998</v>
      </c>
      <c r="AF288" s="32">
        <v>0</v>
      </c>
      <c r="AG288"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2.181526748146664</v>
      </c>
      <c r="AH288" s="32">
        <v>10178</v>
      </c>
      <c r="AI288" s="32">
        <v>80</v>
      </c>
      <c r="AJ288" s="32">
        <v>423</v>
      </c>
      <c r="AK288" s="32">
        <v>0</v>
      </c>
      <c r="AL288" s="32">
        <v>21</v>
      </c>
      <c r="AM288" s="32">
        <v>2177</v>
      </c>
      <c r="AN288" s="32">
        <v>3369</v>
      </c>
      <c r="AO288" s="32">
        <v>-159</v>
      </c>
      <c r="AP288" s="32">
        <v>-4832</v>
      </c>
      <c r="AQ288"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3.0154550658271324</v>
      </c>
      <c r="AR288" s="32">
        <v>3248</v>
      </c>
      <c r="AS288" s="32">
        <v>1008</v>
      </c>
      <c r="AT288" s="32">
        <v>1504</v>
      </c>
      <c r="AU288" s="32">
        <v>1064</v>
      </c>
      <c r="AV288" s="32">
        <v>697</v>
      </c>
      <c r="AW288" s="32">
        <v>2177</v>
      </c>
      <c r="AX288" s="32">
        <v>403</v>
      </c>
      <c r="AY288" s="32">
        <v>192</v>
      </c>
      <c r="AZ288" s="32">
        <v>0</v>
      </c>
      <c r="BA288" s="32">
        <v>129</v>
      </c>
      <c r="BB288" s="32">
        <v>114</v>
      </c>
      <c r="BC288" s="32">
        <v>3494</v>
      </c>
      <c r="BD288" s="34">
        <f>IFERROR(SUM(Entity_Metrics[[#This Row],[Operating surplus/(deficit) (social housing lettings)]])/SUM(Entity_Metrics[[#This Row],[Turnover from social housing lettings]]),"")</f>
        <v>0.44706462752836706</v>
      </c>
      <c r="BE288" s="32">
        <v>9062</v>
      </c>
      <c r="BF288" s="32">
        <v>20270</v>
      </c>
      <c r="BG288" s="34">
        <f>IFERROR(SUM(Entity_Metrics[[#This Row],[Operating surplus/(deficit) (overall)2]],-Entity_Metrics[[#This Row],[Gain/(loss) on disposal of fixed assets (housing properties)2]])/SUM(Entity_Metrics[[#This Row],[Turnover (overall)]]),"")</f>
        <v>0.42657992565055763</v>
      </c>
      <c r="BH288" s="32">
        <v>10178</v>
      </c>
      <c r="BI288" s="32">
        <v>80</v>
      </c>
      <c r="BJ288" s="32">
        <v>23672</v>
      </c>
      <c r="BK288" s="34">
        <f>IFERROR(SUM(Entity_Metrics[[#This Row],[Operating surplus/(deficit) (overall)3]],Entity_Metrics[[#This Row],[Share of operating surplus/(deficit) in joint ventures or associates]])/SUM(Entity_Metrics[[#This Row],[Total assets less current liabilities]]),"")</f>
        <v>5.1913738931733788E-2</v>
      </c>
      <c r="BL288" s="32">
        <v>10178</v>
      </c>
      <c r="BM288" s="32">
        <v>0</v>
      </c>
      <c r="BN288" s="32">
        <v>196056</v>
      </c>
      <c r="BO288" s="34">
        <v>3.2154340836012861E-3</v>
      </c>
      <c r="BP288" s="34">
        <v>6.284712072493423E-2</v>
      </c>
      <c r="BQ288" s="6" t="s">
        <v>93</v>
      </c>
      <c r="BR288" s="6">
        <v>1999</v>
      </c>
      <c r="BS288" s="6" t="s">
        <v>94</v>
      </c>
      <c r="BT288" s="6" t="s">
        <v>84</v>
      </c>
      <c r="BU288" s="8">
        <v>1.0118524159776632</v>
      </c>
      <c r="BV288" s="37" t="s">
        <v>545</v>
      </c>
      <c r="BW288" s="19" t="s">
        <v>546</v>
      </c>
    </row>
    <row r="289" spans="1:75" x14ac:dyDescent="0.25">
      <c r="A289" s="33" t="s">
        <v>887</v>
      </c>
      <c r="B289" s="7" t="s">
        <v>550</v>
      </c>
      <c r="C289" s="7" t="s">
        <v>81</v>
      </c>
      <c r="D289"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3.9261844569767564E-2</v>
      </c>
      <c r="E289" s="32">
        <v>11968</v>
      </c>
      <c r="F289" s="32">
        <v>0</v>
      </c>
      <c r="G289" s="32">
        <v>6833</v>
      </c>
      <c r="H289" s="32">
        <v>379</v>
      </c>
      <c r="I289" s="32">
        <v>0</v>
      </c>
      <c r="J289" s="32">
        <v>488515</v>
      </c>
      <c r="K289" s="32">
        <v>0</v>
      </c>
      <c r="L289"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1.4374126572170094E-2</v>
      </c>
      <c r="M289" s="32">
        <v>144</v>
      </c>
      <c r="N289" s="32">
        <v>0</v>
      </c>
      <c r="O289" s="32">
        <v>10018</v>
      </c>
      <c r="P289" s="32">
        <v>0</v>
      </c>
      <c r="Q289"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89" s="32">
        <v>0</v>
      </c>
      <c r="S289" s="32">
        <v>0</v>
      </c>
      <c r="T289" s="32">
        <v>0</v>
      </c>
      <c r="U289" s="32">
        <v>10018</v>
      </c>
      <c r="V289" s="32">
        <v>0</v>
      </c>
      <c r="W289" s="32">
        <v>0</v>
      </c>
      <c r="X289" s="32">
        <v>0</v>
      </c>
      <c r="Y289"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0.34454213279019069</v>
      </c>
      <c r="Z289" s="32">
        <v>7109</v>
      </c>
      <c r="AA289" s="32">
        <v>193302</v>
      </c>
      <c r="AB289" s="32">
        <v>32097</v>
      </c>
      <c r="AC289" s="32">
        <v>0</v>
      </c>
      <c r="AD289" s="32">
        <v>0</v>
      </c>
      <c r="AE289" s="32">
        <v>488515</v>
      </c>
      <c r="AF289" s="32">
        <v>0</v>
      </c>
      <c r="AG289"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2.2948378139593588</v>
      </c>
      <c r="AH289" s="32">
        <v>18520</v>
      </c>
      <c r="AI289" s="32">
        <v>0</v>
      </c>
      <c r="AJ289" s="32">
        <v>545</v>
      </c>
      <c r="AK289" s="32">
        <v>0</v>
      </c>
      <c r="AL289" s="32">
        <v>155</v>
      </c>
      <c r="AM289" s="32">
        <v>6833</v>
      </c>
      <c r="AN289" s="32">
        <v>6885</v>
      </c>
      <c r="AO289" s="32">
        <v>-379</v>
      </c>
      <c r="AP289" s="32">
        <v>-7544</v>
      </c>
      <c r="AQ289"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3.0774605709722498</v>
      </c>
      <c r="AR289" s="32">
        <v>8506</v>
      </c>
      <c r="AS289" s="32">
        <v>2258</v>
      </c>
      <c r="AT289" s="32">
        <v>8919</v>
      </c>
      <c r="AU289" s="32">
        <v>0</v>
      </c>
      <c r="AV289" s="32">
        <v>3518</v>
      </c>
      <c r="AW289" s="32">
        <v>6833</v>
      </c>
      <c r="AX289" s="32">
        <v>0</v>
      </c>
      <c r="AY289" s="32">
        <v>0</v>
      </c>
      <c r="AZ289" s="32">
        <v>0</v>
      </c>
      <c r="BA289" s="32">
        <v>0</v>
      </c>
      <c r="BB289" s="32">
        <v>796</v>
      </c>
      <c r="BC289" s="32">
        <v>10018</v>
      </c>
      <c r="BD289" s="34">
        <f>IFERROR(SUM(Entity_Metrics[[#This Row],[Operating surplus/(deficit) (social housing lettings)]])/SUM(Entity_Metrics[[#This Row],[Turnover from social housing lettings]]),"")</f>
        <v>0.39157945483397949</v>
      </c>
      <c r="BE289" s="32">
        <v>19494</v>
      </c>
      <c r="BF289" s="32">
        <v>49783</v>
      </c>
      <c r="BG289" s="34">
        <f>IFERROR(SUM(Entity_Metrics[[#This Row],[Operating surplus/(deficit) (overall)2]],-Entity_Metrics[[#This Row],[Gain/(loss) on disposal of fixed assets (housing properties)2]])/SUM(Entity_Metrics[[#This Row],[Turnover (overall)]]),"")</f>
        <v>0.32778761061946904</v>
      </c>
      <c r="BH289" s="32">
        <v>18520</v>
      </c>
      <c r="BI289" s="32">
        <v>0</v>
      </c>
      <c r="BJ289" s="32">
        <v>56500</v>
      </c>
      <c r="BK289" s="34">
        <f>IFERROR(SUM(Entity_Metrics[[#This Row],[Operating surplus/(deficit) (overall)3]],Entity_Metrics[[#This Row],[Share of operating surplus/(deficit) in joint ventures or associates]])/SUM(Entity_Metrics[[#This Row],[Total assets less current liabilities]]),"")</f>
        <v>3.5217025872724302E-2</v>
      </c>
      <c r="BL289" s="32">
        <v>18520</v>
      </c>
      <c r="BM289" s="32">
        <v>0</v>
      </c>
      <c r="BN289" s="32">
        <v>525882</v>
      </c>
      <c r="BO289" s="34">
        <v>0</v>
      </c>
      <c r="BP289" s="34">
        <v>0.15939146862881576</v>
      </c>
      <c r="BQ289" s="6" t="s">
        <v>93</v>
      </c>
      <c r="BR289" s="6">
        <v>1999</v>
      </c>
      <c r="BS289" s="6" t="s">
        <v>94</v>
      </c>
      <c r="BT289" s="6" t="s">
        <v>115</v>
      </c>
      <c r="BU289" s="8">
        <v>0.96617455710897804</v>
      </c>
      <c r="BV289" s="37" t="s">
        <v>887</v>
      </c>
      <c r="BW289" s="19" t="s">
        <v>550</v>
      </c>
    </row>
    <row r="290" spans="1:75" x14ac:dyDescent="0.25">
      <c r="A290" s="33" t="s">
        <v>551</v>
      </c>
      <c r="B290" s="7" t="s">
        <v>552</v>
      </c>
      <c r="C290" s="7" t="s">
        <v>81</v>
      </c>
      <c r="D290"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1.4270508928923405E-2</v>
      </c>
      <c r="E290" s="32">
        <v>0</v>
      </c>
      <c r="F290" s="32">
        <v>0</v>
      </c>
      <c r="G290" s="32">
        <v>362</v>
      </c>
      <c r="H290" s="32">
        <v>0</v>
      </c>
      <c r="I290" s="32">
        <v>0</v>
      </c>
      <c r="J290" s="32">
        <v>25367</v>
      </c>
      <c r="K290" s="32">
        <v>0</v>
      </c>
      <c r="L290"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90" s="32">
        <v>0</v>
      </c>
      <c r="N290" s="32">
        <v>0</v>
      </c>
      <c r="O290" s="32">
        <v>768</v>
      </c>
      <c r="P290" s="32">
        <v>0</v>
      </c>
      <c r="Q290"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90" s="32">
        <v>0</v>
      </c>
      <c r="S290" s="32">
        <v>0</v>
      </c>
      <c r="T290" s="32">
        <v>0</v>
      </c>
      <c r="U290" s="32">
        <v>768</v>
      </c>
      <c r="V290" s="32">
        <v>0</v>
      </c>
      <c r="W290" s="32">
        <v>0</v>
      </c>
      <c r="X290" s="32">
        <v>0</v>
      </c>
      <c r="Y290"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0.68344699806835651</v>
      </c>
      <c r="Z290" s="32">
        <v>35</v>
      </c>
      <c r="AA290" s="32">
        <v>20078</v>
      </c>
      <c r="AB290" s="32">
        <v>2776</v>
      </c>
      <c r="AC290" s="32">
        <v>0</v>
      </c>
      <c r="AD290" s="32">
        <v>0</v>
      </c>
      <c r="AE290" s="32">
        <v>25367</v>
      </c>
      <c r="AF290" s="32">
        <v>0</v>
      </c>
      <c r="AG290"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1.087330873308733</v>
      </c>
      <c r="AH290" s="32">
        <v>1104</v>
      </c>
      <c r="AI290" s="32">
        <v>0</v>
      </c>
      <c r="AJ290" s="32">
        <v>562</v>
      </c>
      <c r="AK290" s="32">
        <v>754</v>
      </c>
      <c r="AL290" s="32">
        <v>29</v>
      </c>
      <c r="AM290" s="32">
        <v>362</v>
      </c>
      <c r="AN290" s="32">
        <v>1429</v>
      </c>
      <c r="AO290" s="32">
        <v>-26</v>
      </c>
      <c r="AP290" s="32">
        <v>-787</v>
      </c>
      <c r="AQ290"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12.26171875</v>
      </c>
      <c r="AR290" s="32">
        <v>5465</v>
      </c>
      <c r="AS290" s="32">
        <v>2602</v>
      </c>
      <c r="AT290" s="32">
        <v>134</v>
      </c>
      <c r="AU290" s="32">
        <v>42</v>
      </c>
      <c r="AV290" s="32">
        <v>0</v>
      </c>
      <c r="AW290" s="32">
        <v>362</v>
      </c>
      <c r="AX290" s="32">
        <v>0</v>
      </c>
      <c r="AY290" s="32">
        <v>0</v>
      </c>
      <c r="AZ290" s="32">
        <v>0</v>
      </c>
      <c r="BA290" s="32">
        <v>812</v>
      </c>
      <c r="BB290" s="32">
        <v>0</v>
      </c>
      <c r="BC290" s="32">
        <v>768</v>
      </c>
      <c r="BD290" s="34">
        <f>IFERROR(SUM(Entity_Metrics[[#This Row],[Operating surplus/(deficit) (social housing lettings)]])/SUM(Entity_Metrics[[#This Row],[Turnover from social housing lettings]]),"")</f>
        <v>0.10759611795446061</v>
      </c>
      <c r="BE290" s="32">
        <v>1153</v>
      </c>
      <c r="BF290" s="32">
        <v>10716</v>
      </c>
      <c r="BG290" s="34">
        <f>IFERROR(SUM(Entity_Metrics[[#This Row],[Operating surplus/(deficit) (overall)2]],-Entity_Metrics[[#This Row],[Gain/(loss) on disposal of fixed assets (housing properties)2]])/SUM(Entity_Metrics[[#This Row],[Turnover (overall)]]),"")</f>
        <v>6.1285666703674919E-2</v>
      </c>
      <c r="BH290" s="32">
        <v>1104</v>
      </c>
      <c r="BI290" s="32">
        <v>0</v>
      </c>
      <c r="BJ290" s="32">
        <v>18014</v>
      </c>
      <c r="BK290" s="34">
        <f>IFERROR(SUM(Entity_Metrics[[#This Row],[Operating surplus/(deficit) (overall)3]],Entity_Metrics[[#This Row],[Share of operating surplus/(deficit) in joint ventures or associates]])/SUM(Entity_Metrics[[#This Row],[Total assets less current liabilities]]),"")</f>
        <v>2.7175384615384615E-2</v>
      </c>
      <c r="BL290" s="32">
        <v>1104</v>
      </c>
      <c r="BM290" s="32">
        <v>0</v>
      </c>
      <c r="BN290" s="32">
        <v>40625</v>
      </c>
      <c r="BO290" s="34">
        <v>0.86458333333333337</v>
      </c>
      <c r="BP290" s="34">
        <v>0</v>
      </c>
      <c r="BQ290" s="6" t="s">
        <v>82</v>
      </c>
      <c r="BR290" s="6" t="s">
        <v>83</v>
      </c>
      <c r="BS290" s="6" t="s">
        <v>83</v>
      </c>
      <c r="BT290" s="6" t="s">
        <v>156</v>
      </c>
      <c r="BU290" s="8">
        <v>1.2307578204729128</v>
      </c>
      <c r="BV290" s="37" t="s">
        <v>551</v>
      </c>
      <c r="BW290" s="19" t="s">
        <v>552</v>
      </c>
    </row>
    <row r="291" spans="1:75" x14ac:dyDescent="0.25">
      <c r="A291" s="33" t="s">
        <v>888</v>
      </c>
      <c r="B291" s="7" t="s">
        <v>554</v>
      </c>
      <c r="C291" s="7" t="s">
        <v>81</v>
      </c>
      <c r="D291"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4.8444596016968489E-2</v>
      </c>
      <c r="E291" s="32">
        <v>26347</v>
      </c>
      <c r="F291" s="32">
        <v>0</v>
      </c>
      <c r="G291" s="32">
        <v>13143</v>
      </c>
      <c r="H291" s="32">
        <v>0</v>
      </c>
      <c r="I291" s="32">
        <v>0</v>
      </c>
      <c r="J291" s="32">
        <v>743723</v>
      </c>
      <c r="K291" s="32">
        <v>71435</v>
      </c>
      <c r="L291"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1.7724187915925414E-2</v>
      </c>
      <c r="M291" s="32">
        <v>269</v>
      </c>
      <c r="N291" s="32">
        <v>0</v>
      </c>
      <c r="O291" s="32">
        <v>15177</v>
      </c>
      <c r="P291" s="32">
        <v>0</v>
      </c>
      <c r="Q291"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0</v>
      </c>
      <c r="R291" s="32">
        <v>0</v>
      </c>
      <c r="S291" s="32">
        <v>0</v>
      </c>
      <c r="T291" s="32">
        <v>0</v>
      </c>
      <c r="U291" s="32">
        <v>15177</v>
      </c>
      <c r="V291" s="32">
        <v>0</v>
      </c>
      <c r="W291" s="32">
        <v>0</v>
      </c>
      <c r="X291" s="32">
        <v>0</v>
      </c>
      <c r="Y291"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0.43995274535734175</v>
      </c>
      <c r="Z291" s="32">
        <v>311</v>
      </c>
      <c r="AA291" s="32">
        <v>307527</v>
      </c>
      <c r="AB291" s="32">
        <v>89207</v>
      </c>
      <c r="AC291" s="32">
        <v>140000</v>
      </c>
      <c r="AD291" s="32">
        <v>0</v>
      </c>
      <c r="AE291" s="32">
        <v>743723</v>
      </c>
      <c r="AF291" s="32">
        <v>71435</v>
      </c>
      <c r="AG291"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1.4513392114456829</v>
      </c>
      <c r="AH291" s="32">
        <v>29799</v>
      </c>
      <c r="AI291" s="32">
        <v>1222</v>
      </c>
      <c r="AJ291" s="32">
        <v>5988</v>
      </c>
      <c r="AK291" s="32">
        <v>0</v>
      </c>
      <c r="AL291" s="32">
        <v>630</v>
      </c>
      <c r="AM291" s="32">
        <v>13143</v>
      </c>
      <c r="AN291" s="32">
        <v>16096</v>
      </c>
      <c r="AO291" s="32">
        <v>-422</v>
      </c>
      <c r="AP291" s="32">
        <v>-17611</v>
      </c>
      <c r="AQ291"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3.8161692033998813</v>
      </c>
      <c r="AR291" s="32">
        <v>13850</v>
      </c>
      <c r="AS291" s="32">
        <v>6869</v>
      </c>
      <c r="AT291" s="32">
        <v>11313</v>
      </c>
      <c r="AU291" s="32">
        <v>5529</v>
      </c>
      <c r="AV291" s="32">
        <v>4827</v>
      </c>
      <c r="AW291" s="32">
        <v>13143</v>
      </c>
      <c r="AX291" s="32">
        <v>712</v>
      </c>
      <c r="AY291" s="32">
        <v>0</v>
      </c>
      <c r="AZ291" s="32">
        <v>0</v>
      </c>
      <c r="BA291" s="32">
        <v>1215</v>
      </c>
      <c r="BB291" s="32">
        <v>460</v>
      </c>
      <c r="BC291" s="32">
        <v>15177</v>
      </c>
      <c r="BD291" s="34">
        <f>IFERROR(SUM(Entity_Metrics[[#This Row],[Operating surplus/(deficit) (social housing lettings)]])/SUM(Entity_Metrics[[#This Row],[Turnover from social housing lettings]]),"")</f>
        <v>0.31236894859328557</v>
      </c>
      <c r="BE291" s="32">
        <v>27113</v>
      </c>
      <c r="BF291" s="32">
        <v>86798</v>
      </c>
      <c r="BG291" s="34">
        <f>IFERROR(SUM(Entity_Metrics[[#This Row],[Operating surplus/(deficit) (overall)2]],-Entity_Metrics[[#This Row],[Gain/(loss) on disposal of fixed assets (housing properties)2]])/SUM(Entity_Metrics[[#This Row],[Turnover (overall)]]),"")</f>
        <v>0.29589554556938436</v>
      </c>
      <c r="BH291" s="32">
        <v>29799</v>
      </c>
      <c r="BI291" s="32">
        <v>1222</v>
      </c>
      <c r="BJ291" s="32">
        <v>96578</v>
      </c>
      <c r="BK291" s="34">
        <f>IFERROR(SUM(Entity_Metrics[[#This Row],[Operating surplus/(deficit) (overall)3]],Entity_Metrics[[#This Row],[Share of operating surplus/(deficit) in joint ventures or associates]])/SUM(Entity_Metrics[[#This Row],[Total assets less current liabilities]]),"")</f>
        <v>3.2017732832063502E-2</v>
      </c>
      <c r="BL291" s="32">
        <v>29799</v>
      </c>
      <c r="BM291" s="32">
        <v>0</v>
      </c>
      <c r="BN291" s="32">
        <v>930703</v>
      </c>
      <c r="BO291" s="34">
        <v>2.4803052683407188E-2</v>
      </c>
      <c r="BP291" s="34">
        <v>4.7205809945839484E-2</v>
      </c>
      <c r="BQ291" s="6" t="s">
        <v>82</v>
      </c>
      <c r="BR291" s="6" t="s">
        <v>83</v>
      </c>
      <c r="BS291" s="6" t="s">
        <v>83</v>
      </c>
      <c r="BT291" s="6" t="s">
        <v>108</v>
      </c>
      <c r="BU291" s="8">
        <v>0.9480312191829835</v>
      </c>
      <c r="BV291" s="37" t="s">
        <v>888</v>
      </c>
      <c r="BW291" s="19" t="s">
        <v>554</v>
      </c>
    </row>
    <row r="292" spans="1:75" x14ac:dyDescent="0.25">
      <c r="A292" s="33" t="s">
        <v>889</v>
      </c>
      <c r="B292" s="7" t="s">
        <v>890</v>
      </c>
      <c r="C292" s="7" t="s">
        <v>81</v>
      </c>
      <c r="D292" s="34">
        <f>IFERROR(SUM(Entity_Metrics[[#This Row],[Development of new properties (Total housing properties)]],Entity_Metrics[[#This Row],[Newly built properties acquired (Total housing properties)]],Entity_Metrics[[#This Row],[ Works to Existing (Total housing properties)]],Entity_Metrics[[#This Row],[Capitalised Interest (Total housing properties)]],Entity_Metrics[[#This Row],[Schemes completed (Total housing properties)]])/SUM(Entity_Metrics[[#This Row],[Tangible fixed assets: Housing properties at cost (Current period)]],Entity_Metrics[[#This Row],[Tangible fixed assets Housing properties at valuation (Current period)]]),"")</f>
        <v>3.0314032208372893E-2</v>
      </c>
      <c r="E292" s="32">
        <v>11263</v>
      </c>
      <c r="F292" s="32">
        <v>0</v>
      </c>
      <c r="G292" s="32">
        <v>15205</v>
      </c>
      <c r="H292" s="32">
        <v>0</v>
      </c>
      <c r="I292" s="32">
        <v>0</v>
      </c>
      <c r="J292" s="32">
        <v>873127</v>
      </c>
      <c r="K292" s="32">
        <v>0</v>
      </c>
      <c r="L292" s="34">
        <f>IFERROR(SUM(Entity_Metrics[[#This Row],[Total social units developed or newly built units acquired in-year (owned)]],Entity_Metrics[[#This Row],[Total social leasehold units developed or newly built units acquired in-year (owned)]])/SUM(Entity_Metrics[[#This Row],[Total social housing units owned (Period end)]],Entity_Metrics[[#This Row],[Total social leasehold units owned (Period end)]]),"")</f>
        <v>0</v>
      </c>
      <c r="M292" s="32">
        <v>0</v>
      </c>
      <c r="N292" s="32">
        <v>0</v>
      </c>
      <c r="O292" s="32">
        <v>23786</v>
      </c>
      <c r="P292" s="32">
        <v>976</v>
      </c>
      <c r="Q292" s="36">
        <f>IFERROR(SUM(Entity_Metrics[[#This Row],[Total non-social units developed or newly built units acquired in-year (owned)]],Entity_Metrics[[#This Row],[Total non-social leasehold units developed or newly built units acquired in-year (owned)]],Entity_Metrics[[#This Row],[New outright sale units developed or acquired (owned)]])/SUM(Entity_Metrics[[#This Row],[Total social housing units owned (Period end)2]],Entity_Metrics[[#This Row],[Total non-social rental housing units owned (Period end)]],Entity_Metrics[[#This Row],[Total social leasehold units owned (Period end)2]],Entity_Metrics[[#This Row],[Total non-social leasehold units owned (Period end)]]),"")</f>
        <v>5.7269244440933684E-3</v>
      </c>
      <c r="R292" s="32">
        <v>142</v>
      </c>
      <c r="S292" s="32">
        <v>0</v>
      </c>
      <c r="T292" s="32">
        <v>3</v>
      </c>
      <c r="U292" s="32">
        <v>23786</v>
      </c>
      <c r="V292" s="32">
        <v>281</v>
      </c>
      <c r="W292" s="32">
        <v>976</v>
      </c>
      <c r="X292" s="32">
        <v>276</v>
      </c>
      <c r="Y292" s="34">
        <f>IFERROR(SUM(Entity_Metrics[[#This Row],[Short-term loans]],Entity_Metrics[[#This Row],[Long-term loans]],-Entity_Metrics[[#This Row],[Cash and cash equivalents ]],Entity_Metrics[[#This Row],[Amounts owed to group undertakings]],Entity_Metrics[[#This Row],[Finance lease obligations]])/SUM(Entity_Metrics[[#This Row],[Tangible fixed assets: Housing properties at cost (Current period)2]],Entity_Metrics[[#This Row],[Tangible fixed assets Housing properties at valuation (Current period)2]]),"")</f>
        <v>0.31637780070940424</v>
      </c>
      <c r="Z292" s="32">
        <v>13507</v>
      </c>
      <c r="AA292" s="32">
        <v>284143</v>
      </c>
      <c r="AB292" s="32">
        <v>22458</v>
      </c>
      <c r="AC292" s="32">
        <v>0</v>
      </c>
      <c r="AD292" s="32">
        <v>1046</v>
      </c>
      <c r="AE292" s="32">
        <v>873127</v>
      </c>
      <c r="AF292" s="32">
        <v>0</v>
      </c>
      <c r="AG292" s="34">
        <f>IFERROR(SUM(Entity_Metrics[[#This Row],[Operating surplus/(deficit) (overall)]],-Entity_Metrics[[#This Row],[Gain/(loss) on disposal of fixed assets (housing properties)]],-Entity_Metrics[[#This Row],[Amortised government grant]],-Entity_Metrics[[#This Row],[Government grants taken to income]],Entity_Metrics[[#This Row],[Interest receivable]],-Entity_Metrics[[#This Row],[Capitalised major repairs expenditure for period]],Entity_Metrics[[#This Row],[Total depreciation charge for period]])/SUM(-Entity_Metrics[[#This Row],[Interest capitalised]],-Entity_Metrics[[#This Row],[Interest payable and financing costs]]),"")</f>
        <v>1.8179663937957777</v>
      </c>
      <c r="AH292" s="32">
        <v>73261</v>
      </c>
      <c r="AI292" s="32">
        <v>22662</v>
      </c>
      <c r="AJ292" s="32">
        <v>0</v>
      </c>
      <c r="AK292" s="32">
        <v>4662</v>
      </c>
      <c r="AL292" s="32">
        <v>623</v>
      </c>
      <c r="AM292" s="32">
        <v>15205</v>
      </c>
      <c r="AN292" s="32">
        <v>19279</v>
      </c>
      <c r="AO292" s="32">
        <v>-75</v>
      </c>
      <c r="AP292" s="32">
        <v>-27777</v>
      </c>
      <c r="AQ292" s="8">
        <f>IFERROR(SUM(Entity_Metrics[[#This Row],[Management costs]],Entity_Metrics[[#This Row],[Service charge costs]],Entity_Metrics[[#This Row],[Routine maintenance costs]],Entity_Metrics[[#This Row],[Planned maintenance costs]],Entity_Metrics[[#This Row],[Major repairs expenditure]],Entity_Metrics[[#This Row],[Capitalised major repairs expenditure for period2]],Entity_Metrics[[#This Row],[Other (social housing letting) costs]],Entity_Metrics[[#This Row],[Development services]],Entity_Metrics[[#This Row],[Community/neighbourhood services]],Entity_Metrics[[#This Row],[Other social housing activities: Other]],Entity_Metrics[[#This Row],[Other social housing activities: charges for support services']]],)/SUM(Entity_Metrics[[#This Row],[Total social housing units owned and/or managed at period end]]),"")</f>
        <v>3.4954241604329144</v>
      </c>
      <c r="AR292" s="32">
        <v>30883</v>
      </c>
      <c r="AS292" s="32">
        <v>14799</v>
      </c>
      <c r="AT292" s="32">
        <v>11340</v>
      </c>
      <c r="AU292" s="32">
        <v>6846</v>
      </c>
      <c r="AV292" s="32">
        <v>887</v>
      </c>
      <c r="AW292" s="32">
        <v>15205</v>
      </c>
      <c r="AX292" s="32">
        <v>6853</v>
      </c>
      <c r="AY292" s="32">
        <v>0</v>
      </c>
      <c r="AZ292" s="32">
        <v>50</v>
      </c>
      <c r="BA292" s="32">
        <v>-749</v>
      </c>
      <c r="BB292" s="32">
        <v>1733</v>
      </c>
      <c r="BC292" s="32">
        <v>25132</v>
      </c>
      <c r="BD292" s="34">
        <f>IFERROR(SUM(Entity_Metrics[[#This Row],[Operating surplus/(deficit) (social housing lettings)]])/SUM(Entity_Metrics[[#This Row],[Turnover from social housing lettings]]),"")</f>
        <v>0.34366207722238851</v>
      </c>
      <c r="BE292" s="32">
        <v>45927</v>
      </c>
      <c r="BF292" s="32">
        <v>133640</v>
      </c>
      <c r="BG292" s="34">
        <f>IFERROR(SUM(Entity_Metrics[[#This Row],[Operating surplus/(deficit) (overall)2]],-Entity_Metrics[[#This Row],[Gain/(loss) on disposal of fixed assets (housing properties)2]])/SUM(Entity_Metrics[[#This Row],[Turnover (overall)]]),"")</f>
        <v>0.35425286873481621</v>
      </c>
      <c r="BH292" s="32">
        <v>73261</v>
      </c>
      <c r="BI292" s="32">
        <v>22662</v>
      </c>
      <c r="BJ292" s="32">
        <v>142833</v>
      </c>
      <c r="BK292" s="34">
        <f>IFERROR(SUM(Entity_Metrics[[#This Row],[Operating surplus/(deficit) (overall)3]],Entity_Metrics[[#This Row],[Share of operating surplus/(deficit) in joint ventures or associates]])/SUM(Entity_Metrics[[#This Row],[Total assets less current liabilities]]),"")</f>
        <v>7.8466801477203599E-2</v>
      </c>
      <c r="BL292" s="32">
        <v>73261</v>
      </c>
      <c r="BM292" s="32">
        <v>0</v>
      </c>
      <c r="BN292" s="32">
        <v>933656</v>
      </c>
      <c r="BO292" s="34">
        <v>3.172192693832785E-2</v>
      </c>
      <c r="BP292" s="34">
        <v>0.21176073567873113</v>
      </c>
      <c r="BQ292" s="6" t="s">
        <v>82</v>
      </c>
      <c r="BR292" s="6" t="s">
        <v>83</v>
      </c>
      <c r="BS292" s="6" t="s">
        <v>83</v>
      </c>
      <c r="BT292" s="6" t="s">
        <v>105</v>
      </c>
      <c r="BU292" s="8">
        <v>0.91722071629946933</v>
      </c>
      <c r="BV292" s="37" t="s">
        <v>655</v>
      </c>
      <c r="BW292" s="19" t="s">
        <v>556</v>
      </c>
    </row>
    <row r="294" spans="1:75" s="9" customFormat="1" ht="14.25" customHeight="1" x14ac:dyDescent="0.2">
      <c r="A294" s="44"/>
      <c r="B294" s="45" t="s">
        <v>557</v>
      </c>
      <c r="C294" s="45"/>
      <c r="D294" s="46">
        <f>_xlfn.PERCENTILE.EXC(Entity_Metrics[Reinvestment],0.25)</f>
        <v>3.0344787708832244E-2</v>
      </c>
      <c r="E294" s="46"/>
      <c r="F294" s="46"/>
      <c r="G294" s="46"/>
      <c r="H294" s="46"/>
      <c r="I294" s="46"/>
      <c r="J294" s="46"/>
      <c r="K294" s="46"/>
      <c r="L294" s="46">
        <f>_xlfn.PERCENTILE.EXC(Entity_Metrics[New Supply (Social)],0.25)</f>
        <v>2.6352227383155216E-3</v>
      </c>
      <c r="M294" s="46"/>
      <c r="N294" s="46"/>
      <c r="O294" s="46"/>
      <c r="P294" s="46"/>
      <c r="Q294" s="47">
        <f>_xlfn.PERCENTILE.EXC(Entity_Metrics[New Supply (Non-Social)],0.25)</f>
        <v>0</v>
      </c>
      <c r="R294" s="46"/>
      <c r="S294" s="46"/>
      <c r="T294" s="46"/>
      <c r="U294" s="46"/>
      <c r="V294" s="46"/>
      <c r="W294" s="46"/>
      <c r="X294" s="46"/>
      <c r="Y294" s="46">
        <f>_xlfn.PERCENTILE.EXC(Entity_Metrics[Gearing],0.25)</f>
        <v>0.32540589538874704</v>
      </c>
      <c r="Z294" s="46"/>
      <c r="AA294" s="46"/>
      <c r="AB294" s="46"/>
      <c r="AC294" s="46"/>
      <c r="AD294" s="46"/>
      <c r="AE294" s="46"/>
      <c r="AF294" s="46"/>
      <c r="AG294" s="48">
        <f>_xlfn.PERCENTILE.EXC(Entity_Metrics[EBITDA MRI Interest Rate Cover],0.25)</f>
        <v>1.4753546621848999</v>
      </c>
      <c r="AH294" s="46"/>
      <c r="AI294" s="46"/>
      <c r="AJ294" s="46"/>
      <c r="AK294" s="46"/>
      <c r="AL294" s="46"/>
      <c r="AM294" s="46"/>
      <c r="AN294" s="46"/>
      <c r="AO294" s="46"/>
      <c r="AP294" s="46"/>
      <c r="AQ294" s="49">
        <f>_xlfn.PERCENTILE.EXC(Entity_Metrics[Headline Social Housing Cost per unit],0.25)</f>
        <v>2.9472077241501218</v>
      </c>
      <c r="AR294" s="46"/>
      <c r="AS294" s="46"/>
      <c r="AT294" s="46"/>
      <c r="AU294" s="46"/>
      <c r="AV294" s="46"/>
      <c r="AW294" s="46"/>
      <c r="AX294" s="46"/>
      <c r="AY294" s="46"/>
      <c r="AZ294" s="46"/>
      <c r="BA294" s="46"/>
      <c r="BB294" s="46"/>
      <c r="BC294" s="46"/>
      <c r="BD294" s="46">
        <f>_xlfn.PERCENTILE.EXC(Entity_Metrics[Operating Margin (SHL)],0.25)</f>
        <v>0.26042012378370866</v>
      </c>
      <c r="BE294" s="46"/>
      <c r="BF294" s="46"/>
      <c r="BG294" s="46">
        <f>_xlfn.PERCENTILE.EXC(Entity_Metrics[Operating Margin (Overall)],0.25)</f>
        <v>0.23278599157269417</v>
      </c>
      <c r="BH294" s="46"/>
      <c r="BI294" s="46"/>
      <c r="BJ294" s="46"/>
      <c r="BK294" s="46">
        <f>_xlfn.PERCENTILE.EXC(Entity_Metrics[ROCE],0.25)</f>
        <v>3.1945602979549667E-2</v>
      </c>
      <c r="BL294" s="46"/>
      <c r="BM294" s="46"/>
      <c r="BN294" s="46"/>
      <c r="BO294" s="46"/>
      <c r="BP294" s="46"/>
      <c r="BQ294" s="46"/>
      <c r="BR294" s="46"/>
      <c r="BS294" s="46"/>
      <c r="BT294" s="46"/>
      <c r="BU294" s="46"/>
      <c r="BV294" s="46"/>
      <c r="BW294" s="46"/>
    </row>
    <row r="295" spans="1:75" s="9" customFormat="1" ht="12.75" x14ac:dyDescent="0.2">
      <c r="A295" s="10"/>
      <c r="B295" s="11" t="s">
        <v>558</v>
      </c>
      <c r="C295" s="11"/>
      <c r="D295" s="12">
        <f>_xlfn.PERCENTILE.EXC(Entity_Metrics[Reinvestment],0.5)</f>
        <v>5.8225564092404987E-2</v>
      </c>
      <c r="E295" s="12"/>
      <c r="F295" s="12"/>
      <c r="G295" s="12"/>
      <c r="H295" s="12"/>
      <c r="I295" s="12"/>
      <c r="J295" s="12"/>
      <c r="K295" s="12"/>
      <c r="L295" s="12">
        <f>_xlfn.PERCENTILE.EXC(Entity_Metrics[New Supply (Social)],0.5)</f>
        <v>9.9965906877069952E-3</v>
      </c>
      <c r="M295" s="12"/>
      <c r="N295" s="12"/>
      <c r="O295" s="12"/>
      <c r="P295" s="12"/>
      <c r="Q295" s="13">
        <f>_xlfn.PERCENTILE.EXC(Entity_Metrics[New Supply (Non-Social)],0.5)</f>
        <v>0</v>
      </c>
      <c r="R295" s="12"/>
      <c r="S295" s="12"/>
      <c r="T295" s="12"/>
      <c r="U295" s="12"/>
      <c r="V295" s="12"/>
      <c r="W295" s="12"/>
      <c r="X295" s="12"/>
      <c r="Y295" s="12">
        <f>_xlfn.PERCENTILE.EXC(Entity_Metrics[Gearing],0.5)</f>
        <v>0.43724894577492668</v>
      </c>
      <c r="Z295" s="12"/>
      <c r="AA295" s="12"/>
      <c r="AB295" s="12"/>
      <c r="AC295" s="12"/>
      <c r="AD295" s="12"/>
      <c r="AE295" s="12"/>
      <c r="AF295" s="12"/>
      <c r="AG295" s="14">
        <f>_xlfn.PERCENTILE.EXC(Entity_Metrics[EBITDA MRI Interest Rate Cover],0.5)</f>
        <v>2.0296087489028158</v>
      </c>
      <c r="AH295" s="12"/>
      <c r="AI295" s="12"/>
      <c r="AJ295" s="12"/>
      <c r="AK295" s="12"/>
      <c r="AL295" s="12"/>
      <c r="AM295" s="12"/>
      <c r="AN295" s="12"/>
      <c r="AO295" s="12"/>
      <c r="AP295" s="12"/>
      <c r="AQ295" s="15">
        <f>_xlfn.PERCENTILE.EXC(Entity_Metrics[Headline Social Housing Cost per unit],0.5)</f>
        <v>3.361733274776753</v>
      </c>
      <c r="AR295" s="12"/>
      <c r="AS295" s="12"/>
      <c r="AT295" s="12"/>
      <c r="AU295" s="12"/>
      <c r="AV295" s="12"/>
      <c r="AW295" s="12"/>
      <c r="AX295" s="12"/>
      <c r="AY295" s="12"/>
      <c r="AZ295" s="12"/>
      <c r="BA295" s="12"/>
      <c r="BB295" s="12"/>
      <c r="BC295" s="12"/>
      <c r="BD295" s="12">
        <f>_xlfn.PERCENTILE.EXC(Entity_Metrics[Operating Margin (SHL)],0.5)</f>
        <v>0.32464585121004791</v>
      </c>
      <c r="BE295" s="12"/>
      <c r="BF295" s="12"/>
      <c r="BG295" s="12">
        <f>_xlfn.PERCENTILE.EXC(Entity_Metrics[Operating Margin (Overall)],0.5)</f>
        <v>0.29654586292721424</v>
      </c>
      <c r="BH295" s="12"/>
      <c r="BI295" s="12"/>
      <c r="BJ295" s="12"/>
      <c r="BK295" s="12">
        <f>_xlfn.PERCENTILE.EXC(Entity_Metrics[ROCE],0.5)</f>
        <v>4.1469296598302348E-2</v>
      </c>
      <c r="BL295" s="12"/>
      <c r="BM295" s="12"/>
      <c r="BN295" s="12"/>
      <c r="BO295" s="12"/>
      <c r="BP295" s="12"/>
      <c r="BQ295" s="12"/>
      <c r="BR295" s="12"/>
      <c r="BS295" s="12"/>
      <c r="BT295" s="12"/>
      <c r="BU295" s="12"/>
      <c r="BV295" s="12"/>
      <c r="BW295" s="12"/>
    </row>
    <row r="296" spans="1:75" s="9" customFormat="1" ht="12.75" x14ac:dyDescent="0.2">
      <c r="A296" s="44"/>
      <c r="B296" s="45" t="s">
        <v>559</v>
      </c>
      <c r="C296" s="45"/>
      <c r="D296" s="46">
        <f>_xlfn.PERCENTILE.EXC(Entity_Metrics[Reinvestment],0.75)</f>
        <v>8.7158620551419402E-2</v>
      </c>
      <c r="E296" s="46"/>
      <c r="F296" s="46"/>
      <c r="G296" s="46"/>
      <c r="H296" s="46"/>
      <c r="I296" s="46"/>
      <c r="J296" s="46"/>
      <c r="K296" s="46"/>
      <c r="L296" s="46">
        <f>_xlfn.PERCENTILE.EXC(Entity_Metrics[New Supply (Social)],0.75)</f>
        <v>2.2667081503656244E-2</v>
      </c>
      <c r="M296" s="46"/>
      <c r="N296" s="46"/>
      <c r="O296" s="46"/>
      <c r="P296" s="46"/>
      <c r="Q296" s="47">
        <f>_xlfn.PERCENTILE.EXC(Entity_Metrics[New Supply (Non-Social)],0.75)</f>
        <v>0</v>
      </c>
      <c r="R296" s="46"/>
      <c r="S296" s="46"/>
      <c r="T296" s="46"/>
      <c r="U296" s="46"/>
      <c r="V296" s="46"/>
      <c r="W296" s="46"/>
      <c r="X296" s="46"/>
      <c r="Y296" s="46">
        <f>_xlfn.PERCENTILE.EXC(Entity_Metrics[Gearing],0.75)</f>
        <v>0.57212116384057743</v>
      </c>
      <c r="Z296" s="46"/>
      <c r="AA296" s="46"/>
      <c r="AB296" s="46"/>
      <c r="AC296" s="46"/>
      <c r="AD296" s="46"/>
      <c r="AE296" s="46"/>
      <c r="AF296" s="46"/>
      <c r="AG296" s="48">
        <f>_xlfn.PERCENTILE.EXC(Entity_Metrics[EBITDA MRI Interest Rate Cover],0.75)</f>
        <v>2.755760727986468</v>
      </c>
      <c r="AH296" s="46"/>
      <c r="AI296" s="46"/>
      <c r="AJ296" s="46"/>
      <c r="AK296" s="46"/>
      <c r="AL296" s="46"/>
      <c r="AM296" s="46"/>
      <c r="AN296" s="46"/>
      <c r="AO296" s="46"/>
      <c r="AP296" s="46"/>
      <c r="AQ296" s="49">
        <f>_xlfn.PERCENTILE.EXC(Entity_Metrics[Headline Social Housing Cost per unit],0.75)</f>
        <v>4.3331338554487226</v>
      </c>
      <c r="AR296" s="46"/>
      <c r="AS296" s="46"/>
      <c r="AT296" s="46"/>
      <c r="AU296" s="46"/>
      <c r="AV296" s="46"/>
      <c r="AW296" s="46"/>
      <c r="AX296" s="46"/>
      <c r="AY296" s="46"/>
      <c r="AZ296" s="46"/>
      <c r="BA296" s="46"/>
      <c r="BB296" s="46"/>
      <c r="BC296" s="46"/>
      <c r="BD296" s="46">
        <f>_xlfn.PERCENTILE.EXC(Entity_Metrics[Operating Margin (SHL)],0.75)</f>
        <v>0.37438372802791309</v>
      </c>
      <c r="BE296" s="46"/>
      <c r="BF296" s="46"/>
      <c r="BG296" s="46">
        <f>_xlfn.PERCENTILE.EXC(Entity_Metrics[Operating Margin (Overall)],0.75)</f>
        <v>0.35355512207031048</v>
      </c>
      <c r="BH296" s="46"/>
      <c r="BI296" s="46"/>
      <c r="BJ296" s="46"/>
      <c r="BK296" s="46">
        <f>_xlfn.PERCENTILE.EXC(Entity_Metrics[ROCE],0.75)</f>
        <v>5.7385900514449729E-2</v>
      </c>
      <c r="BL296" s="46"/>
      <c r="BM296" s="46"/>
      <c r="BN296" s="46"/>
      <c r="BO296" s="46"/>
      <c r="BP296" s="46"/>
      <c r="BQ296" s="46"/>
      <c r="BR296" s="46"/>
      <c r="BS296" s="46"/>
      <c r="BT296" s="46"/>
      <c r="BU296" s="46"/>
      <c r="BV296" s="46"/>
      <c r="BW296" s="46"/>
    </row>
  </sheetData>
  <printOptions horizontalCentered="1"/>
  <pageMargins left="0.11811023622047245" right="0.11811023622047245" top="0.35433070866141736" bottom="0.35433070866141736" header="0.11811023622047245" footer="0.51181102362204722"/>
  <pageSetup paperSize="9" scale="57" fitToWidth="2" fitToHeight="0" pageOrder="overThenDown"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Right="0"/>
    <pageSetUpPr fitToPage="1"/>
  </sheetPr>
  <dimension ref="A1:BX237"/>
  <sheetViews>
    <sheetView showGridLines="0" zoomScale="80" zoomScaleNormal="80" workbookViewId="0">
      <pane xSplit="2" ySplit="3" topLeftCell="AL84" activePane="bottomRight" state="frozen"/>
      <selection pane="topRight" activeCell="C1" sqref="C1"/>
      <selection pane="bottomLeft" activeCell="A4" sqref="A4"/>
      <selection pane="bottomRight" activeCell="A2" sqref="A2"/>
    </sheetView>
  </sheetViews>
  <sheetFormatPr defaultColWidth="0" defaultRowHeight="15" outlineLevelCol="1" x14ac:dyDescent="0.25"/>
  <cols>
    <col min="1" max="1" width="10.85546875" customWidth="1"/>
    <col min="2" max="2" width="42.85546875" customWidth="1"/>
    <col min="3" max="3" width="11.5703125" bestFit="1" customWidth="1"/>
    <col min="4" max="4" width="15.5703125" customWidth="1" collapsed="1"/>
    <col min="5" max="5" width="19.28515625" hidden="1" customWidth="1" outlineLevel="1"/>
    <col min="6" max="6" width="20" hidden="1" customWidth="1" outlineLevel="1"/>
    <col min="7" max="7" width="14.140625" hidden="1" customWidth="1" outlineLevel="1"/>
    <col min="8" max="8" width="15.140625" hidden="1" customWidth="1" outlineLevel="1"/>
    <col min="9" max="9" width="13.5703125" hidden="1" customWidth="1" outlineLevel="1"/>
    <col min="10" max="11" width="18.140625" hidden="1" customWidth="1" outlineLevel="1"/>
    <col min="12" max="12" width="12.5703125" customWidth="1" collapsed="1"/>
    <col min="13" max="13" width="23.140625" hidden="1" customWidth="1" outlineLevel="1"/>
    <col min="14" max="14" width="19.5703125" hidden="1" customWidth="1" outlineLevel="1"/>
    <col min="15" max="15" width="14.7109375" hidden="1" customWidth="1" outlineLevel="1"/>
    <col min="16" max="16" width="17" hidden="1" customWidth="1" outlineLevel="1"/>
    <col min="17" max="17" width="15.42578125" style="16" customWidth="1" collapsed="1"/>
    <col min="18" max="18" width="19.85546875" hidden="1" customWidth="1" outlineLevel="1"/>
    <col min="19" max="19" width="23.140625" hidden="1" customWidth="1" outlineLevel="1"/>
    <col min="20" max="20" width="17.7109375" hidden="1" customWidth="1" outlineLevel="1"/>
    <col min="21" max="21" width="16.7109375" hidden="1" customWidth="1" outlineLevel="1"/>
    <col min="22" max="22" width="15.5703125" hidden="1" customWidth="1" outlineLevel="1"/>
    <col min="23" max="23" width="13.7109375" hidden="1" customWidth="1" outlineLevel="1"/>
    <col min="24" max="24" width="17.42578125" hidden="1" customWidth="1" outlineLevel="1"/>
    <col min="25" max="25" width="11.5703125" customWidth="1" collapsed="1"/>
    <col min="26" max="30" width="14.85546875" hidden="1" customWidth="1" outlineLevel="1"/>
    <col min="31" max="32" width="20.28515625" hidden="1" customWidth="1" outlineLevel="1"/>
    <col min="33" max="33" width="14.140625" customWidth="1" collapsed="1"/>
    <col min="34" max="42" width="17.28515625" hidden="1" customWidth="1" outlineLevel="1"/>
    <col min="43" max="43" width="14" customWidth="1" collapsed="1"/>
    <col min="44" max="44" width="14" hidden="1" customWidth="1" outlineLevel="1"/>
    <col min="45" max="45" width="12.5703125" hidden="1" customWidth="1" outlineLevel="1"/>
    <col min="46" max="46" width="15" hidden="1" customWidth="1" outlineLevel="1"/>
    <col min="47" max="48" width="14.42578125" hidden="1" customWidth="1" outlineLevel="1"/>
    <col min="49" max="49" width="14.7109375" hidden="1" customWidth="1" outlineLevel="1"/>
    <col min="50" max="51" width="12.5703125" hidden="1" customWidth="1" outlineLevel="1"/>
    <col min="52" max="53" width="16" hidden="1" customWidth="1" outlineLevel="1"/>
    <col min="54" max="55" width="18.140625" hidden="1" customWidth="1" outlineLevel="1"/>
    <col min="56" max="56" width="15.42578125" customWidth="1" collapsed="1"/>
    <col min="57" max="58" width="17.42578125" hidden="1" customWidth="1" outlineLevel="1"/>
    <col min="59" max="59" width="14.42578125" customWidth="1" collapsed="1"/>
    <col min="60" max="60" width="15" hidden="1" customWidth="1" outlineLevel="1"/>
    <col min="61" max="61" width="18" hidden="1" customWidth="1" outlineLevel="1"/>
    <col min="62" max="62" width="12.42578125" hidden="1" customWidth="1" outlineLevel="1"/>
    <col min="63" max="63" width="14.5703125" customWidth="1" collapsed="1"/>
    <col min="64" max="64" width="16.5703125" hidden="1" customWidth="1" outlineLevel="1"/>
    <col min="65" max="65" width="18.42578125" hidden="1" customWidth="1" outlineLevel="1"/>
    <col min="66" max="66" width="16" hidden="1" customWidth="1" outlineLevel="1"/>
    <col min="67" max="67" width="15.5703125" customWidth="1"/>
    <col min="68" max="68" width="16.42578125" customWidth="1"/>
    <col min="69" max="69" width="14" customWidth="1"/>
    <col min="70" max="70" width="13.28515625" customWidth="1"/>
    <col min="71" max="71" width="11.85546875" customWidth="1"/>
    <col min="72" max="72" width="25.28515625" customWidth="1"/>
    <col min="73" max="73" width="15.85546875" customWidth="1"/>
    <col min="74" max="74" width="8.5703125" customWidth="1"/>
    <col min="75" max="16384" width="9.140625" hidden="1"/>
  </cols>
  <sheetData>
    <row r="1" spans="1:76" ht="51.75" customHeight="1" x14ac:dyDescent="0.25">
      <c r="A1" s="60" t="s">
        <v>0</v>
      </c>
      <c r="B1" s="60"/>
      <c r="D1" s="62" t="s">
        <v>1</v>
      </c>
      <c r="E1" s="63"/>
      <c r="F1" s="63"/>
      <c r="G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4"/>
      <c r="BO1" s="1"/>
    </row>
    <row r="2" spans="1:76" ht="38.25" customHeight="1" x14ac:dyDescent="0.25">
      <c r="A2" s="61" t="s">
        <v>944</v>
      </c>
      <c r="B2" s="61"/>
      <c r="D2" s="57" t="s">
        <v>2</v>
      </c>
      <c r="E2" s="59"/>
      <c r="F2" s="59"/>
      <c r="G2" s="59"/>
      <c r="H2" s="59"/>
      <c r="I2" s="59"/>
      <c r="J2" s="59"/>
      <c r="K2" s="59"/>
      <c r="L2" s="59"/>
      <c r="M2" s="59"/>
      <c r="N2" s="59"/>
      <c r="O2" s="59"/>
      <c r="P2" s="59"/>
      <c r="Q2" s="59"/>
      <c r="R2" s="59"/>
      <c r="S2" s="59"/>
      <c r="T2" s="59"/>
      <c r="U2" s="59"/>
      <c r="V2" s="59"/>
      <c r="W2" s="59"/>
      <c r="X2" s="59"/>
      <c r="Y2" s="59"/>
      <c r="Z2" s="59"/>
      <c r="AA2" s="59"/>
      <c r="AB2" s="59"/>
      <c r="AC2" s="59"/>
      <c r="AD2" s="59"/>
      <c r="AE2" s="59"/>
      <c r="AF2" s="59"/>
      <c r="AG2" s="59"/>
      <c r="AH2" s="59"/>
      <c r="AI2" s="59"/>
      <c r="AJ2" s="59"/>
      <c r="AK2" s="59"/>
      <c r="AL2" s="59"/>
      <c r="AM2" s="59"/>
      <c r="AN2" s="59"/>
      <c r="AO2" s="59"/>
      <c r="AP2" s="59"/>
      <c r="AQ2" s="59"/>
      <c r="AR2" s="59"/>
      <c r="AS2" s="59"/>
      <c r="AT2" s="59"/>
      <c r="AU2" s="59"/>
      <c r="AV2" s="59"/>
      <c r="AW2" s="59"/>
      <c r="AX2" s="59"/>
      <c r="AY2" s="59"/>
      <c r="AZ2" s="59"/>
      <c r="BA2" s="59"/>
      <c r="BB2" s="59"/>
      <c r="BC2" s="59"/>
      <c r="BD2" s="59"/>
      <c r="BE2" s="59"/>
      <c r="BF2" s="59"/>
      <c r="BG2" s="59"/>
      <c r="BH2" s="59"/>
      <c r="BI2" s="59"/>
      <c r="BJ2" s="59"/>
      <c r="BK2" s="59"/>
      <c r="BL2" s="55"/>
      <c r="BM2" s="55"/>
      <c r="BN2" s="56"/>
      <c r="BO2" s="57" t="s">
        <v>3</v>
      </c>
      <c r="BP2" s="58"/>
      <c r="BQ2" s="57" t="s">
        <v>4</v>
      </c>
      <c r="BR2" s="59"/>
      <c r="BS2" s="58"/>
      <c r="BT2" s="57" t="s">
        <v>5</v>
      </c>
      <c r="BU2" s="58"/>
      <c r="BV2" s="2"/>
      <c r="BW2" s="2"/>
      <c r="BX2" s="2"/>
    </row>
    <row r="3" spans="1:76" ht="87" customHeight="1" x14ac:dyDescent="0.25">
      <c r="A3" s="3" t="s">
        <v>6</v>
      </c>
      <c r="B3" s="4" t="s">
        <v>7</v>
      </c>
      <c r="C3" s="3" t="s">
        <v>8</v>
      </c>
      <c r="D3" s="5" t="s">
        <v>9</v>
      </c>
      <c r="E3" s="69" t="s">
        <v>10</v>
      </c>
      <c r="F3" s="69" t="s">
        <v>11</v>
      </c>
      <c r="G3" s="69" t="s">
        <v>12</v>
      </c>
      <c r="H3" s="69" t="s">
        <v>13</v>
      </c>
      <c r="I3" s="69" t="s">
        <v>14</v>
      </c>
      <c r="J3" s="69" t="s">
        <v>15</v>
      </c>
      <c r="K3" s="69" t="s">
        <v>16</v>
      </c>
      <c r="L3" s="5" t="s">
        <v>17</v>
      </c>
      <c r="M3" s="69" t="s">
        <v>18</v>
      </c>
      <c r="N3" s="69" t="s">
        <v>19</v>
      </c>
      <c r="O3" s="69" t="s">
        <v>20</v>
      </c>
      <c r="P3" s="69" t="s">
        <v>21</v>
      </c>
      <c r="Q3" s="5" t="s">
        <v>22</v>
      </c>
      <c r="R3" s="69" t="s">
        <v>23</v>
      </c>
      <c r="S3" s="69" t="s">
        <v>24</v>
      </c>
      <c r="T3" s="69" t="s">
        <v>25</v>
      </c>
      <c r="U3" s="69" t="s">
        <v>26</v>
      </c>
      <c r="V3" s="69" t="s">
        <v>27</v>
      </c>
      <c r="W3" s="69" t="s">
        <v>28</v>
      </c>
      <c r="X3" s="69" t="s">
        <v>29</v>
      </c>
      <c r="Y3" s="35" t="s">
        <v>30</v>
      </c>
      <c r="Z3" s="69" t="s">
        <v>31</v>
      </c>
      <c r="AA3" s="69" t="s">
        <v>32</v>
      </c>
      <c r="AB3" s="69" t="s">
        <v>33</v>
      </c>
      <c r="AC3" s="69" t="s">
        <v>34</v>
      </c>
      <c r="AD3" s="69" t="s">
        <v>35</v>
      </c>
      <c r="AE3" s="69" t="s">
        <v>36</v>
      </c>
      <c r="AF3" s="69" t="s">
        <v>37</v>
      </c>
      <c r="AG3" s="5" t="s">
        <v>38</v>
      </c>
      <c r="AH3" s="69" t="s">
        <v>39</v>
      </c>
      <c r="AI3" s="69" t="s">
        <v>40</v>
      </c>
      <c r="AJ3" s="69" t="s">
        <v>41</v>
      </c>
      <c r="AK3" s="69" t="s">
        <v>42</v>
      </c>
      <c r="AL3" s="69" t="s">
        <v>43</v>
      </c>
      <c r="AM3" s="69" t="s">
        <v>44</v>
      </c>
      <c r="AN3" s="69" t="s">
        <v>45</v>
      </c>
      <c r="AO3" s="69" t="s">
        <v>46</v>
      </c>
      <c r="AP3" s="69" t="s">
        <v>47</v>
      </c>
      <c r="AQ3" s="5" t="s">
        <v>48</v>
      </c>
      <c r="AR3" s="69" t="s">
        <v>49</v>
      </c>
      <c r="AS3" s="69" t="s">
        <v>50</v>
      </c>
      <c r="AT3" s="69" t="s">
        <v>51</v>
      </c>
      <c r="AU3" s="69" t="s">
        <v>52</v>
      </c>
      <c r="AV3" s="69" t="s">
        <v>53</v>
      </c>
      <c r="AW3" s="69" t="s">
        <v>54</v>
      </c>
      <c r="AX3" s="69" t="s">
        <v>55</v>
      </c>
      <c r="AY3" s="69" t="s">
        <v>56</v>
      </c>
      <c r="AZ3" s="69" t="s">
        <v>57</v>
      </c>
      <c r="BA3" s="69" t="s">
        <v>58</v>
      </c>
      <c r="BB3" s="69" t="s">
        <v>59</v>
      </c>
      <c r="BC3" s="69" t="s">
        <v>60</v>
      </c>
      <c r="BD3" s="5" t="s">
        <v>61</v>
      </c>
      <c r="BE3" s="69" t="s">
        <v>62</v>
      </c>
      <c r="BF3" s="69" t="s">
        <v>63</v>
      </c>
      <c r="BG3" s="5" t="s">
        <v>64</v>
      </c>
      <c r="BH3" s="69" t="s">
        <v>65</v>
      </c>
      <c r="BI3" s="69" t="s">
        <v>66</v>
      </c>
      <c r="BJ3" s="69" t="s">
        <v>67</v>
      </c>
      <c r="BK3" s="5" t="s">
        <v>68</v>
      </c>
      <c r="BL3" s="69" t="s">
        <v>69</v>
      </c>
      <c r="BM3" s="69" t="s">
        <v>70</v>
      </c>
      <c r="BN3" s="69" t="s">
        <v>71</v>
      </c>
      <c r="BO3" s="35" t="s">
        <v>72</v>
      </c>
      <c r="BP3" s="5" t="s">
        <v>73</v>
      </c>
      <c r="BQ3" s="5" t="s">
        <v>74</v>
      </c>
      <c r="BR3" s="5" t="s">
        <v>75</v>
      </c>
      <c r="BS3" s="5" t="s">
        <v>76</v>
      </c>
      <c r="BT3" s="5" t="s">
        <v>77</v>
      </c>
      <c r="BU3" s="5" t="s">
        <v>78</v>
      </c>
      <c r="BV3" s="2"/>
      <c r="BW3" s="2"/>
      <c r="BX3" s="2"/>
    </row>
    <row r="4" spans="1:76" x14ac:dyDescent="0.25">
      <c r="A4" s="33" t="s">
        <v>79</v>
      </c>
      <c r="B4" s="7" t="s">
        <v>80</v>
      </c>
      <c r="C4" s="7" t="s">
        <v>81</v>
      </c>
      <c r="D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3.9079556353783136E-2</v>
      </c>
      <c r="E4" s="32">
        <v>89355</v>
      </c>
      <c r="F4" s="32">
        <v>0</v>
      </c>
      <c r="G4" s="32">
        <v>11977</v>
      </c>
      <c r="H4" s="32">
        <v>0</v>
      </c>
      <c r="I4" s="32">
        <v>0</v>
      </c>
      <c r="J4" s="32">
        <v>2592967</v>
      </c>
      <c r="K4" s="32">
        <v>0</v>
      </c>
      <c r="L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6.0108768247304645E-3</v>
      </c>
      <c r="M4" s="32">
        <v>189</v>
      </c>
      <c r="N4" s="32">
        <v>0</v>
      </c>
      <c r="O4" s="32">
        <v>27537</v>
      </c>
      <c r="P4" s="32">
        <v>3906</v>
      </c>
      <c r="Q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9.4705882352941178E-3</v>
      </c>
      <c r="R4" s="32">
        <v>182</v>
      </c>
      <c r="S4" s="32">
        <v>0</v>
      </c>
      <c r="T4" s="32">
        <v>140</v>
      </c>
      <c r="U4" s="32">
        <v>27537</v>
      </c>
      <c r="V4" s="32">
        <v>2557</v>
      </c>
      <c r="W4" s="32">
        <v>3906</v>
      </c>
      <c r="X4" s="32">
        <v>0</v>
      </c>
      <c r="Y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0.54707290914230688</v>
      </c>
      <c r="Z4" s="32">
        <v>52515</v>
      </c>
      <c r="AA4" s="32">
        <v>1492132</v>
      </c>
      <c r="AB4" s="32">
        <v>126105</v>
      </c>
      <c r="AC4" s="32">
        <v>0</v>
      </c>
      <c r="AD4" s="32">
        <v>0</v>
      </c>
      <c r="AE4" s="32">
        <v>2592967</v>
      </c>
      <c r="AF4" s="32">
        <v>0</v>
      </c>
      <c r="AG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1.2598968684535639</v>
      </c>
      <c r="AH4" s="32">
        <v>100242</v>
      </c>
      <c r="AI4" s="32">
        <v>13433</v>
      </c>
      <c r="AJ4" s="32">
        <v>15646</v>
      </c>
      <c r="AK4" s="32">
        <v>0</v>
      </c>
      <c r="AL4" s="32">
        <v>2907</v>
      </c>
      <c r="AM4" s="32">
        <v>11977</v>
      </c>
      <c r="AN4" s="32">
        <v>31729</v>
      </c>
      <c r="AO4" s="32">
        <v>-17863</v>
      </c>
      <c r="AP4" s="32">
        <v>-56605</v>
      </c>
      <c r="AQ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4.2642682042606079</v>
      </c>
      <c r="AR4" s="32">
        <v>39840</v>
      </c>
      <c r="AS4" s="32">
        <v>25568</v>
      </c>
      <c r="AT4" s="32">
        <v>16980</v>
      </c>
      <c r="AU4" s="32">
        <v>12701</v>
      </c>
      <c r="AV4" s="32">
        <v>0</v>
      </c>
      <c r="AW4" s="32">
        <v>11977</v>
      </c>
      <c r="AX4" s="32">
        <v>3308</v>
      </c>
      <c r="AY4" s="32">
        <v>2272</v>
      </c>
      <c r="AZ4" s="32">
        <v>4207</v>
      </c>
      <c r="BA4" s="32">
        <v>3391</v>
      </c>
      <c r="BB4" s="32">
        <v>3262</v>
      </c>
      <c r="BC4" s="32">
        <v>28963</v>
      </c>
      <c r="BD4" s="34">
        <f>IFERROR(SUM(Cons_Metrics[[#This Row],[Operating surplus/(deficit) (social housing lettings)]])/SUM(Cons_Metrics[[#This Row],[Turnover from social housing lettings]]),"")</f>
        <v>0.4065848045872944</v>
      </c>
      <c r="BE4" s="32">
        <v>86222</v>
      </c>
      <c r="BF4" s="32">
        <v>212064</v>
      </c>
      <c r="BG4" s="34">
        <f>IFERROR(SUM(Cons_Metrics[[#This Row],[Operating surplus/(deficit) (overall)2]],-Cons_Metrics[[#This Row],[Gain/(loss) on disposal of fixed assets (housing properties)2]])/SUM(Cons_Metrics[[#This Row],[Turnover (overall)]]),"")</f>
        <v>0.28870508573785103</v>
      </c>
      <c r="BH4" s="32">
        <v>100242</v>
      </c>
      <c r="BI4" s="32">
        <v>13433</v>
      </c>
      <c r="BJ4" s="32">
        <v>300684</v>
      </c>
      <c r="BK4" s="34">
        <f>IFERROR(SUM(Cons_Metrics[[#This Row],[Operating surplus/(deficit) (overall)3]],Cons_Metrics[[#This Row],[Share of operating surplus/(deficit) in joint ventures or associates]])/SUM(Cons_Metrics[[#This Row],[Total assets less current liabilities]]),"")</f>
        <v>3.9803318819068789E-2</v>
      </c>
      <c r="BL4" s="32">
        <v>100242</v>
      </c>
      <c r="BM4" s="32">
        <v>41218</v>
      </c>
      <c r="BN4" s="32">
        <v>3553975</v>
      </c>
      <c r="BO4" s="34">
        <v>4.6019550263486059E-2</v>
      </c>
      <c r="BP4" s="34">
        <v>3.7330544269681E-2</v>
      </c>
      <c r="BQ4" s="6" t="s">
        <v>82</v>
      </c>
      <c r="BR4" s="6" t="s">
        <v>83</v>
      </c>
      <c r="BS4" s="6" t="s">
        <v>83</v>
      </c>
      <c r="BT4" s="6" t="s">
        <v>84</v>
      </c>
      <c r="BU4" s="8">
        <v>1.1265821631885364</v>
      </c>
    </row>
    <row r="5" spans="1:76" x14ac:dyDescent="0.25">
      <c r="A5" s="33" t="s">
        <v>85</v>
      </c>
      <c r="B5" s="7" t="s">
        <v>86</v>
      </c>
      <c r="C5" s="7" t="s">
        <v>81</v>
      </c>
      <c r="D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2.9825511897697859E-2</v>
      </c>
      <c r="E5" s="32">
        <v>2422</v>
      </c>
      <c r="F5" s="32">
        <v>9441</v>
      </c>
      <c r="G5" s="32">
        <v>5262</v>
      </c>
      <c r="H5" s="32">
        <v>216</v>
      </c>
      <c r="I5" s="32">
        <v>0</v>
      </c>
      <c r="J5" s="32">
        <v>0</v>
      </c>
      <c r="K5" s="32">
        <v>581415</v>
      </c>
      <c r="L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6.882527764742687E-3</v>
      </c>
      <c r="M5" s="32">
        <v>132</v>
      </c>
      <c r="N5" s="32">
        <v>0</v>
      </c>
      <c r="O5" s="32">
        <v>18906</v>
      </c>
      <c r="P5" s="32">
        <v>273</v>
      </c>
      <c r="Q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 s="32">
        <v>0</v>
      </c>
      <c r="S5" s="32">
        <v>0</v>
      </c>
      <c r="T5" s="32">
        <v>0</v>
      </c>
      <c r="U5" s="32">
        <v>18906</v>
      </c>
      <c r="V5" s="32">
        <v>28</v>
      </c>
      <c r="W5" s="32">
        <v>273</v>
      </c>
      <c r="X5" s="32">
        <v>0</v>
      </c>
      <c r="Y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0.54044701289096431</v>
      </c>
      <c r="Z5" s="32">
        <v>14748</v>
      </c>
      <c r="AA5" s="32">
        <v>315060</v>
      </c>
      <c r="AB5" s="32">
        <v>15682</v>
      </c>
      <c r="AC5" s="32">
        <v>0</v>
      </c>
      <c r="AD5" s="32">
        <v>98</v>
      </c>
      <c r="AE5" s="32">
        <v>0</v>
      </c>
      <c r="AF5" s="32">
        <v>581415</v>
      </c>
      <c r="AG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2.3239058100844638</v>
      </c>
      <c r="AH5" s="32">
        <v>30256</v>
      </c>
      <c r="AI5" s="32">
        <v>1279</v>
      </c>
      <c r="AJ5" s="32">
        <v>0</v>
      </c>
      <c r="AK5" s="32">
        <v>934</v>
      </c>
      <c r="AL5" s="32">
        <v>263</v>
      </c>
      <c r="AM5" s="32">
        <v>5262</v>
      </c>
      <c r="AN5" s="32">
        <v>13274</v>
      </c>
      <c r="AO5" s="32">
        <v>-216</v>
      </c>
      <c r="AP5" s="32">
        <v>-15412</v>
      </c>
      <c r="AQ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2.996616620850074</v>
      </c>
      <c r="AR5" s="32">
        <v>14504</v>
      </c>
      <c r="AS5" s="32">
        <v>8302</v>
      </c>
      <c r="AT5" s="32">
        <v>17429</v>
      </c>
      <c r="AU5" s="32">
        <v>6636</v>
      </c>
      <c r="AV5" s="32">
        <v>0</v>
      </c>
      <c r="AW5" s="32">
        <v>5262</v>
      </c>
      <c r="AX5" s="32">
        <v>1669</v>
      </c>
      <c r="AY5" s="32">
        <v>0</v>
      </c>
      <c r="AZ5" s="32">
        <v>0</v>
      </c>
      <c r="BA5" s="32">
        <v>2621</v>
      </c>
      <c r="BB5" s="32">
        <v>261</v>
      </c>
      <c r="BC5" s="32">
        <v>18916</v>
      </c>
      <c r="BD5" s="34">
        <f>IFERROR(SUM(Cons_Metrics[[#This Row],[Operating surplus/(deficit) (social housing lettings)]])/SUM(Cons_Metrics[[#This Row],[Turnover from social housing lettings]]),"")</f>
        <v>0.33432265808281958</v>
      </c>
      <c r="BE5" s="32">
        <v>30639</v>
      </c>
      <c r="BF5" s="32">
        <v>91645</v>
      </c>
      <c r="BG5" s="34">
        <f>IFERROR(SUM(Cons_Metrics[[#This Row],[Operating surplus/(deficit) (overall)2]],-Cons_Metrics[[#This Row],[Gain/(loss) on disposal of fixed assets (housing properties)2]])/SUM(Cons_Metrics[[#This Row],[Turnover (overall)]]),"")</f>
        <v>0.30166149617939164</v>
      </c>
      <c r="BH5" s="32">
        <v>30256</v>
      </c>
      <c r="BI5" s="32">
        <v>1279</v>
      </c>
      <c r="BJ5" s="32">
        <v>96058</v>
      </c>
      <c r="BK5" s="34">
        <f>IFERROR(SUM(Cons_Metrics[[#This Row],[Operating surplus/(deficit) (overall)3]],Cons_Metrics[[#This Row],[Share of operating surplus/(deficit) in joint ventures or associates]])/SUM(Cons_Metrics[[#This Row],[Total assets less current liabilities]]),"")</f>
        <v>4.8808659600896934E-2</v>
      </c>
      <c r="BL5" s="32">
        <v>30256</v>
      </c>
      <c r="BM5" s="32">
        <v>0</v>
      </c>
      <c r="BN5" s="32">
        <v>619890</v>
      </c>
      <c r="BO5" s="34">
        <v>2.0193386398846092E-2</v>
      </c>
      <c r="BP5" s="34">
        <v>0.10796516907954484</v>
      </c>
      <c r="BQ5" s="6" t="s">
        <v>82</v>
      </c>
      <c r="BR5" s="6" t="s">
        <v>83</v>
      </c>
      <c r="BS5" s="6" t="s">
        <v>83</v>
      </c>
      <c r="BT5" s="6" t="s">
        <v>87</v>
      </c>
      <c r="BU5" s="8">
        <v>0.95515150785537706</v>
      </c>
    </row>
    <row r="6" spans="1:76" x14ac:dyDescent="0.25">
      <c r="A6" s="33" t="s">
        <v>88</v>
      </c>
      <c r="B6" s="7" t="s">
        <v>89</v>
      </c>
      <c r="C6" s="7" t="s">
        <v>81</v>
      </c>
      <c r="D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5.533871335343582E-2</v>
      </c>
      <c r="E6" s="32">
        <v>42849</v>
      </c>
      <c r="F6" s="32">
        <v>0</v>
      </c>
      <c r="G6" s="32">
        <v>3527</v>
      </c>
      <c r="H6" s="32">
        <v>0</v>
      </c>
      <c r="I6" s="32">
        <v>0</v>
      </c>
      <c r="J6" s="32">
        <v>838039</v>
      </c>
      <c r="K6" s="32">
        <v>0</v>
      </c>
      <c r="L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1.8648403333608385E-2</v>
      </c>
      <c r="M6" s="32">
        <v>226</v>
      </c>
      <c r="N6" s="32">
        <v>0</v>
      </c>
      <c r="O6" s="32">
        <v>11920</v>
      </c>
      <c r="P6" s="32">
        <v>199</v>
      </c>
      <c r="Q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6" s="32">
        <v>0</v>
      </c>
      <c r="S6" s="32">
        <v>0</v>
      </c>
      <c r="T6" s="32">
        <v>0</v>
      </c>
      <c r="U6" s="32">
        <v>11920</v>
      </c>
      <c r="V6" s="32">
        <v>16</v>
      </c>
      <c r="W6" s="32">
        <v>199</v>
      </c>
      <c r="X6" s="32">
        <v>0</v>
      </c>
      <c r="Y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0.49364767033515145</v>
      </c>
      <c r="Z6" s="32">
        <v>14087</v>
      </c>
      <c r="AA6" s="32">
        <v>411930</v>
      </c>
      <c r="AB6" s="32">
        <v>12321</v>
      </c>
      <c r="AC6" s="32">
        <v>0</v>
      </c>
      <c r="AD6" s="32">
        <v>0</v>
      </c>
      <c r="AE6" s="32">
        <v>838039</v>
      </c>
      <c r="AF6" s="32">
        <v>0</v>
      </c>
      <c r="AG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1.6761725865209471</v>
      </c>
      <c r="AH6" s="32">
        <v>26814</v>
      </c>
      <c r="AI6" s="32">
        <v>894</v>
      </c>
      <c r="AJ6" s="32">
        <v>2485</v>
      </c>
      <c r="AK6" s="32">
        <v>0</v>
      </c>
      <c r="AL6" s="32">
        <v>21</v>
      </c>
      <c r="AM6" s="32">
        <v>3527</v>
      </c>
      <c r="AN6" s="32">
        <v>9518</v>
      </c>
      <c r="AO6" s="32">
        <v>-1441</v>
      </c>
      <c r="AP6" s="32">
        <v>-16127</v>
      </c>
      <c r="AQ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3.4023720448937356</v>
      </c>
      <c r="AR6" s="32">
        <v>7485</v>
      </c>
      <c r="AS6" s="32">
        <v>19836</v>
      </c>
      <c r="AT6" s="32">
        <v>7459</v>
      </c>
      <c r="AU6" s="32">
        <v>2818</v>
      </c>
      <c r="AV6" s="32">
        <v>0</v>
      </c>
      <c r="AW6" s="32">
        <v>3527</v>
      </c>
      <c r="AX6" s="32">
        <v>0</v>
      </c>
      <c r="AY6" s="32">
        <v>0</v>
      </c>
      <c r="AZ6" s="32">
        <v>0</v>
      </c>
      <c r="BA6" s="32">
        <v>231</v>
      </c>
      <c r="BB6" s="32">
        <v>1388</v>
      </c>
      <c r="BC6" s="32">
        <v>12563</v>
      </c>
      <c r="BD6" s="34">
        <f>IFERROR(SUM(Cons_Metrics[[#This Row],[Operating surplus/(deficit) (social housing lettings)]])/SUM(Cons_Metrics[[#This Row],[Turnover from social housing lettings]]),"")</f>
        <v>0.37006884493497977</v>
      </c>
      <c r="BE6" s="32">
        <v>27092</v>
      </c>
      <c r="BF6" s="32">
        <v>73208</v>
      </c>
      <c r="BG6" s="34">
        <f>IFERROR(SUM(Cons_Metrics[[#This Row],[Operating surplus/(deficit) (overall)2]],-Cons_Metrics[[#This Row],[Gain/(loss) on disposal of fixed assets (housing properties)2]])/SUM(Cons_Metrics[[#This Row],[Turnover (overall)]]),"")</f>
        <v>0.22330005082832946</v>
      </c>
      <c r="BH6" s="32">
        <v>26814</v>
      </c>
      <c r="BI6" s="32">
        <v>894</v>
      </c>
      <c r="BJ6" s="32">
        <v>116077</v>
      </c>
      <c r="BK6" s="34">
        <f>IFERROR(SUM(Cons_Metrics[[#This Row],[Operating surplus/(deficit) (overall)3]],Cons_Metrics[[#This Row],[Share of operating surplus/(deficit) in joint ventures or associates]])/SUM(Cons_Metrics[[#This Row],[Total assets less current liabilities]]),"")</f>
        <v>3.1375348107931009E-2</v>
      </c>
      <c r="BL6" s="32">
        <v>26814</v>
      </c>
      <c r="BM6" s="32">
        <v>0</v>
      </c>
      <c r="BN6" s="32">
        <v>854620</v>
      </c>
      <c r="BO6" s="34">
        <v>5.3554939981532781E-2</v>
      </c>
      <c r="BP6" s="34">
        <v>9.4518593133551584E-2</v>
      </c>
      <c r="BQ6" s="6" t="s">
        <v>82</v>
      </c>
      <c r="BR6" s="6" t="s">
        <v>83</v>
      </c>
      <c r="BS6" s="6" t="s">
        <v>83</v>
      </c>
      <c r="BT6" s="6" t="s">
        <v>90</v>
      </c>
      <c r="BU6" s="8">
        <v>0.91573617837317545</v>
      </c>
    </row>
    <row r="7" spans="1:76" x14ac:dyDescent="0.25">
      <c r="A7" s="33" t="s">
        <v>91</v>
      </c>
      <c r="B7" s="7" t="s">
        <v>92</v>
      </c>
      <c r="C7" s="7" t="s">
        <v>81</v>
      </c>
      <c r="D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4.6462428992930953E-2</v>
      </c>
      <c r="E7" s="32">
        <v>2312</v>
      </c>
      <c r="F7" s="32">
        <v>3380</v>
      </c>
      <c r="G7" s="32">
        <v>4187</v>
      </c>
      <c r="H7" s="32">
        <v>26</v>
      </c>
      <c r="I7" s="32">
        <v>0</v>
      </c>
      <c r="J7" s="32">
        <v>213183</v>
      </c>
      <c r="K7" s="32">
        <v>0</v>
      </c>
      <c r="L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9.353888792655465E-3</v>
      </c>
      <c r="M7" s="32">
        <v>54</v>
      </c>
      <c r="N7" s="32">
        <v>0</v>
      </c>
      <c r="O7" s="32">
        <v>5735</v>
      </c>
      <c r="P7" s="32">
        <v>38</v>
      </c>
      <c r="Q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5.4889498772208584E-3</v>
      </c>
      <c r="R7" s="32">
        <v>22</v>
      </c>
      <c r="S7" s="32">
        <v>0</v>
      </c>
      <c r="T7" s="32">
        <v>16</v>
      </c>
      <c r="U7" s="32">
        <v>5735</v>
      </c>
      <c r="V7" s="32">
        <v>1150</v>
      </c>
      <c r="W7" s="32">
        <v>38</v>
      </c>
      <c r="X7" s="32">
        <v>0</v>
      </c>
      <c r="Y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0.65314776506569472</v>
      </c>
      <c r="Z7" s="32">
        <v>3667</v>
      </c>
      <c r="AA7" s="32">
        <v>167833</v>
      </c>
      <c r="AB7" s="32">
        <v>32260</v>
      </c>
      <c r="AC7" s="32">
        <v>0</v>
      </c>
      <c r="AD7" s="32">
        <v>0</v>
      </c>
      <c r="AE7" s="32">
        <v>213183</v>
      </c>
      <c r="AF7" s="32">
        <v>0</v>
      </c>
      <c r="AG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2.0932539682539684</v>
      </c>
      <c r="AH7" s="32">
        <v>11839</v>
      </c>
      <c r="AI7" s="32">
        <v>247</v>
      </c>
      <c r="AJ7" s="32">
        <v>657</v>
      </c>
      <c r="AK7" s="32">
        <v>0</v>
      </c>
      <c r="AL7" s="32">
        <v>84</v>
      </c>
      <c r="AM7" s="32">
        <v>4187</v>
      </c>
      <c r="AN7" s="32">
        <v>5828</v>
      </c>
      <c r="AO7" s="32">
        <v>-26</v>
      </c>
      <c r="AP7" s="32">
        <v>-6022</v>
      </c>
      <c r="AQ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2.6568439407149085</v>
      </c>
      <c r="AR7" s="32">
        <v>3088</v>
      </c>
      <c r="AS7" s="32">
        <v>733</v>
      </c>
      <c r="AT7" s="32">
        <v>4142</v>
      </c>
      <c r="AU7" s="32">
        <v>1057</v>
      </c>
      <c r="AV7" s="32">
        <v>1339</v>
      </c>
      <c r="AW7" s="32">
        <v>4187</v>
      </c>
      <c r="AX7" s="32">
        <v>688</v>
      </c>
      <c r="AY7" s="32">
        <v>0</v>
      </c>
      <c r="AZ7" s="32">
        <v>0</v>
      </c>
      <c r="BA7" s="32">
        <v>3</v>
      </c>
      <c r="BB7" s="32">
        <v>0</v>
      </c>
      <c r="BC7" s="32">
        <v>5735</v>
      </c>
      <c r="BD7" s="34">
        <f>IFERROR(SUM(Cons_Metrics[[#This Row],[Operating surplus/(deficit) (social housing lettings)]])/SUM(Cons_Metrics[[#This Row],[Turnover from social housing lettings]]),"")</f>
        <v>0.32752225519287836</v>
      </c>
      <c r="BE7" s="32">
        <v>7947</v>
      </c>
      <c r="BF7" s="32">
        <v>24264</v>
      </c>
      <c r="BG7" s="34">
        <f>IFERROR(SUM(Cons_Metrics[[#This Row],[Operating surplus/(deficit) (overall)2]],-Cons_Metrics[[#This Row],[Gain/(loss) on disposal of fixed assets (housing properties)2]])/SUM(Cons_Metrics[[#This Row],[Turnover (overall)]]),"")</f>
        <v>0.33982176360225141</v>
      </c>
      <c r="BH7" s="32">
        <v>11839</v>
      </c>
      <c r="BI7" s="32">
        <v>247</v>
      </c>
      <c r="BJ7" s="32">
        <v>34112</v>
      </c>
      <c r="BK7" s="34">
        <f>IFERROR(SUM(Cons_Metrics[[#This Row],[Operating surplus/(deficit) (overall)3]],Cons_Metrics[[#This Row],[Share of operating surplus/(deficit) in joint ventures or associates]])/SUM(Cons_Metrics[[#This Row],[Total assets less current liabilities]]),"")</f>
        <v>4.9817167335019293E-2</v>
      </c>
      <c r="BL7" s="32">
        <v>11839</v>
      </c>
      <c r="BM7" s="32">
        <v>0</v>
      </c>
      <c r="BN7" s="32">
        <v>237649</v>
      </c>
      <c r="BO7" s="34">
        <v>2.789886660854403E-3</v>
      </c>
      <c r="BP7" s="34">
        <v>4.0976460331299043E-2</v>
      </c>
      <c r="BQ7" s="6" t="s">
        <v>93</v>
      </c>
      <c r="BR7" s="6">
        <v>1999</v>
      </c>
      <c r="BS7" s="6" t="s">
        <v>94</v>
      </c>
      <c r="BT7" s="6" t="s">
        <v>95</v>
      </c>
      <c r="BU7" s="8">
        <v>0.92752611359876691</v>
      </c>
    </row>
    <row r="8" spans="1:76" x14ac:dyDescent="0.25">
      <c r="A8" s="33" t="s">
        <v>96</v>
      </c>
      <c r="B8" s="7" t="s">
        <v>97</v>
      </c>
      <c r="C8" s="7" t="s">
        <v>81</v>
      </c>
      <c r="D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5.3613894195158086E-2</v>
      </c>
      <c r="E8" s="32">
        <v>4856</v>
      </c>
      <c r="F8" s="32">
        <v>0</v>
      </c>
      <c r="G8" s="32">
        <v>645</v>
      </c>
      <c r="H8" s="32">
        <v>0</v>
      </c>
      <c r="I8" s="32">
        <v>0</v>
      </c>
      <c r="J8" s="32">
        <v>102604</v>
      </c>
      <c r="K8" s="32">
        <v>0</v>
      </c>
      <c r="L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2.3916967509025271E-2</v>
      </c>
      <c r="M8" s="32">
        <v>53</v>
      </c>
      <c r="N8" s="32">
        <v>0</v>
      </c>
      <c r="O8" s="32">
        <v>2216</v>
      </c>
      <c r="P8" s="32">
        <v>0</v>
      </c>
      <c r="Q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 s="32">
        <v>0</v>
      </c>
      <c r="S8" s="32">
        <v>0</v>
      </c>
      <c r="T8" s="32">
        <v>0</v>
      </c>
      <c r="U8" s="32">
        <v>2216</v>
      </c>
      <c r="V8" s="32">
        <v>0</v>
      </c>
      <c r="W8" s="32">
        <v>0</v>
      </c>
      <c r="X8" s="32">
        <v>0</v>
      </c>
      <c r="Y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3.0905227866359988E-2</v>
      </c>
      <c r="Z8" s="32">
        <v>695</v>
      </c>
      <c r="AA8" s="32">
        <v>10234</v>
      </c>
      <c r="AB8" s="32">
        <v>7758</v>
      </c>
      <c r="AC8" s="32">
        <v>0</v>
      </c>
      <c r="AD8" s="32">
        <v>0</v>
      </c>
      <c r="AE8" s="32">
        <v>102604</v>
      </c>
      <c r="AF8" s="32">
        <v>0</v>
      </c>
      <c r="AG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5.9187358916478559</v>
      </c>
      <c r="AH8" s="32">
        <v>3048</v>
      </c>
      <c r="AI8" s="32">
        <v>1151</v>
      </c>
      <c r="AJ8" s="32">
        <v>1660</v>
      </c>
      <c r="AK8" s="32">
        <v>0</v>
      </c>
      <c r="AL8" s="32">
        <v>40</v>
      </c>
      <c r="AM8" s="32">
        <v>645</v>
      </c>
      <c r="AN8" s="32">
        <v>2990</v>
      </c>
      <c r="AO8" s="32">
        <v>0</v>
      </c>
      <c r="AP8" s="32">
        <v>-443</v>
      </c>
      <c r="AQ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10.586131705189707</v>
      </c>
      <c r="AR8" s="32">
        <v>2563</v>
      </c>
      <c r="AS8" s="32">
        <v>4059</v>
      </c>
      <c r="AT8" s="32">
        <v>2491</v>
      </c>
      <c r="AU8" s="32">
        <v>2146</v>
      </c>
      <c r="AV8" s="32">
        <v>640</v>
      </c>
      <c r="AW8" s="32">
        <v>645</v>
      </c>
      <c r="AX8" s="32">
        <v>1351</v>
      </c>
      <c r="AY8" s="32">
        <v>265</v>
      </c>
      <c r="AZ8" s="32">
        <v>0</v>
      </c>
      <c r="BA8" s="32">
        <v>0</v>
      </c>
      <c r="BB8" s="32">
        <v>10114</v>
      </c>
      <c r="BC8" s="32">
        <v>2293</v>
      </c>
      <c r="BD8" s="34">
        <f>IFERROR(SUM(Cons_Metrics[[#This Row],[Operating surplus/(deficit) (social housing lettings)]])/SUM(Cons_Metrics[[#This Row],[Turnover from social housing lettings]]),"")</f>
        <v>0.13425720620842571</v>
      </c>
      <c r="BE8" s="32">
        <v>2422</v>
      </c>
      <c r="BF8" s="32">
        <v>18040</v>
      </c>
      <c r="BG8" s="34">
        <f>IFERROR(SUM(Cons_Metrics[[#This Row],[Operating surplus/(deficit) (overall)2]],-Cons_Metrics[[#This Row],[Gain/(loss) on disposal of fixed assets (housing properties)2]])/SUM(Cons_Metrics[[#This Row],[Turnover (overall)]]),"")</f>
        <v>5.5947149556138852E-2</v>
      </c>
      <c r="BH8" s="32">
        <v>3048</v>
      </c>
      <c r="BI8" s="32">
        <v>1151</v>
      </c>
      <c r="BJ8" s="32">
        <v>33907</v>
      </c>
      <c r="BK8" s="34">
        <f>IFERROR(SUM(Cons_Metrics[[#This Row],[Operating surplus/(deficit) (overall)3]],Cons_Metrics[[#This Row],[Share of operating surplus/(deficit) in joint ventures or associates]])/SUM(Cons_Metrics[[#This Row],[Total assets less current liabilities]]),"")</f>
        <v>2.7861060329067641E-2</v>
      </c>
      <c r="BL8" s="32">
        <v>3048</v>
      </c>
      <c r="BM8" s="32">
        <v>0</v>
      </c>
      <c r="BN8" s="32">
        <v>109400</v>
      </c>
      <c r="BO8" s="34">
        <v>0.65974729241877261</v>
      </c>
      <c r="BP8" s="34">
        <v>0</v>
      </c>
      <c r="BQ8" s="6" t="s">
        <v>82</v>
      </c>
      <c r="BR8" s="6" t="s">
        <v>83</v>
      </c>
      <c r="BS8" s="6" t="s">
        <v>83</v>
      </c>
      <c r="BT8" s="6" t="s">
        <v>87</v>
      </c>
      <c r="BU8" s="8">
        <v>0.97169817058314645</v>
      </c>
    </row>
    <row r="9" spans="1:76" x14ac:dyDescent="0.25">
      <c r="A9" s="33" t="s">
        <v>98</v>
      </c>
      <c r="B9" s="7" t="s">
        <v>99</v>
      </c>
      <c r="C9" s="7" t="s">
        <v>81</v>
      </c>
      <c r="D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4.4529532161889852E-2</v>
      </c>
      <c r="E9" s="32">
        <v>24136</v>
      </c>
      <c r="F9" s="32">
        <v>0</v>
      </c>
      <c r="G9" s="32">
        <v>3245</v>
      </c>
      <c r="H9" s="32">
        <v>728</v>
      </c>
      <c r="I9" s="32">
        <v>0</v>
      </c>
      <c r="J9" s="32">
        <v>631244</v>
      </c>
      <c r="K9" s="32">
        <v>0</v>
      </c>
      <c r="L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4.3232115285640766E-3</v>
      </c>
      <c r="M9" s="32">
        <v>42</v>
      </c>
      <c r="N9" s="32">
        <v>0</v>
      </c>
      <c r="O9" s="32">
        <v>8981</v>
      </c>
      <c r="P9" s="32">
        <v>734</v>
      </c>
      <c r="Q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1.7552413456850316E-3</v>
      </c>
      <c r="R9" s="32">
        <v>0</v>
      </c>
      <c r="S9" s="32">
        <v>0</v>
      </c>
      <c r="T9" s="32">
        <v>18</v>
      </c>
      <c r="U9" s="32">
        <v>8981</v>
      </c>
      <c r="V9" s="32">
        <v>183</v>
      </c>
      <c r="W9" s="32">
        <v>734</v>
      </c>
      <c r="X9" s="32">
        <v>357</v>
      </c>
      <c r="Y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0.64623980584369911</v>
      </c>
      <c r="Z9" s="32">
        <v>8248</v>
      </c>
      <c r="AA9" s="32">
        <v>414173</v>
      </c>
      <c r="AB9" s="32">
        <v>14486</v>
      </c>
      <c r="AC9" s="32">
        <v>0</v>
      </c>
      <c r="AD9" s="32">
        <v>0</v>
      </c>
      <c r="AE9" s="32">
        <v>631244</v>
      </c>
      <c r="AF9" s="32">
        <v>0</v>
      </c>
      <c r="AG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1.3931640161405174</v>
      </c>
      <c r="AH9" s="32">
        <v>32408</v>
      </c>
      <c r="AI9" s="32">
        <v>4533</v>
      </c>
      <c r="AJ9" s="32">
        <v>1345</v>
      </c>
      <c r="AK9" s="32">
        <v>0</v>
      </c>
      <c r="AL9" s="32">
        <v>6</v>
      </c>
      <c r="AM9" s="32">
        <v>3245</v>
      </c>
      <c r="AN9" s="32">
        <v>6056</v>
      </c>
      <c r="AO9" s="32">
        <v>-1527</v>
      </c>
      <c r="AP9" s="32">
        <v>-19538</v>
      </c>
      <c r="AQ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3.1680771290840921</v>
      </c>
      <c r="AR9" s="32">
        <v>10580</v>
      </c>
      <c r="AS9" s="32">
        <v>4907</v>
      </c>
      <c r="AT9" s="32">
        <v>5150</v>
      </c>
      <c r="AU9" s="32">
        <v>2213</v>
      </c>
      <c r="AV9" s="32">
        <v>775</v>
      </c>
      <c r="AW9" s="32">
        <v>3245</v>
      </c>
      <c r="AX9" s="32">
        <v>609</v>
      </c>
      <c r="AY9" s="32">
        <v>0</v>
      </c>
      <c r="AZ9" s="32">
        <v>0</v>
      </c>
      <c r="BA9" s="32">
        <v>389</v>
      </c>
      <c r="BB9" s="32">
        <v>1706</v>
      </c>
      <c r="BC9" s="32">
        <v>9335</v>
      </c>
      <c r="BD9" s="34">
        <f>IFERROR(SUM(Cons_Metrics[[#This Row],[Operating surplus/(deficit) (social housing lettings)]])/SUM(Cons_Metrics[[#This Row],[Turnover from social housing lettings]]),"")</f>
        <v>0.45181821497610969</v>
      </c>
      <c r="BE9" s="32">
        <v>24775</v>
      </c>
      <c r="BF9" s="32">
        <v>54834</v>
      </c>
      <c r="BG9" s="34">
        <f>IFERROR(SUM(Cons_Metrics[[#This Row],[Operating surplus/(deficit) (overall)2]],-Cons_Metrics[[#This Row],[Gain/(loss) on disposal of fixed assets (housing properties)2]])/SUM(Cons_Metrics[[#This Row],[Turnover (overall)]]),"")</f>
        <v>0.37336923035709502</v>
      </c>
      <c r="BH9" s="32">
        <v>32408</v>
      </c>
      <c r="BI9" s="32">
        <v>4533</v>
      </c>
      <c r="BJ9" s="32">
        <v>74658</v>
      </c>
      <c r="BK9" s="34">
        <f>IFERROR(SUM(Cons_Metrics[[#This Row],[Operating surplus/(deficit) (overall)3]],Cons_Metrics[[#This Row],[Share of operating surplus/(deficit) in joint ventures or associates]])/SUM(Cons_Metrics[[#This Row],[Total assets less current liabilities]]),"")</f>
        <v>4.5770584970334142E-2</v>
      </c>
      <c r="BL9" s="32">
        <v>32408</v>
      </c>
      <c r="BM9" s="32">
        <v>0</v>
      </c>
      <c r="BN9" s="32">
        <v>708053</v>
      </c>
      <c r="BO9" s="34">
        <v>5.5673087629439927E-2</v>
      </c>
      <c r="BP9" s="34">
        <v>3.4183275804476117E-2</v>
      </c>
      <c r="BQ9" s="6" t="s">
        <v>82</v>
      </c>
      <c r="BR9" s="6" t="s">
        <v>83</v>
      </c>
      <c r="BS9" s="6" t="s">
        <v>83</v>
      </c>
      <c r="BT9" s="6" t="s">
        <v>100</v>
      </c>
      <c r="BU9" s="8">
        <v>1.0025994604070596</v>
      </c>
    </row>
    <row r="10" spans="1:76" x14ac:dyDescent="0.25">
      <c r="A10" s="33" t="s">
        <v>101</v>
      </c>
      <c r="B10" s="7" t="s">
        <v>102</v>
      </c>
      <c r="C10" s="7" t="s">
        <v>81</v>
      </c>
      <c r="D1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6.4220353282118267E-2</v>
      </c>
      <c r="E10" s="32">
        <v>325</v>
      </c>
      <c r="F10" s="32">
        <v>0</v>
      </c>
      <c r="G10" s="32">
        <v>41314</v>
      </c>
      <c r="H10" s="32">
        <v>0</v>
      </c>
      <c r="I10" s="32">
        <v>0</v>
      </c>
      <c r="J10" s="32">
        <v>648377</v>
      </c>
      <c r="K10" s="32">
        <v>0</v>
      </c>
      <c r="L1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2.5328567810204597E-3</v>
      </c>
      <c r="M10" s="32">
        <v>30</v>
      </c>
      <c r="N10" s="32">
        <v>60</v>
      </c>
      <c r="O10" s="32">
        <v>28501</v>
      </c>
      <c r="P10" s="32">
        <v>7032</v>
      </c>
      <c r="Q1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5.5722849182450115E-3</v>
      </c>
      <c r="R10" s="32">
        <v>0</v>
      </c>
      <c r="S10" s="32">
        <v>0</v>
      </c>
      <c r="T10" s="32">
        <v>198</v>
      </c>
      <c r="U10" s="32">
        <v>28501</v>
      </c>
      <c r="V10" s="32">
        <v>0</v>
      </c>
      <c r="W10" s="32">
        <v>7032</v>
      </c>
      <c r="X10" s="32">
        <v>0</v>
      </c>
      <c r="Y1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0.39211446427001573</v>
      </c>
      <c r="Z10" s="32">
        <v>4955</v>
      </c>
      <c r="AA10" s="32">
        <v>284590</v>
      </c>
      <c r="AB10" s="32">
        <v>57241</v>
      </c>
      <c r="AC10" s="32">
        <v>0</v>
      </c>
      <c r="AD10" s="32">
        <v>21934</v>
      </c>
      <c r="AE10" s="32">
        <v>648377</v>
      </c>
      <c r="AF10" s="32">
        <v>0</v>
      </c>
      <c r="AG1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2.8976919662671992</v>
      </c>
      <c r="AH10" s="32">
        <v>22652</v>
      </c>
      <c r="AI10" s="32">
        <v>0</v>
      </c>
      <c r="AJ10" s="32">
        <v>9835</v>
      </c>
      <c r="AK10" s="32">
        <v>0</v>
      </c>
      <c r="AL10" s="32">
        <v>2022</v>
      </c>
      <c r="AM10" s="32">
        <v>41314</v>
      </c>
      <c r="AN10" s="32">
        <v>65646</v>
      </c>
      <c r="AO10" s="32">
        <v>0</v>
      </c>
      <c r="AP10" s="32">
        <v>-13518</v>
      </c>
      <c r="AQ1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10.599908775130697</v>
      </c>
      <c r="AR10" s="32">
        <v>44800</v>
      </c>
      <c r="AS10" s="32">
        <v>180701</v>
      </c>
      <c r="AT10" s="32">
        <v>13153</v>
      </c>
      <c r="AU10" s="32">
        <v>12736</v>
      </c>
      <c r="AV10" s="32">
        <v>0</v>
      </c>
      <c r="AW10" s="32">
        <v>41314</v>
      </c>
      <c r="AX10" s="32">
        <v>6767</v>
      </c>
      <c r="AY10" s="32">
        <v>0</v>
      </c>
      <c r="AZ10" s="32">
        <v>0</v>
      </c>
      <c r="BA10" s="32">
        <v>2637</v>
      </c>
      <c r="BB10" s="32">
        <v>0</v>
      </c>
      <c r="BC10" s="32">
        <v>28501</v>
      </c>
      <c r="BD10" s="34">
        <f>IFERROR(SUM(Cons_Metrics[[#This Row],[Operating surplus/(deficit) (social housing lettings)]])/SUM(Cons_Metrics[[#This Row],[Turnover from social housing lettings]]),"")</f>
        <v>8.3309324328996348E-2</v>
      </c>
      <c r="BE10" s="32">
        <v>28916</v>
      </c>
      <c r="BF10" s="32">
        <v>347092</v>
      </c>
      <c r="BG10" s="34">
        <f>IFERROR(SUM(Cons_Metrics[[#This Row],[Operating surplus/(deficit) (overall)2]],-Cons_Metrics[[#This Row],[Gain/(loss) on disposal of fixed assets (housing properties)2]])/SUM(Cons_Metrics[[#This Row],[Turnover (overall)]]),"")</f>
        <v>5.8222082855688813E-2</v>
      </c>
      <c r="BH10" s="32">
        <v>22652</v>
      </c>
      <c r="BI10" s="32">
        <v>0</v>
      </c>
      <c r="BJ10" s="32">
        <v>389062</v>
      </c>
      <c r="BK10" s="34">
        <f>IFERROR(SUM(Cons_Metrics[[#This Row],[Operating surplus/(deficit) (overall)3]],Cons_Metrics[[#This Row],[Share of operating surplus/(deficit) in joint ventures or associates]])/SUM(Cons_Metrics[[#This Row],[Total assets less current liabilities]]),"")</f>
        <v>3.0514689538763705E-2</v>
      </c>
      <c r="BL10" s="32">
        <v>22652</v>
      </c>
      <c r="BM10" s="32">
        <v>0</v>
      </c>
      <c r="BN10" s="32">
        <v>742331</v>
      </c>
      <c r="BO10" s="34">
        <v>1.1268028846153847E-4</v>
      </c>
      <c r="BP10" s="34">
        <v>0.83935546875</v>
      </c>
      <c r="BQ10" s="6" t="s">
        <v>82</v>
      </c>
      <c r="BR10" s="6" t="s">
        <v>83</v>
      </c>
      <c r="BS10" s="6" t="s">
        <v>83</v>
      </c>
      <c r="BT10" s="6" t="s">
        <v>87</v>
      </c>
      <c r="BU10" s="8">
        <v>0.96906500449915334</v>
      </c>
    </row>
    <row r="11" spans="1:76" x14ac:dyDescent="0.25">
      <c r="A11" s="33" t="s">
        <v>103</v>
      </c>
      <c r="B11" s="7" t="s">
        <v>104</v>
      </c>
      <c r="C11" s="7" t="s">
        <v>81</v>
      </c>
      <c r="D1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1.7851138621427481E-2</v>
      </c>
      <c r="E11" s="32">
        <v>0</v>
      </c>
      <c r="F11" s="32">
        <v>0</v>
      </c>
      <c r="G11" s="32">
        <v>584</v>
      </c>
      <c r="H11" s="32">
        <v>0</v>
      </c>
      <c r="I11" s="32">
        <v>0</v>
      </c>
      <c r="J11" s="32">
        <v>32715</v>
      </c>
      <c r="K11" s="32">
        <v>0</v>
      </c>
      <c r="L1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1" s="32">
        <v>0</v>
      </c>
      <c r="N11" s="32">
        <v>0</v>
      </c>
      <c r="O11" s="32">
        <v>1048</v>
      </c>
      <c r="P11" s="32">
        <v>8</v>
      </c>
      <c r="Q1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 s="32">
        <v>0</v>
      </c>
      <c r="S11" s="32">
        <v>0</v>
      </c>
      <c r="T11" s="32">
        <v>0</v>
      </c>
      <c r="U11" s="32">
        <v>1048</v>
      </c>
      <c r="V11" s="32">
        <v>0</v>
      </c>
      <c r="W11" s="32">
        <v>8</v>
      </c>
      <c r="X11" s="32">
        <v>1</v>
      </c>
      <c r="Y1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0.47042640990371387</v>
      </c>
      <c r="Z11" s="32">
        <v>991</v>
      </c>
      <c r="AA11" s="32">
        <v>15320</v>
      </c>
      <c r="AB11" s="32">
        <v>921</v>
      </c>
      <c r="AC11" s="32">
        <v>0</v>
      </c>
      <c r="AD11" s="32">
        <v>0</v>
      </c>
      <c r="AE11" s="32">
        <v>32715</v>
      </c>
      <c r="AF11" s="32">
        <v>0</v>
      </c>
      <c r="AG1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3.0759013282732446</v>
      </c>
      <c r="AH11" s="32">
        <v>1571</v>
      </c>
      <c r="AI11" s="32">
        <v>57</v>
      </c>
      <c r="AJ11" s="32">
        <v>89</v>
      </c>
      <c r="AK11" s="32">
        <v>0</v>
      </c>
      <c r="AL11" s="32">
        <v>1</v>
      </c>
      <c r="AM11" s="32">
        <v>584</v>
      </c>
      <c r="AN11" s="32">
        <v>779</v>
      </c>
      <c r="AO11" s="32">
        <v>0</v>
      </c>
      <c r="AP11" s="32">
        <v>-527</v>
      </c>
      <c r="AQ1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3.1788079470198674</v>
      </c>
      <c r="AR11" s="32">
        <v>1059</v>
      </c>
      <c r="AS11" s="32">
        <v>437</v>
      </c>
      <c r="AT11" s="32">
        <v>826</v>
      </c>
      <c r="AU11" s="32">
        <v>181</v>
      </c>
      <c r="AV11" s="32">
        <v>200</v>
      </c>
      <c r="AW11" s="32">
        <v>584</v>
      </c>
      <c r="AX11" s="32">
        <v>0</v>
      </c>
      <c r="AY11" s="32">
        <v>0</v>
      </c>
      <c r="AZ11" s="32">
        <v>0</v>
      </c>
      <c r="BA11" s="32">
        <v>40</v>
      </c>
      <c r="BB11" s="32">
        <v>33</v>
      </c>
      <c r="BC11" s="32">
        <v>1057</v>
      </c>
      <c r="BD11" s="34">
        <f>IFERROR(SUM(Cons_Metrics[[#This Row],[Operating surplus/(deficit) (social housing lettings)]])/SUM(Cons_Metrics[[#This Row],[Turnover from social housing lettings]]),"")</f>
        <v>0.30088495575221241</v>
      </c>
      <c r="BE11" s="32">
        <v>1496</v>
      </c>
      <c r="BF11" s="32">
        <v>4972</v>
      </c>
      <c r="BG11" s="34">
        <f>IFERROR(SUM(Cons_Metrics[[#This Row],[Operating surplus/(deficit) (overall)2]],-Cons_Metrics[[#This Row],[Gain/(loss) on disposal of fixed assets (housing properties)2]])/SUM(Cons_Metrics[[#This Row],[Turnover (overall)]]),"")</f>
        <v>0.29856044172746993</v>
      </c>
      <c r="BH11" s="32">
        <v>1571</v>
      </c>
      <c r="BI11" s="32">
        <v>57</v>
      </c>
      <c r="BJ11" s="32">
        <v>5071</v>
      </c>
      <c r="BK11" s="34">
        <f>IFERROR(SUM(Cons_Metrics[[#This Row],[Operating surplus/(deficit) (overall)3]],Cons_Metrics[[#This Row],[Share of operating surplus/(deficit) in joint ventures or associates]])/SUM(Cons_Metrics[[#This Row],[Total assets less current liabilities]]),"")</f>
        <v>4.8378653034828932E-2</v>
      </c>
      <c r="BL11" s="32">
        <v>1571</v>
      </c>
      <c r="BM11" s="32">
        <v>0</v>
      </c>
      <c r="BN11" s="32">
        <v>32473</v>
      </c>
      <c r="BO11" s="34">
        <v>0</v>
      </c>
      <c r="BP11" s="34">
        <v>0.14026717557251908</v>
      </c>
      <c r="BQ11" s="6" t="s">
        <v>82</v>
      </c>
      <c r="BR11" s="6" t="s">
        <v>83</v>
      </c>
      <c r="BS11" s="6" t="s">
        <v>83</v>
      </c>
      <c r="BT11" s="6" t="s">
        <v>105</v>
      </c>
      <c r="BU11" s="8">
        <v>0.9156653862445665</v>
      </c>
    </row>
    <row r="12" spans="1:76" x14ac:dyDescent="0.25">
      <c r="A12" s="33" t="s">
        <v>106</v>
      </c>
      <c r="B12" s="7" t="s">
        <v>107</v>
      </c>
      <c r="C12" s="7" t="s">
        <v>81</v>
      </c>
      <c r="D1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1.1985032954092196E-2</v>
      </c>
      <c r="E12" s="32">
        <v>410</v>
      </c>
      <c r="F12" s="32">
        <v>0</v>
      </c>
      <c r="G12" s="32">
        <v>221</v>
      </c>
      <c r="H12" s="32">
        <v>0</v>
      </c>
      <c r="I12" s="32">
        <v>0</v>
      </c>
      <c r="J12" s="32">
        <v>52649</v>
      </c>
      <c r="K12" s="32">
        <v>0</v>
      </c>
      <c r="L1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1.2573344509639563E-2</v>
      </c>
      <c r="M12" s="32">
        <v>15</v>
      </c>
      <c r="N12" s="32">
        <v>0</v>
      </c>
      <c r="O12" s="32">
        <v>1193</v>
      </c>
      <c r="P12" s="32">
        <v>0</v>
      </c>
      <c r="Q1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2" s="32">
        <v>0</v>
      </c>
      <c r="S12" s="32">
        <v>0</v>
      </c>
      <c r="T12" s="32">
        <v>0</v>
      </c>
      <c r="U12" s="32">
        <v>1193</v>
      </c>
      <c r="V12" s="32">
        <v>0</v>
      </c>
      <c r="W12" s="32">
        <v>0</v>
      </c>
      <c r="X12" s="32">
        <v>0</v>
      </c>
      <c r="Y1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0.34310243309464566</v>
      </c>
      <c r="Z12" s="32">
        <v>548</v>
      </c>
      <c r="AA12" s="32">
        <v>17762</v>
      </c>
      <c r="AB12" s="32">
        <v>246</v>
      </c>
      <c r="AC12" s="32">
        <v>0</v>
      </c>
      <c r="AD12" s="32">
        <v>0</v>
      </c>
      <c r="AE12" s="32">
        <v>52649</v>
      </c>
      <c r="AF12" s="32">
        <v>0</v>
      </c>
      <c r="AG1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3.4752747252747254</v>
      </c>
      <c r="AH12" s="32">
        <v>1777</v>
      </c>
      <c r="AI12" s="32">
        <v>0</v>
      </c>
      <c r="AJ12" s="32">
        <v>814</v>
      </c>
      <c r="AK12" s="32">
        <v>0</v>
      </c>
      <c r="AL12" s="32">
        <v>10</v>
      </c>
      <c r="AM12" s="32">
        <v>221</v>
      </c>
      <c r="AN12" s="32">
        <v>1778</v>
      </c>
      <c r="AO12" s="32">
        <v>0</v>
      </c>
      <c r="AP12" s="32">
        <v>-728</v>
      </c>
      <c r="AQ1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2.2020117351215425</v>
      </c>
      <c r="AR12" s="32">
        <v>865</v>
      </c>
      <c r="AS12" s="32">
        <v>53</v>
      </c>
      <c r="AT12" s="32">
        <v>1063</v>
      </c>
      <c r="AU12" s="32">
        <v>351</v>
      </c>
      <c r="AV12" s="32">
        <v>0</v>
      </c>
      <c r="AW12" s="32">
        <v>221</v>
      </c>
      <c r="AX12" s="32">
        <v>0</v>
      </c>
      <c r="AY12" s="32">
        <v>9</v>
      </c>
      <c r="AZ12" s="32">
        <v>0</v>
      </c>
      <c r="BA12" s="32">
        <v>0</v>
      </c>
      <c r="BB12" s="32">
        <v>65</v>
      </c>
      <c r="BC12" s="32">
        <v>1193</v>
      </c>
      <c r="BD12" s="34">
        <f>IFERROR(SUM(Cons_Metrics[[#This Row],[Operating surplus/(deficit) (social housing lettings)]])/SUM(Cons_Metrics[[#This Row],[Turnover from social housing lettings]]),"")</f>
        <v>0.28246641405442646</v>
      </c>
      <c r="BE12" s="32">
        <v>1640</v>
      </c>
      <c r="BF12" s="32">
        <v>5806</v>
      </c>
      <c r="BG12" s="34">
        <f>IFERROR(SUM(Cons_Metrics[[#This Row],[Operating surplus/(deficit) (overall)2]],-Cons_Metrics[[#This Row],[Gain/(loss) on disposal of fixed assets (housing properties)2]])/SUM(Cons_Metrics[[#This Row],[Turnover (overall)]]),"")</f>
        <v>0.28908410606800067</v>
      </c>
      <c r="BH12" s="32">
        <v>1777</v>
      </c>
      <c r="BI12" s="32">
        <v>0</v>
      </c>
      <c r="BJ12" s="32">
        <v>6147</v>
      </c>
      <c r="BK12" s="34">
        <f>IFERROR(SUM(Cons_Metrics[[#This Row],[Operating surplus/(deficit) (overall)3]],Cons_Metrics[[#This Row],[Share of operating surplus/(deficit) in joint ventures or associates]])/SUM(Cons_Metrics[[#This Row],[Total assets less current liabilities]]),"")</f>
        <v>3.3016238712794022E-2</v>
      </c>
      <c r="BL12" s="32">
        <v>1777</v>
      </c>
      <c r="BM12" s="32">
        <v>0</v>
      </c>
      <c r="BN12" s="32">
        <v>53822</v>
      </c>
      <c r="BO12" s="34">
        <v>4.0268456375838924E-2</v>
      </c>
      <c r="BP12" s="34">
        <v>1.0067114093959731E-2</v>
      </c>
      <c r="BQ12" s="6" t="s">
        <v>82</v>
      </c>
      <c r="BR12" s="6" t="s">
        <v>83</v>
      </c>
      <c r="BS12" s="6" t="s">
        <v>83</v>
      </c>
      <c r="BT12" s="6" t="s">
        <v>108</v>
      </c>
      <c r="BU12" s="8">
        <v>0.94807909763407583</v>
      </c>
    </row>
    <row r="13" spans="1:76" x14ac:dyDescent="0.25">
      <c r="A13" s="33" t="s">
        <v>109</v>
      </c>
      <c r="B13" s="7" t="s">
        <v>110</v>
      </c>
      <c r="C13" s="7" t="s">
        <v>81</v>
      </c>
      <c r="D1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1.6418195718654435E-2</v>
      </c>
      <c r="E13" s="32">
        <v>267</v>
      </c>
      <c r="F13" s="32">
        <v>0</v>
      </c>
      <c r="G13" s="32">
        <v>592</v>
      </c>
      <c r="H13" s="32">
        <v>0</v>
      </c>
      <c r="I13" s="32">
        <v>0</v>
      </c>
      <c r="J13" s="32">
        <v>52320</v>
      </c>
      <c r="K13" s="32">
        <v>0</v>
      </c>
      <c r="L1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3.3698399326032012E-3</v>
      </c>
      <c r="M13" s="32">
        <v>4</v>
      </c>
      <c r="N13" s="32">
        <v>0</v>
      </c>
      <c r="O13" s="32">
        <v>1187</v>
      </c>
      <c r="P13" s="32">
        <v>0</v>
      </c>
      <c r="Q1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 s="32">
        <v>0</v>
      </c>
      <c r="S13" s="32">
        <v>0</v>
      </c>
      <c r="T13" s="32">
        <v>0</v>
      </c>
      <c r="U13" s="32">
        <v>1187</v>
      </c>
      <c r="V13" s="32">
        <v>0</v>
      </c>
      <c r="W13" s="32">
        <v>0</v>
      </c>
      <c r="X13" s="32">
        <v>0</v>
      </c>
      <c r="Y1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0.31548165137614681</v>
      </c>
      <c r="Z13" s="32">
        <v>208</v>
      </c>
      <c r="AA13" s="32">
        <v>18637</v>
      </c>
      <c r="AB13" s="32">
        <v>2339</v>
      </c>
      <c r="AC13" s="32">
        <v>0</v>
      </c>
      <c r="AD13" s="32">
        <v>0</v>
      </c>
      <c r="AE13" s="32">
        <v>52320</v>
      </c>
      <c r="AF13" s="32">
        <v>0</v>
      </c>
      <c r="AG1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1.910577971646674</v>
      </c>
      <c r="AH13" s="32">
        <v>1548</v>
      </c>
      <c r="AI13" s="32">
        <v>31</v>
      </c>
      <c r="AJ13" s="32">
        <v>352</v>
      </c>
      <c r="AK13" s="32">
        <v>0</v>
      </c>
      <c r="AL13" s="32">
        <v>8</v>
      </c>
      <c r="AM13" s="32">
        <v>592</v>
      </c>
      <c r="AN13" s="32">
        <v>1171</v>
      </c>
      <c r="AO13" s="32">
        <v>0</v>
      </c>
      <c r="AP13" s="32">
        <v>-917</v>
      </c>
      <c r="AQ1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3.104013104013104</v>
      </c>
      <c r="AR13" s="32">
        <v>1249</v>
      </c>
      <c r="AS13" s="32">
        <v>244</v>
      </c>
      <c r="AT13" s="32">
        <v>870</v>
      </c>
      <c r="AU13" s="32">
        <v>357</v>
      </c>
      <c r="AV13" s="32">
        <v>306</v>
      </c>
      <c r="AW13" s="32">
        <v>592</v>
      </c>
      <c r="AX13" s="32">
        <v>172</v>
      </c>
      <c r="AY13" s="32">
        <v>0</v>
      </c>
      <c r="AZ13" s="32">
        <v>0</v>
      </c>
      <c r="BA13" s="32">
        <v>0</v>
      </c>
      <c r="BB13" s="32">
        <v>0</v>
      </c>
      <c r="BC13" s="32">
        <v>1221</v>
      </c>
      <c r="BD13" s="34">
        <f>IFERROR(SUM(Cons_Metrics[[#This Row],[Operating surplus/(deficit) (social housing lettings)]])/SUM(Cons_Metrics[[#This Row],[Turnover from social housing lettings]]),"")</f>
        <v>0.24127257093723131</v>
      </c>
      <c r="BE13" s="32">
        <v>1403</v>
      </c>
      <c r="BF13" s="32">
        <v>5815</v>
      </c>
      <c r="BG13" s="34">
        <f>IFERROR(SUM(Cons_Metrics[[#This Row],[Operating surplus/(deficit) (overall)2]],-Cons_Metrics[[#This Row],[Gain/(loss) on disposal of fixed assets (housing properties)2]])/SUM(Cons_Metrics[[#This Row],[Turnover (overall)]]),"")</f>
        <v>0.24622626197045935</v>
      </c>
      <c r="BH13" s="32">
        <v>1548</v>
      </c>
      <c r="BI13" s="32">
        <v>31</v>
      </c>
      <c r="BJ13" s="32">
        <v>6161</v>
      </c>
      <c r="BK13" s="34">
        <f>IFERROR(SUM(Cons_Metrics[[#This Row],[Operating surplus/(deficit) (overall)3]],Cons_Metrics[[#This Row],[Share of operating surplus/(deficit) in joint ventures or associates]])/SUM(Cons_Metrics[[#This Row],[Total assets less current liabilities]]),"")</f>
        <v>2.6518201284796573E-2</v>
      </c>
      <c r="BL13" s="32">
        <v>1548</v>
      </c>
      <c r="BM13" s="32">
        <v>0</v>
      </c>
      <c r="BN13" s="32">
        <v>58375</v>
      </c>
      <c r="BO13" s="34">
        <v>0</v>
      </c>
      <c r="BP13" s="34">
        <v>0</v>
      </c>
      <c r="BQ13" s="6" t="s">
        <v>82</v>
      </c>
      <c r="BR13" s="6" t="s">
        <v>83</v>
      </c>
      <c r="BS13" s="6" t="s">
        <v>83</v>
      </c>
      <c r="BT13" s="6" t="s">
        <v>105</v>
      </c>
      <c r="BU13" s="8">
        <v>0.91576472039687784</v>
      </c>
    </row>
    <row r="14" spans="1:76" x14ac:dyDescent="0.25">
      <c r="A14" s="33" t="s">
        <v>111</v>
      </c>
      <c r="B14" s="7" t="s">
        <v>112</v>
      </c>
      <c r="C14" s="7" t="s">
        <v>81</v>
      </c>
      <c r="D1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9.3266094909114305E-2</v>
      </c>
      <c r="E14" s="32">
        <v>15066</v>
      </c>
      <c r="F14" s="32">
        <v>0</v>
      </c>
      <c r="G14" s="32">
        <v>3780</v>
      </c>
      <c r="H14" s="32">
        <v>0</v>
      </c>
      <c r="I14" s="32">
        <v>0</v>
      </c>
      <c r="J14" s="32">
        <v>202067</v>
      </c>
      <c r="K14" s="32">
        <v>0</v>
      </c>
      <c r="L1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2.365930599369085E-2</v>
      </c>
      <c r="M14" s="32">
        <v>210</v>
      </c>
      <c r="N14" s="32">
        <v>0</v>
      </c>
      <c r="O14" s="32">
        <v>8876</v>
      </c>
      <c r="P14" s="32">
        <v>0</v>
      </c>
      <c r="Q1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 s="32">
        <v>0</v>
      </c>
      <c r="S14" s="32">
        <v>0</v>
      </c>
      <c r="T14" s="32">
        <v>0</v>
      </c>
      <c r="U14" s="32">
        <v>8876</v>
      </c>
      <c r="V14" s="32">
        <v>0</v>
      </c>
      <c r="W14" s="32">
        <v>0</v>
      </c>
      <c r="X14" s="32">
        <v>0</v>
      </c>
      <c r="Y1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0.62802436815511686</v>
      </c>
      <c r="Z14" s="32">
        <v>0</v>
      </c>
      <c r="AA14" s="32">
        <v>144114</v>
      </c>
      <c r="AB14" s="32">
        <v>17211</v>
      </c>
      <c r="AC14" s="32">
        <v>0</v>
      </c>
      <c r="AD14" s="32">
        <v>0</v>
      </c>
      <c r="AE14" s="32">
        <v>202067</v>
      </c>
      <c r="AF14" s="32">
        <v>0</v>
      </c>
      <c r="AG1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1.2790530846484935</v>
      </c>
      <c r="AH14" s="32">
        <v>16994</v>
      </c>
      <c r="AI14" s="32">
        <v>3179</v>
      </c>
      <c r="AJ14" s="32">
        <v>606</v>
      </c>
      <c r="AK14" s="32">
        <v>0</v>
      </c>
      <c r="AL14" s="32">
        <v>27</v>
      </c>
      <c r="AM14" s="32">
        <v>3780</v>
      </c>
      <c r="AN14" s="32">
        <v>6591</v>
      </c>
      <c r="AO14" s="32">
        <v>0</v>
      </c>
      <c r="AP14" s="32">
        <v>-12546</v>
      </c>
      <c r="AQ1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2.6787967552951781</v>
      </c>
      <c r="AR14" s="32">
        <v>6192</v>
      </c>
      <c r="AS14" s="32">
        <v>2930</v>
      </c>
      <c r="AT14" s="32">
        <v>4636</v>
      </c>
      <c r="AU14" s="32">
        <v>4710</v>
      </c>
      <c r="AV14" s="32">
        <v>0</v>
      </c>
      <c r="AW14" s="32">
        <v>3780</v>
      </c>
      <c r="AX14" s="32">
        <v>0</v>
      </c>
      <c r="AY14" s="32">
        <v>0</v>
      </c>
      <c r="AZ14" s="32">
        <v>0</v>
      </c>
      <c r="BA14" s="32">
        <v>1529</v>
      </c>
      <c r="BB14" s="32">
        <v>0</v>
      </c>
      <c r="BC14" s="32">
        <v>8876</v>
      </c>
      <c r="BD14" s="34">
        <f>IFERROR(SUM(Cons_Metrics[[#This Row],[Operating surplus/(deficit) (social housing lettings)]])/SUM(Cons_Metrics[[#This Row],[Turnover from social housing lettings]]),"")</f>
        <v>0.35582117597933033</v>
      </c>
      <c r="BE14" s="32">
        <v>13634</v>
      </c>
      <c r="BF14" s="32">
        <v>38317</v>
      </c>
      <c r="BG14" s="34">
        <f>IFERROR(SUM(Cons_Metrics[[#This Row],[Operating surplus/(deficit) (overall)2]],-Cons_Metrics[[#This Row],[Gain/(loss) on disposal of fixed assets (housing properties)2]])/SUM(Cons_Metrics[[#This Row],[Turnover (overall)]]),"")</f>
        <v>0.28067288352532455</v>
      </c>
      <c r="BH14" s="32">
        <v>16994</v>
      </c>
      <c r="BI14" s="32">
        <v>3179</v>
      </c>
      <c r="BJ14" s="32">
        <v>49221</v>
      </c>
      <c r="BK14" s="34">
        <f>IFERROR(SUM(Cons_Metrics[[#This Row],[Operating surplus/(deficit) (overall)3]],Cons_Metrics[[#This Row],[Share of operating surplus/(deficit) in joint ventures or associates]])/SUM(Cons_Metrics[[#This Row],[Total assets less current liabilities]]),"")</f>
        <v>7.6767749775262115E-2</v>
      </c>
      <c r="BL14" s="32">
        <v>16994</v>
      </c>
      <c r="BM14" s="32">
        <v>0</v>
      </c>
      <c r="BN14" s="32">
        <v>221369</v>
      </c>
      <c r="BO14" s="34">
        <v>0</v>
      </c>
      <c r="BP14" s="34">
        <v>6.8585077343039133E-2</v>
      </c>
      <c r="BQ14" s="6" t="s">
        <v>93</v>
      </c>
      <c r="BR14" s="6">
        <v>2000</v>
      </c>
      <c r="BS14" s="6" t="s">
        <v>94</v>
      </c>
      <c r="BT14" s="6" t="s">
        <v>90</v>
      </c>
      <c r="BU14" s="8">
        <v>0.91571390318362522</v>
      </c>
    </row>
    <row r="15" spans="1:76" x14ac:dyDescent="0.25">
      <c r="A15" s="33" t="s">
        <v>113</v>
      </c>
      <c r="B15" s="7" t="s">
        <v>114</v>
      </c>
      <c r="C15" s="7" t="s">
        <v>81</v>
      </c>
      <c r="D1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9.4990497218375353E-2</v>
      </c>
      <c r="E15" s="32">
        <v>119715</v>
      </c>
      <c r="F15" s="32">
        <v>0</v>
      </c>
      <c r="G15" s="32">
        <v>20280</v>
      </c>
      <c r="H15" s="32">
        <v>0</v>
      </c>
      <c r="I15" s="32">
        <v>0</v>
      </c>
      <c r="J15" s="32">
        <v>1473779</v>
      </c>
      <c r="K15" s="32">
        <v>0</v>
      </c>
      <c r="L1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2.9796167129410172E-2</v>
      </c>
      <c r="M15" s="32">
        <v>865</v>
      </c>
      <c r="N15" s="32">
        <v>15</v>
      </c>
      <c r="O15" s="32">
        <v>28065</v>
      </c>
      <c r="P15" s="32">
        <v>1469</v>
      </c>
      <c r="Q1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2.3626299446469556E-4</v>
      </c>
      <c r="R15" s="32">
        <v>0</v>
      </c>
      <c r="S15" s="32">
        <v>0</v>
      </c>
      <c r="T15" s="32">
        <v>7</v>
      </c>
      <c r="U15" s="32">
        <v>28065</v>
      </c>
      <c r="V15" s="32">
        <v>94</v>
      </c>
      <c r="W15" s="32">
        <v>1469</v>
      </c>
      <c r="X15" s="32">
        <v>0</v>
      </c>
      <c r="Y1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0.51970410760365016</v>
      </c>
      <c r="Z15" s="32">
        <v>14854</v>
      </c>
      <c r="AA15" s="32">
        <v>852150</v>
      </c>
      <c r="AB15" s="32">
        <v>101075</v>
      </c>
      <c r="AC15" s="32">
        <v>0</v>
      </c>
      <c r="AD15" s="32">
        <v>0</v>
      </c>
      <c r="AE15" s="32">
        <v>1473779</v>
      </c>
      <c r="AF15" s="32">
        <v>0</v>
      </c>
      <c r="AG1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2.1666563773305345</v>
      </c>
      <c r="AH15" s="32">
        <v>71865</v>
      </c>
      <c r="AI15" s="32">
        <v>14567</v>
      </c>
      <c r="AJ15" s="32">
        <v>208</v>
      </c>
      <c r="AK15" s="32">
        <v>0</v>
      </c>
      <c r="AL15" s="32">
        <v>4605</v>
      </c>
      <c r="AM15" s="32">
        <v>17265</v>
      </c>
      <c r="AN15" s="32">
        <v>25761</v>
      </c>
      <c r="AO15" s="32">
        <v>-3943</v>
      </c>
      <c r="AP15" s="32">
        <v>-28453</v>
      </c>
      <c r="AQ1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3.6391377972200663</v>
      </c>
      <c r="AR15" s="32">
        <v>29652</v>
      </c>
      <c r="AS15" s="32">
        <v>12069</v>
      </c>
      <c r="AT15" s="32">
        <v>13040</v>
      </c>
      <c r="AU15" s="32">
        <v>6999</v>
      </c>
      <c r="AV15" s="32">
        <v>11844</v>
      </c>
      <c r="AW15" s="32">
        <v>17265</v>
      </c>
      <c r="AX15" s="32">
        <v>0</v>
      </c>
      <c r="AY15" s="32">
        <v>0</v>
      </c>
      <c r="AZ15" s="32">
        <v>648</v>
      </c>
      <c r="BA15" s="32">
        <v>8473</v>
      </c>
      <c r="BB15" s="32">
        <v>3165</v>
      </c>
      <c r="BC15" s="32">
        <v>28346</v>
      </c>
      <c r="BD15" s="34">
        <f>IFERROR(SUM(Cons_Metrics[[#This Row],[Operating surplus/(deficit) (social housing lettings)]])/SUM(Cons_Metrics[[#This Row],[Turnover from social housing lettings]]),"")</f>
        <v>0.34843107097316978</v>
      </c>
      <c r="BE15" s="32">
        <v>53011</v>
      </c>
      <c r="BF15" s="32">
        <v>152142</v>
      </c>
      <c r="BG15" s="34">
        <f>IFERROR(SUM(Cons_Metrics[[#This Row],[Operating surplus/(deficit) (overall)2]],-Cons_Metrics[[#This Row],[Gain/(loss) on disposal of fixed assets (housing properties)2]])/SUM(Cons_Metrics[[#This Row],[Turnover (overall)]]),"")</f>
        <v>0.27987378375210037</v>
      </c>
      <c r="BH15" s="32">
        <v>71865</v>
      </c>
      <c r="BI15" s="32">
        <v>14567</v>
      </c>
      <c r="BJ15" s="32">
        <v>204728</v>
      </c>
      <c r="BK15" s="34">
        <f>IFERROR(SUM(Cons_Metrics[[#This Row],[Operating surplus/(deficit) (overall)3]],Cons_Metrics[[#This Row],[Share of operating surplus/(deficit) in joint ventures or associates]])/SUM(Cons_Metrics[[#This Row],[Total assets less current liabilities]]),"")</f>
        <v>4.3483076615251588E-2</v>
      </c>
      <c r="BL15" s="32">
        <v>71865</v>
      </c>
      <c r="BM15" s="32">
        <v>1155</v>
      </c>
      <c r="BN15" s="32">
        <v>1679274</v>
      </c>
      <c r="BO15" s="34">
        <v>3.9134618811704741E-2</v>
      </c>
      <c r="BP15" s="34">
        <v>9.1349752289981115E-2</v>
      </c>
      <c r="BQ15" s="6" t="s">
        <v>93</v>
      </c>
      <c r="BR15" s="6">
        <v>2000</v>
      </c>
      <c r="BS15" s="6" t="s">
        <v>94</v>
      </c>
      <c r="BT15" s="6" t="s">
        <v>115</v>
      </c>
      <c r="BU15" s="8">
        <v>0.97679318471285981</v>
      </c>
    </row>
    <row r="16" spans="1:76" x14ac:dyDescent="0.25">
      <c r="A16" s="33" t="s">
        <v>116</v>
      </c>
      <c r="B16" s="7" t="s">
        <v>117</v>
      </c>
      <c r="C16" s="7" t="s">
        <v>81</v>
      </c>
      <c r="D1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0.16903670220818826</v>
      </c>
      <c r="E16" s="32">
        <v>26713</v>
      </c>
      <c r="F16" s="32">
        <v>0</v>
      </c>
      <c r="G16" s="32">
        <v>3231</v>
      </c>
      <c r="H16" s="32">
        <v>1319</v>
      </c>
      <c r="I16" s="32">
        <v>0</v>
      </c>
      <c r="J16" s="32">
        <v>184948</v>
      </c>
      <c r="K16" s="32">
        <v>0</v>
      </c>
      <c r="L1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1.7464424320827943E-2</v>
      </c>
      <c r="M16" s="32">
        <v>81</v>
      </c>
      <c r="N16" s="32">
        <v>0</v>
      </c>
      <c r="O16" s="32">
        <v>3962</v>
      </c>
      <c r="P16" s="32">
        <v>676</v>
      </c>
      <c r="Q1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4.2149631190727084E-4</v>
      </c>
      <c r="R16" s="32">
        <v>2</v>
      </c>
      <c r="S16" s="32">
        <v>0</v>
      </c>
      <c r="T16" s="32">
        <v>0</v>
      </c>
      <c r="U16" s="32">
        <v>3962</v>
      </c>
      <c r="V16" s="32">
        <v>4</v>
      </c>
      <c r="W16" s="32">
        <v>676</v>
      </c>
      <c r="X16" s="32">
        <v>103</v>
      </c>
      <c r="Y1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0.79387719791508959</v>
      </c>
      <c r="Z16" s="32">
        <v>0</v>
      </c>
      <c r="AA16" s="32">
        <v>148083</v>
      </c>
      <c r="AB16" s="32">
        <v>1257</v>
      </c>
      <c r="AC16" s="32">
        <v>0</v>
      </c>
      <c r="AD16" s="32">
        <v>0</v>
      </c>
      <c r="AE16" s="32">
        <v>184948</v>
      </c>
      <c r="AF16" s="32">
        <v>0</v>
      </c>
      <c r="AG1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2.0285805017465863</v>
      </c>
      <c r="AH16" s="32">
        <v>13711</v>
      </c>
      <c r="AI16" s="32">
        <v>1054</v>
      </c>
      <c r="AJ16" s="32">
        <v>155</v>
      </c>
      <c r="AK16" s="32">
        <v>0</v>
      </c>
      <c r="AL16" s="32">
        <v>121</v>
      </c>
      <c r="AM16" s="32">
        <v>3231</v>
      </c>
      <c r="AN16" s="32">
        <v>3384</v>
      </c>
      <c r="AO16" s="32">
        <v>-1319</v>
      </c>
      <c r="AP16" s="32">
        <v>-4979</v>
      </c>
      <c r="AQ1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3.3591620393740533</v>
      </c>
      <c r="AR16" s="32">
        <v>4605</v>
      </c>
      <c r="AS16" s="32">
        <v>1584</v>
      </c>
      <c r="AT16" s="32">
        <v>2319</v>
      </c>
      <c r="AU16" s="32">
        <v>1132</v>
      </c>
      <c r="AV16" s="32">
        <v>0</v>
      </c>
      <c r="AW16" s="32">
        <v>3231</v>
      </c>
      <c r="AX16" s="32">
        <v>237</v>
      </c>
      <c r="AY16" s="32">
        <v>115</v>
      </c>
      <c r="AZ16" s="32">
        <v>0</v>
      </c>
      <c r="BA16" s="32">
        <v>0</v>
      </c>
      <c r="BB16" s="32">
        <v>86</v>
      </c>
      <c r="BC16" s="32">
        <v>3962</v>
      </c>
      <c r="BD16" s="34">
        <f>IFERROR(SUM(Cons_Metrics[[#This Row],[Operating surplus/(deficit) (social housing lettings)]])/SUM(Cons_Metrics[[#This Row],[Turnover from social housing lettings]]),"")</f>
        <v>0.47175130027395085</v>
      </c>
      <c r="BE16" s="32">
        <v>11882</v>
      </c>
      <c r="BF16" s="32">
        <v>25187</v>
      </c>
      <c r="BG16" s="34">
        <f>IFERROR(SUM(Cons_Metrics[[#This Row],[Operating surplus/(deficit) (overall)2]],-Cons_Metrics[[#This Row],[Gain/(loss) on disposal of fixed assets (housing properties)2]])/SUM(Cons_Metrics[[#This Row],[Turnover (overall)]]),"")</f>
        <v>0.45559915049854216</v>
      </c>
      <c r="BH16" s="32">
        <v>13711</v>
      </c>
      <c r="BI16" s="32">
        <v>1054</v>
      </c>
      <c r="BJ16" s="32">
        <v>27781</v>
      </c>
      <c r="BK16" s="34">
        <f>IFERROR(SUM(Cons_Metrics[[#This Row],[Operating surplus/(deficit) (overall)3]],Cons_Metrics[[#This Row],[Share of operating surplus/(deficit) in joint ventures or associates]])/SUM(Cons_Metrics[[#This Row],[Total assets less current liabilities]]),"")</f>
        <v>7.7787470336081646E-2</v>
      </c>
      <c r="BL16" s="32">
        <v>13711</v>
      </c>
      <c r="BM16" s="32">
        <v>2875</v>
      </c>
      <c r="BN16" s="32">
        <v>213222</v>
      </c>
      <c r="BO16" s="34">
        <v>0</v>
      </c>
      <c r="BP16" s="34">
        <v>7.9478660874009704E-2</v>
      </c>
      <c r="BQ16" s="6" t="s">
        <v>93</v>
      </c>
      <c r="BR16" s="6">
        <v>2006</v>
      </c>
      <c r="BS16" s="6" t="s">
        <v>94</v>
      </c>
      <c r="BT16" s="6" t="s">
        <v>100</v>
      </c>
      <c r="BU16" s="8">
        <v>1.0022399874355168</v>
      </c>
    </row>
    <row r="17" spans="1:73" x14ac:dyDescent="0.25">
      <c r="A17" s="33" t="s">
        <v>118</v>
      </c>
      <c r="B17" s="7" t="s">
        <v>119</v>
      </c>
      <c r="C17" s="7" t="s">
        <v>81</v>
      </c>
      <c r="D1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4.1698516957520811E-2</v>
      </c>
      <c r="E17" s="32">
        <v>6768</v>
      </c>
      <c r="F17" s="32">
        <v>2635</v>
      </c>
      <c r="G17" s="32">
        <v>8374</v>
      </c>
      <c r="H17" s="32">
        <v>170</v>
      </c>
      <c r="I17" s="32">
        <v>0</v>
      </c>
      <c r="J17" s="32">
        <v>430399</v>
      </c>
      <c r="K17" s="32">
        <v>0</v>
      </c>
      <c r="L1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9.2853703831075034E-3</v>
      </c>
      <c r="M17" s="32">
        <v>135</v>
      </c>
      <c r="N17" s="32">
        <v>0</v>
      </c>
      <c r="O17" s="32">
        <v>13611</v>
      </c>
      <c r="P17" s="32">
        <v>928</v>
      </c>
      <c r="Q1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 s="32">
        <v>0</v>
      </c>
      <c r="S17" s="32">
        <v>0</v>
      </c>
      <c r="T17" s="32">
        <v>0</v>
      </c>
      <c r="U17" s="32">
        <v>13611</v>
      </c>
      <c r="V17" s="32">
        <v>12</v>
      </c>
      <c r="W17" s="32">
        <v>928</v>
      </c>
      <c r="X17" s="32">
        <v>0</v>
      </c>
      <c r="Y1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0.28109033710580184</v>
      </c>
      <c r="Z17" s="32">
        <v>2167</v>
      </c>
      <c r="AA17" s="32">
        <v>146959</v>
      </c>
      <c r="AB17" s="32">
        <v>28145</v>
      </c>
      <c r="AC17" s="32">
        <v>0</v>
      </c>
      <c r="AD17" s="32">
        <v>0</v>
      </c>
      <c r="AE17" s="32">
        <v>430399</v>
      </c>
      <c r="AF17" s="32">
        <v>0</v>
      </c>
      <c r="AG1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1.9493962678375412</v>
      </c>
      <c r="AH17" s="32">
        <v>20839</v>
      </c>
      <c r="AI17" s="32">
        <v>1349</v>
      </c>
      <c r="AJ17" s="32">
        <v>5271</v>
      </c>
      <c r="AK17" s="32">
        <v>0</v>
      </c>
      <c r="AL17" s="32">
        <v>169</v>
      </c>
      <c r="AM17" s="32">
        <v>8374</v>
      </c>
      <c r="AN17" s="32">
        <v>11745</v>
      </c>
      <c r="AO17" s="32">
        <v>-170</v>
      </c>
      <c r="AP17" s="32">
        <v>-8940</v>
      </c>
      <c r="AQ1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3.3944246306135817</v>
      </c>
      <c r="AR17" s="32">
        <v>8944</v>
      </c>
      <c r="AS17" s="32">
        <v>4553</v>
      </c>
      <c r="AT17" s="32">
        <v>8584</v>
      </c>
      <c r="AU17" s="32">
        <v>4703</v>
      </c>
      <c r="AV17" s="32">
        <v>6249</v>
      </c>
      <c r="AW17" s="32">
        <v>8374</v>
      </c>
      <c r="AX17" s="32">
        <v>3615</v>
      </c>
      <c r="AY17" s="32">
        <v>1256</v>
      </c>
      <c r="AZ17" s="32">
        <v>113</v>
      </c>
      <c r="BA17" s="32">
        <v>138</v>
      </c>
      <c r="BB17" s="32">
        <v>107</v>
      </c>
      <c r="BC17" s="32">
        <v>13739</v>
      </c>
      <c r="BD17" s="34">
        <f>IFERROR(SUM(Cons_Metrics[[#This Row],[Operating surplus/(deficit) (social housing lettings)]])/SUM(Cons_Metrics[[#This Row],[Turnover from social housing lettings]]),"")</f>
        <v>0.28727406860936922</v>
      </c>
      <c r="BE17" s="32">
        <v>19470</v>
      </c>
      <c r="BF17" s="32">
        <v>67775</v>
      </c>
      <c r="BG17" s="34">
        <f>IFERROR(SUM(Cons_Metrics[[#This Row],[Operating surplus/(deficit) (overall)2]],-Cons_Metrics[[#This Row],[Gain/(loss) on disposal of fixed assets (housing properties)2]])/SUM(Cons_Metrics[[#This Row],[Turnover (overall)]]),"")</f>
        <v>0.25989785440919577</v>
      </c>
      <c r="BH17" s="32">
        <v>20839</v>
      </c>
      <c r="BI17" s="32">
        <v>1349</v>
      </c>
      <c r="BJ17" s="32">
        <v>74991</v>
      </c>
      <c r="BK17" s="34">
        <f>IFERROR(SUM(Cons_Metrics[[#This Row],[Operating surplus/(deficit) (overall)3]],Cons_Metrics[[#This Row],[Share of operating surplus/(deficit) in joint ventures or associates]])/SUM(Cons_Metrics[[#This Row],[Total assets less current liabilities]]),"")</f>
        <v>4.1480635138013332E-2</v>
      </c>
      <c r="BL17" s="32">
        <v>20839</v>
      </c>
      <c r="BM17" s="32">
        <v>0</v>
      </c>
      <c r="BN17" s="32">
        <v>502379</v>
      </c>
      <c r="BO17" s="34">
        <v>3.5779883917419736E-2</v>
      </c>
      <c r="BP17" s="34">
        <v>0.16501359194768936</v>
      </c>
      <c r="BQ17" s="6" t="s">
        <v>93</v>
      </c>
      <c r="BR17" s="6">
        <v>2008</v>
      </c>
      <c r="BS17" s="6" t="s">
        <v>120</v>
      </c>
      <c r="BT17" s="6" t="s">
        <v>121</v>
      </c>
      <c r="BU17" s="8">
        <v>0.9026647648742484</v>
      </c>
    </row>
    <row r="18" spans="1:73" x14ac:dyDescent="0.25">
      <c r="A18" s="33" t="s">
        <v>122</v>
      </c>
      <c r="B18" s="7" t="s">
        <v>123</v>
      </c>
      <c r="C18" s="7" t="s">
        <v>81</v>
      </c>
      <c r="D1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0.10011563890494984</v>
      </c>
      <c r="E18" s="32">
        <v>2971</v>
      </c>
      <c r="F18" s="32">
        <v>1802</v>
      </c>
      <c r="G18" s="32">
        <v>3140</v>
      </c>
      <c r="H18" s="32">
        <v>52</v>
      </c>
      <c r="I18" s="32">
        <v>0</v>
      </c>
      <c r="J18" s="32">
        <v>79558</v>
      </c>
      <c r="K18" s="32">
        <v>0</v>
      </c>
      <c r="L1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1.9502353732347006E-2</v>
      </c>
      <c r="M18" s="32">
        <v>87</v>
      </c>
      <c r="N18" s="32">
        <v>0</v>
      </c>
      <c r="O18" s="32">
        <v>4461</v>
      </c>
      <c r="P18" s="32">
        <v>0</v>
      </c>
      <c r="Q1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8" s="32">
        <v>0</v>
      </c>
      <c r="S18" s="32">
        <v>0</v>
      </c>
      <c r="T18" s="32">
        <v>0</v>
      </c>
      <c r="U18" s="32">
        <v>4461</v>
      </c>
      <c r="V18" s="32">
        <v>0</v>
      </c>
      <c r="W18" s="32">
        <v>0</v>
      </c>
      <c r="X18" s="32">
        <v>191</v>
      </c>
      <c r="Y1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0.52047562784383716</v>
      </c>
      <c r="Z18" s="32">
        <v>0</v>
      </c>
      <c r="AA18" s="32">
        <v>45723</v>
      </c>
      <c r="AB18" s="32">
        <v>4315</v>
      </c>
      <c r="AC18" s="32">
        <v>0</v>
      </c>
      <c r="AD18" s="32">
        <v>0</v>
      </c>
      <c r="AE18" s="32">
        <v>79558</v>
      </c>
      <c r="AF18" s="32">
        <v>0</v>
      </c>
      <c r="AG1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1.4104618284637134</v>
      </c>
      <c r="AH18" s="32">
        <v>3511</v>
      </c>
      <c r="AI18" s="32">
        <v>902</v>
      </c>
      <c r="AJ18" s="32">
        <v>75</v>
      </c>
      <c r="AK18" s="32">
        <v>0</v>
      </c>
      <c r="AL18" s="32">
        <v>12</v>
      </c>
      <c r="AM18" s="32">
        <v>3140</v>
      </c>
      <c r="AN18" s="32">
        <v>3587</v>
      </c>
      <c r="AO18" s="32">
        <v>-52</v>
      </c>
      <c r="AP18" s="32">
        <v>-2070</v>
      </c>
      <c r="AQ1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3.9150414705223042</v>
      </c>
      <c r="AR18" s="32">
        <v>3790</v>
      </c>
      <c r="AS18" s="32">
        <v>406</v>
      </c>
      <c r="AT18" s="32">
        <v>3329</v>
      </c>
      <c r="AU18" s="32">
        <v>1717</v>
      </c>
      <c r="AV18" s="32">
        <v>2981</v>
      </c>
      <c r="AW18" s="32">
        <v>3140</v>
      </c>
      <c r="AX18" s="32">
        <v>889</v>
      </c>
      <c r="AY18" s="32">
        <v>0</v>
      </c>
      <c r="AZ18" s="32">
        <v>0</v>
      </c>
      <c r="BA18" s="32">
        <v>163</v>
      </c>
      <c r="BB18" s="32">
        <v>1050</v>
      </c>
      <c r="BC18" s="32">
        <v>4461</v>
      </c>
      <c r="BD18" s="34">
        <f>IFERROR(SUM(Cons_Metrics[[#This Row],[Operating surplus/(deficit) (social housing lettings)]])/SUM(Cons_Metrics[[#This Row],[Turnover from social housing lettings]]),"")</f>
        <v>0.14560255551548251</v>
      </c>
      <c r="BE18" s="32">
        <v>2826</v>
      </c>
      <c r="BF18" s="32">
        <v>19409</v>
      </c>
      <c r="BG18" s="34">
        <f>IFERROR(SUM(Cons_Metrics[[#This Row],[Operating surplus/(deficit) (overall)2]],-Cons_Metrics[[#This Row],[Gain/(loss) on disposal of fixed assets (housing properties)2]])/SUM(Cons_Metrics[[#This Row],[Turnover (overall)]]),"")</f>
        <v>0.12367859682389191</v>
      </c>
      <c r="BH18" s="32">
        <v>3511</v>
      </c>
      <c r="BI18" s="32">
        <v>902</v>
      </c>
      <c r="BJ18" s="32">
        <v>21095</v>
      </c>
      <c r="BK18" s="34">
        <f>IFERROR(SUM(Cons_Metrics[[#This Row],[Operating surplus/(deficit) (overall)3]],Cons_Metrics[[#This Row],[Share of operating surplus/(deficit) in joint ventures or associates]])/SUM(Cons_Metrics[[#This Row],[Total assets less current liabilities]]),"")</f>
        <v>4.0701583547796245E-2</v>
      </c>
      <c r="BL18" s="32">
        <v>3511</v>
      </c>
      <c r="BM18" s="32">
        <v>0</v>
      </c>
      <c r="BN18" s="32">
        <v>86262</v>
      </c>
      <c r="BO18" s="34">
        <v>0</v>
      </c>
      <c r="BP18" s="34">
        <v>4.595382201300157E-2</v>
      </c>
      <c r="BQ18" s="6" t="s">
        <v>93</v>
      </c>
      <c r="BR18" s="6">
        <v>2003</v>
      </c>
      <c r="BS18" s="6" t="s">
        <v>94</v>
      </c>
      <c r="BT18" s="6" t="s">
        <v>108</v>
      </c>
      <c r="BU18" s="8">
        <v>0.94807909763407583</v>
      </c>
    </row>
    <row r="19" spans="1:73" x14ac:dyDescent="0.25">
      <c r="A19" s="33" t="s">
        <v>124</v>
      </c>
      <c r="B19" s="7" t="s">
        <v>125</v>
      </c>
      <c r="C19" s="7" t="s">
        <v>81</v>
      </c>
      <c r="D1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5.4892355291994328E-2</v>
      </c>
      <c r="E19" s="32">
        <v>5347</v>
      </c>
      <c r="F19" s="32">
        <v>423</v>
      </c>
      <c r="G19" s="32">
        <v>571</v>
      </c>
      <c r="H19" s="32">
        <v>46</v>
      </c>
      <c r="I19" s="32">
        <v>0</v>
      </c>
      <c r="J19" s="32">
        <v>116355</v>
      </c>
      <c r="K19" s="32">
        <v>0</v>
      </c>
      <c r="L1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1.875293014533521E-3</v>
      </c>
      <c r="M19" s="32">
        <v>4</v>
      </c>
      <c r="N19" s="32">
        <v>0</v>
      </c>
      <c r="O19" s="32">
        <v>2114</v>
      </c>
      <c r="P19" s="32">
        <v>19</v>
      </c>
      <c r="Q1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9" s="32">
        <v>0</v>
      </c>
      <c r="S19" s="32">
        <v>0</v>
      </c>
      <c r="T19" s="32">
        <v>0</v>
      </c>
      <c r="U19" s="32">
        <v>2114</v>
      </c>
      <c r="V19" s="32">
        <v>0</v>
      </c>
      <c r="W19" s="32">
        <v>19</v>
      </c>
      <c r="X19" s="32">
        <v>0</v>
      </c>
      <c r="Y1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0.3832237548880581</v>
      </c>
      <c r="Z19" s="32">
        <v>2575</v>
      </c>
      <c r="AA19" s="32">
        <v>43369</v>
      </c>
      <c r="AB19" s="32">
        <v>1354</v>
      </c>
      <c r="AC19" s="32">
        <v>0</v>
      </c>
      <c r="AD19" s="32">
        <v>0</v>
      </c>
      <c r="AE19" s="32">
        <v>116355</v>
      </c>
      <c r="AF19" s="32">
        <v>0</v>
      </c>
      <c r="AG1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3.2110294117647058</v>
      </c>
      <c r="AH19" s="32">
        <v>4056</v>
      </c>
      <c r="AI19" s="32">
        <v>322</v>
      </c>
      <c r="AJ19" s="32">
        <v>510</v>
      </c>
      <c r="AK19" s="32">
        <v>0</v>
      </c>
      <c r="AL19" s="32">
        <v>2</v>
      </c>
      <c r="AM19" s="32">
        <v>571</v>
      </c>
      <c r="AN19" s="32">
        <v>1712</v>
      </c>
      <c r="AO19" s="32">
        <v>-46</v>
      </c>
      <c r="AP19" s="32">
        <v>-1314</v>
      </c>
      <c r="AQ1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4.5198675496688745</v>
      </c>
      <c r="AR19" s="32">
        <v>1542</v>
      </c>
      <c r="AS19" s="32">
        <v>1083</v>
      </c>
      <c r="AT19" s="32">
        <v>1860</v>
      </c>
      <c r="AU19" s="32">
        <v>195</v>
      </c>
      <c r="AV19" s="32">
        <v>0</v>
      </c>
      <c r="AW19" s="32">
        <v>571</v>
      </c>
      <c r="AX19" s="32">
        <v>0</v>
      </c>
      <c r="AY19" s="32">
        <v>0</v>
      </c>
      <c r="AZ19" s="32">
        <v>0</v>
      </c>
      <c r="BA19" s="32">
        <v>3142</v>
      </c>
      <c r="BB19" s="32">
        <v>1162</v>
      </c>
      <c r="BC19" s="32">
        <v>2114</v>
      </c>
      <c r="BD19" s="34">
        <f>IFERROR(SUM(Cons_Metrics[[#This Row],[Operating surplus/(deficit) (social housing lettings)]])/SUM(Cons_Metrics[[#This Row],[Turnover from social housing lettings]]),"")</f>
        <v>0.41276798475464505</v>
      </c>
      <c r="BE19" s="32">
        <v>4332</v>
      </c>
      <c r="BF19" s="32">
        <v>10495</v>
      </c>
      <c r="BG19" s="34">
        <f>IFERROR(SUM(Cons_Metrics[[#This Row],[Operating surplus/(deficit) (overall)2]],-Cons_Metrics[[#This Row],[Gain/(loss) on disposal of fixed assets (housing properties)2]])/SUM(Cons_Metrics[[#This Row],[Turnover (overall)]]),"")</f>
        <v>0.21161802210257863</v>
      </c>
      <c r="BH19" s="32">
        <v>4056</v>
      </c>
      <c r="BI19" s="32">
        <v>322</v>
      </c>
      <c r="BJ19" s="32">
        <v>17645</v>
      </c>
      <c r="BK19" s="34">
        <f>IFERROR(SUM(Cons_Metrics[[#This Row],[Operating surplus/(deficit) (overall)3]],Cons_Metrics[[#This Row],[Share of operating surplus/(deficit) in joint ventures or associates]])/SUM(Cons_Metrics[[#This Row],[Total assets less current liabilities]]),"")</f>
        <v>3.4101800938303992E-2</v>
      </c>
      <c r="BL19" s="32">
        <v>4056</v>
      </c>
      <c r="BM19" s="32">
        <v>0</v>
      </c>
      <c r="BN19" s="32">
        <v>118938</v>
      </c>
      <c r="BO19" s="34">
        <v>4.2573320719016081E-2</v>
      </c>
      <c r="BP19" s="34">
        <v>0.10832544938505204</v>
      </c>
      <c r="BQ19" s="6" t="s">
        <v>82</v>
      </c>
      <c r="BR19" s="6" t="s">
        <v>83</v>
      </c>
      <c r="BS19" s="6" t="s">
        <v>83</v>
      </c>
      <c r="BT19" s="6" t="s">
        <v>90</v>
      </c>
      <c r="BU19" s="8">
        <v>0.91571558169387279</v>
      </c>
    </row>
    <row r="20" spans="1:73" x14ac:dyDescent="0.25">
      <c r="A20" s="33" t="s">
        <v>126</v>
      </c>
      <c r="B20" s="7" t="s">
        <v>127</v>
      </c>
      <c r="C20" s="7" t="s">
        <v>81</v>
      </c>
      <c r="D2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0.16311771173710374</v>
      </c>
      <c r="E20" s="32">
        <v>15325</v>
      </c>
      <c r="F20" s="32">
        <v>5741</v>
      </c>
      <c r="G20" s="32">
        <v>0</v>
      </c>
      <c r="H20" s="32">
        <v>0</v>
      </c>
      <c r="I20" s="32">
        <v>0</v>
      </c>
      <c r="J20" s="32">
        <v>129146</v>
      </c>
      <c r="K20" s="32">
        <v>0</v>
      </c>
      <c r="L2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1.2484394506866417E-3</v>
      </c>
      <c r="M20" s="32">
        <v>22</v>
      </c>
      <c r="N20" s="32">
        <v>0</v>
      </c>
      <c r="O20" s="32">
        <v>17622</v>
      </c>
      <c r="P20" s="32">
        <v>0</v>
      </c>
      <c r="Q2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 s="32">
        <v>0</v>
      </c>
      <c r="S20" s="32">
        <v>0</v>
      </c>
      <c r="T20" s="32">
        <v>0</v>
      </c>
      <c r="U20" s="32">
        <v>17622</v>
      </c>
      <c r="V20" s="32">
        <v>0</v>
      </c>
      <c r="W20" s="32">
        <v>0</v>
      </c>
      <c r="X20" s="32">
        <v>0</v>
      </c>
      <c r="Y2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4.427547117216174E-2</v>
      </c>
      <c r="Z20" s="32">
        <v>0</v>
      </c>
      <c r="AA20" s="32">
        <v>30000</v>
      </c>
      <c r="AB20" s="32">
        <v>24282</v>
      </c>
      <c r="AC20" s="32">
        <v>0</v>
      </c>
      <c r="AD20" s="32">
        <v>0</v>
      </c>
      <c r="AE20" s="32">
        <v>129146</v>
      </c>
      <c r="AF20" s="32">
        <v>0</v>
      </c>
      <c r="AG2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0.18452030606238964</v>
      </c>
      <c r="AH20" s="32">
        <v>14386</v>
      </c>
      <c r="AI20" s="32">
        <v>4426</v>
      </c>
      <c r="AJ20" s="32">
        <v>108</v>
      </c>
      <c r="AK20" s="32">
        <v>0</v>
      </c>
      <c r="AL20" s="32">
        <v>46</v>
      </c>
      <c r="AM20" s="32">
        <v>14443</v>
      </c>
      <c r="AN20" s="32">
        <v>5172</v>
      </c>
      <c r="AO20" s="32">
        <v>0</v>
      </c>
      <c r="AP20" s="32">
        <v>-3398</v>
      </c>
      <c r="AQ2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4.2547383951878333</v>
      </c>
      <c r="AR20" s="32">
        <v>28465</v>
      </c>
      <c r="AS20" s="32">
        <v>3440</v>
      </c>
      <c r="AT20" s="32">
        <v>15135</v>
      </c>
      <c r="AU20" s="32">
        <v>6237</v>
      </c>
      <c r="AV20" s="32">
        <v>0</v>
      </c>
      <c r="AW20" s="32">
        <v>14443</v>
      </c>
      <c r="AX20" s="32">
        <v>0</v>
      </c>
      <c r="AY20" s="32">
        <v>0</v>
      </c>
      <c r="AZ20" s="32">
        <v>0</v>
      </c>
      <c r="BA20" s="32">
        <v>4224</v>
      </c>
      <c r="BB20" s="32">
        <v>3033</v>
      </c>
      <c r="BC20" s="32">
        <v>17622</v>
      </c>
      <c r="BD20" s="34">
        <f>IFERROR(SUM(Cons_Metrics[[#This Row],[Operating surplus/(deficit) (social housing lettings)]])/SUM(Cons_Metrics[[#This Row],[Turnover from social housing lettings]]),"")</f>
        <v>0.20020811373280359</v>
      </c>
      <c r="BE20" s="32">
        <v>14815</v>
      </c>
      <c r="BF20" s="32">
        <v>73998</v>
      </c>
      <c r="BG20" s="34">
        <f>IFERROR(SUM(Cons_Metrics[[#This Row],[Operating surplus/(deficit) (overall)2]],-Cons_Metrics[[#This Row],[Gain/(loss) on disposal of fixed assets (housing properties)2]])/SUM(Cons_Metrics[[#This Row],[Turnover (overall)]]),"")</f>
        <v>0.12212317765489167</v>
      </c>
      <c r="BH20" s="32">
        <v>14386</v>
      </c>
      <c r="BI20" s="32">
        <v>4426</v>
      </c>
      <c r="BJ20" s="32">
        <v>81557</v>
      </c>
      <c r="BK20" s="34">
        <f>IFERROR(SUM(Cons_Metrics[[#This Row],[Operating surplus/(deficit) (overall)3]],Cons_Metrics[[#This Row],[Share of operating surplus/(deficit) in joint ventures or associates]])/SUM(Cons_Metrics[[#This Row],[Total assets less current liabilities]]),"")</f>
        <v>9.5532180519032062E-2</v>
      </c>
      <c r="BL20" s="32">
        <v>14386</v>
      </c>
      <c r="BM20" s="32">
        <v>0</v>
      </c>
      <c r="BN20" s="32">
        <v>150588</v>
      </c>
      <c r="BO20" s="34">
        <v>6.5259334922256268E-3</v>
      </c>
      <c r="BP20" s="34">
        <v>0.14487572352740893</v>
      </c>
      <c r="BQ20" s="6" t="s">
        <v>93</v>
      </c>
      <c r="BR20" s="6">
        <v>2011</v>
      </c>
      <c r="BS20" s="6" t="s">
        <v>120</v>
      </c>
      <c r="BT20" s="6" t="s">
        <v>105</v>
      </c>
      <c r="BU20" s="8">
        <v>0.9156653862445665</v>
      </c>
    </row>
    <row r="21" spans="1:73" x14ac:dyDescent="0.25">
      <c r="A21" s="33" t="s">
        <v>128</v>
      </c>
      <c r="B21" s="7" t="s">
        <v>129</v>
      </c>
      <c r="C21" s="7" t="s">
        <v>81</v>
      </c>
      <c r="D2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0.11555193221380983</v>
      </c>
      <c r="E21" s="32">
        <v>0</v>
      </c>
      <c r="F21" s="32">
        <v>14183</v>
      </c>
      <c r="G21" s="32">
        <v>3109</v>
      </c>
      <c r="H21" s="32">
        <v>0</v>
      </c>
      <c r="I21" s="32">
        <v>0</v>
      </c>
      <c r="J21" s="32">
        <v>149647</v>
      </c>
      <c r="K21" s="32">
        <v>0</v>
      </c>
      <c r="L2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2.5810448069378485E-2</v>
      </c>
      <c r="M21" s="32">
        <v>125</v>
      </c>
      <c r="N21" s="32">
        <v>0</v>
      </c>
      <c r="O21" s="32">
        <v>4843</v>
      </c>
      <c r="P21" s="32">
        <v>0</v>
      </c>
      <c r="Q2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 s="32">
        <v>0</v>
      </c>
      <c r="S21" s="32">
        <v>0</v>
      </c>
      <c r="T21" s="32">
        <v>0</v>
      </c>
      <c r="U21" s="32">
        <v>4843</v>
      </c>
      <c r="V21" s="32">
        <v>14</v>
      </c>
      <c r="W21" s="32">
        <v>0</v>
      </c>
      <c r="X21" s="32">
        <v>144</v>
      </c>
      <c r="Y2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0.57562129544862239</v>
      </c>
      <c r="Z21" s="32">
        <v>0</v>
      </c>
      <c r="AA21" s="32">
        <v>91220</v>
      </c>
      <c r="AB21" s="32">
        <v>5080</v>
      </c>
      <c r="AC21" s="32">
        <v>0</v>
      </c>
      <c r="AD21" s="32">
        <v>0</v>
      </c>
      <c r="AE21" s="32">
        <v>149647</v>
      </c>
      <c r="AF21" s="32">
        <v>0</v>
      </c>
      <c r="AG2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1.5977482088024566</v>
      </c>
      <c r="AH21" s="32">
        <v>5921</v>
      </c>
      <c r="AI21" s="32">
        <v>380</v>
      </c>
      <c r="AJ21" s="32">
        <v>37</v>
      </c>
      <c r="AK21" s="32">
        <v>0</v>
      </c>
      <c r="AL21" s="32">
        <v>15</v>
      </c>
      <c r="AM21" s="32">
        <v>3109</v>
      </c>
      <c r="AN21" s="32">
        <v>3834</v>
      </c>
      <c r="AO21" s="32">
        <v>0</v>
      </c>
      <c r="AP21" s="32">
        <v>-3908</v>
      </c>
      <c r="AQ2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2.9902952715259139</v>
      </c>
      <c r="AR21" s="32">
        <v>6024</v>
      </c>
      <c r="AS21" s="32">
        <v>1285</v>
      </c>
      <c r="AT21" s="32">
        <v>1964</v>
      </c>
      <c r="AU21" s="32">
        <v>1340</v>
      </c>
      <c r="AV21" s="32">
        <v>699</v>
      </c>
      <c r="AW21" s="32">
        <v>3109</v>
      </c>
      <c r="AX21" s="32">
        <v>0</v>
      </c>
      <c r="AY21" s="32">
        <v>0</v>
      </c>
      <c r="AZ21" s="32">
        <v>0</v>
      </c>
      <c r="BA21" s="32">
        <v>0</v>
      </c>
      <c r="BB21" s="32">
        <v>61</v>
      </c>
      <c r="BC21" s="32">
        <v>4843</v>
      </c>
      <c r="BD21" s="34">
        <f>IFERROR(SUM(Cons_Metrics[[#This Row],[Operating surplus/(deficit) (social housing lettings)]])/SUM(Cons_Metrics[[#This Row],[Turnover from social housing lettings]]),"")</f>
        <v>0.25006126550017155</v>
      </c>
      <c r="BE21" s="32">
        <v>5102</v>
      </c>
      <c r="BF21" s="32">
        <v>20403</v>
      </c>
      <c r="BG21" s="34">
        <f>IFERROR(SUM(Cons_Metrics[[#This Row],[Operating surplus/(deficit) (overall)2]],-Cons_Metrics[[#This Row],[Gain/(loss) on disposal of fixed assets (housing properties)2]])/SUM(Cons_Metrics[[#This Row],[Turnover (overall)]]),"")</f>
        <v>0.25927658977118523</v>
      </c>
      <c r="BH21" s="32">
        <v>5921</v>
      </c>
      <c r="BI21" s="32">
        <v>380</v>
      </c>
      <c r="BJ21" s="32">
        <v>21371</v>
      </c>
      <c r="BK21" s="34">
        <f>IFERROR(SUM(Cons_Metrics[[#This Row],[Operating surplus/(deficit) (overall)3]],Cons_Metrics[[#This Row],[Share of operating surplus/(deficit) in joint ventures or associates]])/SUM(Cons_Metrics[[#This Row],[Total assets less current liabilities]]),"")</f>
        <v>3.8072763281420799E-2</v>
      </c>
      <c r="BL21" s="32">
        <v>5921</v>
      </c>
      <c r="BM21" s="32">
        <v>0</v>
      </c>
      <c r="BN21" s="32">
        <v>155518</v>
      </c>
      <c r="BO21" s="34">
        <v>4.2716787697565147E-3</v>
      </c>
      <c r="BP21" s="34">
        <v>0.18069201196070056</v>
      </c>
      <c r="BQ21" s="6" t="s">
        <v>93</v>
      </c>
      <c r="BR21" s="6">
        <v>1999</v>
      </c>
      <c r="BS21" s="6" t="s">
        <v>94</v>
      </c>
      <c r="BT21" s="6" t="s">
        <v>95</v>
      </c>
      <c r="BU21" s="8">
        <v>0.92038375847935383</v>
      </c>
    </row>
    <row r="22" spans="1:73" x14ac:dyDescent="0.25">
      <c r="A22" s="33" t="s">
        <v>130</v>
      </c>
      <c r="B22" s="7" t="s">
        <v>131</v>
      </c>
      <c r="C22" s="7" t="s">
        <v>81</v>
      </c>
      <c r="D2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6.7748990578734861E-2</v>
      </c>
      <c r="E22" s="32">
        <v>995</v>
      </c>
      <c r="F22" s="32">
        <v>0</v>
      </c>
      <c r="G22" s="32">
        <v>3032</v>
      </c>
      <c r="H22" s="32">
        <v>0</v>
      </c>
      <c r="I22" s="32">
        <v>0</v>
      </c>
      <c r="J22" s="32">
        <v>59440</v>
      </c>
      <c r="K22" s="32">
        <v>0</v>
      </c>
      <c r="L2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1.0480349344978166E-2</v>
      </c>
      <c r="M22" s="32">
        <v>12</v>
      </c>
      <c r="N22" s="32">
        <v>0</v>
      </c>
      <c r="O22" s="32">
        <v>1145</v>
      </c>
      <c r="P22" s="32">
        <v>0</v>
      </c>
      <c r="Q2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 s="32">
        <v>0</v>
      </c>
      <c r="S22" s="32">
        <v>0</v>
      </c>
      <c r="T22" s="32">
        <v>0</v>
      </c>
      <c r="U22" s="32">
        <v>1145</v>
      </c>
      <c r="V22" s="32">
        <v>0</v>
      </c>
      <c r="W22" s="32">
        <v>0</v>
      </c>
      <c r="X22" s="32">
        <v>0</v>
      </c>
      <c r="Y2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0.37213997308209962</v>
      </c>
      <c r="Z22" s="32">
        <v>5129</v>
      </c>
      <c r="AA22" s="32">
        <v>19153</v>
      </c>
      <c r="AB22" s="32">
        <v>2162</v>
      </c>
      <c r="AC22" s="32">
        <v>0</v>
      </c>
      <c r="AD22" s="32">
        <v>0</v>
      </c>
      <c r="AE22" s="32">
        <v>59440</v>
      </c>
      <c r="AF22" s="32">
        <v>0</v>
      </c>
      <c r="AG2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1.6447368421052631</v>
      </c>
      <c r="AH22" s="32">
        <v>1130</v>
      </c>
      <c r="AI22" s="32">
        <v>575</v>
      </c>
      <c r="AJ22" s="32">
        <v>405</v>
      </c>
      <c r="AK22" s="32">
        <v>0</v>
      </c>
      <c r="AL22" s="32">
        <v>5</v>
      </c>
      <c r="AM22" s="32">
        <v>73</v>
      </c>
      <c r="AN22" s="32">
        <v>1293</v>
      </c>
      <c r="AO22" s="32">
        <v>0</v>
      </c>
      <c r="AP22" s="32">
        <v>-836</v>
      </c>
      <c r="AQ2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8.2226967663209276</v>
      </c>
      <c r="AR22" s="32">
        <v>1597</v>
      </c>
      <c r="AS22" s="32">
        <v>1671</v>
      </c>
      <c r="AT22" s="32">
        <v>1138</v>
      </c>
      <c r="AU22" s="32">
        <v>392</v>
      </c>
      <c r="AV22" s="32">
        <v>511</v>
      </c>
      <c r="AW22" s="32">
        <v>73</v>
      </c>
      <c r="AX22" s="32">
        <v>3387</v>
      </c>
      <c r="AY22" s="32">
        <v>0</v>
      </c>
      <c r="AZ22" s="32">
        <v>0</v>
      </c>
      <c r="BA22" s="32">
        <v>0</v>
      </c>
      <c r="BB22" s="32">
        <v>4708</v>
      </c>
      <c r="BC22" s="32">
        <v>1639</v>
      </c>
      <c r="BD22" s="34">
        <f>IFERROR(SUM(Cons_Metrics[[#This Row],[Operating surplus/(deficit) (social housing lettings)]])/SUM(Cons_Metrics[[#This Row],[Turnover from social housing lettings]]),"")</f>
        <v>0.25574342254909394</v>
      </c>
      <c r="BE22" s="32">
        <v>3373</v>
      </c>
      <c r="BF22" s="32">
        <v>13189</v>
      </c>
      <c r="BG22" s="34">
        <f>IFERROR(SUM(Cons_Metrics[[#This Row],[Operating surplus/(deficit) (overall)2]],-Cons_Metrics[[#This Row],[Gain/(loss) on disposal of fixed assets (housing properties)2]])/SUM(Cons_Metrics[[#This Row],[Turnover (overall)]]),"")</f>
        <v>2.8986264166710188E-2</v>
      </c>
      <c r="BH22" s="32">
        <v>1130</v>
      </c>
      <c r="BI22" s="32">
        <v>575</v>
      </c>
      <c r="BJ22" s="32">
        <v>19147</v>
      </c>
      <c r="BK22" s="34">
        <f>IFERROR(SUM(Cons_Metrics[[#This Row],[Operating surplus/(deficit) (overall)3]],Cons_Metrics[[#This Row],[Share of operating surplus/(deficit) in joint ventures or associates]])/SUM(Cons_Metrics[[#This Row],[Total assets less current liabilities]]),"")</f>
        <v>1.9136649223526224E-2</v>
      </c>
      <c r="BL22" s="32">
        <v>1130</v>
      </c>
      <c r="BM22" s="32">
        <v>0</v>
      </c>
      <c r="BN22" s="32">
        <v>59049</v>
      </c>
      <c r="BO22" s="34">
        <v>0.50983899821109124</v>
      </c>
      <c r="BP22" s="34">
        <v>6.7978533094812166E-2</v>
      </c>
      <c r="BQ22" s="6" t="s">
        <v>82</v>
      </c>
      <c r="BR22" s="6" t="s">
        <v>83</v>
      </c>
      <c r="BS22" s="6" t="s">
        <v>83</v>
      </c>
      <c r="BT22" s="6" t="s">
        <v>115</v>
      </c>
      <c r="BU22" s="8">
        <v>0.96794635674343033</v>
      </c>
    </row>
    <row r="23" spans="1:73" x14ac:dyDescent="0.25">
      <c r="A23" s="33" t="s">
        <v>132</v>
      </c>
      <c r="B23" s="7" t="s">
        <v>133</v>
      </c>
      <c r="C23" s="7" t="s">
        <v>134</v>
      </c>
      <c r="D2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3.0218952443127604E-2</v>
      </c>
      <c r="E23" s="32">
        <v>1620</v>
      </c>
      <c r="F23" s="32">
        <v>370</v>
      </c>
      <c r="G23" s="32">
        <v>2824</v>
      </c>
      <c r="H23" s="32">
        <v>0</v>
      </c>
      <c r="I23" s="32">
        <v>0</v>
      </c>
      <c r="J23" s="32">
        <v>159304</v>
      </c>
      <c r="K23" s="32">
        <v>0</v>
      </c>
      <c r="L2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1.0802052389954091E-3</v>
      </c>
      <c r="M23" s="32">
        <v>4</v>
      </c>
      <c r="N23" s="32">
        <v>0</v>
      </c>
      <c r="O23" s="32">
        <v>3703</v>
      </c>
      <c r="P23" s="32">
        <v>0</v>
      </c>
      <c r="Q2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3" s="32">
        <v>0</v>
      </c>
      <c r="S23" s="32">
        <v>0</v>
      </c>
      <c r="T23" s="32">
        <v>0</v>
      </c>
      <c r="U23" s="32">
        <v>3703</v>
      </c>
      <c r="V23" s="32">
        <v>58</v>
      </c>
      <c r="W23" s="32">
        <v>0</v>
      </c>
      <c r="X23" s="32">
        <v>0</v>
      </c>
      <c r="Y2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0.59939486767438355</v>
      </c>
      <c r="Z23" s="32">
        <v>3555</v>
      </c>
      <c r="AA23" s="32">
        <v>96567</v>
      </c>
      <c r="AB23" s="32">
        <v>4636</v>
      </c>
      <c r="AC23" s="32">
        <v>0</v>
      </c>
      <c r="AD23" s="32">
        <v>0</v>
      </c>
      <c r="AE23" s="32">
        <v>159304</v>
      </c>
      <c r="AF23" s="32">
        <v>0</v>
      </c>
      <c r="AG2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1.483319772172498</v>
      </c>
      <c r="AH23" s="32">
        <v>7088</v>
      </c>
      <c r="AI23" s="32">
        <v>696</v>
      </c>
      <c r="AJ23" s="32">
        <v>326</v>
      </c>
      <c r="AK23" s="32">
        <v>0</v>
      </c>
      <c r="AL23" s="32">
        <v>178</v>
      </c>
      <c r="AM23" s="32">
        <v>2824</v>
      </c>
      <c r="AN23" s="32">
        <v>3872</v>
      </c>
      <c r="AO23" s="32">
        <v>0</v>
      </c>
      <c r="AP23" s="32">
        <v>-4916</v>
      </c>
      <c r="AQ2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4.1703817576223416</v>
      </c>
      <c r="AR23" s="32">
        <v>3567</v>
      </c>
      <c r="AS23" s="32">
        <v>3292</v>
      </c>
      <c r="AT23" s="32">
        <v>3578</v>
      </c>
      <c r="AU23" s="32">
        <v>1192</v>
      </c>
      <c r="AV23" s="32">
        <v>1100</v>
      </c>
      <c r="AW23" s="32">
        <v>2824</v>
      </c>
      <c r="AX23" s="32">
        <v>228</v>
      </c>
      <c r="AY23" s="32">
        <v>0</v>
      </c>
      <c r="AZ23" s="32">
        <v>0</v>
      </c>
      <c r="BA23" s="32">
        <v>496</v>
      </c>
      <c r="BB23" s="32">
        <v>0</v>
      </c>
      <c r="BC23" s="32">
        <v>3903</v>
      </c>
      <c r="BD23" s="34">
        <f>IFERROR(SUM(Cons_Metrics[[#This Row],[Operating surplus/(deficit) (social housing lettings)]])/SUM(Cons_Metrics[[#This Row],[Turnover from social housing lettings]]),"")</f>
        <v>0.29569823020281616</v>
      </c>
      <c r="BE23" s="32">
        <v>6867</v>
      </c>
      <c r="BF23" s="32">
        <v>23223</v>
      </c>
      <c r="BG23" s="34">
        <f>IFERROR(SUM(Cons_Metrics[[#This Row],[Operating surplus/(deficit) (overall)2]],-Cons_Metrics[[#This Row],[Gain/(loss) on disposal of fixed assets (housing properties)2]])/SUM(Cons_Metrics[[#This Row],[Turnover (overall)]]),"")</f>
        <v>0.23205663459793066</v>
      </c>
      <c r="BH23" s="32">
        <v>7088</v>
      </c>
      <c r="BI23" s="32">
        <v>696</v>
      </c>
      <c r="BJ23" s="32">
        <v>27545</v>
      </c>
      <c r="BK23" s="34">
        <f>IFERROR(SUM(Cons_Metrics[[#This Row],[Operating surplus/(deficit) (overall)3]],Cons_Metrics[[#This Row],[Share of operating surplus/(deficit) in joint ventures or associates]])/SUM(Cons_Metrics[[#This Row],[Total assets less current liabilities]]),"")</f>
        <v>3.9332763614973974E-2</v>
      </c>
      <c r="BL23" s="32">
        <v>7088</v>
      </c>
      <c r="BM23" s="32">
        <v>0</v>
      </c>
      <c r="BN23" s="32">
        <v>180206</v>
      </c>
      <c r="BO23" s="34">
        <v>2.4141630901287556E-3</v>
      </c>
      <c r="BP23" s="34">
        <v>7.027896995708155E-2</v>
      </c>
      <c r="BQ23" s="6" t="s">
        <v>82</v>
      </c>
      <c r="BR23" s="6" t="s">
        <v>83</v>
      </c>
      <c r="BS23" s="6" t="s">
        <v>83</v>
      </c>
      <c r="BT23" s="6" t="s">
        <v>90</v>
      </c>
      <c r="BU23" s="8">
        <v>0.91571558169387279</v>
      </c>
    </row>
    <row r="24" spans="1:73" x14ac:dyDescent="0.25">
      <c r="A24" s="33" t="s">
        <v>135</v>
      </c>
      <c r="B24" s="7" t="s">
        <v>136</v>
      </c>
      <c r="C24" s="7" t="s">
        <v>81</v>
      </c>
      <c r="D2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9.483571399291206E-2</v>
      </c>
      <c r="E24" s="32">
        <v>87789</v>
      </c>
      <c r="F24" s="32">
        <v>0</v>
      </c>
      <c r="G24" s="32">
        <v>11822</v>
      </c>
      <c r="H24" s="32">
        <v>2183</v>
      </c>
      <c r="I24" s="32">
        <v>0</v>
      </c>
      <c r="J24" s="32">
        <v>1073372</v>
      </c>
      <c r="K24" s="32">
        <v>0</v>
      </c>
      <c r="L2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2.4561189663578741E-2</v>
      </c>
      <c r="M24" s="32">
        <v>385</v>
      </c>
      <c r="N24" s="32">
        <v>18</v>
      </c>
      <c r="O24" s="32">
        <v>15695</v>
      </c>
      <c r="P24" s="32">
        <v>713</v>
      </c>
      <c r="Q2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4" s="32">
        <v>0</v>
      </c>
      <c r="S24" s="32">
        <v>0</v>
      </c>
      <c r="T24" s="32">
        <v>0</v>
      </c>
      <c r="U24" s="32">
        <v>15695</v>
      </c>
      <c r="V24" s="32">
        <v>808</v>
      </c>
      <c r="W24" s="32">
        <v>713</v>
      </c>
      <c r="X24" s="32">
        <v>0</v>
      </c>
      <c r="Y2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0.66975661746347026</v>
      </c>
      <c r="Z24" s="32">
        <v>7500</v>
      </c>
      <c r="AA24" s="32">
        <v>731394</v>
      </c>
      <c r="AB24" s="32">
        <v>19996</v>
      </c>
      <c r="AC24" s="32">
        <v>0</v>
      </c>
      <c r="AD24" s="32">
        <v>0</v>
      </c>
      <c r="AE24" s="32">
        <v>1073372</v>
      </c>
      <c r="AF24" s="32">
        <v>0</v>
      </c>
      <c r="AG2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1.7706849000229832</v>
      </c>
      <c r="AH24" s="32">
        <v>66572</v>
      </c>
      <c r="AI24" s="32">
        <v>11195</v>
      </c>
      <c r="AJ24" s="32">
        <v>0</v>
      </c>
      <c r="AK24" s="32">
        <v>0</v>
      </c>
      <c r="AL24" s="32">
        <v>1090</v>
      </c>
      <c r="AM24" s="32">
        <v>11822</v>
      </c>
      <c r="AN24" s="32">
        <v>16989</v>
      </c>
      <c r="AO24" s="32">
        <v>-2193</v>
      </c>
      <c r="AP24" s="32">
        <v>-32615</v>
      </c>
      <c r="AQ2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2.8901763544916279</v>
      </c>
      <c r="AR24" s="32">
        <v>16107</v>
      </c>
      <c r="AS24" s="32">
        <v>5449</v>
      </c>
      <c r="AT24" s="32">
        <v>6598</v>
      </c>
      <c r="AU24" s="32">
        <v>3544</v>
      </c>
      <c r="AV24" s="32">
        <v>0</v>
      </c>
      <c r="AW24" s="32">
        <v>11822</v>
      </c>
      <c r="AX24" s="32">
        <v>0</v>
      </c>
      <c r="AY24" s="32">
        <v>0</v>
      </c>
      <c r="AZ24" s="32">
        <v>0</v>
      </c>
      <c r="BA24" s="32">
        <v>1715</v>
      </c>
      <c r="BB24" s="32">
        <v>161</v>
      </c>
      <c r="BC24" s="32">
        <v>15707</v>
      </c>
      <c r="BD24" s="34">
        <f>IFERROR(SUM(Cons_Metrics[[#This Row],[Operating surplus/(deficit) (social housing lettings)]])/SUM(Cons_Metrics[[#This Row],[Turnover from social housing lettings]]),"")</f>
        <v>0.44305129836331042</v>
      </c>
      <c r="BE24" s="32">
        <v>38304</v>
      </c>
      <c r="BF24" s="32">
        <v>86455</v>
      </c>
      <c r="BG24" s="34">
        <f>IFERROR(SUM(Cons_Metrics[[#This Row],[Operating surplus/(deficit) (overall)2]],-Cons_Metrics[[#This Row],[Gain/(loss) on disposal of fixed assets (housing properties)2]])/SUM(Cons_Metrics[[#This Row],[Turnover (overall)]]),"")</f>
        <v>0.47200865992737934</v>
      </c>
      <c r="BH24" s="32">
        <v>66572</v>
      </c>
      <c r="BI24" s="32">
        <v>11195</v>
      </c>
      <c r="BJ24" s="32">
        <v>117322</v>
      </c>
      <c r="BK24" s="34">
        <f>IFERROR(SUM(Cons_Metrics[[#This Row],[Operating surplus/(deficit) (overall)3]],Cons_Metrics[[#This Row],[Share of operating surplus/(deficit) in joint ventures or associates]])/SUM(Cons_Metrics[[#This Row],[Total assets less current liabilities]]),"")</f>
        <v>5.79367579713954E-2</v>
      </c>
      <c r="BL24" s="32">
        <v>66572</v>
      </c>
      <c r="BM24" s="32">
        <v>0</v>
      </c>
      <c r="BN24" s="32">
        <v>1149046</v>
      </c>
      <c r="BO24" s="34">
        <v>1.3136815123357898E-2</v>
      </c>
      <c r="BP24" s="34">
        <v>5.7737904517782761E-2</v>
      </c>
      <c r="BQ24" s="6" t="s">
        <v>82</v>
      </c>
      <c r="BR24" s="6" t="s">
        <v>83</v>
      </c>
      <c r="BS24" s="6" t="s">
        <v>83</v>
      </c>
      <c r="BT24" s="6" t="s">
        <v>100</v>
      </c>
      <c r="BU24" s="8">
        <v>0.99710246075975162</v>
      </c>
    </row>
    <row r="25" spans="1:73" x14ac:dyDescent="0.25">
      <c r="A25" s="33" t="s">
        <v>137</v>
      </c>
      <c r="B25" s="7" t="s">
        <v>138</v>
      </c>
      <c r="C25" s="7" t="s">
        <v>81</v>
      </c>
      <c r="D2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3.8363797288417441E-2</v>
      </c>
      <c r="E25" s="32">
        <v>0</v>
      </c>
      <c r="F25" s="32">
        <v>8587</v>
      </c>
      <c r="G25" s="32">
        <v>2768</v>
      </c>
      <c r="H25" s="32">
        <v>88</v>
      </c>
      <c r="I25" s="32">
        <v>0</v>
      </c>
      <c r="J25" s="32">
        <v>298276</v>
      </c>
      <c r="K25" s="32">
        <v>0</v>
      </c>
      <c r="L2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1.8178867067034574E-2</v>
      </c>
      <c r="M25" s="32">
        <v>112</v>
      </c>
      <c r="N25" s="32">
        <v>0</v>
      </c>
      <c r="O25" s="32">
        <v>6161</v>
      </c>
      <c r="P25" s="32">
        <v>0</v>
      </c>
      <c r="Q2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5" s="32">
        <v>0</v>
      </c>
      <c r="S25" s="32">
        <v>0</v>
      </c>
      <c r="T25" s="32">
        <v>0</v>
      </c>
      <c r="U25" s="32">
        <v>6161</v>
      </c>
      <c r="V25" s="32">
        <v>0</v>
      </c>
      <c r="W25" s="32">
        <v>0</v>
      </c>
      <c r="X25" s="32">
        <v>0</v>
      </c>
      <c r="Y2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0.42861309659509983</v>
      </c>
      <c r="Z25" s="32">
        <v>3293</v>
      </c>
      <c r="AA25" s="32">
        <v>128515</v>
      </c>
      <c r="AB25" s="32">
        <v>3963</v>
      </c>
      <c r="AC25" s="32">
        <v>0</v>
      </c>
      <c r="AD25" s="32">
        <v>0</v>
      </c>
      <c r="AE25" s="32">
        <v>298276</v>
      </c>
      <c r="AF25" s="32">
        <v>0</v>
      </c>
      <c r="AG2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2.453089929672303</v>
      </c>
      <c r="AH25" s="32">
        <v>11863</v>
      </c>
      <c r="AI25" s="32">
        <v>0</v>
      </c>
      <c r="AJ25" s="32">
        <v>62</v>
      </c>
      <c r="AK25" s="32">
        <v>0</v>
      </c>
      <c r="AL25" s="32">
        <v>5</v>
      </c>
      <c r="AM25" s="32">
        <v>2768</v>
      </c>
      <c r="AN25" s="32">
        <v>7356</v>
      </c>
      <c r="AO25" s="32">
        <v>-88</v>
      </c>
      <c r="AP25" s="32">
        <v>-6595</v>
      </c>
      <c r="AQ2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3.2879402694367799</v>
      </c>
      <c r="AR25" s="32">
        <v>2480</v>
      </c>
      <c r="AS25" s="32">
        <v>2140</v>
      </c>
      <c r="AT25" s="32">
        <v>4237</v>
      </c>
      <c r="AU25" s="32">
        <v>1029</v>
      </c>
      <c r="AV25" s="32">
        <v>3260</v>
      </c>
      <c r="AW25" s="32">
        <v>2768</v>
      </c>
      <c r="AX25" s="32">
        <v>480</v>
      </c>
      <c r="AY25" s="32">
        <v>581</v>
      </c>
      <c r="AZ25" s="32">
        <v>1088</v>
      </c>
      <c r="BA25" s="32">
        <v>782</v>
      </c>
      <c r="BB25" s="32">
        <v>1412</v>
      </c>
      <c r="BC25" s="32">
        <v>6161</v>
      </c>
      <c r="BD25" s="34">
        <f>IFERROR(SUM(Cons_Metrics[[#This Row],[Operating surplus/(deficit) (social housing lettings)]])/SUM(Cons_Metrics[[#This Row],[Turnover from social housing lettings]]),"")</f>
        <v>0.35174576759368897</v>
      </c>
      <c r="BE25" s="32">
        <v>10991</v>
      </c>
      <c r="BF25" s="32">
        <v>31247</v>
      </c>
      <c r="BG25" s="34">
        <f>IFERROR(SUM(Cons_Metrics[[#This Row],[Operating surplus/(deficit) (overall)2]],-Cons_Metrics[[#This Row],[Gain/(loss) on disposal of fixed assets (housing properties)2]])/SUM(Cons_Metrics[[#This Row],[Turnover (overall)]]),"")</f>
        <v>0.24897685058870442</v>
      </c>
      <c r="BH25" s="32">
        <v>11863</v>
      </c>
      <c r="BI25" s="32">
        <v>0</v>
      </c>
      <c r="BJ25" s="32">
        <v>47647</v>
      </c>
      <c r="BK25" s="34">
        <f>IFERROR(SUM(Cons_Metrics[[#This Row],[Operating surplus/(deficit) (overall)3]],Cons_Metrics[[#This Row],[Share of operating surplus/(deficit) in joint ventures or associates]])/SUM(Cons_Metrics[[#This Row],[Total assets less current liabilities]]),"")</f>
        <v>3.7235712133386903E-2</v>
      </c>
      <c r="BL25" s="32">
        <v>11863</v>
      </c>
      <c r="BM25" s="32">
        <v>0</v>
      </c>
      <c r="BN25" s="32">
        <v>318592</v>
      </c>
      <c r="BO25" s="34">
        <v>5.5001608234158894E-2</v>
      </c>
      <c r="BP25" s="34">
        <v>0</v>
      </c>
      <c r="BQ25" s="6" t="s">
        <v>93</v>
      </c>
      <c r="BR25" s="6">
        <v>1993</v>
      </c>
      <c r="BS25" s="6" t="s">
        <v>94</v>
      </c>
      <c r="BT25" s="6" t="s">
        <v>108</v>
      </c>
      <c r="BU25" s="8">
        <v>0.94773582429221159</v>
      </c>
    </row>
    <row r="26" spans="1:73" x14ac:dyDescent="0.25">
      <c r="A26" s="33" t="s">
        <v>139</v>
      </c>
      <c r="B26" s="7" t="s">
        <v>140</v>
      </c>
      <c r="C26" s="7" t="s">
        <v>81</v>
      </c>
      <c r="D2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3.7202554778906119E-2</v>
      </c>
      <c r="E26" s="32">
        <v>7518</v>
      </c>
      <c r="F26" s="32">
        <v>0</v>
      </c>
      <c r="G26" s="32">
        <v>1930</v>
      </c>
      <c r="H26" s="32">
        <v>425</v>
      </c>
      <c r="I26" s="32">
        <v>0</v>
      </c>
      <c r="J26" s="32">
        <v>265385</v>
      </c>
      <c r="K26" s="32">
        <v>0</v>
      </c>
      <c r="L2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2.8328611898016999E-3</v>
      </c>
      <c r="M26" s="32">
        <v>14</v>
      </c>
      <c r="N26" s="32">
        <v>0</v>
      </c>
      <c r="O26" s="32">
        <v>4942</v>
      </c>
      <c r="P26" s="32">
        <v>0</v>
      </c>
      <c r="Q2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6" s="32">
        <v>0</v>
      </c>
      <c r="S26" s="32">
        <v>0</v>
      </c>
      <c r="T26" s="32">
        <v>0</v>
      </c>
      <c r="U26" s="32">
        <v>4942</v>
      </c>
      <c r="V26" s="32">
        <v>25</v>
      </c>
      <c r="W26" s="32">
        <v>0</v>
      </c>
      <c r="X26" s="32">
        <v>10</v>
      </c>
      <c r="Y2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0.52790097405655934</v>
      </c>
      <c r="Z26" s="32">
        <v>5462</v>
      </c>
      <c r="AA26" s="32">
        <v>153975</v>
      </c>
      <c r="AB26" s="32">
        <v>19340</v>
      </c>
      <c r="AC26" s="32">
        <v>0</v>
      </c>
      <c r="AD26" s="32">
        <v>0</v>
      </c>
      <c r="AE26" s="32">
        <v>265385</v>
      </c>
      <c r="AF26" s="32">
        <v>0</v>
      </c>
      <c r="AG2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1.482411230388109</v>
      </c>
      <c r="AH26" s="32">
        <v>7688</v>
      </c>
      <c r="AI26" s="32">
        <v>453</v>
      </c>
      <c r="AJ26" s="32">
        <v>1004</v>
      </c>
      <c r="AK26" s="32">
        <v>0</v>
      </c>
      <c r="AL26" s="32">
        <v>73</v>
      </c>
      <c r="AM26" s="32">
        <v>1930</v>
      </c>
      <c r="AN26" s="32">
        <v>4602</v>
      </c>
      <c r="AO26" s="32">
        <v>-425</v>
      </c>
      <c r="AP26" s="32">
        <v>-5630</v>
      </c>
      <c r="AQ2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3.2518977227327208</v>
      </c>
      <c r="AR26" s="32">
        <v>4578</v>
      </c>
      <c r="AS26" s="32">
        <v>2287</v>
      </c>
      <c r="AT26" s="32">
        <v>3768</v>
      </c>
      <c r="AU26" s="32">
        <v>1718</v>
      </c>
      <c r="AV26" s="32">
        <v>1539</v>
      </c>
      <c r="AW26" s="32">
        <v>1930</v>
      </c>
      <c r="AX26" s="32">
        <v>0</v>
      </c>
      <c r="AY26" s="32">
        <v>359</v>
      </c>
      <c r="AZ26" s="32">
        <v>0</v>
      </c>
      <c r="BA26" s="32">
        <v>3</v>
      </c>
      <c r="BB26" s="32">
        <v>97</v>
      </c>
      <c r="BC26" s="32">
        <v>5006</v>
      </c>
      <c r="BD26" s="34">
        <f>IFERROR(SUM(Cons_Metrics[[#This Row],[Operating surplus/(deficit) (social housing lettings)]])/SUM(Cons_Metrics[[#This Row],[Turnover from social housing lettings]]),"")</f>
        <v>0.28378326632203715</v>
      </c>
      <c r="BE26" s="32">
        <v>7411</v>
      </c>
      <c r="BF26" s="32">
        <v>26115</v>
      </c>
      <c r="BG26" s="34">
        <f>IFERROR(SUM(Cons_Metrics[[#This Row],[Operating surplus/(deficit) (overall)2]],-Cons_Metrics[[#This Row],[Gain/(loss) on disposal of fixed assets (housing properties)2]])/SUM(Cons_Metrics[[#This Row],[Turnover (overall)]]),"")</f>
        <v>0.27328699856462946</v>
      </c>
      <c r="BH26" s="32">
        <v>7688</v>
      </c>
      <c r="BI26" s="32">
        <v>453</v>
      </c>
      <c r="BJ26" s="32">
        <v>26474</v>
      </c>
      <c r="BK26" s="34">
        <f>IFERROR(SUM(Cons_Metrics[[#This Row],[Operating surplus/(deficit) (overall)3]],Cons_Metrics[[#This Row],[Share of operating surplus/(deficit) in joint ventures or associates]])/SUM(Cons_Metrics[[#This Row],[Total assets less current liabilities]]),"")</f>
        <v>2.5915014393484842E-2</v>
      </c>
      <c r="BL26" s="32">
        <v>7688</v>
      </c>
      <c r="BM26" s="32">
        <v>0</v>
      </c>
      <c r="BN26" s="32">
        <v>296662</v>
      </c>
      <c r="BO26" s="34">
        <v>3.2615260720756996E-2</v>
      </c>
      <c r="BP26" s="34">
        <v>0.11958928930944232</v>
      </c>
      <c r="BQ26" s="6" t="s">
        <v>82</v>
      </c>
      <c r="BR26" s="6" t="s">
        <v>83</v>
      </c>
      <c r="BS26" s="6" t="s">
        <v>83</v>
      </c>
      <c r="BT26" s="6" t="s">
        <v>100</v>
      </c>
      <c r="BU26" s="8">
        <v>1.0022399874355168</v>
      </c>
    </row>
    <row r="27" spans="1:73" x14ac:dyDescent="0.25">
      <c r="A27" s="33" t="s">
        <v>141</v>
      </c>
      <c r="B27" s="7" t="s">
        <v>142</v>
      </c>
      <c r="C27" s="7" t="s">
        <v>81</v>
      </c>
      <c r="D2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6.3493006542914537E-2</v>
      </c>
      <c r="E27" s="32">
        <v>0</v>
      </c>
      <c r="F27" s="32">
        <v>90368</v>
      </c>
      <c r="G27" s="32">
        <v>18638</v>
      </c>
      <c r="H27" s="32">
        <v>0</v>
      </c>
      <c r="I27" s="32">
        <v>0</v>
      </c>
      <c r="J27" s="32">
        <v>1716819</v>
      </c>
      <c r="K27" s="32">
        <v>0</v>
      </c>
      <c r="L2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2.5176026103383136E-2</v>
      </c>
      <c r="M27" s="32">
        <v>733</v>
      </c>
      <c r="N27" s="32">
        <v>0</v>
      </c>
      <c r="O27" s="32">
        <v>28144</v>
      </c>
      <c r="P27" s="32">
        <v>971</v>
      </c>
      <c r="Q2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7" s="32">
        <v>0</v>
      </c>
      <c r="S27" s="32">
        <v>0</v>
      </c>
      <c r="T27" s="32">
        <v>0</v>
      </c>
      <c r="U27" s="32">
        <v>28144</v>
      </c>
      <c r="V27" s="32">
        <v>209</v>
      </c>
      <c r="W27" s="32">
        <v>971</v>
      </c>
      <c r="X27" s="32">
        <v>0</v>
      </c>
      <c r="Y2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0.3398442118825572</v>
      </c>
      <c r="Z27" s="32">
        <v>21543</v>
      </c>
      <c r="AA27" s="32">
        <v>600232</v>
      </c>
      <c r="AB27" s="32">
        <v>38324</v>
      </c>
      <c r="AC27" s="32">
        <v>0</v>
      </c>
      <c r="AD27" s="32">
        <v>0</v>
      </c>
      <c r="AE27" s="32">
        <v>1716819</v>
      </c>
      <c r="AF27" s="32">
        <v>0</v>
      </c>
      <c r="AG2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2.0825033022741066</v>
      </c>
      <c r="AH27" s="32">
        <v>69469</v>
      </c>
      <c r="AI27" s="32">
        <v>11376</v>
      </c>
      <c r="AJ27" s="32">
        <v>4759</v>
      </c>
      <c r="AK27" s="32">
        <v>0</v>
      </c>
      <c r="AL27" s="32">
        <v>384</v>
      </c>
      <c r="AM27" s="32">
        <v>18638</v>
      </c>
      <c r="AN27" s="32">
        <v>23253</v>
      </c>
      <c r="AO27" s="32">
        <v>-2141</v>
      </c>
      <c r="AP27" s="32">
        <v>-25870</v>
      </c>
      <c r="AQ2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3.3113717455046454</v>
      </c>
      <c r="AR27" s="32">
        <v>23704</v>
      </c>
      <c r="AS27" s="32">
        <v>11114</v>
      </c>
      <c r="AT27" s="32">
        <v>19285</v>
      </c>
      <c r="AU27" s="32">
        <v>2368</v>
      </c>
      <c r="AV27" s="32">
        <v>6058</v>
      </c>
      <c r="AW27" s="32">
        <v>18638</v>
      </c>
      <c r="AX27" s="32">
        <v>78</v>
      </c>
      <c r="AY27" s="32">
        <v>0</v>
      </c>
      <c r="AZ27" s="32">
        <v>0</v>
      </c>
      <c r="BA27" s="32">
        <v>9338</v>
      </c>
      <c r="BB27" s="32">
        <v>3152</v>
      </c>
      <c r="BC27" s="32">
        <v>28307</v>
      </c>
      <c r="BD27" s="34">
        <f>IFERROR(SUM(Cons_Metrics[[#This Row],[Operating surplus/(deficit) (social housing lettings)]])/SUM(Cons_Metrics[[#This Row],[Turnover from social housing lettings]]),"")</f>
        <v>0.41932715413662891</v>
      </c>
      <c r="BE27" s="32">
        <v>61075</v>
      </c>
      <c r="BF27" s="32">
        <v>145650</v>
      </c>
      <c r="BG27" s="34">
        <f>IFERROR(SUM(Cons_Metrics[[#This Row],[Operating surplus/(deficit) (overall)2]],-Cons_Metrics[[#This Row],[Gain/(loss) on disposal of fixed assets (housing properties)2]])/SUM(Cons_Metrics[[#This Row],[Turnover (overall)]]),"")</f>
        <v>0.333392635783481</v>
      </c>
      <c r="BH27" s="32">
        <v>69469</v>
      </c>
      <c r="BI27" s="32">
        <v>11376</v>
      </c>
      <c r="BJ27" s="32">
        <v>174248</v>
      </c>
      <c r="BK27" s="34">
        <f>IFERROR(SUM(Cons_Metrics[[#This Row],[Operating surplus/(deficit) (overall)3]],Cons_Metrics[[#This Row],[Share of operating surplus/(deficit) in joint ventures or associates]])/SUM(Cons_Metrics[[#This Row],[Total assets less current liabilities]]),"")</f>
        <v>3.8926145163495525E-2</v>
      </c>
      <c r="BL27" s="32">
        <v>69469</v>
      </c>
      <c r="BM27" s="32">
        <v>0</v>
      </c>
      <c r="BN27" s="32">
        <v>1784636</v>
      </c>
      <c r="BO27" s="34">
        <v>3.3955370894373005E-2</v>
      </c>
      <c r="BP27" s="34">
        <v>3.0337762813854363E-2</v>
      </c>
      <c r="BQ27" s="6" t="s">
        <v>82</v>
      </c>
      <c r="BR27" s="6" t="s">
        <v>83</v>
      </c>
      <c r="BS27" s="6" t="s">
        <v>83</v>
      </c>
      <c r="BT27" s="6" t="s">
        <v>90</v>
      </c>
      <c r="BU27" s="8">
        <v>0.93339016518768059</v>
      </c>
    </row>
    <row r="28" spans="1:73" x14ac:dyDescent="0.25">
      <c r="A28" s="33" t="s">
        <v>143</v>
      </c>
      <c r="B28" s="7" t="s">
        <v>144</v>
      </c>
      <c r="C28" s="7" t="s">
        <v>81</v>
      </c>
      <c r="D2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7.3404634891350698E-2</v>
      </c>
      <c r="E28" s="32">
        <v>6261</v>
      </c>
      <c r="F28" s="32">
        <v>0</v>
      </c>
      <c r="G28" s="32">
        <v>2174</v>
      </c>
      <c r="H28" s="32">
        <v>0</v>
      </c>
      <c r="I28" s="32">
        <v>0</v>
      </c>
      <c r="J28" s="32">
        <v>114911</v>
      </c>
      <c r="K28" s="32">
        <v>0</v>
      </c>
      <c r="L2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1.9140010487676981E-2</v>
      </c>
      <c r="M28" s="32">
        <v>73</v>
      </c>
      <c r="N28" s="32">
        <v>0</v>
      </c>
      <c r="O28" s="32">
        <v>3649</v>
      </c>
      <c r="P28" s="32">
        <v>165</v>
      </c>
      <c r="Q2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1.0510125608818251E-2</v>
      </c>
      <c r="R28" s="32">
        <v>41</v>
      </c>
      <c r="S28" s="32">
        <v>0</v>
      </c>
      <c r="T28" s="32">
        <v>0</v>
      </c>
      <c r="U28" s="32">
        <v>3649</v>
      </c>
      <c r="V28" s="32">
        <v>87</v>
      </c>
      <c r="W28" s="32">
        <v>165</v>
      </c>
      <c r="X28" s="32">
        <v>0</v>
      </c>
      <c r="Y2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0.51291869359765385</v>
      </c>
      <c r="Z28" s="32">
        <v>0</v>
      </c>
      <c r="AA28" s="32">
        <v>62402</v>
      </c>
      <c r="AB28" s="32">
        <v>3462</v>
      </c>
      <c r="AC28" s="32">
        <v>0</v>
      </c>
      <c r="AD28" s="32">
        <v>0</v>
      </c>
      <c r="AE28" s="32">
        <v>114911</v>
      </c>
      <c r="AF28" s="32">
        <v>0</v>
      </c>
      <c r="AG2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2.7516228220020498</v>
      </c>
      <c r="AH28" s="32">
        <v>8260</v>
      </c>
      <c r="AI28" s="32">
        <v>1442</v>
      </c>
      <c r="AJ28" s="32">
        <v>197</v>
      </c>
      <c r="AK28" s="32">
        <v>0</v>
      </c>
      <c r="AL28" s="32">
        <v>27</v>
      </c>
      <c r="AM28" s="32">
        <v>2174</v>
      </c>
      <c r="AN28" s="32">
        <v>3580</v>
      </c>
      <c r="AO28" s="32">
        <v>0</v>
      </c>
      <c r="AP28" s="32">
        <v>-2927</v>
      </c>
      <c r="AQ2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3.1247323340471094</v>
      </c>
      <c r="AR28" s="32">
        <v>4699</v>
      </c>
      <c r="AS28" s="32">
        <v>1347</v>
      </c>
      <c r="AT28" s="32">
        <v>2310</v>
      </c>
      <c r="AU28" s="32">
        <v>796</v>
      </c>
      <c r="AV28" s="32">
        <v>0</v>
      </c>
      <c r="AW28" s="32">
        <v>2174</v>
      </c>
      <c r="AX28" s="32">
        <v>17</v>
      </c>
      <c r="AY28" s="32">
        <v>0</v>
      </c>
      <c r="AZ28" s="32">
        <v>0</v>
      </c>
      <c r="BA28" s="32">
        <v>331</v>
      </c>
      <c r="BB28" s="32">
        <v>0</v>
      </c>
      <c r="BC28" s="32">
        <v>3736</v>
      </c>
      <c r="BD28" s="34">
        <f>IFERROR(SUM(Cons_Metrics[[#This Row],[Operating surplus/(deficit) (social housing lettings)]])/SUM(Cons_Metrics[[#This Row],[Turnover from social housing lettings]]),"")</f>
        <v>0.30428278574990303</v>
      </c>
      <c r="BE28" s="32">
        <v>5492</v>
      </c>
      <c r="BF28" s="32">
        <v>18049</v>
      </c>
      <c r="BG28" s="34">
        <f>IFERROR(SUM(Cons_Metrics[[#This Row],[Operating surplus/(deficit) (overall)2]],-Cons_Metrics[[#This Row],[Gain/(loss) on disposal of fixed assets (housing properties)2]])/SUM(Cons_Metrics[[#This Row],[Turnover (overall)]]),"")</f>
        <v>0.32620448782354911</v>
      </c>
      <c r="BH28" s="32">
        <v>8260</v>
      </c>
      <c r="BI28" s="32">
        <v>1442</v>
      </c>
      <c r="BJ28" s="32">
        <v>20901</v>
      </c>
      <c r="BK28" s="34">
        <f>IFERROR(SUM(Cons_Metrics[[#This Row],[Operating surplus/(deficit) (overall)3]],Cons_Metrics[[#This Row],[Share of operating surplus/(deficit) in joint ventures or associates]])/SUM(Cons_Metrics[[#This Row],[Total assets less current liabilities]]),"")</f>
        <v>6.4335228600358285E-2</v>
      </c>
      <c r="BL28" s="32">
        <v>8260</v>
      </c>
      <c r="BM28" s="32">
        <v>0</v>
      </c>
      <c r="BN28" s="32">
        <v>128390</v>
      </c>
      <c r="BO28" s="34">
        <v>8.2214305289120303E-4</v>
      </c>
      <c r="BP28" s="34">
        <v>0.24801315428884627</v>
      </c>
      <c r="BQ28" s="6" t="s">
        <v>93</v>
      </c>
      <c r="BR28" s="6">
        <v>2004</v>
      </c>
      <c r="BS28" s="6" t="s">
        <v>94</v>
      </c>
      <c r="BT28" s="6" t="s">
        <v>90</v>
      </c>
      <c r="BU28" s="8">
        <v>0.91571558169387279</v>
      </c>
    </row>
    <row r="29" spans="1:73" x14ac:dyDescent="0.25">
      <c r="A29" s="33" t="s">
        <v>145</v>
      </c>
      <c r="B29" s="7" t="s">
        <v>146</v>
      </c>
      <c r="C29" s="7" t="s">
        <v>81</v>
      </c>
      <c r="D2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1.7408199713461425E-2</v>
      </c>
      <c r="E29" s="32">
        <v>96</v>
      </c>
      <c r="F29" s="32">
        <v>0</v>
      </c>
      <c r="G29" s="32">
        <v>791</v>
      </c>
      <c r="H29" s="32">
        <v>0</v>
      </c>
      <c r="I29" s="32">
        <v>0</v>
      </c>
      <c r="J29" s="32">
        <v>50953</v>
      </c>
      <c r="K29" s="32">
        <v>0</v>
      </c>
      <c r="L2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29" s="32">
        <v>0</v>
      </c>
      <c r="N29" s="32">
        <v>0</v>
      </c>
      <c r="O29" s="32">
        <v>1083</v>
      </c>
      <c r="P29" s="32">
        <v>15</v>
      </c>
      <c r="Q2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9" s="32">
        <v>0</v>
      </c>
      <c r="S29" s="32">
        <v>0</v>
      </c>
      <c r="T29" s="32">
        <v>0</v>
      </c>
      <c r="U29" s="32">
        <v>1083</v>
      </c>
      <c r="V29" s="32">
        <v>294</v>
      </c>
      <c r="W29" s="32">
        <v>15</v>
      </c>
      <c r="X29" s="32">
        <v>56</v>
      </c>
      <c r="Y2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0.15212058171255863</v>
      </c>
      <c r="Z29" s="32">
        <v>706</v>
      </c>
      <c r="AA29" s="32">
        <v>14610</v>
      </c>
      <c r="AB29" s="32">
        <v>7565</v>
      </c>
      <c r="AC29" s="32">
        <v>0</v>
      </c>
      <c r="AD29" s="32">
        <v>0</v>
      </c>
      <c r="AE29" s="32">
        <v>50953</v>
      </c>
      <c r="AF29" s="32">
        <v>0</v>
      </c>
      <c r="AG2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3.9855769230769229</v>
      </c>
      <c r="AH29" s="32">
        <v>1242</v>
      </c>
      <c r="AI29" s="32">
        <v>0</v>
      </c>
      <c r="AJ29" s="32">
        <v>289</v>
      </c>
      <c r="AK29" s="32">
        <v>0</v>
      </c>
      <c r="AL29" s="32">
        <v>8</v>
      </c>
      <c r="AM29" s="32">
        <v>791</v>
      </c>
      <c r="AN29" s="32">
        <v>2317</v>
      </c>
      <c r="AO29" s="32">
        <v>0</v>
      </c>
      <c r="AP29" s="32">
        <v>-624</v>
      </c>
      <c r="AQ2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5.6075715604801477</v>
      </c>
      <c r="AR29" s="32">
        <v>1074</v>
      </c>
      <c r="AS29" s="32">
        <v>1093</v>
      </c>
      <c r="AT29" s="32">
        <v>983</v>
      </c>
      <c r="AU29" s="32">
        <v>123</v>
      </c>
      <c r="AV29" s="32">
        <v>105</v>
      </c>
      <c r="AW29" s="32">
        <v>791</v>
      </c>
      <c r="AX29" s="32">
        <v>1680</v>
      </c>
      <c r="AY29" s="32">
        <v>0</v>
      </c>
      <c r="AZ29" s="32">
        <v>0</v>
      </c>
      <c r="BA29" s="32">
        <v>0</v>
      </c>
      <c r="BB29" s="32">
        <v>224</v>
      </c>
      <c r="BC29" s="32">
        <v>1083</v>
      </c>
      <c r="BD29" s="34">
        <f>IFERROR(SUM(Cons_Metrics[[#This Row],[Operating surplus/(deficit) (social housing lettings)]])/SUM(Cons_Metrics[[#This Row],[Turnover from social housing lettings]]),"")</f>
        <v>0.14534423634924823</v>
      </c>
      <c r="BE29" s="32">
        <v>1102</v>
      </c>
      <c r="BF29" s="32">
        <v>7582</v>
      </c>
      <c r="BG29" s="34">
        <f>IFERROR(SUM(Cons_Metrics[[#This Row],[Operating surplus/(deficit) (overall)2]],-Cons_Metrics[[#This Row],[Gain/(loss) on disposal of fixed assets (housing properties)2]])/SUM(Cons_Metrics[[#This Row],[Turnover (overall)]]),"")</f>
        <v>3.761242845461979E-2</v>
      </c>
      <c r="BH29" s="32">
        <v>1242</v>
      </c>
      <c r="BI29" s="32">
        <v>0</v>
      </c>
      <c r="BJ29" s="32">
        <v>33021</v>
      </c>
      <c r="BK29" s="34">
        <f>IFERROR(SUM(Cons_Metrics[[#This Row],[Operating surplus/(deficit) (overall)3]],Cons_Metrics[[#This Row],[Share of operating surplus/(deficit) in joint ventures or associates]])/SUM(Cons_Metrics[[#This Row],[Total assets less current liabilities]]),"")</f>
        <v>2.122242537122157E-2</v>
      </c>
      <c r="BL29" s="32">
        <v>1242</v>
      </c>
      <c r="BM29" s="32">
        <v>0</v>
      </c>
      <c r="BN29" s="32">
        <v>58523</v>
      </c>
      <c r="BO29" s="34">
        <v>0</v>
      </c>
      <c r="BP29" s="34">
        <v>0.98366606170598914</v>
      </c>
      <c r="BQ29" s="6" t="s">
        <v>82</v>
      </c>
      <c r="BR29" s="6" t="s">
        <v>83</v>
      </c>
      <c r="BS29" s="6" t="s">
        <v>83</v>
      </c>
      <c r="BT29" s="6" t="s">
        <v>115</v>
      </c>
      <c r="BU29" s="8">
        <v>0.96617455710897804</v>
      </c>
    </row>
    <row r="30" spans="1:73" x14ac:dyDescent="0.25">
      <c r="A30" s="33" t="s">
        <v>147</v>
      </c>
      <c r="B30" s="7" t="s">
        <v>148</v>
      </c>
      <c r="C30" s="7" t="s">
        <v>81</v>
      </c>
      <c r="D3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9.7408700322234157E-2</v>
      </c>
      <c r="E30" s="32">
        <v>689</v>
      </c>
      <c r="F30" s="32">
        <v>0</v>
      </c>
      <c r="G30" s="32">
        <v>762</v>
      </c>
      <c r="H30" s="32">
        <v>0</v>
      </c>
      <c r="I30" s="32">
        <v>0</v>
      </c>
      <c r="J30" s="32">
        <v>14896</v>
      </c>
      <c r="K30" s="32">
        <v>0</v>
      </c>
      <c r="L3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5.6116722783389446E-3</v>
      </c>
      <c r="M30" s="32">
        <v>10</v>
      </c>
      <c r="N30" s="32">
        <v>0</v>
      </c>
      <c r="O30" s="32">
        <v>1782</v>
      </c>
      <c r="P30" s="32">
        <v>0</v>
      </c>
      <c r="Q3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30" s="32">
        <v>0</v>
      </c>
      <c r="S30" s="32">
        <v>0</v>
      </c>
      <c r="T30" s="32">
        <v>0</v>
      </c>
      <c r="U30" s="32">
        <v>1782</v>
      </c>
      <c r="V30" s="32">
        <v>0</v>
      </c>
      <c r="W30" s="32">
        <v>0</v>
      </c>
      <c r="X30" s="32">
        <v>65</v>
      </c>
      <c r="Y3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0.10734425349087003</v>
      </c>
      <c r="Z30" s="32">
        <v>0</v>
      </c>
      <c r="AA30" s="32">
        <v>10000</v>
      </c>
      <c r="AB30" s="32">
        <v>8401</v>
      </c>
      <c r="AC30" s="32">
        <v>0</v>
      </c>
      <c r="AD30" s="32">
        <v>0</v>
      </c>
      <c r="AE30" s="32">
        <v>14896</v>
      </c>
      <c r="AF30" s="32">
        <v>0</v>
      </c>
      <c r="AG3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7.0694980694980698</v>
      </c>
      <c r="AH30" s="32">
        <v>2245</v>
      </c>
      <c r="AI30" s="32">
        <v>278</v>
      </c>
      <c r="AJ30" s="32">
        <v>0</v>
      </c>
      <c r="AK30" s="32">
        <v>0</v>
      </c>
      <c r="AL30" s="32">
        <v>13</v>
      </c>
      <c r="AM30" s="32">
        <v>762</v>
      </c>
      <c r="AN30" s="32">
        <v>613</v>
      </c>
      <c r="AO30" s="32">
        <v>0</v>
      </c>
      <c r="AP30" s="32">
        <v>-259</v>
      </c>
      <c r="AQ3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3.9292929292929295</v>
      </c>
      <c r="AR30" s="32">
        <v>1247</v>
      </c>
      <c r="AS30" s="32">
        <v>2518</v>
      </c>
      <c r="AT30" s="32">
        <v>1524</v>
      </c>
      <c r="AU30" s="32">
        <v>114</v>
      </c>
      <c r="AV30" s="32">
        <v>837</v>
      </c>
      <c r="AW30" s="32">
        <v>762</v>
      </c>
      <c r="AX30" s="32">
        <v>0</v>
      </c>
      <c r="AY30" s="32">
        <v>0</v>
      </c>
      <c r="AZ30" s="32">
        <v>0</v>
      </c>
      <c r="BA30" s="32">
        <v>0</v>
      </c>
      <c r="BB30" s="32">
        <v>0</v>
      </c>
      <c r="BC30" s="32">
        <v>1782</v>
      </c>
      <c r="BD30" s="34">
        <f>IFERROR(SUM(Cons_Metrics[[#This Row],[Operating surplus/(deficit) (social housing lettings)]])/SUM(Cons_Metrics[[#This Row],[Turnover from social housing lettings]]),"")</f>
        <v>0.21781520053179704</v>
      </c>
      <c r="BE30" s="32">
        <v>1966</v>
      </c>
      <c r="BF30" s="32">
        <v>9026</v>
      </c>
      <c r="BG30" s="34">
        <f>IFERROR(SUM(Cons_Metrics[[#This Row],[Operating surplus/(deficit) (overall)2]],-Cons_Metrics[[#This Row],[Gain/(loss) on disposal of fixed assets (housing properties)2]])/SUM(Cons_Metrics[[#This Row],[Turnover (overall)]]),"")</f>
        <v>0.21792599157988035</v>
      </c>
      <c r="BH30" s="32">
        <v>2245</v>
      </c>
      <c r="BI30" s="32">
        <v>278</v>
      </c>
      <c r="BJ30" s="32">
        <v>9026</v>
      </c>
      <c r="BK30" s="34">
        <f>IFERROR(SUM(Cons_Metrics[[#This Row],[Operating surplus/(deficit) (overall)3]],Cons_Metrics[[#This Row],[Share of operating surplus/(deficit) in joint ventures or associates]])/SUM(Cons_Metrics[[#This Row],[Total assets less current liabilities]]),"")</f>
        <v>9.5702958478983718E-2</v>
      </c>
      <c r="BL30" s="32">
        <v>2245</v>
      </c>
      <c r="BM30" s="32">
        <v>0</v>
      </c>
      <c r="BN30" s="32">
        <v>23458</v>
      </c>
      <c r="BO30" s="34">
        <v>0</v>
      </c>
      <c r="BP30" s="34">
        <v>3.5353535353535352E-2</v>
      </c>
      <c r="BQ30" s="6" t="s">
        <v>93</v>
      </c>
      <c r="BR30" s="6">
        <v>2012</v>
      </c>
      <c r="BS30" s="6" t="s">
        <v>149</v>
      </c>
      <c r="BT30" s="6" t="s">
        <v>121</v>
      </c>
      <c r="BU30" s="8">
        <v>0.9026647648742484</v>
      </c>
    </row>
    <row r="31" spans="1:73" x14ac:dyDescent="0.25">
      <c r="A31" s="33" t="s">
        <v>150</v>
      </c>
      <c r="B31" s="7" t="s">
        <v>151</v>
      </c>
      <c r="C31" s="7" t="s">
        <v>81</v>
      </c>
      <c r="D3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0.16801321894844035</v>
      </c>
      <c r="E31" s="32">
        <v>12932</v>
      </c>
      <c r="F31" s="32">
        <v>1255</v>
      </c>
      <c r="G31" s="32">
        <v>3083</v>
      </c>
      <c r="H31" s="32">
        <v>219</v>
      </c>
      <c r="I31" s="32">
        <v>0</v>
      </c>
      <c r="J31" s="32">
        <v>104093</v>
      </c>
      <c r="K31" s="32">
        <v>0</v>
      </c>
      <c r="L3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1.3575605680868838E-2</v>
      </c>
      <c r="M31" s="32">
        <v>65</v>
      </c>
      <c r="N31" s="32">
        <v>0</v>
      </c>
      <c r="O31" s="32">
        <v>4708</v>
      </c>
      <c r="P31" s="32">
        <v>80</v>
      </c>
      <c r="Q3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31" s="32">
        <v>0</v>
      </c>
      <c r="S31" s="32">
        <v>0</v>
      </c>
      <c r="T31" s="32">
        <v>0</v>
      </c>
      <c r="U31" s="32">
        <v>4708</v>
      </c>
      <c r="V31" s="32">
        <v>4</v>
      </c>
      <c r="W31" s="32">
        <v>80</v>
      </c>
      <c r="X31" s="32">
        <v>0</v>
      </c>
      <c r="Y3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0.94722988097182326</v>
      </c>
      <c r="Z31" s="32">
        <v>0</v>
      </c>
      <c r="AA31" s="32">
        <v>99194</v>
      </c>
      <c r="AB31" s="32">
        <v>594</v>
      </c>
      <c r="AC31" s="32">
        <v>0</v>
      </c>
      <c r="AD31" s="32">
        <v>0</v>
      </c>
      <c r="AE31" s="32">
        <v>104093</v>
      </c>
      <c r="AF31" s="32">
        <v>0</v>
      </c>
      <c r="AG3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1.2341733251382914</v>
      </c>
      <c r="AH31" s="32">
        <v>7101</v>
      </c>
      <c r="AI31" s="32">
        <v>753</v>
      </c>
      <c r="AJ31" s="32">
        <v>178</v>
      </c>
      <c r="AK31" s="32">
        <v>0</v>
      </c>
      <c r="AL31" s="32">
        <v>2</v>
      </c>
      <c r="AM31" s="32">
        <v>3083</v>
      </c>
      <c r="AN31" s="32">
        <v>2935</v>
      </c>
      <c r="AO31" s="32">
        <v>-219</v>
      </c>
      <c r="AP31" s="32">
        <v>-4662</v>
      </c>
      <c r="AQ3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3.000606796116505</v>
      </c>
      <c r="AR31" s="32">
        <v>5149</v>
      </c>
      <c r="AS31" s="32">
        <v>1051</v>
      </c>
      <c r="AT31" s="32">
        <v>3463</v>
      </c>
      <c r="AU31" s="32">
        <v>372</v>
      </c>
      <c r="AV31" s="32">
        <v>683</v>
      </c>
      <c r="AW31" s="32">
        <v>3083</v>
      </c>
      <c r="AX31" s="32">
        <v>753</v>
      </c>
      <c r="AY31" s="32">
        <v>0</v>
      </c>
      <c r="AZ31" s="32">
        <v>0</v>
      </c>
      <c r="BA31" s="32">
        <v>0</v>
      </c>
      <c r="BB31" s="32">
        <v>281</v>
      </c>
      <c r="BC31" s="32">
        <v>4944</v>
      </c>
      <c r="BD31" s="34">
        <f>IFERROR(SUM(Cons_Metrics[[#This Row],[Operating surplus/(deficit) (social housing lettings)]])/SUM(Cons_Metrics[[#This Row],[Turnover from social housing lettings]]),"")</f>
        <v>0.31949912251577101</v>
      </c>
      <c r="BE31" s="32">
        <v>6736</v>
      </c>
      <c r="BF31" s="32">
        <v>21083</v>
      </c>
      <c r="BG31" s="34">
        <f>IFERROR(SUM(Cons_Metrics[[#This Row],[Operating surplus/(deficit) (overall)2]],-Cons_Metrics[[#This Row],[Gain/(loss) on disposal of fixed assets (housing properties)2]])/SUM(Cons_Metrics[[#This Row],[Turnover (overall)]]),"")</f>
        <v>0.28346878628203981</v>
      </c>
      <c r="BH31" s="32">
        <v>7101</v>
      </c>
      <c r="BI31" s="32">
        <v>753</v>
      </c>
      <c r="BJ31" s="32">
        <v>22394</v>
      </c>
      <c r="BK31" s="34">
        <f>IFERROR(SUM(Cons_Metrics[[#This Row],[Operating surplus/(deficit) (overall)3]],Cons_Metrics[[#This Row],[Share of operating surplus/(deficit) in joint ventures or associates]])/SUM(Cons_Metrics[[#This Row],[Total assets less current liabilities]]),"")</f>
        <v>6.5167116348218715E-2</v>
      </c>
      <c r="BL31" s="32">
        <v>7101</v>
      </c>
      <c r="BM31" s="32">
        <v>0</v>
      </c>
      <c r="BN31" s="32">
        <v>108966</v>
      </c>
      <c r="BO31" s="34">
        <v>2.8249787595581988E-2</v>
      </c>
      <c r="BP31" s="34">
        <v>0.23789294817332202</v>
      </c>
      <c r="BQ31" s="6" t="s">
        <v>93</v>
      </c>
      <c r="BR31" s="6">
        <v>2000</v>
      </c>
      <c r="BS31" s="6" t="s">
        <v>94</v>
      </c>
      <c r="BT31" s="6" t="s">
        <v>105</v>
      </c>
      <c r="BU31" s="8">
        <v>0.9156653862445665</v>
      </c>
    </row>
    <row r="32" spans="1:73" x14ac:dyDescent="0.25">
      <c r="A32" s="33" t="s">
        <v>152</v>
      </c>
      <c r="B32" s="7" t="s">
        <v>153</v>
      </c>
      <c r="C32" s="7" t="s">
        <v>81</v>
      </c>
      <c r="D3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2.8862549559953474E-2</v>
      </c>
      <c r="E32" s="32">
        <v>2806</v>
      </c>
      <c r="F32" s="32">
        <v>1457</v>
      </c>
      <c r="G32" s="32">
        <v>2660</v>
      </c>
      <c r="H32" s="32">
        <v>75</v>
      </c>
      <c r="I32" s="32">
        <v>-75</v>
      </c>
      <c r="J32" s="32">
        <v>239861</v>
      </c>
      <c r="K32" s="32">
        <v>0</v>
      </c>
      <c r="L3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3.2786885245901639E-3</v>
      </c>
      <c r="M32" s="32">
        <v>21</v>
      </c>
      <c r="N32" s="32">
        <v>0</v>
      </c>
      <c r="O32" s="32">
        <v>6405</v>
      </c>
      <c r="P32" s="32">
        <v>0</v>
      </c>
      <c r="Q3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1.56128024980484E-3</v>
      </c>
      <c r="R32" s="32">
        <v>0</v>
      </c>
      <c r="S32" s="32">
        <v>0</v>
      </c>
      <c r="T32" s="32">
        <v>10</v>
      </c>
      <c r="U32" s="32">
        <v>6405</v>
      </c>
      <c r="V32" s="32">
        <v>0</v>
      </c>
      <c r="W32" s="32">
        <v>0</v>
      </c>
      <c r="X32" s="32">
        <v>0</v>
      </c>
      <c r="Y3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0.30285873901968224</v>
      </c>
      <c r="Z32" s="32">
        <v>1238</v>
      </c>
      <c r="AA32" s="32">
        <v>75015</v>
      </c>
      <c r="AB32" s="32">
        <v>3609</v>
      </c>
      <c r="AC32" s="32">
        <v>0</v>
      </c>
      <c r="AD32" s="32">
        <v>0</v>
      </c>
      <c r="AE32" s="32">
        <v>239861</v>
      </c>
      <c r="AF32" s="32">
        <v>0</v>
      </c>
      <c r="AG3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2.3149999999999999</v>
      </c>
      <c r="AH32" s="32">
        <v>10737</v>
      </c>
      <c r="AI32" s="32">
        <v>912</v>
      </c>
      <c r="AJ32" s="32">
        <v>1036</v>
      </c>
      <c r="AK32" s="32">
        <v>0</v>
      </c>
      <c r="AL32" s="32">
        <v>21</v>
      </c>
      <c r="AM32" s="32">
        <v>2660</v>
      </c>
      <c r="AN32" s="32">
        <v>4499</v>
      </c>
      <c r="AO32" s="32">
        <v>-75</v>
      </c>
      <c r="AP32" s="32">
        <v>-4525</v>
      </c>
      <c r="AQ3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3.2204527712724436</v>
      </c>
      <c r="AR32" s="32">
        <v>5368</v>
      </c>
      <c r="AS32" s="32">
        <v>4243</v>
      </c>
      <c r="AT32" s="32">
        <v>3772</v>
      </c>
      <c r="AU32" s="32">
        <v>2647</v>
      </c>
      <c r="AV32" s="32">
        <v>1198</v>
      </c>
      <c r="AW32" s="32">
        <v>2660</v>
      </c>
      <c r="AX32" s="32">
        <v>738</v>
      </c>
      <c r="AY32" s="32">
        <v>0</v>
      </c>
      <c r="AZ32" s="32">
        <v>0</v>
      </c>
      <c r="BA32" s="32">
        <v>1</v>
      </c>
      <c r="BB32" s="32">
        <v>0</v>
      </c>
      <c r="BC32" s="32">
        <v>6405</v>
      </c>
      <c r="BD32" s="34">
        <f>IFERROR(SUM(Cons_Metrics[[#This Row],[Operating surplus/(deficit) (social housing lettings)]])/SUM(Cons_Metrics[[#This Row],[Turnover from social housing lettings]]),"")</f>
        <v>0.29130959182377958</v>
      </c>
      <c r="BE32" s="32">
        <v>9178</v>
      </c>
      <c r="BF32" s="32">
        <v>31506</v>
      </c>
      <c r="BG32" s="34">
        <f>IFERROR(SUM(Cons_Metrics[[#This Row],[Operating surplus/(deficit) (overall)2]],-Cons_Metrics[[#This Row],[Gain/(loss) on disposal of fixed assets (housing properties)2]])/SUM(Cons_Metrics[[#This Row],[Turnover (overall)]]),"")</f>
        <v>0.30044952753738419</v>
      </c>
      <c r="BH32" s="32">
        <v>10737</v>
      </c>
      <c r="BI32" s="32">
        <v>912</v>
      </c>
      <c r="BJ32" s="32">
        <v>32701</v>
      </c>
      <c r="BK32" s="34">
        <f>IFERROR(SUM(Cons_Metrics[[#This Row],[Operating surplus/(deficit) (overall)3]],Cons_Metrics[[#This Row],[Share of operating surplus/(deficit) in joint ventures or associates]])/SUM(Cons_Metrics[[#This Row],[Total assets less current liabilities]]),"")</f>
        <v>4.3896515915911004E-2</v>
      </c>
      <c r="BL32" s="32">
        <v>10737</v>
      </c>
      <c r="BM32" s="32">
        <v>0</v>
      </c>
      <c r="BN32" s="32">
        <v>244598</v>
      </c>
      <c r="BO32" s="34">
        <v>6.9909266696415295E-3</v>
      </c>
      <c r="BP32" s="34">
        <v>9.5939312806782681E-2</v>
      </c>
      <c r="BQ32" s="6" t="s">
        <v>93</v>
      </c>
      <c r="BR32" s="6">
        <v>1999</v>
      </c>
      <c r="BS32" s="6" t="s">
        <v>94</v>
      </c>
      <c r="BT32" s="6" t="s">
        <v>105</v>
      </c>
      <c r="BU32" s="8">
        <v>0.9130199598868779</v>
      </c>
    </row>
    <row r="33" spans="1:73" x14ac:dyDescent="0.25">
      <c r="A33" s="33" t="s">
        <v>154</v>
      </c>
      <c r="B33" s="7" t="s">
        <v>155</v>
      </c>
      <c r="C33" s="7" t="s">
        <v>81</v>
      </c>
      <c r="D3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5.5138066737601951E-2</v>
      </c>
      <c r="E33" s="32">
        <v>90165</v>
      </c>
      <c r="F33" s="32">
        <v>0</v>
      </c>
      <c r="G33" s="32">
        <v>22440</v>
      </c>
      <c r="H33" s="32">
        <v>0</v>
      </c>
      <c r="I33" s="32">
        <v>0</v>
      </c>
      <c r="J33" s="32">
        <v>2042237</v>
      </c>
      <c r="K33" s="32">
        <v>0</v>
      </c>
      <c r="L3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2.1867764342680732E-2</v>
      </c>
      <c r="M33" s="32">
        <v>419</v>
      </c>
      <c r="N33" s="32">
        <v>6</v>
      </c>
      <c r="O33" s="32">
        <v>17985</v>
      </c>
      <c r="P33" s="32">
        <v>1450</v>
      </c>
      <c r="Q3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1.2412491931880244E-2</v>
      </c>
      <c r="R33" s="32">
        <v>0</v>
      </c>
      <c r="S33" s="32">
        <v>110</v>
      </c>
      <c r="T33" s="32">
        <v>140</v>
      </c>
      <c r="U33" s="32">
        <v>17985</v>
      </c>
      <c r="V33" s="32">
        <v>0</v>
      </c>
      <c r="W33" s="32">
        <v>1450</v>
      </c>
      <c r="X33" s="32">
        <v>706</v>
      </c>
      <c r="Y3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0.29105289934517886</v>
      </c>
      <c r="Z33" s="32">
        <v>13623</v>
      </c>
      <c r="AA33" s="32">
        <v>637704</v>
      </c>
      <c r="AB33" s="32">
        <v>56928</v>
      </c>
      <c r="AC33" s="32">
        <v>0</v>
      </c>
      <c r="AD33" s="32">
        <v>0</v>
      </c>
      <c r="AE33" s="32">
        <v>2042237</v>
      </c>
      <c r="AF33" s="32">
        <v>0</v>
      </c>
      <c r="AG3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1.8757044935262757</v>
      </c>
      <c r="AH33" s="32">
        <v>77822</v>
      </c>
      <c r="AI33" s="32">
        <v>14865</v>
      </c>
      <c r="AJ33" s="32">
        <v>4363</v>
      </c>
      <c r="AK33" s="32">
        <v>0</v>
      </c>
      <c r="AL33" s="32">
        <v>152</v>
      </c>
      <c r="AM33" s="32">
        <v>22440</v>
      </c>
      <c r="AN33" s="32">
        <v>25264</v>
      </c>
      <c r="AO33" s="32">
        <v>-6360</v>
      </c>
      <c r="AP33" s="32">
        <v>-26465</v>
      </c>
      <c r="AQ3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4.7594662218515431</v>
      </c>
      <c r="AR33" s="32">
        <v>18630</v>
      </c>
      <c r="AS33" s="32">
        <v>14940</v>
      </c>
      <c r="AT33" s="32">
        <v>14153</v>
      </c>
      <c r="AU33" s="32">
        <v>6131</v>
      </c>
      <c r="AV33" s="32">
        <v>0</v>
      </c>
      <c r="AW33" s="32">
        <v>22440</v>
      </c>
      <c r="AX33" s="32">
        <v>4815</v>
      </c>
      <c r="AY33" s="32">
        <v>0</v>
      </c>
      <c r="AZ33" s="32">
        <v>2525</v>
      </c>
      <c r="BA33" s="32">
        <v>1965</v>
      </c>
      <c r="BB33" s="32">
        <v>0</v>
      </c>
      <c r="BC33" s="32">
        <v>17985</v>
      </c>
      <c r="BD33" s="34">
        <f>IFERROR(SUM(Cons_Metrics[[#This Row],[Operating surplus/(deficit) (social housing lettings)]])/SUM(Cons_Metrics[[#This Row],[Turnover from social housing lettings]]),"")</f>
        <v>0.35519315664365064</v>
      </c>
      <c r="BE33" s="32">
        <v>43931</v>
      </c>
      <c r="BF33" s="32">
        <v>123682</v>
      </c>
      <c r="BG33" s="34">
        <f>IFERROR(SUM(Cons_Metrics[[#This Row],[Operating surplus/(deficit) (overall)2]],-Cons_Metrics[[#This Row],[Gain/(loss) on disposal of fixed assets (housing properties)2]])/SUM(Cons_Metrics[[#This Row],[Turnover (overall)]]),"")</f>
        <v>0.29380853933423245</v>
      </c>
      <c r="BH33" s="32">
        <v>77822</v>
      </c>
      <c r="BI33" s="32">
        <v>14865</v>
      </c>
      <c r="BJ33" s="32">
        <v>214279</v>
      </c>
      <c r="BK33" s="34">
        <f>IFERROR(SUM(Cons_Metrics[[#This Row],[Operating surplus/(deficit) (overall)3]],Cons_Metrics[[#This Row],[Share of operating surplus/(deficit) in joint ventures or associates]])/SUM(Cons_Metrics[[#This Row],[Total assets less current liabilities]]),"")</f>
        <v>3.3880378903606977E-2</v>
      </c>
      <c r="BL33" s="32">
        <v>77822</v>
      </c>
      <c r="BM33" s="32">
        <v>-108</v>
      </c>
      <c r="BN33" s="32">
        <v>2293776</v>
      </c>
      <c r="BO33" s="34">
        <v>4.5144179222391511E-3</v>
      </c>
      <c r="BP33" s="34">
        <v>3.4704587777213476E-2</v>
      </c>
      <c r="BQ33" s="6" t="s">
        <v>82</v>
      </c>
      <c r="BR33" s="6" t="s">
        <v>83</v>
      </c>
      <c r="BS33" s="6" t="s">
        <v>83</v>
      </c>
      <c r="BT33" s="6" t="s">
        <v>156</v>
      </c>
      <c r="BU33" s="8">
        <v>1.1790181688580514</v>
      </c>
    </row>
    <row r="34" spans="1:73" x14ac:dyDescent="0.25">
      <c r="A34" s="33" t="s">
        <v>157</v>
      </c>
      <c r="B34" s="7" t="s">
        <v>158</v>
      </c>
      <c r="C34" s="7" t="s">
        <v>81</v>
      </c>
      <c r="D3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2.3473413099468588E-2</v>
      </c>
      <c r="E34" s="32">
        <v>1617</v>
      </c>
      <c r="F34" s="32">
        <v>0</v>
      </c>
      <c r="G34" s="32">
        <v>543</v>
      </c>
      <c r="H34" s="32">
        <v>0</v>
      </c>
      <c r="I34" s="32">
        <v>0</v>
      </c>
      <c r="J34" s="32">
        <v>92019</v>
      </c>
      <c r="K34" s="32">
        <v>0</v>
      </c>
      <c r="L3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34" s="32">
        <v>0</v>
      </c>
      <c r="N34" s="32">
        <v>0</v>
      </c>
      <c r="O34" s="32">
        <v>1708</v>
      </c>
      <c r="P34" s="32">
        <v>0</v>
      </c>
      <c r="Q3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0.12379875635952516</v>
      </c>
      <c r="R34" s="32">
        <v>0</v>
      </c>
      <c r="S34" s="32">
        <v>0</v>
      </c>
      <c r="T34" s="32">
        <v>219</v>
      </c>
      <c r="U34" s="32">
        <v>1708</v>
      </c>
      <c r="V34" s="32">
        <v>61</v>
      </c>
      <c r="W34" s="32">
        <v>0</v>
      </c>
      <c r="X34" s="32">
        <v>0</v>
      </c>
      <c r="Y3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0.23767917495299884</v>
      </c>
      <c r="Z34" s="32">
        <v>770</v>
      </c>
      <c r="AA34" s="32">
        <v>25283</v>
      </c>
      <c r="AB34" s="32">
        <v>4182</v>
      </c>
      <c r="AC34" s="32">
        <v>0</v>
      </c>
      <c r="AD34" s="32">
        <v>0</v>
      </c>
      <c r="AE34" s="32">
        <v>92019</v>
      </c>
      <c r="AF34" s="32">
        <v>0</v>
      </c>
      <c r="AG3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-6.5650644783118411E-2</v>
      </c>
      <c r="AH34" s="32">
        <v>151</v>
      </c>
      <c r="AI34" s="32">
        <v>0</v>
      </c>
      <c r="AJ34" s="32">
        <v>379</v>
      </c>
      <c r="AK34" s="32">
        <v>0</v>
      </c>
      <c r="AL34" s="32">
        <v>0</v>
      </c>
      <c r="AM34" s="32">
        <v>1815</v>
      </c>
      <c r="AN34" s="32">
        <v>1987</v>
      </c>
      <c r="AO34" s="32">
        <v>-835</v>
      </c>
      <c r="AP34" s="32">
        <v>-18</v>
      </c>
      <c r="AQ3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12.063817330210773</v>
      </c>
      <c r="AR34" s="32">
        <v>6525</v>
      </c>
      <c r="AS34" s="32">
        <v>10264</v>
      </c>
      <c r="AT34" s="32">
        <v>866</v>
      </c>
      <c r="AU34" s="32">
        <v>11</v>
      </c>
      <c r="AV34" s="32">
        <v>763</v>
      </c>
      <c r="AW34" s="32">
        <v>1815</v>
      </c>
      <c r="AX34" s="32">
        <v>0</v>
      </c>
      <c r="AY34" s="32">
        <v>0</v>
      </c>
      <c r="AZ34" s="32">
        <v>0</v>
      </c>
      <c r="BA34" s="32">
        <v>154</v>
      </c>
      <c r="BB34" s="32">
        <v>207</v>
      </c>
      <c r="BC34" s="32">
        <v>1708</v>
      </c>
      <c r="BD34" s="34">
        <f>IFERROR(SUM(Cons_Metrics[[#This Row],[Operating surplus/(deficit) (social housing lettings)]])/SUM(Cons_Metrics[[#This Row],[Turnover from social housing lettings]]),"")</f>
        <v>2.5051315543944765E-2</v>
      </c>
      <c r="BE34" s="32">
        <v>537</v>
      </c>
      <c r="BF34" s="32">
        <v>21436</v>
      </c>
      <c r="BG34" s="34">
        <f>IFERROR(SUM(Cons_Metrics[[#This Row],[Operating surplus/(deficit) (overall)2]],-Cons_Metrics[[#This Row],[Gain/(loss) on disposal of fixed assets (housing properties)2]])/SUM(Cons_Metrics[[#This Row],[Turnover (overall)]]),"")</f>
        <v>5.666253893204248E-3</v>
      </c>
      <c r="BH34" s="32">
        <v>151</v>
      </c>
      <c r="BI34" s="32">
        <v>0</v>
      </c>
      <c r="BJ34" s="32">
        <v>26649</v>
      </c>
      <c r="BK34" s="34">
        <f>IFERROR(SUM(Cons_Metrics[[#This Row],[Operating surplus/(deficit) (overall)3]],Cons_Metrics[[#This Row],[Share of operating surplus/(deficit) in joint ventures or associates]])/SUM(Cons_Metrics[[#This Row],[Total assets less current liabilities]]),"")</f>
        <v>1.3825053560637967E-3</v>
      </c>
      <c r="BL34" s="32">
        <v>151</v>
      </c>
      <c r="BM34" s="32">
        <v>0</v>
      </c>
      <c r="BN34" s="32">
        <v>109222</v>
      </c>
      <c r="BO34" s="34">
        <v>0.11929507455942159</v>
      </c>
      <c r="BP34" s="34">
        <v>0.59150474469046543</v>
      </c>
      <c r="BQ34" s="6" t="s">
        <v>82</v>
      </c>
      <c r="BR34" s="6" t="s">
        <v>83</v>
      </c>
      <c r="BS34" s="6" t="s">
        <v>83</v>
      </c>
      <c r="BT34" s="6" t="s">
        <v>156</v>
      </c>
      <c r="BU34" s="8">
        <v>1.2412865284646868</v>
      </c>
    </row>
    <row r="35" spans="1:73" x14ac:dyDescent="0.25">
      <c r="A35" s="33" t="s">
        <v>159</v>
      </c>
      <c r="B35" s="7" t="s">
        <v>160</v>
      </c>
      <c r="C35" s="7" t="s">
        <v>81</v>
      </c>
      <c r="D3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0.10405522750955193</v>
      </c>
      <c r="E35" s="32">
        <v>55426</v>
      </c>
      <c r="F35" s="32">
        <v>0</v>
      </c>
      <c r="G35" s="32">
        <v>2761</v>
      </c>
      <c r="H35" s="32">
        <v>1728</v>
      </c>
      <c r="I35" s="32">
        <v>0</v>
      </c>
      <c r="J35" s="32">
        <v>575800</v>
      </c>
      <c r="K35" s="32">
        <v>0</v>
      </c>
      <c r="L3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3.1269608868437562E-2</v>
      </c>
      <c r="M35" s="32">
        <v>293</v>
      </c>
      <c r="N35" s="32">
        <v>6</v>
      </c>
      <c r="O35" s="32">
        <v>8809</v>
      </c>
      <c r="P35" s="32">
        <v>753</v>
      </c>
      <c r="Q3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3.4080346999896725E-3</v>
      </c>
      <c r="R35" s="32">
        <v>0</v>
      </c>
      <c r="S35" s="32">
        <v>0</v>
      </c>
      <c r="T35" s="32">
        <v>33</v>
      </c>
      <c r="U35" s="32">
        <v>8809</v>
      </c>
      <c r="V35" s="32">
        <v>121</v>
      </c>
      <c r="W35" s="32">
        <v>753</v>
      </c>
      <c r="X35" s="32">
        <v>0</v>
      </c>
      <c r="Y3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0.63990274400833624</v>
      </c>
      <c r="Z35" s="32">
        <v>4582</v>
      </c>
      <c r="AA35" s="32">
        <v>431893</v>
      </c>
      <c r="AB35" s="32">
        <v>68019</v>
      </c>
      <c r="AC35" s="32">
        <v>0</v>
      </c>
      <c r="AD35" s="32">
        <v>0</v>
      </c>
      <c r="AE35" s="32">
        <v>575800</v>
      </c>
      <c r="AF35" s="32">
        <v>0</v>
      </c>
      <c r="AG3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1.6859270672829996</v>
      </c>
      <c r="AH35" s="32">
        <v>21046</v>
      </c>
      <c r="AI35" s="32">
        <v>613</v>
      </c>
      <c r="AJ35" s="32">
        <v>10</v>
      </c>
      <c r="AK35" s="32">
        <v>0</v>
      </c>
      <c r="AL35" s="32">
        <v>80</v>
      </c>
      <c r="AM35" s="32">
        <v>2761</v>
      </c>
      <c r="AN35" s="32">
        <v>8518</v>
      </c>
      <c r="AO35" s="32">
        <v>-1728</v>
      </c>
      <c r="AP35" s="32">
        <v>-13848</v>
      </c>
      <c r="AQ3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3.3858553751844704</v>
      </c>
      <c r="AR35" s="32">
        <v>12182</v>
      </c>
      <c r="AS35" s="32">
        <v>2570</v>
      </c>
      <c r="AT35" s="32">
        <v>4640</v>
      </c>
      <c r="AU35" s="32">
        <v>6178</v>
      </c>
      <c r="AV35" s="32">
        <v>433</v>
      </c>
      <c r="AW35" s="32">
        <v>2761</v>
      </c>
      <c r="AX35" s="32">
        <v>187</v>
      </c>
      <c r="AY35" s="32">
        <v>320</v>
      </c>
      <c r="AZ35" s="32">
        <v>0</v>
      </c>
      <c r="BA35" s="32">
        <v>466</v>
      </c>
      <c r="BB35" s="32">
        <v>89</v>
      </c>
      <c r="BC35" s="32">
        <v>8809</v>
      </c>
      <c r="BD35" s="34">
        <f>IFERROR(SUM(Cons_Metrics[[#This Row],[Operating surplus/(deficit) (social housing lettings)]])/SUM(Cons_Metrics[[#This Row],[Turnover from social housing lettings]]),"")</f>
        <v>0.30964805825242719</v>
      </c>
      <c r="BE35" s="32">
        <v>15309</v>
      </c>
      <c r="BF35" s="32">
        <v>49440</v>
      </c>
      <c r="BG35" s="34">
        <f>IFERROR(SUM(Cons_Metrics[[#This Row],[Operating surplus/(deficit) (overall)2]],-Cons_Metrics[[#This Row],[Gain/(loss) on disposal of fixed assets (housing properties)2]])/SUM(Cons_Metrics[[#This Row],[Turnover (overall)]]),"")</f>
        <v>0.26473103233830847</v>
      </c>
      <c r="BH35" s="32">
        <v>21046</v>
      </c>
      <c r="BI35" s="32">
        <v>613</v>
      </c>
      <c r="BJ35" s="32">
        <v>77184</v>
      </c>
      <c r="BK35" s="34">
        <f>IFERROR(SUM(Cons_Metrics[[#This Row],[Operating surplus/(deficit) (overall)3]],Cons_Metrics[[#This Row],[Share of operating surplus/(deficit) in joint ventures or associates]])/SUM(Cons_Metrics[[#This Row],[Total assets less current liabilities]]),"")</f>
        <v>3.1605868245308151E-2</v>
      </c>
      <c r="BL35" s="32">
        <v>21046</v>
      </c>
      <c r="BM35" s="32">
        <v>0</v>
      </c>
      <c r="BN35" s="32">
        <v>665889</v>
      </c>
      <c r="BO35" s="34">
        <v>2.3847376788553257E-3</v>
      </c>
      <c r="BP35" s="34">
        <v>0</v>
      </c>
      <c r="BQ35" s="6" t="s">
        <v>93</v>
      </c>
      <c r="BR35" s="6">
        <v>2002</v>
      </c>
      <c r="BS35" s="6" t="s">
        <v>94</v>
      </c>
      <c r="BT35" s="6" t="s">
        <v>100</v>
      </c>
      <c r="BU35" s="8">
        <v>1.0022399874355168</v>
      </c>
    </row>
    <row r="36" spans="1:73" x14ac:dyDescent="0.25">
      <c r="A36" s="33" t="s">
        <v>161</v>
      </c>
      <c r="B36" s="7" t="s">
        <v>162</v>
      </c>
      <c r="C36" s="7" t="s">
        <v>81</v>
      </c>
      <c r="D3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0.1470578649762902</v>
      </c>
      <c r="E36" s="32">
        <v>6196</v>
      </c>
      <c r="F36" s="32">
        <v>7553</v>
      </c>
      <c r="G36" s="32">
        <v>4300</v>
      </c>
      <c r="H36" s="32">
        <v>0</v>
      </c>
      <c r="I36" s="32">
        <v>0</v>
      </c>
      <c r="J36" s="32">
        <v>122734</v>
      </c>
      <c r="K36" s="32">
        <v>0</v>
      </c>
      <c r="L3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2.2709627329192548E-2</v>
      </c>
      <c r="M36" s="32">
        <v>117</v>
      </c>
      <c r="N36" s="32">
        <v>0</v>
      </c>
      <c r="O36" s="32">
        <v>5152</v>
      </c>
      <c r="P36" s="32">
        <v>0</v>
      </c>
      <c r="Q3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36" s="32">
        <v>0</v>
      </c>
      <c r="S36" s="32">
        <v>0</v>
      </c>
      <c r="T36" s="32">
        <v>0</v>
      </c>
      <c r="U36" s="32">
        <v>5152</v>
      </c>
      <c r="V36" s="32">
        <v>0</v>
      </c>
      <c r="W36" s="32">
        <v>0</v>
      </c>
      <c r="X36" s="32">
        <v>0</v>
      </c>
      <c r="Y3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0.5677725813547998</v>
      </c>
      <c r="Z36" s="32">
        <v>0</v>
      </c>
      <c r="AA36" s="32">
        <v>75938</v>
      </c>
      <c r="AB36" s="32">
        <v>6253</v>
      </c>
      <c r="AC36" s="32">
        <v>0</v>
      </c>
      <c r="AD36" s="32">
        <v>0</v>
      </c>
      <c r="AE36" s="32">
        <v>122734</v>
      </c>
      <c r="AF36" s="32">
        <v>0</v>
      </c>
      <c r="AG3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2.4567961165048544</v>
      </c>
      <c r="AH36" s="32">
        <v>9824</v>
      </c>
      <c r="AI36" s="32">
        <v>604</v>
      </c>
      <c r="AJ36" s="32">
        <v>96</v>
      </c>
      <c r="AK36" s="32">
        <v>0</v>
      </c>
      <c r="AL36" s="32">
        <v>28</v>
      </c>
      <c r="AM36" s="32">
        <v>4300</v>
      </c>
      <c r="AN36" s="32">
        <v>5270</v>
      </c>
      <c r="AO36" s="32">
        <v>0</v>
      </c>
      <c r="AP36" s="32">
        <v>-4120</v>
      </c>
      <c r="AQ3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3.100309837335399</v>
      </c>
      <c r="AR36" s="32">
        <v>4857</v>
      </c>
      <c r="AS36" s="32">
        <v>1117</v>
      </c>
      <c r="AT36" s="32">
        <v>3286</v>
      </c>
      <c r="AU36" s="32">
        <v>1863</v>
      </c>
      <c r="AV36" s="32">
        <v>0</v>
      </c>
      <c r="AW36" s="32">
        <v>4300</v>
      </c>
      <c r="AX36" s="32">
        <v>95</v>
      </c>
      <c r="AY36" s="32">
        <v>0</v>
      </c>
      <c r="AZ36" s="32">
        <v>0</v>
      </c>
      <c r="BA36" s="32">
        <v>185</v>
      </c>
      <c r="BB36" s="32">
        <v>307</v>
      </c>
      <c r="BC36" s="32">
        <v>5164</v>
      </c>
      <c r="BD36" s="34">
        <f>IFERROR(SUM(Cons_Metrics[[#This Row],[Operating surplus/(deficit) (social housing lettings)]])/SUM(Cons_Metrics[[#This Row],[Turnover from social housing lettings]]),"")</f>
        <v>0.34556454781173884</v>
      </c>
      <c r="BE36" s="32">
        <v>8796</v>
      </c>
      <c r="BF36" s="32">
        <v>25454</v>
      </c>
      <c r="BG36" s="34">
        <f>IFERROR(SUM(Cons_Metrics[[#This Row],[Operating surplus/(deficit) (overall)2]],-Cons_Metrics[[#This Row],[Gain/(loss) on disposal of fixed assets (housing properties)2]])/SUM(Cons_Metrics[[#This Row],[Turnover (overall)]]),"")</f>
        <v>0.31237295026426343</v>
      </c>
      <c r="BH36" s="32">
        <v>9824</v>
      </c>
      <c r="BI36" s="32">
        <v>604</v>
      </c>
      <c r="BJ36" s="32">
        <v>29516</v>
      </c>
      <c r="BK36" s="34">
        <f>IFERROR(SUM(Cons_Metrics[[#This Row],[Operating surplus/(deficit) (overall)3]],Cons_Metrics[[#This Row],[Share of operating surplus/(deficit) in joint ventures or associates]])/SUM(Cons_Metrics[[#This Row],[Total assets less current liabilities]]),"")</f>
        <v>7.1441037873058347E-2</v>
      </c>
      <c r="BL36" s="32">
        <v>9824</v>
      </c>
      <c r="BM36" s="32">
        <v>0</v>
      </c>
      <c r="BN36" s="32">
        <v>137512</v>
      </c>
      <c r="BO36" s="34">
        <v>9.7049689440993788E-4</v>
      </c>
      <c r="BP36" s="34">
        <v>0.22612577639751552</v>
      </c>
      <c r="BQ36" s="6" t="s">
        <v>93</v>
      </c>
      <c r="BR36" s="6">
        <v>2006</v>
      </c>
      <c r="BS36" s="6" t="s">
        <v>94</v>
      </c>
      <c r="BT36" s="6" t="s">
        <v>105</v>
      </c>
      <c r="BU36" s="8">
        <v>0.91574964289161631</v>
      </c>
    </row>
    <row r="37" spans="1:73" x14ac:dyDescent="0.25">
      <c r="A37" s="33" t="s">
        <v>163</v>
      </c>
      <c r="B37" s="7" t="s">
        <v>164</v>
      </c>
      <c r="C37" s="7" t="s">
        <v>81</v>
      </c>
      <c r="D3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2.0226482652066485E-2</v>
      </c>
      <c r="E37" s="32">
        <v>2071</v>
      </c>
      <c r="F37" s="32">
        <v>0</v>
      </c>
      <c r="G37" s="32">
        <v>1228</v>
      </c>
      <c r="H37" s="32">
        <v>0</v>
      </c>
      <c r="I37" s="32">
        <v>0</v>
      </c>
      <c r="J37" s="32">
        <v>163103</v>
      </c>
      <c r="K37" s="32">
        <v>0</v>
      </c>
      <c r="L3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1.3717421124828531E-3</v>
      </c>
      <c r="M37" s="32">
        <v>2</v>
      </c>
      <c r="N37" s="32">
        <v>0</v>
      </c>
      <c r="O37" s="32">
        <v>1458</v>
      </c>
      <c r="P37" s="32">
        <v>0</v>
      </c>
      <c r="Q3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37" s="32">
        <v>0</v>
      </c>
      <c r="S37" s="32">
        <v>0</v>
      </c>
      <c r="T37" s="32">
        <v>0</v>
      </c>
      <c r="U37" s="32">
        <v>1458</v>
      </c>
      <c r="V37" s="32">
        <v>0</v>
      </c>
      <c r="W37" s="32">
        <v>0</v>
      </c>
      <c r="X37" s="32">
        <v>0</v>
      </c>
      <c r="Y3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0.41067301030637082</v>
      </c>
      <c r="Z37" s="32">
        <v>2976</v>
      </c>
      <c r="AA37" s="32">
        <v>67203</v>
      </c>
      <c r="AB37" s="32">
        <v>3197</v>
      </c>
      <c r="AC37" s="32">
        <v>0</v>
      </c>
      <c r="AD37" s="32">
        <v>0</v>
      </c>
      <c r="AE37" s="32">
        <v>163103</v>
      </c>
      <c r="AF37" s="32">
        <v>0</v>
      </c>
      <c r="AG3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0.89282769991755973</v>
      </c>
      <c r="AH37" s="32">
        <v>2965</v>
      </c>
      <c r="AI37" s="32">
        <v>564</v>
      </c>
      <c r="AJ37" s="32">
        <v>1322</v>
      </c>
      <c r="AK37" s="32">
        <v>0</v>
      </c>
      <c r="AL37" s="32">
        <v>3</v>
      </c>
      <c r="AM37" s="32">
        <v>1228</v>
      </c>
      <c r="AN37" s="32">
        <v>2312</v>
      </c>
      <c r="AO37" s="32">
        <v>-101</v>
      </c>
      <c r="AP37" s="32">
        <v>-2325</v>
      </c>
      <c r="AQ3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7.7126200274348422</v>
      </c>
      <c r="AR37" s="32">
        <v>2994</v>
      </c>
      <c r="AS37" s="32">
        <v>1968</v>
      </c>
      <c r="AT37" s="32">
        <v>2201</v>
      </c>
      <c r="AU37" s="32">
        <v>407</v>
      </c>
      <c r="AV37" s="32">
        <v>0</v>
      </c>
      <c r="AW37" s="32">
        <v>1228</v>
      </c>
      <c r="AX37" s="32">
        <v>1720</v>
      </c>
      <c r="AY37" s="32">
        <v>0</v>
      </c>
      <c r="AZ37" s="32">
        <v>0</v>
      </c>
      <c r="BA37" s="32">
        <v>0</v>
      </c>
      <c r="BB37" s="32">
        <v>727</v>
      </c>
      <c r="BC37" s="32">
        <v>1458</v>
      </c>
      <c r="BD37" s="34">
        <f>IFERROR(SUM(Cons_Metrics[[#This Row],[Operating surplus/(deficit) (social housing lettings)]])/SUM(Cons_Metrics[[#This Row],[Turnover from social housing lettings]]),"")</f>
        <v>0.14096786110084966</v>
      </c>
      <c r="BE37" s="32">
        <v>1908</v>
      </c>
      <c r="BF37" s="32">
        <v>13535</v>
      </c>
      <c r="BG37" s="34">
        <f>IFERROR(SUM(Cons_Metrics[[#This Row],[Operating surplus/(deficit) (overall)2]],-Cons_Metrics[[#This Row],[Gain/(loss) on disposal of fixed assets (housing properties)2]])/SUM(Cons_Metrics[[#This Row],[Turnover (overall)]]),"")</f>
        <v>0.16028037383177571</v>
      </c>
      <c r="BH37" s="32">
        <v>2965</v>
      </c>
      <c r="BI37" s="32">
        <v>564</v>
      </c>
      <c r="BJ37" s="32">
        <v>14980</v>
      </c>
      <c r="BK37" s="34">
        <f>IFERROR(SUM(Cons_Metrics[[#This Row],[Operating surplus/(deficit) (overall)3]],Cons_Metrics[[#This Row],[Share of operating surplus/(deficit) in joint ventures or associates]])/SUM(Cons_Metrics[[#This Row],[Total assets less current liabilities]]),"")</f>
        <v>1.8200680146833143E-2</v>
      </c>
      <c r="BL37" s="32">
        <v>2965</v>
      </c>
      <c r="BM37" s="32">
        <v>0</v>
      </c>
      <c r="BN37" s="32">
        <v>162906</v>
      </c>
      <c r="BO37" s="34">
        <v>0.15282880235121235</v>
      </c>
      <c r="BP37" s="34">
        <v>0.17119764878765614</v>
      </c>
      <c r="BQ37" s="6" t="s">
        <v>82</v>
      </c>
      <c r="BR37" s="6" t="s">
        <v>83</v>
      </c>
      <c r="BS37" s="6" t="s">
        <v>83</v>
      </c>
      <c r="BT37" s="6" t="s">
        <v>156</v>
      </c>
      <c r="BU37" s="8">
        <v>1.2488627787394371</v>
      </c>
    </row>
    <row r="38" spans="1:73" x14ac:dyDescent="0.25">
      <c r="A38" s="33" t="s">
        <v>165</v>
      </c>
      <c r="B38" s="7" t="s">
        <v>166</v>
      </c>
      <c r="C38" s="7" t="s">
        <v>81</v>
      </c>
      <c r="D3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5.7524275421044102E-2</v>
      </c>
      <c r="E38" s="32">
        <v>271800</v>
      </c>
      <c r="F38" s="32">
        <v>0</v>
      </c>
      <c r="G38" s="32">
        <v>118600</v>
      </c>
      <c r="H38" s="32">
        <v>0</v>
      </c>
      <c r="I38" s="32">
        <v>0</v>
      </c>
      <c r="J38" s="32">
        <v>6786700</v>
      </c>
      <c r="K38" s="32">
        <v>0</v>
      </c>
      <c r="L3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8.7797946306227056E-3</v>
      </c>
      <c r="M38" s="32">
        <v>1038</v>
      </c>
      <c r="N38" s="32">
        <v>0</v>
      </c>
      <c r="O38" s="32">
        <v>108407</v>
      </c>
      <c r="P38" s="32">
        <v>9819</v>
      </c>
      <c r="Q3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2.0776564035767655E-3</v>
      </c>
      <c r="R38" s="32">
        <v>0</v>
      </c>
      <c r="S38" s="32">
        <v>35</v>
      </c>
      <c r="T38" s="32">
        <v>225</v>
      </c>
      <c r="U38" s="32">
        <v>108407</v>
      </c>
      <c r="V38" s="32">
        <v>909</v>
      </c>
      <c r="W38" s="32">
        <v>9819</v>
      </c>
      <c r="X38" s="32">
        <v>6006</v>
      </c>
      <c r="Y3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0.50397100210706236</v>
      </c>
      <c r="Z38" s="32">
        <v>68500</v>
      </c>
      <c r="AA38" s="32">
        <v>3528200</v>
      </c>
      <c r="AB38" s="32">
        <v>182900</v>
      </c>
      <c r="AC38" s="32">
        <v>0</v>
      </c>
      <c r="AD38" s="32">
        <v>6500</v>
      </c>
      <c r="AE38" s="32">
        <v>6786700</v>
      </c>
      <c r="AF38" s="32">
        <v>0</v>
      </c>
      <c r="AG3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1.4908747640025173</v>
      </c>
      <c r="AH38" s="32">
        <v>305400</v>
      </c>
      <c r="AI38" s="32">
        <v>29100</v>
      </c>
      <c r="AJ38" s="32">
        <v>23800</v>
      </c>
      <c r="AK38" s="32">
        <v>0</v>
      </c>
      <c r="AL38" s="32">
        <v>3000</v>
      </c>
      <c r="AM38" s="32">
        <v>118600</v>
      </c>
      <c r="AN38" s="32">
        <v>100000</v>
      </c>
      <c r="AO38" s="32">
        <v>-11700</v>
      </c>
      <c r="AP38" s="32">
        <v>-147200</v>
      </c>
      <c r="AQ3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4.5199039531909806</v>
      </c>
      <c r="AR38" s="32">
        <v>81700</v>
      </c>
      <c r="AS38" s="32">
        <v>57700</v>
      </c>
      <c r="AT38" s="32">
        <v>121800</v>
      </c>
      <c r="AU38" s="32">
        <v>47900</v>
      </c>
      <c r="AV38" s="32">
        <v>24900</v>
      </c>
      <c r="AW38" s="32">
        <v>118600</v>
      </c>
      <c r="AX38" s="32">
        <v>1900</v>
      </c>
      <c r="AY38" s="32">
        <v>6300</v>
      </c>
      <c r="AZ38" s="32">
        <v>10800</v>
      </c>
      <c r="BA38" s="32">
        <v>4000</v>
      </c>
      <c r="BB38" s="32">
        <v>15700</v>
      </c>
      <c r="BC38" s="32">
        <v>108697</v>
      </c>
      <c r="BD38" s="34">
        <f>IFERROR(SUM(Cons_Metrics[[#This Row],[Operating surplus/(deficit) (social housing lettings)]])/SUM(Cons_Metrics[[#This Row],[Turnover from social housing lettings]]),"")</f>
        <v>0.36188939416165467</v>
      </c>
      <c r="BE38" s="32">
        <v>246700</v>
      </c>
      <c r="BF38" s="32">
        <v>681700</v>
      </c>
      <c r="BG38" s="34">
        <f>IFERROR(SUM(Cons_Metrics[[#This Row],[Operating surplus/(deficit) (overall)2]],-Cons_Metrics[[#This Row],[Gain/(loss) on disposal of fixed assets (housing properties)2]])/SUM(Cons_Metrics[[#This Row],[Turnover (overall)]]),"")</f>
        <v>0.33345401882693698</v>
      </c>
      <c r="BH38" s="32">
        <v>305400</v>
      </c>
      <c r="BI38" s="32">
        <v>29100</v>
      </c>
      <c r="BJ38" s="32">
        <v>828600</v>
      </c>
      <c r="BK38" s="34">
        <f>IFERROR(SUM(Cons_Metrics[[#This Row],[Operating surplus/(deficit) (overall)3]],Cons_Metrics[[#This Row],[Share of operating surplus/(deficit) in joint ventures or associates]])/SUM(Cons_Metrics[[#This Row],[Total assets less current liabilities]]),"")</f>
        <v>3.9567971751999172E-2</v>
      </c>
      <c r="BL38" s="32">
        <v>305400</v>
      </c>
      <c r="BM38" s="32">
        <v>-600</v>
      </c>
      <c r="BN38" s="32">
        <v>7703200</v>
      </c>
      <c r="BO38" s="34">
        <v>2.115590702486974E-2</v>
      </c>
      <c r="BP38" s="34">
        <v>6.7892908613872358E-2</v>
      </c>
      <c r="BQ38" s="6" t="s">
        <v>82</v>
      </c>
      <c r="BR38" s="6" t="s">
        <v>83</v>
      </c>
      <c r="BS38" s="6" t="s">
        <v>83</v>
      </c>
      <c r="BT38" s="6" t="s">
        <v>87</v>
      </c>
      <c r="BU38" s="8">
        <v>1.0867811084603032</v>
      </c>
    </row>
    <row r="39" spans="1:73" x14ac:dyDescent="0.25">
      <c r="A39" s="33" t="s">
        <v>167</v>
      </c>
      <c r="B39" s="7" t="s">
        <v>168</v>
      </c>
      <c r="C39" s="7" t="s">
        <v>81</v>
      </c>
      <c r="D3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2.4114989419905829E-2</v>
      </c>
      <c r="E39" s="32">
        <v>3090</v>
      </c>
      <c r="F39" s="32">
        <v>1950</v>
      </c>
      <c r="G39" s="32">
        <v>2550</v>
      </c>
      <c r="H39" s="32">
        <v>0</v>
      </c>
      <c r="I39" s="32">
        <v>0</v>
      </c>
      <c r="J39" s="32">
        <v>5493</v>
      </c>
      <c r="K39" s="32">
        <v>309249</v>
      </c>
      <c r="L3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5.6254767353165524E-3</v>
      </c>
      <c r="M39" s="32">
        <v>58</v>
      </c>
      <c r="N39" s="32">
        <v>1</v>
      </c>
      <c r="O39" s="32">
        <v>10401</v>
      </c>
      <c r="P39" s="32">
        <v>87</v>
      </c>
      <c r="Q3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39" s="32">
        <v>0</v>
      </c>
      <c r="S39" s="32">
        <v>0</v>
      </c>
      <c r="T39" s="32">
        <v>0</v>
      </c>
      <c r="U39" s="32">
        <v>10401</v>
      </c>
      <c r="V39" s="32">
        <v>4</v>
      </c>
      <c r="W39" s="32">
        <v>87</v>
      </c>
      <c r="X39" s="32">
        <v>0</v>
      </c>
      <c r="Y3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0.49346766558006239</v>
      </c>
      <c r="Z39" s="32">
        <v>8937</v>
      </c>
      <c r="AA39" s="32">
        <v>202063</v>
      </c>
      <c r="AB39" s="32">
        <v>55685</v>
      </c>
      <c r="AC39" s="32">
        <v>0</v>
      </c>
      <c r="AD39" s="32">
        <v>0</v>
      </c>
      <c r="AE39" s="32">
        <v>5493</v>
      </c>
      <c r="AF39" s="32">
        <v>309249</v>
      </c>
      <c r="AG3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2.8336239103362391</v>
      </c>
      <c r="AH39" s="32">
        <v>19496</v>
      </c>
      <c r="AI39" s="32">
        <v>811</v>
      </c>
      <c r="AJ39" s="32">
        <v>0</v>
      </c>
      <c r="AK39" s="32">
        <v>0</v>
      </c>
      <c r="AL39" s="32">
        <v>66</v>
      </c>
      <c r="AM39" s="32">
        <v>2550</v>
      </c>
      <c r="AN39" s="32">
        <v>6553</v>
      </c>
      <c r="AO39" s="32">
        <v>0</v>
      </c>
      <c r="AP39" s="32">
        <v>-8030</v>
      </c>
      <c r="AQ3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2.7269566851451659</v>
      </c>
      <c r="AR39" s="32">
        <v>10281</v>
      </c>
      <c r="AS39" s="32">
        <v>1424</v>
      </c>
      <c r="AT39" s="32">
        <v>7177</v>
      </c>
      <c r="AU39" s="32">
        <v>2341</v>
      </c>
      <c r="AV39" s="32">
        <v>3476</v>
      </c>
      <c r="AW39" s="32">
        <v>2550</v>
      </c>
      <c r="AX39" s="32">
        <v>0</v>
      </c>
      <c r="AY39" s="32">
        <v>0</v>
      </c>
      <c r="AZ39" s="32">
        <v>0</v>
      </c>
      <c r="BA39" s="32">
        <v>1774</v>
      </c>
      <c r="BB39" s="32">
        <v>0</v>
      </c>
      <c r="BC39" s="32">
        <v>10643</v>
      </c>
      <c r="BD39" s="34">
        <f>IFERROR(SUM(Cons_Metrics[[#This Row],[Operating surplus/(deficit) (social housing lettings)]])/SUM(Cons_Metrics[[#This Row],[Turnover from social housing lettings]]),"")</f>
        <v>0.35447197616034615</v>
      </c>
      <c r="BE39" s="32">
        <v>17367</v>
      </c>
      <c r="BF39" s="32">
        <v>48994</v>
      </c>
      <c r="BG39" s="34">
        <f>IFERROR(SUM(Cons_Metrics[[#This Row],[Operating surplus/(deficit) (overall)2]],-Cons_Metrics[[#This Row],[Gain/(loss) on disposal of fixed assets (housing properties)2]])/SUM(Cons_Metrics[[#This Row],[Turnover (overall)]]),"")</f>
        <v>0.33330360328219766</v>
      </c>
      <c r="BH39" s="32">
        <v>19496</v>
      </c>
      <c r="BI39" s="32">
        <v>811</v>
      </c>
      <c r="BJ39" s="32">
        <v>56060</v>
      </c>
      <c r="BK39" s="34">
        <f>IFERROR(SUM(Cons_Metrics[[#This Row],[Operating surplus/(deficit) (overall)3]],Cons_Metrics[[#This Row],[Share of operating surplus/(deficit) in joint ventures or associates]])/SUM(Cons_Metrics[[#This Row],[Total assets less current liabilities]]),"")</f>
        <v>5.3718347890777833E-2</v>
      </c>
      <c r="BL39" s="32">
        <v>19496</v>
      </c>
      <c r="BM39" s="32">
        <v>0</v>
      </c>
      <c r="BN39" s="32">
        <v>362930</v>
      </c>
      <c r="BO39" s="34">
        <v>1.153846153846154E-3</v>
      </c>
      <c r="BP39" s="34">
        <v>0</v>
      </c>
      <c r="BQ39" s="6" t="s">
        <v>93</v>
      </c>
      <c r="BR39" s="6">
        <v>2002</v>
      </c>
      <c r="BS39" s="6" t="s">
        <v>94</v>
      </c>
      <c r="BT39" s="6" t="s">
        <v>121</v>
      </c>
      <c r="BU39" s="8">
        <v>0.90317567611779648</v>
      </c>
    </row>
    <row r="40" spans="1:73" x14ac:dyDescent="0.25">
      <c r="A40" s="33" t="s">
        <v>169</v>
      </c>
      <c r="B40" s="7" t="s">
        <v>170</v>
      </c>
      <c r="C40" s="7" t="s">
        <v>81</v>
      </c>
      <c r="D4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0.17220399160794017</v>
      </c>
      <c r="E40" s="32">
        <v>32998</v>
      </c>
      <c r="F40" s="32">
        <v>0</v>
      </c>
      <c r="G40" s="32">
        <v>2330</v>
      </c>
      <c r="H40" s="32">
        <v>1195</v>
      </c>
      <c r="I40" s="32">
        <v>-4512</v>
      </c>
      <c r="J40" s="32">
        <v>185890</v>
      </c>
      <c r="K40" s="32">
        <v>0</v>
      </c>
      <c r="L4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7.4248541947061458E-2</v>
      </c>
      <c r="M40" s="32">
        <v>331</v>
      </c>
      <c r="N40" s="32">
        <v>0</v>
      </c>
      <c r="O40" s="32">
        <v>4458</v>
      </c>
      <c r="P40" s="32">
        <v>0</v>
      </c>
      <c r="Q4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0" s="32">
        <v>0</v>
      </c>
      <c r="S40" s="32">
        <v>0</v>
      </c>
      <c r="T40" s="32">
        <v>0</v>
      </c>
      <c r="U40" s="32">
        <v>4458</v>
      </c>
      <c r="V40" s="32">
        <v>0</v>
      </c>
      <c r="W40" s="32">
        <v>0</v>
      </c>
      <c r="X40" s="32">
        <v>0</v>
      </c>
      <c r="Y4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0.56997686804023884</v>
      </c>
      <c r="Z40" s="32">
        <v>0</v>
      </c>
      <c r="AA40" s="32">
        <v>113652</v>
      </c>
      <c r="AB40" s="32">
        <v>7699</v>
      </c>
      <c r="AC40" s="32">
        <v>0</v>
      </c>
      <c r="AD40" s="32">
        <v>0</v>
      </c>
      <c r="AE40" s="32">
        <v>185890</v>
      </c>
      <c r="AF40" s="32">
        <v>0</v>
      </c>
      <c r="AG4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1.6485618338443568</v>
      </c>
      <c r="AH40" s="32">
        <v>11107</v>
      </c>
      <c r="AI40" s="32">
        <v>0</v>
      </c>
      <c r="AJ40" s="32">
        <v>584</v>
      </c>
      <c r="AK40" s="32">
        <v>0</v>
      </c>
      <c r="AL40" s="32">
        <v>0</v>
      </c>
      <c r="AM40" s="32">
        <v>2330</v>
      </c>
      <c r="AN40" s="32">
        <v>3098</v>
      </c>
      <c r="AO40" s="32">
        <v>-1195</v>
      </c>
      <c r="AP40" s="32">
        <v>-5654</v>
      </c>
      <c r="AQ4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2.9524450426200088</v>
      </c>
      <c r="AR40" s="32">
        <v>3048</v>
      </c>
      <c r="AS40" s="32">
        <v>1281</v>
      </c>
      <c r="AT40" s="32">
        <v>3660</v>
      </c>
      <c r="AU40" s="32">
        <v>1889</v>
      </c>
      <c r="AV40" s="32">
        <v>969</v>
      </c>
      <c r="AW40" s="32">
        <v>2330</v>
      </c>
      <c r="AX40" s="32">
        <v>170</v>
      </c>
      <c r="AY40" s="32">
        <v>0</v>
      </c>
      <c r="AZ40" s="32">
        <v>0</v>
      </c>
      <c r="BA40" s="32">
        <v>-1571</v>
      </c>
      <c r="BB40" s="32">
        <v>1386</v>
      </c>
      <c r="BC40" s="32">
        <v>4458</v>
      </c>
      <c r="BD40" s="34">
        <f>IFERROR(SUM(Cons_Metrics[[#This Row],[Operating surplus/(deficit) (social housing lettings)]])/SUM(Cons_Metrics[[#This Row],[Turnover from social housing lettings]]),"")</f>
        <v>0.36021256931608131</v>
      </c>
      <c r="BE40" s="32">
        <v>7795</v>
      </c>
      <c r="BF40" s="32">
        <v>21640</v>
      </c>
      <c r="BG40" s="34">
        <f>IFERROR(SUM(Cons_Metrics[[#This Row],[Operating surplus/(deficit) (overall)2]],-Cons_Metrics[[#This Row],[Gain/(loss) on disposal of fixed assets (housing properties)2]])/SUM(Cons_Metrics[[#This Row],[Turnover (overall)]]),"")</f>
        <v>0.37409902324014821</v>
      </c>
      <c r="BH40" s="32">
        <v>11107</v>
      </c>
      <c r="BI40" s="32">
        <v>0</v>
      </c>
      <c r="BJ40" s="32">
        <v>29690</v>
      </c>
      <c r="BK40" s="34">
        <f>IFERROR(SUM(Cons_Metrics[[#This Row],[Operating surplus/(deficit) (overall)3]],Cons_Metrics[[#This Row],[Share of operating surplus/(deficit) in joint ventures or associates]])/SUM(Cons_Metrics[[#This Row],[Total assets less current liabilities]]),"")</f>
        <v>5.6777287040444935E-2</v>
      </c>
      <c r="BL40" s="32">
        <v>11107</v>
      </c>
      <c r="BM40" s="32">
        <v>0</v>
      </c>
      <c r="BN40" s="32">
        <v>195624</v>
      </c>
      <c r="BO40" s="34">
        <v>1.5066336856307623E-2</v>
      </c>
      <c r="BP40" s="34">
        <v>0.14661569597481447</v>
      </c>
      <c r="BQ40" s="6" t="s">
        <v>93</v>
      </c>
      <c r="BR40" s="6">
        <v>1998</v>
      </c>
      <c r="BS40" s="6" t="s">
        <v>94</v>
      </c>
      <c r="BT40" s="6" t="s">
        <v>115</v>
      </c>
      <c r="BU40" s="8">
        <v>0.96617455710897804</v>
      </c>
    </row>
    <row r="41" spans="1:73" x14ac:dyDescent="0.25">
      <c r="A41" s="33" t="s">
        <v>171</v>
      </c>
      <c r="B41" s="7" t="s">
        <v>172</v>
      </c>
      <c r="C41" s="7" t="s">
        <v>81</v>
      </c>
      <c r="D4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2.0919089910394029E-2</v>
      </c>
      <c r="E41" s="32">
        <v>516</v>
      </c>
      <c r="F41" s="32">
        <v>0</v>
      </c>
      <c r="G41" s="32">
        <v>2645</v>
      </c>
      <c r="H41" s="32">
        <v>0</v>
      </c>
      <c r="I41" s="32">
        <v>0</v>
      </c>
      <c r="J41" s="32">
        <v>151106</v>
      </c>
      <c r="K41" s="32">
        <v>0</v>
      </c>
      <c r="L4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41" s="32">
        <v>0</v>
      </c>
      <c r="N41" s="32">
        <v>0</v>
      </c>
      <c r="O41" s="32">
        <v>5974</v>
      </c>
      <c r="P41" s="32">
        <v>1</v>
      </c>
      <c r="Q4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1" s="32">
        <v>0</v>
      </c>
      <c r="S41" s="32">
        <v>0</v>
      </c>
      <c r="T41" s="32">
        <v>0</v>
      </c>
      <c r="U41" s="32">
        <v>5974</v>
      </c>
      <c r="V41" s="32">
        <v>9</v>
      </c>
      <c r="W41" s="32">
        <v>1</v>
      </c>
      <c r="X41" s="32">
        <v>0</v>
      </c>
      <c r="Y4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0.11641496697682421</v>
      </c>
      <c r="Z41" s="32">
        <v>0</v>
      </c>
      <c r="AA41" s="32">
        <v>29845</v>
      </c>
      <c r="AB41" s="32">
        <v>12254</v>
      </c>
      <c r="AC41" s="32">
        <v>0</v>
      </c>
      <c r="AD41" s="32">
        <v>0</v>
      </c>
      <c r="AE41" s="32">
        <v>151106</v>
      </c>
      <c r="AF41" s="32">
        <v>0</v>
      </c>
      <c r="AG4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4.4535367545076285</v>
      </c>
      <c r="AH41" s="32">
        <v>6654</v>
      </c>
      <c r="AI41" s="32">
        <v>802</v>
      </c>
      <c r="AJ41" s="32">
        <v>465</v>
      </c>
      <c r="AK41" s="32">
        <v>0</v>
      </c>
      <c r="AL41" s="32">
        <v>38</v>
      </c>
      <c r="AM41" s="32">
        <v>2645</v>
      </c>
      <c r="AN41" s="32">
        <v>6853</v>
      </c>
      <c r="AO41" s="32">
        <v>0</v>
      </c>
      <c r="AP41" s="32">
        <v>-2163</v>
      </c>
      <c r="AQ4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2.9427519250083698</v>
      </c>
      <c r="AR41" s="32">
        <v>7820</v>
      </c>
      <c r="AS41" s="32">
        <v>119</v>
      </c>
      <c r="AT41" s="32">
        <v>3783</v>
      </c>
      <c r="AU41" s="32">
        <v>721</v>
      </c>
      <c r="AV41" s="32">
        <v>1054</v>
      </c>
      <c r="AW41" s="32">
        <v>2645</v>
      </c>
      <c r="AX41" s="32">
        <v>768</v>
      </c>
      <c r="AY41" s="32">
        <v>0</v>
      </c>
      <c r="AZ41" s="32">
        <v>402</v>
      </c>
      <c r="BA41" s="32">
        <v>268</v>
      </c>
      <c r="BB41" s="32">
        <v>0</v>
      </c>
      <c r="BC41" s="32">
        <v>5974</v>
      </c>
      <c r="BD41" s="34">
        <f>IFERROR(SUM(Cons_Metrics[[#This Row],[Operating surplus/(deficit) (social housing lettings)]])/SUM(Cons_Metrics[[#This Row],[Turnover from social housing lettings]]),"")</f>
        <v>0.23051361699053674</v>
      </c>
      <c r="BE41" s="32">
        <v>6382</v>
      </c>
      <c r="BF41" s="32">
        <v>27686</v>
      </c>
      <c r="BG41" s="34">
        <f>IFERROR(SUM(Cons_Metrics[[#This Row],[Operating surplus/(deficit) (overall)2]],-Cons_Metrics[[#This Row],[Gain/(loss) on disposal of fixed assets (housing properties)2]])/SUM(Cons_Metrics[[#This Row],[Turnover (overall)]]),"")</f>
        <v>0.2101030409650666</v>
      </c>
      <c r="BH41" s="32">
        <v>6654</v>
      </c>
      <c r="BI41" s="32">
        <v>802</v>
      </c>
      <c r="BJ41" s="32">
        <v>27853</v>
      </c>
      <c r="BK41" s="34">
        <f>IFERROR(SUM(Cons_Metrics[[#This Row],[Operating surplus/(deficit) (overall)3]],Cons_Metrics[[#This Row],[Share of operating surplus/(deficit) in joint ventures or associates]])/SUM(Cons_Metrics[[#This Row],[Total assets less current liabilities]]),"")</f>
        <v>4.0374498656003691E-2</v>
      </c>
      <c r="BL41" s="32">
        <v>6654</v>
      </c>
      <c r="BM41" s="32">
        <v>0</v>
      </c>
      <c r="BN41" s="32">
        <v>164807</v>
      </c>
      <c r="BO41" s="34">
        <v>0</v>
      </c>
      <c r="BP41" s="34">
        <v>0</v>
      </c>
      <c r="BQ41" s="6" t="s">
        <v>93</v>
      </c>
      <c r="BR41" s="6">
        <v>2003</v>
      </c>
      <c r="BS41" s="6" t="s">
        <v>94</v>
      </c>
      <c r="BT41" s="6" t="s">
        <v>105</v>
      </c>
      <c r="BU41" s="8">
        <v>0.9156653862445665</v>
      </c>
    </row>
    <row r="42" spans="1:73" x14ac:dyDescent="0.25">
      <c r="A42" s="33" t="s">
        <v>173</v>
      </c>
      <c r="B42" s="7" t="s">
        <v>174</v>
      </c>
      <c r="C42" s="7" t="s">
        <v>81</v>
      </c>
      <c r="D4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6.288726008765301E-2</v>
      </c>
      <c r="E42" s="32">
        <v>11263</v>
      </c>
      <c r="F42" s="32">
        <v>0</v>
      </c>
      <c r="G42" s="32">
        <v>1503</v>
      </c>
      <c r="H42" s="32">
        <v>550</v>
      </c>
      <c r="I42" s="32">
        <v>0</v>
      </c>
      <c r="J42" s="32">
        <v>211744</v>
      </c>
      <c r="K42" s="32">
        <v>0</v>
      </c>
      <c r="L4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2.781456953642384E-2</v>
      </c>
      <c r="M42" s="32">
        <v>84</v>
      </c>
      <c r="N42" s="32">
        <v>0</v>
      </c>
      <c r="O42" s="32">
        <v>3020</v>
      </c>
      <c r="P42" s="32">
        <v>0</v>
      </c>
      <c r="Q4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2" s="32">
        <v>0</v>
      </c>
      <c r="S42" s="32">
        <v>0</v>
      </c>
      <c r="T42" s="32">
        <v>0</v>
      </c>
      <c r="U42" s="32">
        <v>3020</v>
      </c>
      <c r="V42" s="32">
        <v>0</v>
      </c>
      <c r="W42" s="32">
        <v>0</v>
      </c>
      <c r="X42" s="32">
        <v>0</v>
      </c>
      <c r="Y4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0.50182767870636236</v>
      </c>
      <c r="Z42" s="32">
        <v>27836</v>
      </c>
      <c r="AA42" s="32">
        <v>80665</v>
      </c>
      <c r="AB42" s="32">
        <v>2242</v>
      </c>
      <c r="AC42" s="32">
        <v>0</v>
      </c>
      <c r="AD42" s="32">
        <v>0</v>
      </c>
      <c r="AE42" s="32">
        <v>211744</v>
      </c>
      <c r="AF42" s="32">
        <v>0</v>
      </c>
      <c r="AG4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1.3769088773284108</v>
      </c>
      <c r="AH42" s="32">
        <v>7150</v>
      </c>
      <c r="AI42" s="32">
        <v>0</v>
      </c>
      <c r="AJ42" s="32">
        <v>793</v>
      </c>
      <c r="AK42" s="32">
        <v>0</v>
      </c>
      <c r="AL42" s="32">
        <v>5</v>
      </c>
      <c r="AM42" s="32">
        <v>1503</v>
      </c>
      <c r="AN42" s="32">
        <v>3346</v>
      </c>
      <c r="AO42" s="32">
        <v>-550</v>
      </c>
      <c r="AP42" s="32">
        <v>-5409</v>
      </c>
      <c r="AQ4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3.1329426280074029</v>
      </c>
      <c r="AR42" s="32">
        <v>3466</v>
      </c>
      <c r="AS42" s="32">
        <v>936</v>
      </c>
      <c r="AT42" s="32">
        <v>2333</v>
      </c>
      <c r="AU42" s="32">
        <v>245</v>
      </c>
      <c r="AV42" s="32">
        <v>830</v>
      </c>
      <c r="AW42" s="32">
        <v>1503</v>
      </c>
      <c r="AX42" s="32">
        <v>672</v>
      </c>
      <c r="AY42" s="32">
        <v>0</v>
      </c>
      <c r="AZ42" s="32">
        <v>0</v>
      </c>
      <c r="BA42" s="32">
        <v>172</v>
      </c>
      <c r="BB42" s="32">
        <v>0</v>
      </c>
      <c r="BC42" s="32">
        <v>3242</v>
      </c>
      <c r="BD42" s="34">
        <f>IFERROR(SUM(Cons_Metrics[[#This Row],[Operating surplus/(deficit) (social housing lettings)]])/SUM(Cons_Metrics[[#This Row],[Turnover from social housing lettings]]),"")</f>
        <v>0.35133798560360457</v>
      </c>
      <c r="BE42" s="32">
        <v>6394</v>
      </c>
      <c r="BF42" s="32">
        <v>18199</v>
      </c>
      <c r="BG42" s="34">
        <f>IFERROR(SUM(Cons_Metrics[[#This Row],[Operating surplus/(deficit) (overall)2]],-Cons_Metrics[[#This Row],[Gain/(loss) on disposal of fixed assets (housing properties)2]])/SUM(Cons_Metrics[[#This Row],[Turnover (overall)]]),"")</f>
        <v>0.35345296356715605</v>
      </c>
      <c r="BH42" s="32">
        <v>7150</v>
      </c>
      <c r="BI42" s="32">
        <v>0</v>
      </c>
      <c r="BJ42" s="32">
        <v>20229</v>
      </c>
      <c r="BK42" s="34">
        <f>IFERROR(SUM(Cons_Metrics[[#This Row],[Operating surplus/(deficit) (overall)3]],Cons_Metrics[[#This Row],[Share of operating surplus/(deficit) in joint ventures or associates]])/SUM(Cons_Metrics[[#This Row],[Total assets less current liabilities]]),"")</f>
        <v>3.862776877363587E-2</v>
      </c>
      <c r="BL42" s="32">
        <v>7150</v>
      </c>
      <c r="BM42" s="32">
        <v>0</v>
      </c>
      <c r="BN42" s="32">
        <v>185100</v>
      </c>
      <c r="BO42" s="34">
        <v>5.0985723997280762E-2</v>
      </c>
      <c r="BP42" s="34">
        <v>7.6478585995921139E-2</v>
      </c>
      <c r="BQ42" s="6" t="s">
        <v>82</v>
      </c>
      <c r="BR42" s="6" t="s">
        <v>83</v>
      </c>
      <c r="BS42" s="6" t="s">
        <v>83</v>
      </c>
      <c r="BT42" s="6" t="s">
        <v>100</v>
      </c>
      <c r="BU42" s="8">
        <v>1.0022399874355168</v>
      </c>
    </row>
    <row r="43" spans="1:73" x14ac:dyDescent="0.25">
      <c r="A43" s="33" t="s">
        <v>175</v>
      </c>
      <c r="B43" s="7" t="s">
        <v>176</v>
      </c>
      <c r="C43" s="7" t="s">
        <v>81</v>
      </c>
      <c r="D4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8.7030180880817293E-2</v>
      </c>
      <c r="E43" s="32">
        <v>7750</v>
      </c>
      <c r="F43" s="32">
        <v>0</v>
      </c>
      <c r="G43" s="32">
        <v>4168</v>
      </c>
      <c r="H43" s="32">
        <v>0</v>
      </c>
      <c r="I43" s="32">
        <v>0</v>
      </c>
      <c r="J43" s="32">
        <v>136941</v>
      </c>
      <c r="K43" s="32">
        <v>0</v>
      </c>
      <c r="L4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5.9977305884260012E-3</v>
      </c>
      <c r="M43" s="32">
        <v>37</v>
      </c>
      <c r="N43" s="32">
        <v>0</v>
      </c>
      <c r="O43" s="32">
        <v>6169</v>
      </c>
      <c r="P43" s="32">
        <v>0</v>
      </c>
      <c r="Q4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3" s="32">
        <v>0</v>
      </c>
      <c r="S43" s="32">
        <v>0</v>
      </c>
      <c r="T43" s="32">
        <v>0</v>
      </c>
      <c r="U43" s="32">
        <v>6169</v>
      </c>
      <c r="V43" s="32">
        <v>0</v>
      </c>
      <c r="W43" s="32">
        <v>0</v>
      </c>
      <c r="X43" s="32">
        <v>0</v>
      </c>
      <c r="Y4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0.36030115159083109</v>
      </c>
      <c r="Z43" s="32">
        <v>0</v>
      </c>
      <c r="AA43" s="32">
        <v>50000</v>
      </c>
      <c r="AB43" s="32">
        <v>725</v>
      </c>
      <c r="AC43" s="32">
        <v>0</v>
      </c>
      <c r="AD43" s="32">
        <v>65</v>
      </c>
      <c r="AE43" s="32">
        <v>136941</v>
      </c>
      <c r="AF43" s="32">
        <v>0</v>
      </c>
      <c r="AG4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2.6493126645217902</v>
      </c>
      <c r="AH43" s="32">
        <v>9115</v>
      </c>
      <c r="AI43" s="32">
        <v>570</v>
      </c>
      <c r="AJ43" s="32">
        <v>2873</v>
      </c>
      <c r="AK43" s="32">
        <v>0</v>
      </c>
      <c r="AL43" s="32">
        <v>15</v>
      </c>
      <c r="AM43" s="32">
        <v>4168</v>
      </c>
      <c r="AN43" s="32">
        <v>7539</v>
      </c>
      <c r="AO43" s="32">
        <v>0</v>
      </c>
      <c r="AP43" s="32">
        <v>-3419</v>
      </c>
      <c r="AQ4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2.9690387420975846</v>
      </c>
      <c r="AR43" s="32">
        <v>6638</v>
      </c>
      <c r="AS43" s="32">
        <v>1557</v>
      </c>
      <c r="AT43" s="32">
        <v>4295</v>
      </c>
      <c r="AU43" s="32">
        <v>713</v>
      </c>
      <c r="AV43" s="32">
        <v>114</v>
      </c>
      <c r="AW43" s="32">
        <v>4168</v>
      </c>
      <c r="AX43" s="32">
        <v>0</v>
      </c>
      <c r="AY43" s="32">
        <v>0</v>
      </c>
      <c r="AZ43" s="32">
        <v>602</v>
      </c>
      <c r="BA43" s="32">
        <v>0</v>
      </c>
      <c r="BB43" s="32">
        <v>229</v>
      </c>
      <c r="BC43" s="32">
        <v>6169</v>
      </c>
      <c r="BD43" s="34">
        <f>IFERROR(SUM(Cons_Metrics[[#This Row],[Operating surplus/(deficit) (social housing lettings)]])/SUM(Cons_Metrics[[#This Row],[Turnover from social housing lettings]]),"")</f>
        <v>0.32222183840547169</v>
      </c>
      <c r="BE43" s="32">
        <v>9328</v>
      </c>
      <c r="BF43" s="32">
        <v>28949</v>
      </c>
      <c r="BG43" s="34">
        <f>IFERROR(SUM(Cons_Metrics[[#This Row],[Operating surplus/(deficit) (overall)2]],-Cons_Metrics[[#This Row],[Gain/(loss) on disposal of fixed assets (housing properties)2]])/SUM(Cons_Metrics[[#This Row],[Turnover (overall)]]),"")</f>
        <v>0.29044867437117605</v>
      </c>
      <c r="BH43" s="32">
        <v>9115</v>
      </c>
      <c r="BI43" s="32">
        <v>570</v>
      </c>
      <c r="BJ43" s="32">
        <v>29420</v>
      </c>
      <c r="BK43" s="34">
        <f>IFERROR(SUM(Cons_Metrics[[#This Row],[Operating surplus/(deficit) (overall)3]],Cons_Metrics[[#This Row],[Share of operating surplus/(deficit) in joint ventures or associates]])/SUM(Cons_Metrics[[#This Row],[Total assets less current liabilities]]),"")</f>
        <v>6.0935661568082146E-2</v>
      </c>
      <c r="BL43" s="32">
        <v>9115</v>
      </c>
      <c r="BM43" s="32">
        <v>0</v>
      </c>
      <c r="BN43" s="32">
        <v>149584</v>
      </c>
      <c r="BO43" s="34">
        <v>2.9178148808558925E-3</v>
      </c>
      <c r="BP43" s="34">
        <v>6.8244448046685044E-2</v>
      </c>
      <c r="BQ43" s="6" t="s">
        <v>93</v>
      </c>
      <c r="BR43" s="6">
        <v>2005</v>
      </c>
      <c r="BS43" s="6" t="s">
        <v>94</v>
      </c>
      <c r="BT43" s="6" t="s">
        <v>105</v>
      </c>
      <c r="BU43" s="8">
        <v>0.9156653862445665</v>
      </c>
    </row>
    <row r="44" spans="1:73" x14ac:dyDescent="0.25">
      <c r="A44" s="33" t="s">
        <v>177</v>
      </c>
      <c r="B44" s="7" t="s">
        <v>178</v>
      </c>
      <c r="C44" s="7" t="s">
        <v>81</v>
      </c>
      <c r="D4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7.783631371967055E-2</v>
      </c>
      <c r="E44" s="32">
        <v>7991</v>
      </c>
      <c r="F44" s="32">
        <v>0</v>
      </c>
      <c r="G44" s="32">
        <v>1450</v>
      </c>
      <c r="H44" s="32">
        <v>0</v>
      </c>
      <c r="I44" s="32">
        <v>0</v>
      </c>
      <c r="J44" s="32">
        <v>121293</v>
      </c>
      <c r="K44" s="32">
        <v>0</v>
      </c>
      <c r="L4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2.5729526200188264E-2</v>
      </c>
      <c r="M44" s="32">
        <v>82</v>
      </c>
      <c r="N44" s="32">
        <v>0</v>
      </c>
      <c r="O44" s="32">
        <v>3187</v>
      </c>
      <c r="P44" s="32">
        <v>0</v>
      </c>
      <c r="Q4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4" s="32">
        <v>0</v>
      </c>
      <c r="S44" s="32">
        <v>0</v>
      </c>
      <c r="T44" s="32">
        <v>0</v>
      </c>
      <c r="U44" s="32">
        <v>3187</v>
      </c>
      <c r="V44" s="32">
        <v>246</v>
      </c>
      <c r="W44" s="32">
        <v>0</v>
      </c>
      <c r="X44" s="32">
        <v>0</v>
      </c>
      <c r="Y4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0.35570065873545875</v>
      </c>
      <c r="Z44" s="32">
        <v>1139</v>
      </c>
      <c r="AA44" s="32">
        <v>45116</v>
      </c>
      <c r="AB44" s="32">
        <v>3111</v>
      </c>
      <c r="AC44" s="32">
        <v>0</v>
      </c>
      <c r="AD44" s="32">
        <v>0</v>
      </c>
      <c r="AE44" s="32">
        <v>121293</v>
      </c>
      <c r="AF44" s="32">
        <v>0</v>
      </c>
      <c r="AG4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2.54</v>
      </c>
      <c r="AH44" s="32">
        <v>4247</v>
      </c>
      <c r="AI44" s="32">
        <v>343</v>
      </c>
      <c r="AJ44" s="32">
        <v>1318</v>
      </c>
      <c r="AK44" s="32">
        <v>21</v>
      </c>
      <c r="AL44" s="32">
        <v>44</v>
      </c>
      <c r="AM44" s="32">
        <v>1450</v>
      </c>
      <c r="AN44" s="32">
        <v>3413</v>
      </c>
      <c r="AO44" s="32">
        <v>0</v>
      </c>
      <c r="AP44" s="32">
        <v>-1800</v>
      </c>
      <c r="AQ4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3.6493262300219369</v>
      </c>
      <c r="AR44" s="32">
        <v>2765</v>
      </c>
      <c r="AS44" s="32">
        <v>810</v>
      </c>
      <c r="AT44" s="32">
        <v>2171</v>
      </c>
      <c r="AU44" s="32">
        <v>1611</v>
      </c>
      <c r="AV44" s="32">
        <v>214</v>
      </c>
      <c r="AW44" s="32">
        <v>1450</v>
      </c>
      <c r="AX44" s="32">
        <v>134</v>
      </c>
      <c r="AY44" s="32">
        <v>174</v>
      </c>
      <c r="AZ44" s="32">
        <v>0</v>
      </c>
      <c r="BA44" s="32">
        <v>2316</v>
      </c>
      <c r="BB44" s="32">
        <v>0</v>
      </c>
      <c r="BC44" s="32">
        <v>3191</v>
      </c>
      <c r="BD44" s="34">
        <f>IFERROR(SUM(Cons_Metrics[[#This Row],[Operating surplus/(deficit) (social housing lettings)]])/SUM(Cons_Metrics[[#This Row],[Turnover from social housing lettings]]),"")</f>
        <v>0.26101262422777333</v>
      </c>
      <c r="BE44" s="32">
        <v>3887</v>
      </c>
      <c r="BF44" s="32">
        <v>14892</v>
      </c>
      <c r="BG44" s="34">
        <f>IFERROR(SUM(Cons_Metrics[[#This Row],[Operating surplus/(deficit) (overall)2]],-Cons_Metrics[[#This Row],[Gain/(loss) on disposal of fixed assets (housing properties)2]])/SUM(Cons_Metrics[[#This Row],[Turnover (overall)]]),"")</f>
        <v>0.21687684017554582</v>
      </c>
      <c r="BH44" s="32">
        <v>4247</v>
      </c>
      <c r="BI44" s="32">
        <v>343</v>
      </c>
      <c r="BJ44" s="32">
        <v>18001</v>
      </c>
      <c r="BK44" s="34">
        <f>IFERROR(SUM(Cons_Metrics[[#This Row],[Operating surplus/(deficit) (overall)3]],Cons_Metrics[[#This Row],[Share of operating surplus/(deficit) in joint ventures or associates]])/SUM(Cons_Metrics[[#This Row],[Total assets less current liabilities]]),"")</f>
        <v>3.3204850550808032E-2</v>
      </c>
      <c r="BL44" s="32">
        <v>4247</v>
      </c>
      <c r="BM44" s="32">
        <v>0</v>
      </c>
      <c r="BN44" s="32">
        <v>127903</v>
      </c>
      <c r="BO44" s="34">
        <v>5.810983397190294E-2</v>
      </c>
      <c r="BP44" s="34">
        <v>0.24010217113665389</v>
      </c>
      <c r="BQ44" s="6" t="s">
        <v>82</v>
      </c>
      <c r="BR44" s="6" t="s">
        <v>83</v>
      </c>
      <c r="BS44" s="6" t="s">
        <v>83</v>
      </c>
      <c r="BT44" s="6" t="s">
        <v>108</v>
      </c>
      <c r="BU44" s="8">
        <v>0.94807909763407583</v>
      </c>
    </row>
    <row r="45" spans="1:73" x14ac:dyDescent="0.25">
      <c r="A45" s="33" t="s">
        <v>179</v>
      </c>
      <c r="B45" s="7" t="s">
        <v>180</v>
      </c>
      <c r="C45" s="7" t="s">
        <v>81</v>
      </c>
      <c r="D4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0.12865843168289579</v>
      </c>
      <c r="E45" s="32">
        <v>26365</v>
      </c>
      <c r="F45" s="32">
        <v>1233</v>
      </c>
      <c r="G45" s="32">
        <v>8990</v>
      </c>
      <c r="H45" s="32">
        <v>804</v>
      </c>
      <c r="I45" s="32">
        <v>0</v>
      </c>
      <c r="J45" s="32">
        <v>290630</v>
      </c>
      <c r="K45" s="32">
        <v>0</v>
      </c>
      <c r="L4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1.6343106180665611E-2</v>
      </c>
      <c r="M45" s="32">
        <v>165</v>
      </c>
      <c r="N45" s="32">
        <v>0</v>
      </c>
      <c r="O45" s="32">
        <v>10096</v>
      </c>
      <c r="P45" s="32">
        <v>0</v>
      </c>
      <c r="Q4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1.7732243128755789E-3</v>
      </c>
      <c r="R45" s="32">
        <v>11</v>
      </c>
      <c r="S45" s="32">
        <v>0</v>
      </c>
      <c r="T45" s="32">
        <v>7</v>
      </c>
      <c r="U45" s="32">
        <v>10096</v>
      </c>
      <c r="V45" s="32">
        <v>11</v>
      </c>
      <c r="W45" s="32">
        <v>0</v>
      </c>
      <c r="X45" s="32">
        <v>44</v>
      </c>
      <c r="Y4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0.68152289853077797</v>
      </c>
      <c r="Z45" s="32">
        <v>0</v>
      </c>
      <c r="AA45" s="32">
        <v>201885</v>
      </c>
      <c r="AB45" s="32">
        <v>3814</v>
      </c>
      <c r="AC45" s="32">
        <v>0</v>
      </c>
      <c r="AD45" s="32">
        <v>0</v>
      </c>
      <c r="AE45" s="32">
        <v>290630</v>
      </c>
      <c r="AF45" s="32">
        <v>0</v>
      </c>
      <c r="AG4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1.615170494084899</v>
      </c>
      <c r="AH45" s="32">
        <v>19542</v>
      </c>
      <c r="AI45" s="32">
        <v>2827</v>
      </c>
      <c r="AJ45" s="32">
        <v>558</v>
      </c>
      <c r="AK45" s="32">
        <v>244</v>
      </c>
      <c r="AL45" s="32">
        <v>37</v>
      </c>
      <c r="AM45" s="32">
        <v>8990</v>
      </c>
      <c r="AN45" s="32">
        <v>9287</v>
      </c>
      <c r="AO45" s="32">
        <v>-804</v>
      </c>
      <c r="AP45" s="32">
        <v>-9255</v>
      </c>
      <c r="AQ4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3.3768819334389857</v>
      </c>
      <c r="AR45" s="32">
        <v>9411</v>
      </c>
      <c r="AS45" s="32">
        <v>1682</v>
      </c>
      <c r="AT45" s="32">
        <v>8146</v>
      </c>
      <c r="AU45" s="32">
        <v>0</v>
      </c>
      <c r="AV45" s="32">
        <v>2584</v>
      </c>
      <c r="AW45" s="32">
        <v>8990</v>
      </c>
      <c r="AX45" s="32">
        <v>640</v>
      </c>
      <c r="AY45" s="32">
        <v>889</v>
      </c>
      <c r="AZ45" s="32">
        <v>0</v>
      </c>
      <c r="BA45" s="32">
        <v>0</v>
      </c>
      <c r="BB45" s="32">
        <v>1751</v>
      </c>
      <c r="BC45" s="32">
        <v>10096</v>
      </c>
      <c r="BD45" s="34">
        <f>IFERROR(SUM(Cons_Metrics[[#This Row],[Operating surplus/(deficit) (social housing lettings)]])/SUM(Cons_Metrics[[#This Row],[Turnover from social housing lettings]]),"")</f>
        <v>0.34563765459410489</v>
      </c>
      <c r="BE45" s="32">
        <v>16405</v>
      </c>
      <c r="BF45" s="32">
        <v>47463</v>
      </c>
      <c r="BG45" s="34">
        <f>IFERROR(SUM(Cons_Metrics[[#This Row],[Operating surplus/(deficit) (overall)2]],-Cons_Metrics[[#This Row],[Gain/(loss) on disposal of fixed assets (housing properties)2]])/SUM(Cons_Metrics[[#This Row],[Turnover (overall)]]),"")</f>
        <v>0.29471401368220607</v>
      </c>
      <c r="BH45" s="32">
        <v>19542</v>
      </c>
      <c r="BI45" s="32">
        <v>2827</v>
      </c>
      <c r="BJ45" s="32">
        <v>56716</v>
      </c>
      <c r="BK45" s="34">
        <f>IFERROR(SUM(Cons_Metrics[[#This Row],[Operating surplus/(deficit) (overall)3]],Cons_Metrics[[#This Row],[Share of operating surplus/(deficit) in joint ventures or associates]])/SUM(Cons_Metrics[[#This Row],[Total assets less current liabilities]]),"")</f>
        <v>5.7052769870812349E-2</v>
      </c>
      <c r="BL45" s="32">
        <v>19542</v>
      </c>
      <c r="BM45" s="32">
        <v>0</v>
      </c>
      <c r="BN45" s="32">
        <v>342525</v>
      </c>
      <c r="BO45" s="34">
        <v>8.9153046062407128E-3</v>
      </c>
      <c r="BP45" s="34">
        <v>0.13789004457652304</v>
      </c>
      <c r="BQ45" s="6" t="s">
        <v>93</v>
      </c>
      <c r="BR45" s="6">
        <v>2002</v>
      </c>
      <c r="BS45" s="6" t="s">
        <v>94</v>
      </c>
      <c r="BT45" s="6" t="s">
        <v>90</v>
      </c>
      <c r="BU45" s="8">
        <v>0.91571558169387279</v>
      </c>
    </row>
    <row r="46" spans="1:73" x14ac:dyDescent="0.25">
      <c r="A46" s="33" t="s">
        <v>181</v>
      </c>
      <c r="B46" s="7" t="s">
        <v>182</v>
      </c>
      <c r="C46" s="7" t="s">
        <v>81</v>
      </c>
      <c r="D4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8.3951853892255554E-2</v>
      </c>
      <c r="E46" s="32">
        <v>22812</v>
      </c>
      <c r="F46" s="32">
        <v>0</v>
      </c>
      <c r="G46" s="32">
        <v>1734</v>
      </c>
      <c r="H46" s="32">
        <v>598</v>
      </c>
      <c r="I46" s="32">
        <v>0</v>
      </c>
      <c r="J46" s="32">
        <v>299505</v>
      </c>
      <c r="K46" s="32">
        <v>0</v>
      </c>
      <c r="L4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2.8358517905195613E-2</v>
      </c>
      <c r="M46" s="32">
        <v>137</v>
      </c>
      <c r="N46" s="32">
        <v>0</v>
      </c>
      <c r="O46" s="32">
        <v>4696</v>
      </c>
      <c r="P46" s="32">
        <v>135</v>
      </c>
      <c r="Q4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6" s="32">
        <v>0</v>
      </c>
      <c r="S46" s="32">
        <v>0</v>
      </c>
      <c r="T46" s="32">
        <v>0</v>
      </c>
      <c r="U46" s="32">
        <v>4696</v>
      </c>
      <c r="V46" s="32">
        <v>0</v>
      </c>
      <c r="W46" s="32">
        <v>135</v>
      </c>
      <c r="X46" s="32">
        <v>0</v>
      </c>
      <c r="Y4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0.57637101217008069</v>
      </c>
      <c r="Z46" s="32">
        <v>0</v>
      </c>
      <c r="AA46" s="32">
        <v>179696</v>
      </c>
      <c r="AB46" s="32">
        <v>7070</v>
      </c>
      <c r="AC46" s="32">
        <v>0</v>
      </c>
      <c r="AD46" s="32">
        <v>0</v>
      </c>
      <c r="AE46" s="32">
        <v>299505</v>
      </c>
      <c r="AF46" s="32">
        <v>0</v>
      </c>
      <c r="AG4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1.7276134521880064</v>
      </c>
      <c r="AH46" s="32">
        <v>15921</v>
      </c>
      <c r="AI46" s="32">
        <v>2347</v>
      </c>
      <c r="AJ46" s="32">
        <v>17</v>
      </c>
      <c r="AK46" s="32">
        <v>0</v>
      </c>
      <c r="AL46" s="32">
        <v>29</v>
      </c>
      <c r="AM46" s="32">
        <v>1734</v>
      </c>
      <c r="AN46" s="32">
        <v>5203</v>
      </c>
      <c r="AO46" s="32">
        <v>-598</v>
      </c>
      <c r="AP46" s="32">
        <v>-9274</v>
      </c>
      <c r="AQ4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2.4341993185689947</v>
      </c>
      <c r="AR46" s="32">
        <v>4383</v>
      </c>
      <c r="AS46" s="32">
        <v>939</v>
      </c>
      <c r="AT46" s="32">
        <v>1462</v>
      </c>
      <c r="AU46" s="32">
        <v>1643</v>
      </c>
      <c r="AV46" s="32">
        <v>606</v>
      </c>
      <c r="AW46" s="32">
        <v>1734</v>
      </c>
      <c r="AX46" s="32">
        <v>1</v>
      </c>
      <c r="AY46" s="32">
        <v>0</v>
      </c>
      <c r="AZ46" s="32">
        <v>0</v>
      </c>
      <c r="BA46" s="32">
        <v>663</v>
      </c>
      <c r="BB46" s="32">
        <v>0</v>
      </c>
      <c r="BC46" s="32">
        <v>4696</v>
      </c>
      <c r="BD46" s="34">
        <f>IFERROR(SUM(Cons_Metrics[[#This Row],[Operating surplus/(deficit) (social housing lettings)]])/SUM(Cons_Metrics[[#This Row],[Turnover from social housing lettings]]),"")</f>
        <v>0.46775288526816022</v>
      </c>
      <c r="BE46" s="32">
        <v>12402</v>
      </c>
      <c r="BF46" s="32">
        <v>26514</v>
      </c>
      <c r="BG46" s="34">
        <f>IFERROR(SUM(Cons_Metrics[[#This Row],[Operating surplus/(deficit) (overall)2]],-Cons_Metrics[[#This Row],[Gain/(loss) on disposal of fixed assets (housing properties)2]])/SUM(Cons_Metrics[[#This Row],[Turnover (overall)]]),"")</f>
        <v>0.43792747451284036</v>
      </c>
      <c r="BH46" s="32">
        <v>15921</v>
      </c>
      <c r="BI46" s="32">
        <v>2347</v>
      </c>
      <c r="BJ46" s="32">
        <v>30996</v>
      </c>
      <c r="BK46" s="34">
        <f>IFERROR(SUM(Cons_Metrics[[#This Row],[Operating surplus/(deficit) (overall)3]],Cons_Metrics[[#This Row],[Share of operating surplus/(deficit) in joint ventures or associates]])/SUM(Cons_Metrics[[#This Row],[Total assets less current liabilities]]),"")</f>
        <v>5.1757263279032795E-2</v>
      </c>
      <c r="BL46" s="32">
        <v>15921</v>
      </c>
      <c r="BM46" s="32">
        <v>0</v>
      </c>
      <c r="BN46" s="32">
        <v>307609</v>
      </c>
      <c r="BO46" s="34">
        <v>0</v>
      </c>
      <c r="BP46" s="34">
        <v>0</v>
      </c>
      <c r="BQ46" s="6" t="s">
        <v>93</v>
      </c>
      <c r="BR46" s="6">
        <v>2001</v>
      </c>
      <c r="BS46" s="6" t="s">
        <v>94</v>
      </c>
      <c r="BT46" s="6" t="s">
        <v>84</v>
      </c>
      <c r="BU46" s="8">
        <v>1.0023873341582137</v>
      </c>
    </row>
    <row r="47" spans="1:73" x14ac:dyDescent="0.25">
      <c r="A47" s="33" t="s">
        <v>183</v>
      </c>
      <c r="B47" s="7" t="s">
        <v>184</v>
      </c>
      <c r="C47" s="7" t="s">
        <v>81</v>
      </c>
      <c r="D4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0.13677106595549648</v>
      </c>
      <c r="E47" s="32">
        <v>3310</v>
      </c>
      <c r="F47" s="32">
        <v>1511</v>
      </c>
      <c r="G47" s="32">
        <v>17411</v>
      </c>
      <c r="H47" s="32">
        <v>0</v>
      </c>
      <c r="I47" s="32">
        <v>0</v>
      </c>
      <c r="J47" s="32">
        <v>162549</v>
      </c>
      <c r="K47" s="32">
        <v>0</v>
      </c>
      <c r="L4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1.9928037641848877E-3</v>
      </c>
      <c r="M47" s="32">
        <v>36</v>
      </c>
      <c r="N47" s="32">
        <v>0</v>
      </c>
      <c r="O47" s="32">
        <v>18065</v>
      </c>
      <c r="P47" s="32">
        <v>0</v>
      </c>
      <c r="Q4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7" s="32">
        <v>0</v>
      </c>
      <c r="S47" s="32">
        <v>0</v>
      </c>
      <c r="T47" s="32">
        <v>0</v>
      </c>
      <c r="U47" s="32">
        <v>18065</v>
      </c>
      <c r="V47" s="32">
        <v>0</v>
      </c>
      <c r="W47" s="32">
        <v>0</v>
      </c>
      <c r="X47" s="32">
        <v>200</v>
      </c>
      <c r="Y4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0.51848365723566436</v>
      </c>
      <c r="Z47" s="32">
        <v>0</v>
      </c>
      <c r="AA47" s="32">
        <v>113798</v>
      </c>
      <c r="AB47" s="32">
        <v>29519</v>
      </c>
      <c r="AC47" s="32">
        <v>0</v>
      </c>
      <c r="AD47" s="32">
        <v>0</v>
      </c>
      <c r="AE47" s="32">
        <v>162549</v>
      </c>
      <c r="AF47" s="32">
        <v>0</v>
      </c>
      <c r="AG4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2.4361483007209062</v>
      </c>
      <c r="AH47" s="32">
        <v>30782</v>
      </c>
      <c r="AI47" s="32">
        <v>2982</v>
      </c>
      <c r="AJ47" s="32">
        <v>1</v>
      </c>
      <c r="AK47" s="32">
        <v>0</v>
      </c>
      <c r="AL47" s="32">
        <v>70</v>
      </c>
      <c r="AM47" s="32">
        <v>17410</v>
      </c>
      <c r="AN47" s="32">
        <v>3734</v>
      </c>
      <c r="AO47" s="32">
        <v>0</v>
      </c>
      <c r="AP47" s="32">
        <v>-5826</v>
      </c>
      <c r="AQ4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2.9208414060337669</v>
      </c>
      <c r="AR47" s="32">
        <v>15604</v>
      </c>
      <c r="AS47" s="32">
        <v>1668</v>
      </c>
      <c r="AT47" s="32">
        <v>13978</v>
      </c>
      <c r="AU47" s="32">
        <v>3561</v>
      </c>
      <c r="AV47" s="32">
        <v>544</v>
      </c>
      <c r="AW47" s="32">
        <v>17410</v>
      </c>
      <c r="AX47" s="32">
        <v>0</v>
      </c>
      <c r="AY47" s="32">
        <v>0</v>
      </c>
      <c r="AZ47" s="32">
        <v>0</v>
      </c>
      <c r="BA47" s="32">
        <v>0</v>
      </c>
      <c r="BB47" s="32">
        <v>0</v>
      </c>
      <c r="BC47" s="32">
        <v>18065</v>
      </c>
      <c r="BD47" s="34">
        <f>IFERROR(SUM(Cons_Metrics[[#This Row],[Operating surplus/(deficit) (social housing lettings)]])/SUM(Cons_Metrics[[#This Row],[Turnover from social housing lettings]]),"")</f>
        <v>0.40196895115486558</v>
      </c>
      <c r="BE47" s="32">
        <v>26540</v>
      </c>
      <c r="BF47" s="32">
        <v>66025</v>
      </c>
      <c r="BG47" s="34">
        <f>IFERROR(SUM(Cons_Metrics[[#This Row],[Operating surplus/(deficit) (overall)2]],-Cons_Metrics[[#This Row],[Gain/(loss) on disposal of fixed assets (housing properties)2]])/SUM(Cons_Metrics[[#This Row],[Turnover (overall)]]),"")</f>
        <v>0.41112705008947187</v>
      </c>
      <c r="BH47" s="32">
        <v>30782</v>
      </c>
      <c r="BI47" s="32">
        <v>2982</v>
      </c>
      <c r="BJ47" s="32">
        <v>67619</v>
      </c>
      <c r="BK47" s="34">
        <f>IFERROR(SUM(Cons_Metrics[[#This Row],[Operating surplus/(deficit) (overall)3]],Cons_Metrics[[#This Row],[Share of operating surplus/(deficit) in joint ventures or associates]])/SUM(Cons_Metrics[[#This Row],[Total assets less current liabilities]]),"")</f>
        <v>0.16559344555083949</v>
      </c>
      <c r="BL47" s="32">
        <v>30782</v>
      </c>
      <c r="BM47" s="32">
        <v>0</v>
      </c>
      <c r="BN47" s="32">
        <v>185889</v>
      </c>
      <c r="BO47" s="34">
        <v>0</v>
      </c>
      <c r="BP47" s="34">
        <v>0</v>
      </c>
      <c r="BQ47" s="6" t="s">
        <v>93</v>
      </c>
      <c r="BR47" s="6">
        <v>2361</v>
      </c>
      <c r="BS47" s="6" t="s">
        <v>149</v>
      </c>
      <c r="BT47" s="6" t="s">
        <v>121</v>
      </c>
      <c r="BU47" s="8">
        <v>0.9026647648742484</v>
      </c>
    </row>
    <row r="48" spans="1:73" x14ac:dyDescent="0.25">
      <c r="A48" s="33" t="s">
        <v>185</v>
      </c>
      <c r="B48" s="7" t="s">
        <v>186</v>
      </c>
      <c r="C48" s="7" t="s">
        <v>81</v>
      </c>
      <c r="D4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0.11273666919626132</v>
      </c>
      <c r="E48" s="32">
        <v>50765</v>
      </c>
      <c r="F48" s="32">
        <v>47</v>
      </c>
      <c r="G48" s="32">
        <v>7020</v>
      </c>
      <c r="H48" s="32">
        <v>848</v>
      </c>
      <c r="I48" s="32">
        <v>0</v>
      </c>
      <c r="J48" s="32">
        <v>520505</v>
      </c>
      <c r="K48" s="32">
        <v>0</v>
      </c>
      <c r="L4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3.930803369260031E-2</v>
      </c>
      <c r="M48" s="32">
        <v>434</v>
      </c>
      <c r="N48" s="32">
        <v>0</v>
      </c>
      <c r="O48" s="32">
        <v>11041</v>
      </c>
      <c r="P48" s="32">
        <v>0</v>
      </c>
      <c r="Q4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8" s="32">
        <v>0</v>
      </c>
      <c r="S48" s="32">
        <v>0</v>
      </c>
      <c r="T48" s="32">
        <v>0</v>
      </c>
      <c r="U48" s="32">
        <v>11041</v>
      </c>
      <c r="V48" s="32">
        <v>96</v>
      </c>
      <c r="W48" s="32">
        <v>0</v>
      </c>
      <c r="X48" s="32">
        <v>1025</v>
      </c>
      <c r="Y4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0.48645834333964133</v>
      </c>
      <c r="Z48" s="32">
        <v>4571</v>
      </c>
      <c r="AA48" s="32">
        <v>286011</v>
      </c>
      <c r="AB48" s="32">
        <v>37378</v>
      </c>
      <c r="AC48" s="32">
        <v>0</v>
      </c>
      <c r="AD48" s="32">
        <v>0</v>
      </c>
      <c r="AE48" s="32">
        <v>520505</v>
      </c>
      <c r="AF48" s="32">
        <v>0</v>
      </c>
      <c r="AG4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2.0812811602961174</v>
      </c>
      <c r="AH48" s="32">
        <v>25184</v>
      </c>
      <c r="AI48" s="32">
        <v>1400</v>
      </c>
      <c r="AJ48" s="32">
        <v>584</v>
      </c>
      <c r="AK48" s="32">
        <v>0</v>
      </c>
      <c r="AL48" s="32">
        <v>143</v>
      </c>
      <c r="AM48" s="32">
        <v>7020</v>
      </c>
      <c r="AN48" s="32">
        <v>11229</v>
      </c>
      <c r="AO48" s="32">
        <v>-848</v>
      </c>
      <c r="AP48" s="32">
        <v>-12390</v>
      </c>
      <c r="AQ4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2.8791776107236662</v>
      </c>
      <c r="AR48" s="32">
        <v>9492</v>
      </c>
      <c r="AS48" s="32">
        <v>3859</v>
      </c>
      <c r="AT48" s="32">
        <v>6880</v>
      </c>
      <c r="AU48" s="32">
        <v>2945</v>
      </c>
      <c r="AV48" s="32">
        <v>0</v>
      </c>
      <c r="AW48" s="32">
        <v>7020</v>
      </c>
      <c r="AX48" s="32">
        <v>0</v>
      </c>
      <c r="AY48" s="32">
        <v>812</v>
      </c>
      <c r="AZ48" s="32">
        <v>693</v>
      </c>
      <c r="BA48" s="32">
        <v>0</v>
      </c>
      <c r="BB48" s="32">
        <v>88</v>
      </c>
      <c r="BC48" s="32">
        <v>11041</v>
      </c>
      <c r="BD48" s="34">
        <f>IFERROR(SUM(Cons_Metrics[[#This Row],[Operating surplus/(deficit) (social housing lettings)]])/SUM(Cons_Metrics[[#This Row],[Turnover from social housing lettings]]),"")</f>
        <v>0.33216647971221908</v>
      </c>
      <c r="BE48" s="32">
        <v>17175</v>
      </c>
      <c r="BF48" s="32">
        <v>51706</v>
      </c>
      <c r="BG48" s="34">
        <f>IFERROR(SUM(Cons_Metrics[[#This Row],[Operating surplus/(deficit) (overall)2]],-Cons_Metrics[[#This Row],[Gain/(loss) on disposal of fixed assets (housing properties)2]])/SUM(Cons_Metrics[[#This Row],[Turnover (overall)]]),"")</f>
        <v>0.33005370450035387</v>
      </c>
      <c r="BH48" s="32">
        <v>25184</v>
      </c>
      <c r="BI48" s="32">
        <v>1400</v>
      </c>
      <c r="BJ48" s="32">
        <v>72061</v>
      </c>
      <c r="BK48" s="34">
        <f>IFERROR(SUM(Cons_Metrics[[#This Row],[Operating surplus/(deficit) (overall)3]],Cons_Metrics[[#This Row],[Share of operating surplus/(deficit) in joint ventures or associates]])/SUM(Cons_Metrics[[#This Row],[Total assets less current liabilities]]),"")</f>
        <v>4.6051155092365306E-2</v>
      </c>
      <c r="BL48" s="32">
        <v>25184</v>
      </c>
      <c r="BM48" s="32">
        <v>1081</v>
      </c>
      <c r="BN48" s="32">
        <v>570344</v>
      </c>
      <c r="BO48" s="34">
        <v>6.8274920345926266E-3</v>
      </c>
      <c r="BP48" s="34">
        <v>0.1084205735093309</v>
      </c>
      <c r="BQ48" s="6" t="s">
        <v>93</v>
      </c>
      <c r="BR48" s="6">
        <v>2004</v>
      </c>
      <c r="BS48" s="6" t="s">
        <v>94</v>
      </c>
      <c r="BT48" s="6" t="s">
        <v>100</v>
      </c>
      <c r="BU48" s="8">
        <v>1.0008261584664193</v>
      </c>
    </row>
    <row r="49" spans="1:73" x14ac:dyDescent="0.25">
      <c r="A49" s="33" t="s">
        <v>187</v>
      </c>
      <c r="B49" s="7" t="s">
        <v>188</v>
      </c>
      <c r="C49" s="7" t="s">
        <v>81</v>
      </c>
      <c r="D4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7.1059208433680188E-2</v>
      </c>
      <c r="E49" s="32">
        <v>6876</v>
      </c>
      <c r="F49" s="32">
        <v>0</v>
      </c>
      <c r="G49" s="32">
        <v>943</v>
      </c>
      <c r="H49" s="32">
        <v>0</v>
      </c>
      <c r="I49" s="32">
        <v>0</v>
      </c>
      <c r="J49" s="32">
        <v>110035</v>
      </c>
      <c r="K49" s="32">
        <v>0</v>
      </c>
      <c r="L4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4.6666666666666671E-3</v>
      </c>
      <c r="M49" s="32">
        <v>7</v>
      </c>
      <c r="N49" s="32">
        <v>0</v>
      </c>
      <c r="O49" s="32">
        <v>1500</v>
      </c>
      <c r="P49" s="32">
        <v>0</v>
      </c>
      <c r="Q4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49" s="32">
        <v>0</v>
      </c>
      <c r="S49" s="32">
        <v>0</v>
      </c>
      <c r="T49" s="32">
        <v>0</v>
      </c>
      <c r="U49" s="32">
        <v>1500</v>
      </c>
      <c r="V49" s="32">
        <v>0</v>
      </c>
      <c r="W49" s="32">
        <v>0</v>
      </c>
      <c r="X49" s="32">
        <v>0</v>
      </c>
      <c r="Y4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0.29456990957422641</v>
      </c>
      <c r="Z49" s="32">
        <v>500</v>
      </c>
      <c r="AA49" s="32">
        <v>40456</v>
      </c>
      <c r="AB49" s="32">
        <v>8543</v>
      </c>
      <c r="AC49" s="32">
        <v>0</v>
      </c>
      <c r="AD49" s="32">
        <v>0</v>
      </c>
      <c r="AE49" s="32">
        <v>110035</v>
      </c>
      <c r="AF49" s="32">
        <v>0</v>
      </c>
      <c r="AG4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1.8934540389972145</v>
      </c>
      <c r="AH49" s="32">
        <v>2820</v>
      </c>
      <c r="AI49" s="32">
        <v>0</v>
      </c>
      <c r="AJ49" s="32">
        <v>461</v>
      </c>
      <c r="AK49" s="32">
        <v>0</v>
      </c>
      <c r="AL49" s="32">
        <v>27</v>
      </c>
      <c r="AM49" s="32">
        <v>943</v>
      </c>
      <c r="AN49" s="32">
        <v>1276</v>
      </c>
      <c r="AO49" s="32">
        <v>-216</v>
      </c>
      <c r="AP49" s="32">
        <v>-1220</v>
      </c>
      <c r="AQ4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5.3806666666666665</v>
      </c>
      <c r="AR49" s="32">
        <v>2471</v>
      </c>
      <c r="AS49" s="32">
        <v>728</v>
      </c>
      <c r="AT49" s="32">
        <v>1199</v>
      </c>
      <c r="AU49" s="32">
        <v>334</v>
      </c>
      <c r="AV49" s="32">
        <v>0</v>
      </c>
      <c r="AW49" s="32">
        <v>943</v>
      </c>
      <c r="AX49" s="32">
        <v>0</v>
      </c>
      <c r="AY49" s="32">
        <v>0</v>
      </c>
      <c r="AZ49" s="32">
        <v>0</v>
      </c>
      <c r="BA49" s="32">
        <v>10</v>
      </c>
      <c r="BB49" s="32">
        <v>2386</v>
      </c>
      <c r="BC49" s="32">
        <v>1500</v>
      </c>
      <c r="BD49" s="34">
        <f>IFERROR(SUM(Cons_Metrics[[#This Row],[Operating surplus/(deficit) (social housing lettings)]])/SUM(Cons_Metrics[[#This Row],[Turnover from social housing lettings]]),"")</f>
        <v>0.31676234213547644</v>
      </c>
      <c r="BE49" s="32">
        <v>2759</v>
      </c>
      <c r="BF49" s="32">
        <v>8710</v>
      </c>
      <c r="BG49" s="34">
        <f>IFERROR(SUM(Cons_Metrics[[#This Row],[Operating surplus/(deficit) (overall)2]],-Cons_Metrics[[#This Row],[Gain/(loss) on disposal of fixed assets (housing properties)2]])/SUM(Cons_Metrics[[#This Row],[Turnover (overall)]]),"")</f>
        <v>0.25252977523059011</v>
      </c>
      <c r="BH49" s="32">
        <v>2820</v>
      </c>
      <c r="BI49" s="32">
        <v>0</v>
      </c>
      <c r="BJ49" s="32">
        <v>11167</v>
      </c>
      <c r="BK49" s="34">
        <f>IFERROR(SUM(Cons_Metrics[[#This Row],[Operating surplus/(deficit) (overall)3]],Cons_Metrics[[#This Row],[Share of operating surplus/(deficit) in joint ventures or associates]])/SUM(Cons_Metrics[[#This Row],[Total assets less current liabilities]]),"")</f>
        <v>2.406595094642339E-2</v>
      </c>
      <c r="BL49" s="32">
        <v>2820</v>
      </c>
      <c r="BM49" s="32">
        <v>0</v>
      </c>
      <c r="BN49" s="32">
        <v>117178</v>
      </c>
      <c r="BO49" s="34">
        <v>0.16857142857142857</v>
      </c>
      <c r="BP49" s="34">
        <v>0.20214285714285715</v>
      </c>
      <c r="BQ49" s="6" t="s">
        <v>82</v>
      </c>
      <c r="BR49" s="6" t="s">
        <v>83</v>
      </c>
      <c r="BS49" s="6" t="s">
        <v>83</v>
      </c>
      <c r="BT49" s="6" t="s">
        <v>156</v>
      </c>
      <c r="BU49" s="8">
        <v>1.2488627787394371</v>
      </c>
    </row>
    <row r="50" spans="1:73" x14ac:dyDescent="0.25">
      <c r="A50" s="33" t="s">
        <v>189</v>
      </c>
      <c r="B50" s="7" t="s">
        <v>190</v>
      </c>
      <c r="C50" s="7" t="s">
        <v>81</v>
      </c>
      <c r="D5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4.2438724022200787E-2</v>
      </c>
      <c r="E50" s="32">
        <v>13769</v>
      </c>
      <c r="F50" s="32">
        <v>0</v>
      </c>
      <c r="G50" s="32">
        <v>5648</v>
      </c>
      <c r="H50" s="32">
        <v>777</v>
      </c>
      <c r="I50" s="32">
        <v>0</v>
      </c>
      <c r="J50" s="32">
        <v>475839</v>
      </c>
      <c r="K50" s="32">
        <v>0</v>
      </c>
      <c r="L5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9.8670457396103362E-3</v>
      </c>
      <c r="M50" s="32">
        <v>118</v>
      </c>
      <c r="N50" s="32">
        <v>0</v>
      </c>
      <c r="O50" s="32">
        <v>11959</v>
      </c>
      <c r="P50" s="32">
        <v>0</v>
      </c>
      <c r="Q5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5.4187192118226599E-3</v>
      </c>
      <c r="R50" s="32">
        <v>0</v>
      </c>
      <c r="S50" s="32">
        <v>0</v>
      </c>
      <c r="T50" s="32">
        <v>66</v>
      </c>
      <c r="U50" s="32">
        <v>11959</v>
      </c>
      <c r="V50" s="32">
        <v>221</v>
      </c>
      <c r="W50" s="32">
        <v>0</v>
      </c>
      <c r="X50" s="32">
        <v>0</v>
      </c>
      <c r="Y5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0.50041085325078438</v>
      </c>
      <c r="Z50" s="32">
        <v>420</v>
      </c>
      <c r="AA50" s="32">
        <v>247466</v>
      </c>
      <c r="AB50" s="32">
        <v>9771</v>
      </c>
      <c r="AC50" s="32">
        <v>0</v>
      </c>
      <c r="AD50" s="32">
        <v>0</v>
      </c>
      <c r="AE50" s="32">
        <v>475839</v>
      </c>
      <c r="AF50" s="32">
        <v>0</v>
      </c>
      <c r="AG5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3.542207443955808</v>
      </c>
      <c r="AH50" s="32">
        <v>32478</v>
      </c>
      <c r="AI50" s="32">
        <v>3370</v>
      </c>
      <c r="AJ50" s="32">
        <v>1311</v>
      </c>
      <c r="AK50" s="32">
        <v>0</v>
      </c>
      <c r="AL50" s="32">
        <v>19</v>
      </c>
      <c r="AM50" s="32">
        <v>5648</v>
      </c>
      <c r="AN50" s="32">
        <v>10856</v>
      </c>
      <c r="AO50" s="32">
        <v>-777</v>
      </c>
      <c r="AP50" s="32">
        <v>-8546</v>
      </c>
      <c r="AQ5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3.4699389581068649</v>
      </c>
      <c r="AR50" s="32">
        <v>9267</v>
      </c>
      <c r="AS50" s="32">
        <v>2716</v>
      </c>
      <c r="AT50" s="32">
        <v>9507</v>
      </c>
      <c r="AU50" s="32">
        <v>0</v>
      </c>
      <c r="AV50" s="32">
        <v>8545</v>
      </c>
      <c r="AW50" s="32">
        <v>5648</v>
      </c>
      <c r="AX50" s="32">
        <v>3071</v>
      </c>
      <c r="AY50" s="32">
        <v>318</v>
      </c>
      <c r="AZ50" s="32">
        <v>0</v>
      </c>
      <c r="BA50" s="32">
        <v>0</v>
      </c>
      <c r="BB50" s="32">
        <v>2425</v>
      </c>
      <c r="BC50" s="32">
        <v>11959</v>
      </c>
      <c r="BD50" s="34">
        <f>IFERROR(SUM(Cons_Metrics[[#This Row],[Operating surplus/(deficit) (social housing lettings)]])/SUM(Cons_Metrics[[#This Row],[Turnover from social housing lettings]]),"")</f>
        <v>0.3320152564801121</v>
      </c>
      <c r="BE50" s="32">
        <v>21327</v>
      </c>
      <c r="BF50" s="32">
        <v>64235</v>
      </c>
      <c r="BG50" s="34">
        <f>IFERROR(SUM(Cons_Metrics[[#This Row],[Operating surplus/(deficit) (overall)2]],-Cons_Metrics[[#This Row],[Gain/(loss) on disposal of fixed assets (housing properties)2]])/SUM(Cons_Metrics[[#This Row],[Turnover (overall)]]),"")</f>
        <v>0.29430261361912946</v>
      </c>
      <c r="BH50" s="32">
        <v>32478</v>
      </c>
      <c r="BI50" s="32">
        <v>3370</v>
      </c>
      <c r="BJ50" s="32">
        <v>98905</v>
      </c>
      <c r="BK50" s="34">
        <f>IFERROR(SUM(Cons_Metrics[[#This Row],[Operating surplus/(deficit) (overall)3]],Cons_Metrics[[#This Row],[Share of operating surplus/(deficit) in joint ventures or associates]])/SUM(Cons_Metrics[[#This Row],[Total assets less current liabilities]]),"")</f>
        <v>6.0562211551909002E-2</v>
      </c>
      <c r="BL50" s="32">
        <v>32478</v>
      </c>
      <c r="BM50" s="32">
        <v>0</v>
      </c>
      <c r="BN50" s="32">
        <v>536275</v>
      </c>
      <c r="BO50" s="34">
        <v>1.5636758926331634E-2</v>
      </c>
      <c r="BP50" s="34">
        <v>0.15151768542520277</v>
      </c>
      <c r="BQ50" s="6" t="s">
        <v>93</v>
      </c>
      <c r="BR50" s="6">
        <v>1999</v>
      </c>
      <c r="BS50" s="6" t="s">
        <v>94</v>
      </c>
      <c r="BT50" s="6" t="s">
        <v>115</v>
      </c>
      <c r="BU50" s="8">
        <v>0.96617455710897804</v>
      </c>
    </row>
    <row r="51" spans="1:73" x14ac:dyDescent="0.25">
      <c r="A51" s="33" t="s">
        <v>191</v>
      </c>
      <c r="B51" s="7" t="s">
        <v>192</v>
      </c>
      <c r="C51" s="7" t="s">
        <v>81</v>
      </c>
      <c r="D5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1.5774002566898055E-2</v>
      </c>
      <c r="E51" s="32">
        <v>0</v>
      </c>
      <c r="F51" s="32">
        <v>0</v>
      </c>
      <c r="G51" s="32">
        <v>1138</v>
      </c>
      <c r="H51" s="32">
        <v>5</v>
      </c>
      <c r="I51" s="32">
        <v>0</v>
      </c>
      <c r="J51" s="32">
        <v>72461</v>
      </c>
      <c r="K51" s="32">
        <v>0</v>
      </c>
      <c r="L5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51" s="32">
        <v>0</v>
      </c>
      <c r="N51" s="32">
        <v>0</v>
      </c>
      <c r="O51" s="32">
        <v>1770</v>
      </c>
      <c r="P51" s="32">
        <v>0</v>
      </c>
      <c r="Q5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1" s="32">
        <v>0</v>
      </c>
      <c r="S51" s="32">
        <v>0</v>
      </c>
      <c r="T51" s="32">
        <v>0</v>
      </c>
      <c r="U51" s="32">
        <v>1770</v>
      </c>
      <c r="V51" s="32">
        <v>0</v>
      </c>
      <c r="W51" s="32">
        <v>0</v>
      </c>
      <c r="X51" s="32">
        <v>0</v>
      </c>
      <c r="Y5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0.17597052207394323</v>
      </c>
      <c r="Z51" s="32">
        <v>1581</v>
      </c>
      <c r="AA51" s="32">
        <v>17966</v>
      </c>
      <c r="AB51" s="32">
        <v>6796</v>
      </c>
      <c r="AC51" s="32">
        <v>0</v>
      </c>
      <c r="AD51" s="32">
        <v>0</v>
      </c>
      <c r="AE51" s="32">
        <v>72461</v>
      </c>
      <c r="AF51" s="32">
        <v>0</v>
      </c>
      <c r="AG5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2.3982412060301508</v>
      </c>
      <c r="AH51" s="32">
        <v>1697</v>
      </c>
      <c r="AI51" s="32">
        <v>48</v>
      </c>
      <c r="AJ51" s="32">
        <v>420</v>
      </c>
      <c r="AK51" s="32">
        <v>13</v>
      </c>
      <c r="AL51" s="32">
        <v>23</v>
      </c>
      <c r="AM51" s="32">
        <v>1143</v>
      </c>
      <c r="AN51" s="32">
        <v>1813</v>
      </c>
      <c r="AO51" s="32">
        <v>-5</v>
      </c>
      <c r="AP51" s="32">
        <v>-791</v>
      </c>
      <c r="AQ5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2.9652701212789414</v>
      </c>
      <c r="AR51" s="32">
        <v>902</v>
      </c>
      <c r="AS51" s="32">
        <v>223</v>
      </c>
      <c r="AT51" s="32">
        <v>2151</v>
      </c>
      <c r="AU51" s="32">
        <v>80</v>
      </c>
      <c r="AV51" s="32">
        <v>0</v>
      </c>
      <c r="AW51" s="32">
        <v>1143</v>
      </c>
      <c r="AX51" s="32">
        <v>850</v>
      </c>
      <c r="AY51" s="32">
        <v>0</v>
      </c>
      <c r="AZ51" s="32">
        <v>0</v>
      </c>
      <c r="BA51" s="32">
        <v>30</v>
      </c>
      <c r="BB51" s="32">
        <v>0</v>
      </c>
      <c r="BC51" s="32">
        <v>1814</v>
      </c>
      <c r="BD51" s="34">
        <f>IFERROR(SUM(Cons_Metrics[[#This Row],[Operating surplus/(deficit) (social housing lettings)]])/SUM(Cons_Metrics[[#This Row],[Turnover from social housing lettings]]),"")</f>
        <v>0.18616960073639396</v>
      </c>
      <c r="BE51" s="32">
        <v>1618</v>
      </c>
      <c r="BF51" s="32">
        <v>8691</v>
      </c>
      <c r="BG51" s="34">
        <f>IFERROR(SUM(Cons_Metrics[[#This Row],[Operating surplus/(deficit) (overall)2]],-Cons_Metrics[[#This Row],[Gain/(loss) on disposal of fixed assets (housing properties)2]])/SUM(Cons_Metrics[[#This Row],[Turnover (overall)]]),"")</f>
        <v>0.18841407678244973</v>
      </c>
      <c r="BH51" s="32">
        <v>1697</v>
      </c>
      <c r="BI51" s="32">
        <v>48</v>
      </c>
      <c r="BJ51" s="32">
        <v>8752</v>
      </c>
      <c r="BK51" s="34">
        <f>IFERROR(SUM(Cons_Metrics[[#This Row],[Operating surplus/(deficit) (overall)3]],Cons_Metrics[[#This Row],[Share of operating surplus/(deficit) in joint ventures or associates]])/SUM(Cons_Metrics[[#This Row],[Total assets less current liabilities]]),"")</f>
        <v>2.2121125218343456E-2</v>
      </c>
      <c r="BL51" s="32">
        <v>1697</v>
      </c>
      <c r="BM51" s="32">
        <v>0</v>
      </c>
      <c r="BN51" s="32">
        <v>76714</v>
      </c>
      <c r="BO51" s="34">
        <v>0</v>
      </c>
      <c r="BP51" s="34">
        <v>3.5489410417859184E-2</v>
      </c>
      <c r="BQ51" s="6" t="s">
        <v>82</v>
      </c>
      <c r="BR51" s="6" t="s">
        <v>83</v>
      </c>
      <c r="BS51" s="6" t="s">
        <v>83</v>
      </c>
      <c r="BT51" s="6" t="s">
        <v>121</v>
      </c>
      <c r="BU51" s="8">
        <v>0.9026647648742484</v>
      </c>
    </row>
    <row r="52" spans="1:73" x14ac:dyDescent="0.25">
      <c r="A52" s="33" t="s">
        <v>193</v>
      </c>
      <c r="B52" s="7" t="s">
        <v>194</v>
      </c>
      <c r="C52" s="7" t="s">
        <v>81</v>
      </c>
      <c r="D5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4.3635342972500303E-2</v>
      </c>
      <c r="E52" s="32">
        <v>0</v>
      </c>
      <c r="F52" s="32">
        <v>1383</v>
      </c>
      <c r="G52" s="32">
        <v>4680</v>
      </c>
      <c r="H52" s="32">
        <v>0</v>
      </c>
      <c r="I52" s="32">
        <v>0</v>
      </c>
      <c r="J52" s="32">
        <v>138947</v>
      </c>
      <c r="K52" s="32">
        <v>0</v>
      </c>
      <c r="L5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2.221235006663705E-3</v>
      </c>
      <c r="M52" s="32">
        <v>5</v>
      </c>
      <c r="N52" s="32">
        <v>0</v>
      </c>
      <c r="O52" s="32">
        <v>2251</v>
      </c>
      <c r="P52" s="32">
        <v>0</v>
      </c>
      <c r="Q5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2" s="32">
        <v>0</v>
      </c>
      <c r="S52" s="32">
        <v>0</v>
      </c>
      <c r="T52" s="32">
        <v>0</v>
      </c>
      <c r="U52" s="32">
        <v>2251</v>
      </c>
      <c r="V52" s="32">
        <v>0</v>
      </c>
      <c r="W52" s="32">
        <v>0</v>
      </c>
      <c r="X52" s="32">
        <v>0</v>
      </c>
      <c r="Y5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0.22407104867323513</v>
      </c>
      <c r="Z52" s="32">
        <v>1000</v>
      </c>
      <c r="AA52" s="32">
        <v>37500</v>
      </c>
      <c r="AB52" s="32">
        <v>7366</v>
      </c>
      <c r="AC52" s="32">
        <v>0</v>
      </c>
      <c r="AD52" s="32">
        <v>0</v>
      </c>
      <c r="AE52" s="32">
        <v>138947</v>
      </c>
      <c r="AF52" s="32">
        <v>0</v>
      </c>
      <c r="AG5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1.7170201758923953</v>
      </c>
      <c r="AH52" s="32">
        <v>5669</v>
      </c>
      <c r="AI52" s="32">
        <v>0</v>
      </c>
      <c r="AJ52" s="32">
        <v>556</v>
      </c>
      <c r="AK52" s="32">
        <v>0</v>
      </c>
      <c r="AL52" s="32">
        <v>17</v>
      </c>
      <c r="AM52" s="32">
        <v>4680</v>
      </c>
      <c r="AN52" s="32">
        <v>2869</v>
      </c>
      <c r="AO52" s="32">
        <v>-1</v>
      </c>
      <c r="AP52" s="32">
        <v>-1932</v>
      </c>
      <c r="AQ5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7.3705019991115064</v>
      </c>
      <c r="AR52" s="32">
        <v>3206</v>
      </c>
      <c r="AS52" s="32">
        <v>4649</v>
      </c>
      <c r="AT52" s="32">
        <v>3078</v>
      </c>
      <c r="AU52" s="32">
        <v>442</v>
      </c>
      <c r="AV52" s="32">
        <v>536</v>
      </c>
      <c r="AW52" s="32">
        <v>4680</v>
      </c>
      <c r="AX52" s="32">
        <v>0</v>
      </c>
      <c r="AY52" s="32">
        <v>0</v>
      </c>
      <c r="AZ52" s="32">
        <v>0</v>
      </c>
      <c r="BA52" s="32">
        <v>0</v>
      </c>
      <c r="BB52" s="32">
        <v>0</v>
      </c>
      <c r="BC52" s="32">
        <v>2251</v>
      </c>
      <c r="BD52" s="34">
        <f>IFERROR(SUM(Cons_Metrics[[#This Row],[Operating surplus/(deficit) (social housing lettings)]])/SUM(Cons_Metrics[[#This Row],[Turnover from social housing lettings]]),"")</f>
        <v>0.22294647588765235</v>
      </c>
      <c r="BE52" s="32">
        <v>4207</v>
      </c>
      <c r="BF52" s="32">
        <v>18870</v>
      </c>
      <c r="BG52" s="34">
        <f>IFERROR(SUM(Cons_Metrics[[#This Row],[Operating surplus/(deficit) (overall)2]],-Cons_Metrics[[#This Row],[Gain/(loss) on disposal of fixed assets (housing properties)2]])/SUM(Cons_Metrics[[#This Row],[Turnover (overall)]]),"")</f>
        <v>0.2661627306446312</v>
      </c>
      <c r="BH52" s="32">
        <v>5669</v>
      </c>
      <c r="BI52" s="32">
        <v>0</v>
      </c>
      <c r="BJ52" s="32">
        <v>21299</v>
      </c>
      <c r="BK52" s="34">
        <f>IFERROR(SUM(Cons_Metrics[[#This Row],[Operating surplus/(deficit) (overall)3]],Cons_Metrics[[#This Row],[Share of operating surplus/(deficit) in joint ventures or associates]])/SUM(Cons_Metrics[[#This Row],[Total assets less current liabilities]]),"")</f>
        <v>3.5264844017293399E-2</v>
      </c>
      <c r="BL52" s="32">
        <v>5669</v>
      </c>
      <c r="BM52" s="32">
        <v>0</v>
      </c>
      <c r="BN52" s="32">
        <v>160755</v>
      </c>
      <c r="BO52" s="34">
        <v>0</v>
      </c>
      <c r="BP52" s="34">
        <v>0</v>
      </c>
      <c r="BQ52" s="6" t="s">
        <v>93</v>
      </c>
      <c r="BR52" s="6">
        <v>2005</v>
      </c>
      <c r="BS52" s="6" t="s">
        <v>94</v>
      </c>
      <c r="BT52" s="6" t="s">
        <v>156</v>
      </c>
      <c r="BU52" s="8">
        <v>1.2488627787394371</v>
      </c>
    </row>
    <row r="53" spans="1:73" x14ac:dyDescent="0.25">
      <c r="A53" s="33" t="s">
        <v>195</v>
      </c>
      <c r="B53" s="7" t="s">
        <v>196</v>
      </c>
      <c r="C53" s="7" t="s">
        <v>81</v>
      </c>
      <c r="D5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5.5925157875970008E-2</v>
      </c>
      <c r="E53" s="32">
        <v>0</v>
      </c>
      <c r="F53" s="32">
        <v>35559</v>
      </c>
      <c r="G53" s="32">
        <v>8323</v>
      </c>
      <c r="H53" s="32">
        <v>0</v>
      </c>
      <c r="I53" s="32">
        <v>-2162</v>
      </c>
      <c r="J53" s="32">
        <v>745997</v>
      </c>
      <c r="K53" s="32">
        <v>0</v>
      </c>
      <c r="L5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1.9736080564880194E-2</v>
      </c>
      <c r="M53" s="32">
        <v>340</v>
      </c>
      <c r="N53" s="32">
        <v>1</v>
      </c>
      <c r="O53" s="32">
        <v>17097</v>
      </c>
      <c r="P53" s="32">
        <v>181</v>
      </c>
      <c r="Q5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3" s="32">
        <v>0</v>
      </c>
      <c r="S53" s="32">
        <v>0</v>
      </c>
      <c r="T53" s="32">
        <v>0</v>
      </c>
      <c r="U53" s="32">
        <v>17097</v>
      </c>
      <c r="V53" s="32">
        <v>112</v>
      </c>
      <c r="W53" s="32">
        <v>181</v>
      </c>
      <c r="X53" s="32">
        <v>0</v>
      </c>
      <c r="Y5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0.49672183668298936</v>
      </c>
      <c r="Z53" s="32">
        <v>73</v>
      </c>
      <c r="AA53" s="32">
        <v>383862</v>
      </c>
      <c r="AB53" s="32">
        <v>13382</v>
      </c>
      <c r="AC53" s="32">
        <v>0</v>
      </c>
      <c r="AD53" s="32">
        <v>0</v>
      </c>
      <c r="AE53" s="32">
        <v>745997</v>
      </c>
      <c r="AF53" s="32">
        <v>0</v>
      </c>
      <c r="AG5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1.7734790598703936</v>
      </c>
      <c r="AH53" s="32">
        <v>35303</v>
      </c>
      <c r="AI53" s="32">
        <v>3394</v>
      </c>
      <c r="AJ53" s="32">
        <v>2193</v>
      </c>
      <c r="AK53" s="32">
        <v>0</v>
      </c>
      <c r="AL53" s="32">
        <v>122</v>
      </c>
      <c r="AM53" s="32">
        <v>8323</v>
      </c>
      <c r="AN53" s="32">
        <v>15157</v>
      </c>
      <c r="AO53" s="32">
        <v>-729</v>
      </c>
      <c r="AP53" s="32">
        <v>-19949</v>
      </c>
      <c r="AQ5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3.3441136301556953</v>
      </c>
      <c r="AR53" s="32">
        <v>16289</v>
      </c>
      <c r="AS53" s="32">
        <v>7021</v>
      </c>
      <c r="AT53" s="32">
        <v>11847</v>
      </c>
      <c r="AU53" s="32">
        <v>2728</v>
      </c>
      <c r="AV53" s="32">
        <v>77</v>
      </c>
      <c r="AW53" s="32">
        <v>8323</v>
      </c>
      <c r="AX53" s="32">
        <v>27</v>
      </c>
      <c r="AY53" s="32">
        <v>0</v>
      </c>
      <c r="AZ53" s="32">
        <v>0</v>
      </c>
      <c r="BA53" s="32">
        <v>331</v>
      </c>
      <c r="BB53" s="32">
        <v>14571</v>
      </c>
      <c r="BC53" s="32">
        <v>18305</v>
      </c>
      <c r="BD53" s="34">
        <f>IFERROR(SUM(Cons_Metrics[[#This Row],[Operating surplus/(deficit) (social housing lettings)]])/SUM(Cons_Metrics[[#This Row],[Turnover from social housing lettings]]),"")</f>
        <v>0.35970019897218053</v>
      </c>
      <c r="BE53" s="32">
        <v>29467</v>
      </c>
      <c r="BF53" s="32">
        <v>81921</v>
      </c>
      <c r="BG53" s="34">
        <f>IFERROR(SUM(Cons_Metrics[[#This Row],[Operating surplus/(deficit) (overall)2]],-Cons_Metrics[[#This Row],[Gain/(loss) on disposal of fixed assets (housing properties)2]])/SUM(Cons_Metrics[[#This Row],[Turnover (overall)]]),"")</f>
        <v>0.31434341444192693</v>
      </c>
      <c r="BH53" s="32">
        <v>35303</v>
      </c>
      <c r="BI53" s="32">
        <v>3394</v>
      </c>
      <c r="BJ53" s="32">
        <v>101510</v>
      </c>
      <c r="BK53" s="34">
        <f>IFERROR(SUM(Cons_Metrics[[#This Row],[Operating surplus/(deficit) (overall)3]],Cons_Metrics[[#This Row],[Share of operating surplus/(deficit) in joint ventures or associates]])/SUM(Cons_Metrics[[#This Row],[Total assets less current liabilities]]),"")</f>
        <v>4.521214604971633E-2</v>
      </c>
      <c r="BL53" s="32">
        <v>35303</v>
      </c>
      <c r="BM53" s="32">
        <v>0</v>
      </c>
      <c r="BN53" s="32">
        <v>780830</v>
      </c>
      <c r="BO53" s="34">
        <v>3.0709134615384614E-2</v>
      </c>
      <c r="BP53" s="34">
        <v>0.22584134615384616</v>
      </c>
      <c r="BQ53" s="6" t="s">
        <v>82</v>
      </c>
      <c r="BR53" s="6" t="s">
        <v>83</v>
      </c>
      <c r="BS53" s="6" t="s">
        <v>83</v>
      </c>
      <c r="BT53" s="6" t="s">
        <v>95</v>
      </c>
      <c r="BU53" s="8">
        <v>0.92042552460803584</v>
      </c>
    </row>
    <row r="54" spans="1:73" x14ac:dyDescent="0.25">
      <c r="A54" s="33" t="s">
        <v>197</v>
      </c>
      <c r="B54" s="7" t="s">
        <v>198</v>
      </c>
      <c r="C54" s="7" t="s">
        <v>81</v>
      </c>
      <c r="D5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5.3462649484381779E-2</v>
      </c>
      <c r="E54" s="32">
        <v>2679</v>
      </c>
      <c r="F54" s="32">
        <v>0</v>
      </c>
      <c r="G54" s="32">
        <v>748</v>
      </c>
      <c r="H54" s="32">
        <v>145</v>
      </c>
      <c r="I54" s="32">
        <v>0</v>
      </c>
      <c r="J54" s="32">
        <v>0</v>
      </c>
      <c r="K54" s="32">
        <v>66813</v>
      </c>
      <c r="L5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1.0410958904109589E-2</v>
      </c>
      <c r="M54" s="32">
        <v>19</v>
      </c>
      <c r="N54" s="32">
        <v>0</v>
      </c>
      <c r="O54" s="32">
        <v>1820</v>
      </c>
      <c r="P54" s="32">
        <v>5</v>
      </c>
      <c r="Q5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4" s="32">
        <v>0</v>
      </c>
      <c r="S54" s="32">
        <v>0</v>
      </c>
      <c r="T54" s="32">
        <v>0</v>
      </c>
      <c r="U54" s="32">
        <v>1820</v>
      </c>
      <c r="V54" s="32">
        <v>9</v>
      </c>
      <c r="W54" s="32">
        <v>5</v>
      </c>
      <c r="X54" s="32">
        <v>0</v>
      </c>
      <c r="Y5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0.61932558035112928</v>
      </c>
      <c r="Z54" s="32">
        <v>4</v>
      </c>
      <c r="AA54" s="32">
        <v>41720</v>
      </c>
      <c r="AB54" s="32">
        <v>345</v>
      </c>
      <c r="AC54" s="32">
        <v>0</v>
      </c>
      <c r="AD54" s="32">
        <v>0</v>
      </c>
      <c r="AE54" s="32">
        <v>0</v>
      </c>
      <c r="AF54" s="32">
        <v>66813</v>
      </c>
      <c r="AG5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1.9085173501577286</v>
      </c>
      <c r="AH54" s="32">
        <v>4173</v>
      </c>
      <c r="AI54" s="32">
        <v>383</v>
      </c>
      <c r="AJ54" s="32">
        <v>0</v>
      </c>
      <c r="AK54" s="32">
        <v>272</v>
      </c>
      <c r="AL54" s="32">
        <v>1</v>
      </c>
      <c r="AM54" s="32">
        <v>748</v>
      </c>
      <c r="AN54" s="32">
        <v>1464</v>
      </c>
      <c r="AO54" s="32">
        <v>-145</v>
      </c>
      <c r="AP54" s="32">
        <v>-2074</v>
      </c>
      <c r="AQ5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2.6384152457372116</v>
      </c>
      <c r="AR54" s="32">
        <v>1971</v>
      </c>
      <c r="AS54" s="32">
        <v>496</v>
      </c>
      <c r="AT54" s="32">
        <v>1186</v>
      </c>
      <c r="AU54" s="32">
        <v>448</v>
      </c>
      <c r="AV54" s="32">
        <v>0</v>
      </c>
      <c r="AW54" s="32">
        <v>748</v>
      </c>
      <c r="AX54" s="32">
        <v>146</v>
      </c>
      <c r="AY54" s="32">
        <v>0</v>
      </c>
      <c r="AZ54" s="32">
        <v>0</v>
      </c>
      <c r="BA54" s="32">
        <v>128</v>
      </c>
      <c r="BB54" s="32">
        <v>138</v>
      </c>
      <c r="BC54" s="32">
        <v>1994</v>
      </c>
      <c r="BD54" s="34">
        <f>IFERROR(SUM(Cons_Metrics[[#This Row],[Operating surplus/(deficit) (social housing lettings)]])/SUM(Cons_Metrics[[#This Row],[Turnover from social housing lettings]]),"")</f>
        <v>0.38888291581550372</v>
      </c>
      <c r="BE54" s="32">
        <v>3617</v>
      </c>
      <c r="BF54" s="32">
        <v>9301</v>
      </c>
      <c r="BG54" s="34">
        <f>IFERROR(SUM(Cons_Metrics[[#This Row],[Operating surplus/(deficit) (overall)2]],-Cons_Metrics[[#This Row],[Gain/(loss) on disposal of fixed assets (housing properties)2]])/SUM(Cons_Metrics[[#This Row],[Turnover (overall)]]),"")</f>
        <v>0.35785100557076766</v>
      </c>
      <c r="BH54" s="32">
        <v>4173</v>
      </c>
      <c r="BI54" s="32">
        <v>383</v>
      </c>
      <c r="BJ54" s="32">
        <v>10591</v>
      </c>
      <c r="BK54" s="34">
        <f>IFERROR(SUM(Cons_Metrics[[#This Row],[Operating surplus/(deficit) (overall)3]],Cons_Metrics[[#This Row],[Share of operating surplus/(deficit) in joint ventures or associates]])/SUM(Cons_Metrics[[#This Row],[Total assets less current liabilities]]),"")</f>
        <v>6.178012021437243E-2</v>
      </c>
      <c r="BL54" s="32">
        <v>4173</v>
      </c>
      <c r="BM54" s="32">
        <v>0</v>
      </c>
      <c r="BN54" s="32">
        <v>67546</v>
      </c>
      <c r="BO54" s="34">
        <v>4.9144119271120924E-2</v>
      </c>
      <c r="BP54" s="34">
        <v>3.7548315847598011E-2</v>
      </c>
      <c r="BQ54" s="6" t="s">
        <v>93</v>
      </c>
      <c r="BR54" s="6">
        <v>1997</v>
      </c>
      <c r="BS54" s="6" t="s">
        <v>94</v>
      </c>
      <c r="BT54" s="6" t="s">
        <v>105</v>
      </c>
      <c r="BU54" s="8">
        <v>0.9156653862445665</v>
      </c>
    </row>
    <row r="55" spans="1:73" x14ac:dyDescent="0.25">
      <c r="A55" s="33" t="s">
        <v>199</v>
      </c>
      <c r="B55" s="7" t="s">
        <v>200</v>
      </c>
      <c r="C55" s="7" t="s">
        <v>81</v>
      </c>
      <c r="D5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8.4727960226874868E-3</v>
      </c>
      <c r="E55" s="32">
        <v>0</v>
      </c>
      <c r="F55" s="32">
        <v>0</v>
      </c>
      <c r="G55" s="32">
        <v>242</v>
      </c>
      <c r="H55" s="32">
        <v>0</v>
      </c>
      <c r="I55" s="32">
        <v>0</v>
      </c>
      <c r="J55" s="32">
        <v>28562</v>
      </c>
      <c r="K55" s="32">
        <v>0</v>
      </c>
      <c r="L5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4.7111111111111111E-2</v>
      </c>
      <c r="M55" s="32">
        <v>53</v>
      </c>
      <c r="N55" s="32">
        <v>0</v>
      </c>
      <c r="O55" s="32">
        <v>1125</v>
      </c>
      <c r="P55" s="32">
        <v>0</v>
      </c>
      <c r="Q5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5" s="32">
        <v>0</v>
      </c>
      <c r="S55" s="32">
        <v>0</v>
      </c>
      <c r="T55" s="32">
        <v>0</v>
      </c>
      <c r="U55" s="32">
        <v>1125</v>
      </c>
      <c r="V55" s="32">
        <v>0</v>
      </c>
      <c r="W55" s="32">
        <v>0</v>
      </c>
      <c r="X55" s="32">
        <v>0</v>
      </c>
      <c r="Y5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2.0096631888523214E-2</v>
      </c>
      <c r="Z55" s="32">
        <v>0</v>
      </c>
      <c r="AA55" s="32">
        <v>1906</v>
      </c>
      <c r="AB55" s="32">
        <v>1332</v>
      </c>
      <c r="AC55" s="32">
        <v>0</v>
      </c>
      <c r="AD55" s="32">
        <v>0</v>
      </c>
      <c r="AE55" s="32">
        <v>28562</v>
      </c>
      <c r="AF55" s="32">
        <v>0</v>
      </c>
      <c r="AG5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32.980392156862742</v>
      </c>
      <c r="AH55" s="32">
        <v>1498</v>
      </c>
      <c r="AI55" s="32">
        <v>18</v>
      </c>
      <c r="AJ55" s="32">
        <v>34</v>
      </c>
      <c r="AK55" s="32">
        <v>0</v>
      </c>
      <c r="AL55" s="32">
        <v>1</v>
      </c>
      <c r="AM55" s="32">
        <v>375</v>
      </c>
      <c r="AN55" s="32">
        <v>610</v>
      </c>
      <c r="AO55" s="32">
        <v>0</v>
      </c>
      <c r="AP55" s="32">
        <v>-51</v>
      </c>
      <c r="AQ5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2.0151111111111111</v>
      </c>
      <c r="AR55" s="32">
        <v>1193</v>
      </c>
      <c r="AS55" s="32">
        <v>114</v>
      </c>
      <c r="AT55" s="32">
        <v>441</v>
      </c>
      <c r="AU55" s="32">
        <v>0</v>
      </c>
      <c r="AV55" s="32">
        <v>144</v>
      </c>
      <c r="AW55" s="32">
        <v>375</v>
      </c>
      <c r="AX55" s="32">
        <v>0</v>
      </c>
      <c r="AY55" s="32">
        <v>0</v>
      </c>
      <c r="AZ55" s="32">
        <v>0</v>
      </c>
      <c r="BA55" s="32">
        <v>0</v>
      </c>
      <c r="BB55" s="32">
        <v>0</v>
      </c>
      <c r="BC55" s="32">
        <v>1125</v>
      </c>
      <c r="BD55" s="34">
        <f>IFERROR(SUM(Cons_Metrics[[#This Row],[Operating surplus/(deficit) (social housing lettings)]])/SUM(Cons_Metrics[[#This Row],[Turnover from social housing lettings]]),"")</f>
        <v>0.37242073477604432</v>
      </c>
      <c r="BE55" s="32">
        <v>1480</v>
      </c>
      <c r="BF55" s="32">
        <v>3974</v>
      </c>
      <c r="BG55" s="34">
        <f>IFERROR(SUM(Cons_Metrics[[#This Row],[Operating surplus/(deficit) (overall)2]],-Cons_Metrics[[#This Row],[Gain/(loss) on disposal of fixed assets (housing properties)2]])/SUM(Cons_Metrics[[#This Row],[Turnover (overall)]]),"")</f>
        <v>0.37242073477604432</v>
      </c>
      <c r="BH55" s="32">
        <v>1498</v>
      </c>
      <c r="BI55" s="32">
        <v>18</v>
      </c>
      <c r="BJ55" s="32">
        <v>3974</v>
      </c>
      <c r="BK55" s="34">
        <f>IFERROR(SUM(Cons_Metrics[[#This Row],[Operating surplus/(deficit) (overall)3]],Cons_Metrics[[#This Row],[Share of operating surplus/(deficit) in joint ventures or associates]])/SUM(Cons_Metrics[[#This Row],[Total assets less current liabilities]]),"")</f>
        <v>5.0492112714035323E-2</v>
      </c>
      <c r="BL55" s="32">
        <v>1498</v>
      </c>
      <c r="BM55" s="32">
        <v>0</v>
      </c>
      <c r="BN55" s="32">
        <v>29668</v>
      </c>
      <c r="BO55" s="34">
        <v>7.1111111111111115E-3</v>
      </c>
      <c r="BP55" s="34">
        <v>0</v>
      </c>
      <c r="BQ55" s="6" t="s">
        <v>93</v>
      </c>
      <c r="BR55" s="6">
        <v>1998</v>
      </c>
      <c r="BS55" s="6" t="s">
        <v>94</v>
      </c>
      <c r="BT55" s="6" t="s">
        <v>90</v>
      </c>
      <c r="BU55" s="8">
        <v>0.91571558169387279</v>
      </c>
    </row>
    <row r="56" spans="1:73" x14ac:dyDescent="0.25">
      <c r="A56" s="33" t="s">
        <v>201</v>
      </c>
      <c r="B56" s="7" t="s">
        <v>202</v>
      </c>
      <c r="C56" s="7" t="s">
        <v>81</v>
      </c>
      <c r="D5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2.2217951182010379E-2</v>
      </c>
      <c r="E56" s="32">
        <v>1441</v>
      </c>
      <c r="F56" s="32">
        <v>0</v>
      </c>
      <c r="G56" s="32">
        <v>293</v>
      </c>
      <c r="H56" s="32">
        <v>0</v>
      </c>
      <c r="I56" s="32">
        <v>0</v>
      </c>
      <c r="J56" s="32">
        <v>78045</v>
      </c>
      <c r="K56" s="32">
        <v>0</v>
      </c>
      <c r="L5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1.5597920277296361E-2</v>
      </c>
      <c r="M56" s="32">
        <v>18</v>
      </c>
      <c r="N56" s="32">
        <v>0</v>
      </c>
      <c r="O56" s="32">
        <v>1154</v>
      </c>
      <c r="P56" s="32">
        <v>0</v>
      </c>
      <c r="Q5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1.7331022530329288E-3</v>
      </c>
      <c r="R56" s="32">
        <v>0</v>
      </c>
      <c r="S56" s="32">
        <v>0</v>
      </c>
      <c r="T56" s="32">
        <v>2</v>
      </c>
      <c r="U56" s="32">
        <v>1154</v>
      </c>
      <c r="V56" s="32">
        <v>0</v>
      </c>
      <c r="W56" s="32">
        <v>0</v>
      </c>
      <c r="X56" s="32">
        <v>0</v>
      </c>
      <c r="Y5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0.32632455634569801</v>
      </c>
      <c r="Z56" s="32">
        <v>1068</v>
      </c>
      <c r="AA56" s="32">
        <v>31906</v>
      </c>
      <c r="AB56" s="32">
        <v>7506</v>
      </c>
      <c r="AC56" s="32">
        <v>0</v>
      </c>
      <c r="AD56" s="32">
        <v>0</v>
      </c>
      <c r="AE56" s="32">
        <v>78045</v>
      </c>
      <c r="AF56" s="32">
        <v>0</v>
      </c>
      <c r="AG5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1.8085569253081943</v>
      </c>
      <c r="AH56" s="32">
        <v>1796</v>
      </c>
      <c r="AI56" s="32">
        <v>0</v>
      </c>
      <c r="AJ56" s="32">
        <v>428</v>
      </c>
      <c r="AK56" s="32">
        <v>0</v>
      </c>
      <c r="AL56" s="32">
        <v>22</v>
      </c>
      <c r="AM56" s="32">
        <v>293</v>
      </c>
      <c r="AN56" s="32">
        <v>1397</v>
      </c>
      <c r="AO56" s="32">
        <v>0</v>
      </c>
      <c r="AP56" s="32">
        <v>-1379</v>
      </c>
      <c r="AQ5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2.3306386418755052</v>
      </c>
      <c r="AR56" s="32">
        <v>826</v>
      </c>
      <c r="AS56" s="32">
        <v>491</v>
      </c>
      <c r="AT56" s="32">
        <v>485</v>
      </c>
      <c r="AU56" s="32">
        <v>323</v>
      </c>
      <c r="AV56" s="32">
        <v>228</v>
      </c>
      <c r="AW56" s="32">
        <v>293</v>
      </c>
      <c r="AX56" s="32">
        <v>0</v>
      </c>
      <c r="AY56" s="32">
        <v>124</v>
      </c>
      <c r="AZ56" s="32">
        <v>0</v>
      </c>
      <c r="BA56" s="32">
        <v>113</v>
      </c>
      <c r="BB56" s="32">
        <v>0</v>
      </c>
      <c r="BC56" s="32">
        <v>1237</v>
      </c>
      <c r="BD56" s="34">
        <f>IFERROR(SUM(Cons_Metrics[[#This Row],[Operating surplus/(deficit) (social housing lettings)]])/SUM(Cons_Metrics[[#This Row],[Turnover from social housing lettings]]),"")</f>
        <v>0.32450090744101634</v>
      </c>
      <c r="BE56" s="32">
        <v>1788</v>
      </c>
      <c r="BF56" s="32">
        <v>5510</v>
      </c>
      <c r="BG56" s="34">
        <f>IFERROR(SUM(Cons_Metrics[[#This Row],[Operating surplus/(deficit) (overall)2]],-Cons_Metrics[[#This Row],[Gain/(loss) on disposal of fixed assets (housing properties)2]])/SUM(Cons_Metrics[[#This Row],[Turnover (overall)]]),"")</f>
        <v>0.27879540515367895</v>
      </c>
      <c r="BH56" s="32">
        <v>1796</v>
      </c>
      <c r="BI56" s="32">
        <v>0</v>
      </c>
      <c r="BJ56" s="32">
        <v>6442</v>
      </c>
      <c r="BK56" s="34">
        <f>IFERROR(SUM(Cons_Metrics[[#This Row],[Operating surplus/(deficit) (overall)3]],Cons_Metrics[[#This Row],[Share of operating surplus/(deficit) in joint ventures or associates]])/SUM(Cons_Metrics[[#This Row],[Total assets less current liabilities]]),"")</f>
        <v>2.1634123131406821E-2</v>
      </c>
      <c r="BL56" s="32">
        <v>1796</v>
      </c>
      <c r="BM56" s="32">
        <v>0</v>
      </c>
      <c r="BN56" s="32">
        <v>83017</v>
      </c>
      <c r="BO56" s="34">
        <v>0</v>
      </c>
      <c r="BP56" s="34">
        <v>0</v>
      </c>
      <c r="BQ56" s="6" t="s">
        <v>82</v>
      </c>
      <c r="BR56" s="6" t="s">
        <v>83</v>
      </c>
      <c r="BS56" s="6" t="s">
        <v>83</v>
      </c>
      <c r="BT56" s="6" t="s">
        <v>84</v>
      </c>
      <c r="BU56" s="8">
        <v>1.003710607532728</v>
      </c>
    </row>
    <row r="57" spans="1:73" x14ac:dyDescent="0.25">
      <c r="A57" s="33" t="s">
        <v>203</v>
      </c>
      <c r="B57" s="7" t="s">
        <v>204</v>
      </c>
      <c r="C57" s="7" t="s">
        <v>81</v>
      </c>
      <c r="D5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9.1012115717464759E-2</v>
      </c>
      <c r="E57" s="32">
        <v>14566</v>
      </c>
      <c r="F57" s="32">
        <v>0</v>
      </c>
      <c r="G57" s="32">
        <v>2876</v>
      </c>
      <c r="H57" s="32">
        <v>226</v>
      </c>
      <c r="I57" s="32">
        <v>0</v>
      </c>
      <c r="J57" s="32">
        <v>194128</v>
      </c>
      <c r="K57" s="32">
        <v>0</v>
      </c>
      <c r="L5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2.4950320158975491E-2</v>
      </c>
      <c r="M57" s="32">
        <v>113</v>
      </c>
      <c r="N57" s="32">
        <v>0</v>
      </c>
      <c r="O57" s="32">
        <v>4529</v>
      </c>
      <c r="P57" s="32">
        <v>0</v>
      </c>
      <c r="Q5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7" s="32">
        <v>0</v>
      </c>
      <c r="S57" s="32">
        <v>0</v>
      </c>
      <c r="T57" s="32">
        <v>0</v>
      </c>
      <c r="U57" s="32">
        <v>4529</v>
      </c>
      <c r="V57" s="32">
        <v>126</v>
      </c>
      <c r="W57" s="32">
        <v>0</v>
      </c>
      <c r="X57" s="32">
        <v>0</v>
      </c>
      <c r="Y5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0.2282566141926976</v>
      </c>
      <c r="Z57" s="32">
        <v>5377</v>
      </c>
      <c r="AA57" s="32">
        <v>47683</v>
      </c>
      <c r="AB57" s="32">
        <v>8749</v>
      </c>
      <c r="AC57" s="32">
        <v>0</v>
      </c>
      <c r="AD57" s="32">
        <v>0</v>
      </c>
      <c r="AE57" s="32">
        <v>194128</v>
      </c>
      <c r="AF57" s="32">
        <v>0</v>
      </c>
      <c r="AG5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2.1117297698589459</v>
      </c>
      <c r="AH57" s="32">
        <v>6440</v>
      </c>
      <c r="AI57" s="32">
        <v>719</v>
      </c>
      <c r="AJ57" s="32">
        <v>943</v>
      </c>
      <c r="AK57" s="32">
        <v>0</v>
      </c>
      <c r="AL57" s="32">
        <v>38</v>
      </c>
      <c r="AM57" s="32">
        <v>2876</v>
      </c>
      <c r="AN57" s="32">
        <v>3749</v>
      </c>
      <c r="AO57" s="32">
        <v>-226</v>
      </c>
      <c r="AP57" s="32">
        <v>-2468</v>
      </c>
      <c r="AQ5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3.3844115698829764</v>
      </c>
      <c r="AR57" s="32">
        <v>6581</v>
      </c>
      <c r="AS57" s="32">
        <v>2730</v>
      </c>
      <c r="AT57" s="32">
        <v>1737</v>
      </c>
      <c r="AU57" s="32">
        <v>439</v>
      </c>
      <c r="AV57" s="32">
        <v>340</v>
      </c>
      <c r="AW57" s="32">
        <v>2876</v>
      </c>
      <c r="AX57" s="32">
        <v>254</v>
      </c>
      <c r="AY57" s="32">
        <v>0</v>
      </c>
      <c r="AZ57" s="32">
        <v>0</v>
      </c>
      <c r="BA57" s="32">
        <v>371</v>
      </c>
      <c r="BB57" s="32">
        <v>0</v>
      </c>
      <c r="BC57" s="32">
        <v>4529</v>
      </c>
      <c r="BD57" s="34">
        <f>IFERROR(SUM(Cons_Metrics[[#This Row],[Operating surplus/(deficit) (social housing lettings)]])/SUM(Cons_Metrics[[#This Row],[Turnover from social housing lettings]]),"")</f>
        <v>0.16655955441302486</v>
      </c>
      <c r="BE57" s="32">
        <v>3110</v>
      </c>
      <c r="BF57" s="32">
        <v>18672</v>
      </c>
      <c r="BG57" s="34">
        <f>IFERROR(SUM(Cons_Metrics[[#This Row],[Operating surplus/(deficit) (overall)2]],-Cons_Metrics[[#This Row],[Gain/(loss) on disposal of fixed assets (housing properties)2]])/SUM(Cons_Metrics[[#This Row],[Turnover (overall)]]),"")</f>
        <v>0.23197631984429487</v>
      </c>
      <c r="BH57" s="32">
        <v>6440</v>
      </c>
      <c r="BI57" s="32">
        <v>719</v>
      </c>
      <c r="BJ57" s="32">
        <v>24662</v>
      </c>
      <c r="BK57" s="34">
        <f>IFERROR(SUM(Cons_Metrics[[#This Row],[Operating surplus/(deficit) (overall)3]],Cons_Metrics[[#This Row],[Share of operating surplus/(deficit) in joint ventures or associates]])/SUM(Cons_Metrics[[#This Row],[Total assets less current liabilities]]),"")</f>
        <v>3.2132521704420713E-2</v>
      </c>
      <c r="BL57" s="32">
        <v>6440</v>
      </c>
      <c r="BM57" s="32">
        <v>0</v>
      </c>
      <c r="BN57" s="32">
        <v>200420</v>
      </c>
      <c r="BO57" s="34">
        <v>2.6063437423162035E-2</v>
      </c>
      <c r="BP57" s="34">
        <v>7.4747971477747727E-2</v>
      </c>
      <c r="BQ57" s="6" t="s">
        <v>82</v>
      </c>
      <c r="BR57" s="6" t="s">
        <v>83</v>
      </c>
      <c r="BS57" s="6" t="s">
        <v>83</v>
      </c>
      <c r="BT57" s="6" t="s">
        <v>105</v>
      </c>
      <c r="BU57" s="8">
        <v>0.92187381168793348</v>
      </c>
    </row>
    <row r="58" spans="1:73" x14ac:dyDescent="0.25">
      <c r="A58" s="33" t="s">
        <v>205</v>
      </c>
      <c r="B58" s="7" t="s">
        <v>206</v>
      </c>
      <c r="C58" s="7" t="s">
        <v>81</v>
      </c>
      <c r="D5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7.5467569559609357E-2</v>
      </c>
      <c r="E58" s="32">
        <v>2204</v>
      </c>
      <c r="F58" s="32">
        <v>20228</v>
      </c>
      <c r="G58" s="32">
        <v>3780</v>
      </c>
      <c r="H58" s="32">
        <v>0</v>
      </c>
      <c r="I58" s="32">
        <v>0</v>
      </c>
      <c r="J58" s="32">
        <v>347328</v>
      </c>
      <c r="K58" s="32">
        <v>0</v>
      </c>
      <c r="L5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9.2039800995024883E-3</v>
      </c>
      <c r="M58" s="32">
        <v>37</v>
      </c>
      <c r="N58" s="32">
        <v>0</v>
      </c>
      <c r="O58" s="32">
        <v>4020</v>
      </c>
      <c r="P58" s="32">
        <v>0</v>
      </c>
      <c r="Q5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8" s="32">
        <v>0</v>
      </c>
      <c r="S58" s="32">
        <v>0</v>
      </c>
      <c r="T58" s="32">
        <v>0</v>
      </c>
      <c r="U58" s="32">
        <v>4020</v>
      </c>
      <c r="V58" s="32">
        <v>0</v>
      </c>
      <c r="W58" s="32">
        <v>0</v>
      </c>
      <c r="X58" s="32">
        <v>0</v>
      </c>
      <c r="Y5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0.53454371660217437</v>
      </c>
      <c r="Z58" s="32">
        <v>1372</v>
      </c>
      <c r="AA58" s="32">
        <v>186473</v>
      </c>
      <c r="AB58" s="32">
        <v>2183</v>
      </c>
      <c r="AC58" s="32">
        <v>0</v>
      </c>
      <c r="AD58" s="32">
        <v>0</v>
      </c>
      <c r="AE58" s="32">
        <v>347328</v>
      </c>
      <c r="AF58" s="32">
        <v>0</v>
      </c>
      <c r="AG5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1.2922524211184006</v>
      </c>
      <c r="AH58" s="32">
        <v>10456</v>
      </c>
      <c r="AI58" s="32">
        <v>1735</v>
      </c>
      <c r="AJ58" s="32">
        <v>1803</v>
      </c>
      <c r="AK58" s="32">
        <v>0</v>
      </c>
      <c r="AL58" s="32">
        <v>207</v>
      </c>
      <c r="AM58" s="32">
        <v>3896</v>
      </c>
      <c r="AN58" s="32">
        <v>5044</v>
      </c>
      <c r="AO58" s="32">
        <v>0</v>
      </c>
      <c r="AP58" s="32">
        <v>-6402</v>
      </c>
      <c r="AQ5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5.5902985074626868</v>
      </c>
      <c r="AR58" s="32">
        <v>3730</v>
      </c>
      <c r="AS58" s="32">
        <v>2921</v>
      </c>
      <c r="AT58" s="32">
        <v>3715</v>
      </c>
      <c r="AU58" s="32">
        <v>1389</v>
      </c>
      <c r="AV58" s="32">
        <v>2759</v>
      </c>
      <c r="AW58" s="32">
        <v>3896</v>
      </c>
      <c r="AX58" s="32">
        <v>2997</v>
      </c>
      <c r="AY58" s="32">
        <v>7</v>
      </c>
      <c r="AZ58" s="32">
        <v>529</v>
      </c>
      <c r="BA58" s="32">
        <v>78</v>
      </c>
      <c r="BB58" s="32">
        <v>452</v>
      </c>
      <c r="BC58" s="32">
        <v>4020</v>
      </c>
      <c r="BD58" s="34">
        <f>IFERROR(SUM(Cons_Metrics[[#This Row],[Operating surplus/(deficit) (social housing lettings)]])/SUM(Cons_Metrics[[#This Row],[Turnover from social housing lettings]]),"")</f>
        <v>0.24023411371237458</v>
      </c>
      <c r="BE58" s="32">
        <v>7183</v>
      </c>
      <c r="BF58" s="32">
        <v>29900</v>
      </c>
      <c r="BG58" s="34">
        <f>IFERROR(SUM(Cons_Metrics[[#This Row],[Operating surplus/(deficit) (overall)2]],-Cons_Metrics[[#This Row],[Gain/(loss) on disposal of fixed assets (housing properties)2]])/SUM(Cons_Metrics[[#This Row],[Turnover (overall)]]),"")</f>
        <v>0.22916228715577044</v>
      </c>
      <c r="BH58" s="32">
        <v>10456</v>
      </c>
      <c r="BI58" s="32">
        <v>1735</v>
      </c>
      <c r="BJ58" s="32">
        <v>38056</v>
      </c>
      <c r="BK58" s="34">
        <f>IFERROR(SUM(Cons_Metrics[[#This Row],[Operating surplus/(deficit) (overall)3]],Cons_Metrics[[#This Row],[Share of operating surplus/(deficit) in joint ventures or associates]])/SUM(Cons_Metrics[[#This Row],[Total assets less current liabilities]]),"")</f>
        <v>2.6712054767637581E-2</v>
      </c>
      <c r="BL58" s="32">
        <v>10456</v>
      </c>
      <c r="BM58" s="32">
        <v>161</v>
      </c>
      <c r="BN58" s="32">
        <v>397461</v>
      </c>
      <c r="BO58" s="34">
        <v>2.4201596806387227E-2</v>
      </c>
      <c r="BP58" s="34">
        <v>1.9461077844311378E-2</v>
      </c>
      <c r="BQ58" s="6" t="s">
        <v>82</v>
      </c>
      <c r="BR58" s="6" t="s">
        <v>83</v>
      </c>
      <c r="BS58" s="6" t="s">
        <v>83</v>
      </c>
      <c r="BT58" s="6" t="s">
        <v>100</v>
      </c>
      <c r="BU58" s="8">
        <v>1.0449187624896137</v>
      </c>
    </row>
    <row r="59" spans="1:73" x14ac:dyDescent="0.25">
      <c r="A59" s="33" t="s">
        <v>207</v>
      </c>
      <c r="B59" s="7" t="s">
        <v>208</v>
      </c>
      <c r="C59" s="7" t="s">
        <v>81</v>
      </c>
      <c r="D5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0.13980366283912143</v>
      </c>
      <c r="E59" s="32">
        <v>2344</v>
      </c>
      <c r="F59" s="32">
        <v>0</v>
      </c>
      <c r="G59" s="32">
        <v>12595</v>
      </c>
      <c r="H59" s="32">
        <v>0</v>
      </c>
      <c r="I59" s="32">
        <v>0</v>
      </c>
      <c r="J59" s="32">
        <v>106857</v>
      </c>
      <c r="K59" s="32">
        <v>0</v>
      </c>
      <c r="L5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1.6626485992185552E-4</v>
      </c>
      <c r="M59" s="32">
        <v>2</v>
      </c>
      <c r="N59" s="32">
        <v>0</v>
      </c>
      <c r="O59" s="32">
        <v>11484</v>
      </c>
      <c r="P59" s="32">
        <v>545</v>
      </c>
      <c r="Q5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59" s="32">
        <v>0</v>
      </c>
      <c r="S59" s="32">
        <v>0</v>
      </c>
      <c r="T59" s="32">
        <v>0</v>
      </c>
      <c r="U59" s="32">
        <v>11484</v>
      </c>
      <c r="V59" s="32">
        <v>0</v>
      </c>
      <c r="W59" s="32">
        <v>545</v>
      </c>
      <c r="X59" s="32">
        <v>0</v>
      </c>
      <c r="Y5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9.3835686946105543E-2</v>
      </c>
      <c r="Z59" s="32">
        <v>0</v>
      </c>
      <c r="AA59" s="32">
        <v>32000</v>
      </c>
      <c r="AB59" s="32">
        <v>21973</v>
      </c>
      <c r="AC59" s="32">
        <v>0</v>
      </c>
      <c r="AD59" s="32">
        <v>0</v>
      </c>
      <c r="AE59" s="32">
        <v>106857</v>
      </c>
      <c r="AF59" s="32">
        <v>0</v>
      </c>
      <c r="AG5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3.1059421422986708</v>
      </c>
      <c r="AH59" s="32">
        <v>17444</v>
      </c>
      <c r="AI59" s="32">
        <v>1988</v>
      </c>
      <c r="AJ59" s="32">
        <v>76</v>
      </c>
      <c r="AK59" s="32">
        <v>0</v>
      </c>
      <c r="AL59" s="32">
        <v>100</v>
      </c>
      <c r="AM59" s="32">
        <v>12579</v>
      </c>
      <c r="AN59" s="32">
        <v>5044</v>
      </c>
      <c r="AO59" s="32">
        <v>0</v>
      </c>
      <c r="AP59" s="32">
        <v>-2558</v>
      </c>
      <c r="AQ5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3.6372344130964822</v>
      </c>
      <c r="AR59" s="32">
        <v>11584</v>
      </c>
      <c r="AS59" s="32">
        <v>3428</v>
      </c>
      <c r="AT59" s="32">
        <v>6155</v>
      </c>
      <c r="AU59" s="32">
        <v>3020</v>
      </c>
      <c r="AV59" s="32">
        <v>3087</v>
      </c>
      <c r="AW59" s="32">
        <v>12579</v>
      </c>
      <c r="AX59" s="32">
        <v>38</v>
      </c>
      <c r="AY59" s="32">
        <v>0</v>
      </c>
      <c r="AZ59" s="32">
        <v>0</v>
      </c>
      <c r="BA59" s="32">
        <v>1879</v>
      </c>
      <c r="BB59" s="32">
        <v>0</v>
      </c>
      <c r="BC59" s="32">
        <v>11484</v>
      </c>
      <c r="BD59" s="34">
        <f>IFERROR(SUM(Cons_Metrics[[#This Row],[Operating surplus/(deficit) (social housing lettings)]])/SUM(Cons_Metrics[[#This Row],[Turnover from social housing lettings]]),"")</f>
        <v>0.29864379224779669</v>
      </c>
      <c r="BE59" s="32">
        <v>13961</v>
      </c>
      <c r="BF59" s="32">
        <v>46748</v>
      </c>
      <c r="BG59" s="34">
        <f>IFERROR(SUM(Cons_Metrics[[#This Row],[Operating surplus/(deficit) (overall)2]],-Cons_Metrics[[#This Row],[Gain/(loss) on disposal of fixed assets (housing properties)2]])/SUM(Cons_Metrics[[#This Row],[Turnover (overall)]]),"")</f>
        <v>0.30711759329173788</v>
      </c>
      <c r="BH59" s="32">
        <v>17444</v>
      </c>
      <c r="BI59" s="32">
        <v>1988</v>
      </c>
      <c r="BJ59" s="32">
        <v>50326</v>
      </c>
      <c r="BK59" s="34">
        <f>IFERROR(SUM(Cons_Metrics[[#This Row],[Operating surplus/(deficit) (overall)3]],Cons_Metrics[[#This Row],[Share of operating surplus/(deficit) in joint ventures or associates]])/SUM(Cons_Metrics[[#This Row],[Total assets less current liabilities]]),"")</f>
        <v>7.4841898420271322E-2</v>
      </c>
      <c r="BL59" s="32">
        <v>17444</v>
      </c>
      <c r="BM59" s="32">
        <v>0</v>
      </c>
      <c r="BN59" s="32">
        <v>233078</v>
      </c>
      <c r="BO59" s="34">
        <v>0</v>
      </c>
      <c r="BP59" s="34">
        <v>0</v>
      </c>
      <c r="BQ59" s="6" t="s">
        <v>93</v>
      </c>
      <c r="BR59" s="6">
        <v>2011</v>
      </c>
      <c r="BS59" s="6" t="s">
        <v>120</v>
      </c>
      <c r="BT59" s="6" t="s">
        <v>105</v>
      </c>
      <c r="BU59" s="8">
        <v>0.9156653862445665</v>
      </c>
    </row>
    <row r="60" spans="1:73" x14ac:dyDescent="0.25">
      <c r="A60" s="33" t="s">
        <v>209</v>
      </c>
      <c r="B60" s="7" t="s">
        <v>210</v>
      </c>
      <c r="C60" s="7" t="s">
        <v>81</v>
      </c>
      <c r="D6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3.8765695004619613E-2</v>
      </c>
      <c r="E60" s="32">
        <v>36008</v>
      </c>
      <c r="F60" s="32">
        <v>0</v>
      </c>
      <c r="G60" s="32">
        <v>14635</v>
      </c>
      <c r="H60" s="32">
        <v>0</v>
      </c>
      <c r="I60" s="32">
        <v>0</v>
      </c>
      <c r="J60" s="32">
        <v>1306387</v>
      </c>
      <c r="K60" s="32">
        <v>0</v>
      </c>
      <c r="L6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1.1200282211835258E-2</v>
      </c>
      <c r="M60" s="32">
        <v>254</v>
      </c>
      <c r="N60" s="32">
        <v>0</v>
      </c>
      <c r="O60" s="32">
        <v>21805</v>
      </c>
      <c r="P60" s="32">
        <v>873</v>
      </c>
      <c r="Q6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5.08949020273136E-4</v>
      </c>
      <c r="R60" s="32">
        <v>0</v>
      </c>
      <c r="S60" s="32">
        <v>0</v>
      </c>
      <c r="T60" s="32">
        <v>12</v>
      </c>
      <c r="U60" s="32">
        <v>21805</v>
      </c>
      <c r="V60" s="32">
        <v>900</v>
      </c>
      <c r="W60" s="32">
        <v>873</v>
      </c>
      <c r="X60" s="32">
        <v>0</v>
      </c>
      <c r="Y6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0.4435997908736079</v>
      </c>
      <c r="Z60" s="32">
        <v>7627</v>
      </c>
      <c r="AA60" s="32">
        <v>615035</v>
      </c>
      <c r="AB60" s="32">
        <v>58807</v>
      </c>
      <c r="AC60" s="32">
        <v>0</v>
      </c>
      <c r="AD60" s="32">
        <v>15658</v>
      </c>
      <c r="AE60" s="32">
        <v>1306387</v>
      </c>
      <c r="AF60" s="32">
        <v>0</v>
      </c>
      <c r="AG6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2.3320664132826567</v>
      </c>
      <c r="AH60" s="32">
        <v>58887</v>
      </c>
      <c r="AI60" s="32">
        <v>2955</v>
      </c>
      <c r="AJ60" s="32">
        <v>2388</v>
      </c>
      <c r="AK60" s="32">
        <v>0</v>
      </c>
      <c r="AL60" s="32">
        <v>731</v>
      </c>
      <c r="AM60" s="32">
        <v>14635</v>
      </c>
      <c r="AN60" s="32">
        <v>18650</v>
      </c>
      <c r="AO60" s="32">
        <v>-485</v>
      </c>
      <c r="AP60" s="32">
        <v>-24510</v>
      </c>
      <c r="AQ6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2.4462279293739968</v>
      </c>
      <c r="AR60" s="32">
        <v>14295</v>
      </c>
      <c r="AS60" s="32">
        <v>4393</v>
      </c>
      <c r="AT60" s="32">
        <v>17360</v>
      </c>
      <c r="AU60" s="32">
        <v>2555</v>
      </c>
      <c r="AV60" s="32">
        <v>0</v>
      </c>
      <c r="AW60" s="32">
        <v>14635</v>
      </c>
      <c r="AX60" s="32">
        <v>0</v>
      </c>
      <c r="AY60" s="32">
        <v>0</v>
      </c>
      <c r="AZ60" s="32">
        <v>0</v>
      </c>
      <c r="BA60" s="32">
        <v>4</v>
      </c>
      <c r="BB60" s="32">
        <v>98</v>
      </c>
      <c r="BC60" s="32">
        <v>21805</v>
      </c>
      <c r="BD60" s="34">
        <f>IFERROR(SUM(Cons_Metrics[[#This Row],[Operating surplus/(deficit) (social housing lettings)]])/SUM(Cons_Metrics[[#This Row],[Turnover from social housing lettings]]),"")</f>
        <v>0.47293633729082918</v>
      </c>
      <c r="BE60" s="32">
        <v>50590</v>
      </c>
      <c r="BF60" s="32">
        <v>106970</v>
      </c>
      <c r="BG60" s="34">
        <f>IFERROR(SUM(Cons_Metrics[[#This Row],[Operating surplus/(deficit) (overall)2]],-Cons_Metrics[[#This Row],[Gain/(loss) on disposal of fixed assets (housing properties)2]])/SUM(Cons_Metrics[[#This Row],[Turnover (overall)]]),"")</f>
        <v>0.41826135726303981</v>
      </c>
      <c r="BH60" s="32">
        <v>58887</v>
      </c>
      <c r="BI60" s="32">
        <v>2955</v>
      </c>
      <c r="BJ60" s="32">
        <v>133725</v>
      </c>
      <c r="BK60" s="34">
        <f>IFERROR(SUM(Cons_Metrics[[#This Row],[Operating surplus/(deficit) (overall)3]],Cons_Metrics[[#This Row],[Share of operating surplus/(deficit) in joint ventures or associates]])/SUM(Cons_Metrics[[#This Row],[Total assets less current liabilities]]),"")</f>
        <v>3.9909671726396416E-2</v>
      </c>
      <c r="BL60" s="32">
        <v>58887</v>
      </c>
      <c r="BM60" s="32">
        <v>0</v>
      </c>
      <c r="BN60" s="32">
        <v>1475507</v>
      </c>
      <c r="BO60" s="34">
        <v>1.4480135636713558E-2</v>
      </c>
      <c r="BP60" s="34">
        <v>6.859735141822848E-2</v>
      </c>
      <c r="BQ60" s="6" t="s">
        <v>93</v>
      </c>
      <c r="BR60" s="6">
        <v>1993</v>
      </c>
      <c r="BS60" s="6" t="s">
        <v>94</v>
      </c>
      <c r="BT60" s="6" t="s">
        <v>100</v>
      </c>
      <c r="BU60" s="8">
        <v>1.0022399874355168</v>
      </c>
    </row>
    <row r="61" spans="1:73" x14ac:dyDescent="0.25">
      <c r="A61" s="33" t="s">
        <v>211</v>
      </c>
      <c r="B61" s="7" t="s">
        <v>212</v>
      </c>
      <c r="C61" s="7" t="s">
        <v>81</v>
      </c>
      <c r="D6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0.10754619907727769</v>
      </c>
      <c r="E61" s="32">
        <v>69646</v>
      </c>
      <c r="F61" s="32">
        <v>7573</v>
      </c>
      <c r="G61" s="32">
        <v>10908</v>
      </c>
      <c r="H61" s="32">
        <v>1549</v>
      </c>
      <c r="I61" s="32">
        <v>0</v>
      </c>
      <c r="J61" s="32">
        <v>833837</v>
      </c>
      <c r="K61" s="32">
        <v>0</v>
      </c>
      <c r="L6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4.1153020545844833E-2</v>
      </c>
      <c r="M61" s="32">
        <v>671</v>
      </c>
      <c r="N61" s="32">
        <v>0</v>
      </c>
      <c r="O61" s="32">
        <v>15835</v>
      </c>
      <c r="P61" s="32">
        <v>470</v>
      </c>
      <c r="Q6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61" s="32">
        <v>0</v>
      </c>
      <c r="S61" s="32">
        <v>0</v>
      </c>
      <c r="T61" s="32">
        <v>0</v>
      </c>
      <c r="U61" s="32">
        <v>15835</v>
      </c>
      <c r="V61" s="32">
        <v>104</v>
      </c>
      <c r="W61" s="32">
        <v>470</v>
      </c>
      <c r="X61" s="32">
        <v>11</v>
      </c>
      <c r="Y6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0.33082484946098578</v>
      </c>
      <c r="Z61" s="32">
        <v>0</v>
      </c>
      <c r="AA61" s="32">
        <v>289733</v>
      </c>
      <c r="AB61" s="32">
        <v>13879</v>
      </c>
      <c r="AC61" s="32">
        <v>0</v>
      </c>
      <c r="AD61" s="32">
        <v>0</v>
      </c>
      <c r="AE61" s="32">
        <v>833837</v>
      </c>
      <c r="AF61" s="32">
        <v>0</v>
      </c>
      <c r="AG6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3.7266916652462929</v>
      </c>
      <c r="AH61" s="32">
        <v>43820</v>
      </c>
      <c r="AI61" s="32">
        <v>1009</v>
      </c>
      <c r="AJ61" s="32">
        <v>144</v>
      </c>
      <c r="AK61" s="32">
        <v>0</v>
      </c>
      <c r="AL61" s="32">
        <v>203</v>
      </c>
      <c r="AM61" s="32">
        <v>10908</v>
      </c>
      <c r="AN61" s="32">
        <v>11767</v>
      </c>
      <c r="AO61" s="32">
        <v>-1549</v>
      </c>
      <c r="AP61" s="32">
        <v>-10185</v>
      </c>
      <c r="AQ6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2.5966927543549607</v>
      </c>
      <c r="AR61" s="32">
        <v>6938</v>
      </c>
      <c r="AS61" s="32">
        <v>7092</v>
      </c>
      <c r="AT61" s="32">
        <v>8049</v>
      </c>
      <c r="AU61" s="32">
        <v>2971</v>
      </c>
      <c r="AV61" s="32">
        <v>4010</v>
      </c>
      <c r="AW61" s="32">
        <v>10908</v>
      </c>
      <c r="AX61" s="32">
        <v>48</v>
      </c>
      <c r="AY61" s="32">
        <v>0</v>
      </c>
      <c r="AZ61" s="32">
        <v>0</v>
      </c>
      <c r="BA61" s="32">
        <v>445</v>
      </c>
      <c r="BB61" s="32">
        <v>681</v>
      </c>
      <c r="BC61" s="32">
        <v>15844</v>
      </c>
      <c r="BD61" s="34">
        <f>IFERROR(SUM(Cons_Metrics[[#This Row],[Operating surplus/(deficit) (social housing lettings)]])/SUM(Cons_Metrics[[#This Row],[Turnover from social housing lettings]]),"")</f>
        <v>0.48748600118282143</v>
      </c>
      <c r="BE61" s="32">
        <v>38741</v>
      </c>
      <c r="BF61" s="32">
        <v>79471</v>
      </c>
      <c r="BG61" s="34">
        <f>IFERROR(SUM(Cons_Metrics[[#This Row],[Operating surplus/(deficit) (overall)2]],-Cons_Metrics[[#This Row],[Gain/(loss) on disposal of fixed assets (housing properties)2]])/SUM(Cons_Metrics[[#This Row],[Turnover (overall)]]),"")</f>
        <v>0.42237832611462456</v>
      </c>
      <c r="BH61" s="32">
        <v>43820</v>
      </c>
      <c r="BI61" s="32">
        <v>1009</v>
      </c>
      <c r="BJ61" s="32">
        <v>101357</v>
      </c>
      <c r="BK61" s="34">
        <f>IFERROR(SUM(Cons_Metrics[[#This Row],[Operating surplus/(deficit) (overall)3]],Cons_Metrics[[#This Row],[Share of operating surplus/(deficit) in joint ventures or associates]])/SUM(Cons_Metrics[[#This Row],[Total assets less current liabilities]]),"")</f>
        <v>4.951916014057927E-2</v>
      </c>
      <c r="BL61" s="32">
        <v>43820</v>
      </c>
      <c r="BM61" s="32">
        <v>0</v>
      </c>
      <c r="BN61" s="32">
        <v>884910</v>
      </c>
      <c r="BO61" s="34">
        <v>1.0609409535838332E-2</v>
      </c>
      <c r="BP61" s="34">
        <v>0.11228291758762235</v>
      </c>
      <c r="BQ61" s="6" t="s">
        <v>93</v>
      </c>
      <c r="BR61" s="6">
        <v>2004</v>
      </c>
      <c r="BS61" s="6" t="s">
        <v>94</v>
      </c>
      <c r="BT61" s="6" t="s">
        <v>90</v>
      </c>
      <c r="BU61" s="8">
        <v>0.91624773508157864</v>
      </c>
    </row>
    <row r="62" spans="1:73" x14ac:dyDescent="0.25">
      <c r="A62" s="33" t="s">
        <v>213</v>
      </c>
      <c r="B62" s="7" t="s">
        <v>214</v>
      </c>
      <c r="C62" s="7" t="s">
        <v>81</v>
      </c>
      <c r="D6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7.35250461248214E-2</v>
      </c>
      <c r="E62" s="32">
        <v>13626</v>
      </c>
      <c r="F62" s="32">
        <v>3384</v>
      </c>
      <c r="G62" s="32">
        <v>9491</v>
      </c>
      <c r="H62" s="32">
        <v>0</v>
      </c>
      <c r="I62" s="32">
        <v>0</v>
      </c>
      <c r="J62" s="32">
        <v>360435</v>
      </c>
      <c r="K62" s="32">
        <v>0</v>
      </c>
      <c r="L6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8.1430442457718806E-3</v>
      </c>
      <c r="M62" s="32">
        <v>143</v>
      </c>
      <c r="N62" s="32">
        <v>0</v>
      </c>
      <c r="O62" s="32">
        <v>17561</v>
      </c>
      <c r="P62" s="32">
        <v>0</v>
      </c>
      <c r="Q6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62" s="32">
        <v>0</v>
      </c>
      <c r="S62" s="32">
        <v>0</v>
      </c>
      <c r="T62" s="32">
        <v>0</v>
      </c>
      <c r="U62" s="32">
        <v>17561</v>
      </c>
      <c r="V62" s="32">
        <v>116</v>
      </c>
      <c r="W62" s="32">
        <v>0</v>
      </c>
      <c r="X62" s="32">
        <v>495</v>
      </c>
      <c r="Y6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0.33378556466491877</v>
      </c>
      <c r="Z62" s="32">
        <v>5300</v>
      </c>
      <c r="AA62" s="32">
        <v>162623</v>
      </c>
      <c r="AB62" s="32">
        <v>49525</v>
      </c>
      <c r="AC62" s="32">
        <v>0</v>
      </c>
      <c r="AD62" s="32">
        <v>1910</v>
      </c>
      <c r="AE62" s="32">
        <v>360435</v>
      </c>
      <c r="AF62" s="32">
        <v>0</v>
      </c>
      <c r="AG6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2.1104404913172385</v>
      </c>
      <c r="AH62" s="32">
        <v>19056</v>
      </c>
      <c r="AI62" s="32">
        <v>719</v>
      </c>
      <c r="AJ62" s="32">
        <v>3724</v>
      </c>
      <c r="AK62" s="32">
        <v>460</v>
      </c>
      <c r="AL62" s="32">
        <v>25</v>
      </c>
      <c r="AM62" s="32">
        <v>9491</v>
      </c>
      <c r="AN62" s="32">
        <v>15244</v>
      </c>
      <c r="AO62" s="32">
        <v>0</v>
      </c>
      <c r="AP62" s="32">
        <v>-9444</v>
      </c>
      <c r="AQ6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2.7442964123998608</v>
      </c>
      <c r="AR62" s="32">
        <v>18363</v>
      </c>
      <c r="AS62" s="32">
        <v>2892</v>
      </c>
      <c r="AT62" s="32">
        <v>11165</v>
      </c>
      <c r="AU62" s="32">
        <v>4390</v>
      </c>
      <c r="AV62" s="32">
        <v>1050</v>
      </c>
      <c r="AW62" s="32">
        <v>9491</v>
      </c>
      <c r="AX62" s="32">
        <v>4605</v>
      </c>
      <c r="AY62" s="32">
        <v>0</v>
      </c>
      <c r="AZ62" s="32">
        <v>0</v>
      </c>
      <c r="BA62" s="32">
        <v>9668</v>
      </c>
      <c r="BB62" s="32">
        <v>1407</v>
      </c>
      <c r="BC62" s="32">
        <v>22968</v>
      </c>
      <c r="BD62" s="34">
        <f>IFERROR(SUM(Cons_Metrics[[#This Row],[Operating surplus/(deficit) (social housing lettings)]])/SUM(Cons_Metrics[[#This Row],[Turnover from social housing lettings]]),"")</f>
        <v>0.2967329024424179</v>
      </c>
      <c r="BE62" s="32">
        <v>23460</v>
      </c>
      <c r="BF62" s="32">
        <v>79061</v>
      </c>
      <c r="BG62" s="34">
        <f>IFERROR(SUM(Cons_Metrics[[#This Row],[Operating surplus/(deficit) (overall)2]],-Cons_Metrics[[#This Row],[Gain/(loss) on disposal of fixed assets (housing properties)2]])/SUM(Cons_Metrics[[#This Row],[Turnover (overall)]]),"")</f>
        <v>0.12884435669165747</v>
      </c>
      <c r="BH62" s="32">
        <v>19056</v>
      </c>
      <c r="BI62" s="32">
        <v>719</v>
      </c>
      <c r="BJ62" s="32">
        <v>142319</v>
      </c>
      <c r="BK62" s="34">
        <f>IFERROR(SUM(Cons_Metrics[[#This Row],[Operating surplus/(deficit) (overall)3]],Cons_Metrics[[#This Row],[Share of operating surplus/(deficit) in joint ventures or associates]])/SUM(Cons_Metrics[[#This Row],[Total assets less current liabilities]]),"")</f>
        <v>4.1404664543127689E-2</v>
      </c>
      <c r="BL62" s="32">
        <v>19056</v>
      </c>
      <c r="BM62" s="32">
        <v>0</v>
      </c>
      <c r="BN62" s="32">
        <v>460238</v>
      </c>
      <c r="BO62" s="34">
        <v>6.7536017311087063E-2</v>
      </c>
      <c r="BP62" s="34">
        <v>0</v>
      </c>
      <c r="BQ62" s="6" t="s">
        <v>93</v>
      </c>
      <c r="BR62" s="6">
        <v>2008</v>
      </c>
      <c r="BS62" s="6" t="s">
        <v>120</v>
      </c>
      <c r="BT62" s="6" t="s">
        <v>105</v>
      </c>
      <c r="BU62" s="8">
        <v>0.9156653862445665</v>
      </c>
    </row>
    <row r="63" spans="1:73" x14ac:dyDescent="0.25">
      <c r="A63" s="33" t="s">
        <v>215</v>
      </c>
      <c r="B63" s="7" t="s">
        <v>216</v>
      </c>
      <c r="C63" s="7" t="s">
        <v>81</v>
      </c>
      <c r="D6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7.5990953064896907E-2</v>
      </c>
      <c r="E63" s="32">
        <v>4374</v>
      </c>
      <c r="F63" s="32">
        <v>0</v>
      </c>
      <c r="G63" s="32">
        <v>158</v>
      </c>
      <c r="H63" s="32">
        <v>71</v>
      </c>
      <c r="I63" s="32">
        <v>0</v>
      </c>
      <c r="J63" s="32">
        <v>60573</v>
      </c>
      <c r="K63" s="32">
        <v>0</v>
      </c>
      <c r="L6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7.841239109390126E-2</v>
      </c>
      <c r="M63" s="32">
        <v>81</v>
      </c>
      <c r="N63" s="32">
        <v>0</v>
      </c>
      <c r="O63" s="32">
        <v>1033</v>
      </c>
      <c r="P63" s="32">
        <v>0</v>
      </c>
      <c r="Q6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63" s="32">
        <v>0</v>
      </c>
      <c r="S63" s="32">
        <v>0</v>
      </c>
      <c r="T63" s="32">
        <v>0</v>
      </c>
      <c r="U63" s="32">
        <v>1033</v>
      </c>
      <c r="V63" s="32">
        <v>0</v>
      </c>
      <c r="W63" s="32">
        <v>0</v>
      </c>
      <c r="X63" s="32">
        <v>0</v>
      </c>
      <c r="Y6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4.3864428045498817E-2</v>
      </c>
      <c r="Z63" s="32">
        <v>272</v>
      </c>
      <c r="AA63" s="32">
        <v>6500</v>
      </c>
      <c r="AB63" s="32">
        <v>4115</v>
      </c>
      <c r="AC63" s="32">
        <v>0</v>
      </c>
      <c r="AD63" s="32">
        <v>0</v>
      </c>
      <c r="AE63" s="32">
        <v>60573</v>
      </c>
      <c r="AF63" s="32">
        <v>0</v>
      </c>
      <c r="AG6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3.6958333333333333</v>
      </c>
      <c r="AH63" s="32">
        <v>336</v>
      </c>
      <c r="AI63" s="32">
        <v>103</v>
      </c>
      <c r="AJ63" s="32">
        <v>443</v>
      </c>
      <c r="AK63" s="32">
        <v>78</v>
      </c>
      <c r="AL63" s="32">
        <v>55</v>
      </c>
      <c r="AM63" s="32">
        <v>158</v>
      </c>
      <c r="AN63" s="32">
        <v>1278</v>
      </c>
      <c r="AO63" s="32">
        <v>-71</v>
      </c>
      <c r="AP63" s="32">
        <v>-169</v>
      </c>
      <c r="AQ6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20.682251082251081</v>
      </c>
      <c r="AR63" s="32">
        <v>3916</v>
      </c>
      <c r="AS63" s="32">
        <v>6547</v>
      </c>
      <c r="AT63" s="32">
        <v>2131</v>
      </c>
      <c r="AU63" s="32">
        <v>581</v>
      </c>
      <c r="AV63" s="32">
        <v>0</v>
      </c>
      <c r="AW63" s="32">
        <v>158</v>
      </c>
      <c r="AX63" s="32">
        <v>708</v>
      </c>
      <c r="AY63" s="32">
        <v>0</v>
      </c>
      <c r="AZ63" s="32">
        <v>0</v>
      </c>
      <c r="BA63" s="32">
        <v>0</v>
      </c>
      <c r="BB63" s="32">
        <v>9847</v>
      </c>
      <c r="BC63" s="32">
        <v>1155</v>
      </c>
      <c r="BD63" s="34">
        <f>IFERROR(SUM(Cons_Metrics[[#This Row],[Operating surplus/(deficit) (social housing lettings)]])/SUM(Cons_Metrics[[#This Row],[Turnover from social housing lettings]]),"")</f>
        <v>9.9253973402530001E-3</v>
      </c>
      <c r="BE63" s="32">
        <v>153</v>
      </c>
      <c r="BF63" s="32">
        <v>15415</v>
      </c>
      <c r="BG63" s="34">
        <f>IFERROR(SUM(Cons_Metrics[[#This Row],[Operating surplus/(deficit) (overall)2]],-Cons_Metrics[[#This Row],[Gain/(loss) on disposal of fixed assets (housing properties)2]])/SUM(Cons_Metrics[[#This Row],[Turnover (overall)]]),"")</f>
        <v>6.083392078535808E-3</v>
      </c>
      <c r="BH63" s="32">
        <v>336</v>
      </c>
      <c r="BI63" s="32">
        <v>103</v>
      </c>
      <c r="BJ63" s="32">
        <v>38301</v>
      </c>
      <c r="BK63" s="34">
        <f>IFERROR(SUM(Cons_Metrics[[#This Row],[Operating surplus/(deficit) (overall)3]],Cons_Metrics[[#This Row],[Share of operating surplus/(deficit) in joint ventures or associates]])/SUM(Cons_Metrics[[#This Row],[Total assets less current liabilities]]),"")</f>
        <v>5.2980132450331126E-3</v>
      </c>
      <c r="BL63" s="32">
        <v>336</v>
      </c>
      <c r="BM63" s="32">
        <v>0</v>
      </c>
      <c r="BN63" s="32">
        <v>63420</v>
      </c>
      <c r="BO63" s="34">
        <v>0.81994191674733785</v>
      </c>
      <c r="BP63" s="34">
        <v>0</v>
      </c>
      <c r="BQ63" s="6" t="s">
        <v>82</v>
      </c>
      <c r="BR63" s="6" t="s">
        <v>83</v>
      </c>
      <c r="BS63" s="6" t="s">
        <v>83</v>
      </c>
      <c r="BT63" s="6" t="s">
        <v>95</v>
      </c>
      <c r="BU63" s="8">
        <v>0.92095479640006972</v>
      </c>
    </row>
    <row r="64" spans="1:73" x14ac:dyDescent="0.25">
      <c r="A64" s="33" t="s">
        <v>217</v>
      </c>
      <c r="B64" s="7" t="s">
        <v>218</v>
      </c>
      <c r="C64" s="7" t="s">
        <v>81</v>
      </c>
      <c r="D6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9.6064100670032765E-2</v>
      </c>
      <c r="E64" s="32">
        <v>0</v>
      </c>
      <c r="F64" s="32">
        <v>9421</v>
      </c>
      <c r="G64" s="32">
        <v>1633</v>
      </c>
      <c r="H64" s="32">
        <v>0</v>
      </c>
      <c r="I64" s="32">
        <v>0</v>
      </c>
      <c r="J64" s="32">
        <v>115069</v>
      </c>
      <c r="K64" s="32">
        <v>0</v>
      </c>
      <c r="L6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6.3114633788345807E-3</v>
      </c>
      <c r="M64" s="32">
        <v>43</v>
      </c>
      <c r="N64" s="32">
        <v>0</v>
      </c>
      <c r="O64" s="32">
        <v>6813</v>
      </c>
      <c r="P64" s="32">
        <v>0</v>
      </c>
      <c r="Q6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1.1728485559302155E-3</v>
      </c>
      <c r="R64" s="32">
        <v>0</v>
      </c>
      <c r="S64" s="32">
        <v>8</v>
      </c>
      <c r="T64" s="32">
        <v>0</v>
      </c>
      <c r="U64" s="32">
        <v>6813</v>
      </c>
      <c r="V64" s="32">
        <v>0</v>
      </c>
      <c r="W64" s="32">
        <v>0</v>
      </c>
      <c r="X64" s="32">
        <v>8</v>
      </c>
      <c r="Y6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0.43479998957147453</v>
      </c>
      <c r="Z64" s="32">
        <v>0</v>
      </c>
      <c r="AA64" s="32">
        <v>57500</v>
      </c>
      <c r="AB64" s="32">
        <v>7468</v>
      </c>
      <c r="AC64" s="32">
        <v>0</v>
      </c>
      <c r="AD64" s="32">
        <v>0</v>
      </c>
      <c r="AE64" s="32">
        <v>115069</v>
      </c>
      <c r="AF64" s="32">
        <v>0</v>
      </c>
      <c r="AG6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6.0510715914272684</v>
      </c>
      <c r="AH64" s="32">
        <v>12314</v>
      </c>
      <c r="AI64" s="32">
        <v>991</v>
      </c>
      <c r="AJ64" s="32">
        <v>74</v>
      </c>
      <c r="AK64" s="32">
        <v>0</v>
      </c>
      <c r="AL64" s="32">
        <v>0</v>
      </c>
      <c r="AM64" s="32">
        <v>2738</v>
      </c>
      <c r="AN64" s="32">
        <v>4759</v>
      </c>
      <c r="AO64" s="32">
        <v>0</v>
      </c>
      <c r="AP64" s="32">
        <v>-2193</v>
      </c>
      <c r="AQ6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2.546455306032585</v>
      </c>
      <c r="AR64" s="32">
        <v>4491</v>
      </c>
      <c r="AS64" s="32">
        <v>2478</v>
      </c>
      <c r="AT64" s="32">
        <v>3808</v>
      </c>
      <c r="AU64" s="32">
        <v>1234</v>
      </c>
      <c r="AV64" s="32">
        <v>2427</v>
      </c>
      <c r="AW64" s="32">
        <v>2738</v>
      </c>
      <c r="AX64" s="32">
        <v>173</v>
      </c>
      <c r="AY64" s="32">
        <v>0</v>
      </c>
      <c r="AZ64" s="32">
        <v>0</v>
      </c>
      <c r="BA64" s="32">
        <v>0</v>
      </c>
      <c r="BB64" s="32">
        <v>0</v>
      </c>
      <c r="BC64" s="32">
        <v>6813</v>
      </c>
      <c r="BD64" s="34">
        <f>IFERROR(SUM(Cons_Metrics[[#This Row],[Operating surplus/(deficit) (social housing lettings)]])/SUM(Cons_Metrics[[#This Row],[Turnover from social housing lettings]]),"")</f>
        <v>0.35905074307136164</v>
      </c>
      <c r="BE64" s="32">
        <v>10727</v>
      </c>
      <c r="BF64" s="32">
        <v>29876</v>
      </c>
      <c r="BG64" s="34">
        <f>IFERROR(SUM(Cons_Metrics[[#This Row],[Operating surplus/(deficit) (overall)2]],-Cons_Metrics[[#This Row],[Gain/(loss) on disposal of fixed assets (housing properties)2]])/SUM(Cons_Metrics[[#This Row],[Turnover (overall)]]),"")</f>
        <v>0.36747476714373806</v>
      </c>
      <c r="BH64" s="32">
        <v>12314</v>
      </c>
      <c r="BI64" s="32">
        <v>991</v>
      </c>
      <c r="BJ64" s="32">
        <v>30813</v>
      </c>
      <c r="BK64" s="34">
        <f>IFERROR(SUM(Cons_Metrics[[#This Row],[Operating surplus/(deficit) (overall)3]],Cons_Metrics[[#This Row],[Share of operating surplus/(deficit) in joint ventures or associates]])/SUM(Cons_Metrics[[#This Row],[Total assets less current liabilities]]),"")</f>
        <v>9.798211273433273E-2</v>
      </c>
      <c r="BL64" s="32">
        <v>12314</v>
      </c>
      <c r="BM64" s="32">
        <v>0</v>
      </c>
      <c r="BN64" s="32">
        <v>125676</v>
      </c>
      <c r="BO64" s="34">
        <v>0</v>
      </c>
      <c r="BP64" s="34">
        <v>8.9681491266696028E-2</v>
      </c>
      <c r="BQ64" s="6" t="s">
        <v>93</v>
      </c>
      <c r="BR64" s="6">
        <v>2006</v>
      </c>
      <c r="BS64" s="6" t="s">
        <v>94</v>
      </c>
      <c r="BT64" s="6" t="s">
        <v>100</v>
      </c>
      <c r="BU64" s="8">
        <v>1.0022399874355168</v>
      </c>
    </row>
    <row r="65" spans="1:73" x14ac:dyDescent="0.25">
      <c r="A65" s="33" t="s">
        <v>219</v>
      </c>
      <c r="B65" s="7" t="s">
        <v>220</v>
      </c>
      <c r="C65" s="7" t="s">
        <v>81</v>
      </c>
      <c r="D6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0.10781386542382755</v>
      </c>
      <c r="E65" s="32">
        <v>15139</v>
      </c>
      <c r="F65" s="32">
        <v>0</v>
      </c>
      <c r="G65" s="32">
        <v>2627</v>
      </c>
      <c r="H65" s="32">
        <v>0</v>
      </c>
      <c r="I65" s="32">
        <v>0</v>
      </c>
      <c r="J65" s="32">
        <v>164784</v>
      </c>
      <c r="K65" s="32">
        <v>0</v>
      </c>
      <c r="L6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2.2169093675287979E-2</v>
      </c>
      <c r="M65" s="32">
        <v>204</v>
      </c>
      <c r="N65" s="32">
        <v>0</v>
      </c>
      <c r="O65" s="32">
        <v>9089</v>
      </c>
      <c r="P65" s="32">
        <v>113</v>
      </c>
      <c r="Q6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1.7147143928839352E-3</v>
      </c>
      <c r="R65" s="32">
        <v>16</v>
      </c>
      <c r="S65" s="32">
        <v>0</v>
      </c>
      <c r="T65" s="32">
        <v>0</v>
      </c>
      <c r="U65" s="32">
        <v>9089</v>
      </c>
      <c r="V65" s="32">
        <v>129</v>
      </c>
      <c r="W65" s="32">
        <v>113</v>
      </c>
      <c r="X65" s="32">
        <v>0</v>
      </c>
      <c r="Y6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0.7803609573745024</v>
      </c>
      <c r="Z65" s="32">
        <v>0</v>
      </c>
      <c r="AA65" s="32">
        <v>144541</v>
      </c>
      <c r="AB65" s="32">
        <v>15950</v>
      </c>
      <c r="AC65" s="32">
        <v>0</v>
      </c>
      <c r="AD65" s="32">
        <v>0</v>
      </c>
      <c r="AE65" s="32">
        <v>164784</v>
      </c>
      <c r="AF65" s="32">
        <v>0</v>
      </c>
      <c r="AG6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2.6888056476012103</v>
      </c>
      <c r="AH65" s="32">
        <v>16788</v>
      </c>
      <c r="AI65" s="32">
        <v>816</v>
      </c>
      <c r="AJ65" s="32">
        <v>473</v>
      </c>
      <c r="AK65" s="32">
        <v>0</v>
      </c>
      <c r="AL65" s="32">
        <v>10</v>
      </c>
      <c r="AM65" s="32">
        <v>2627</v>
      </c>
      <c r="AN65" s="32">
        <v>5781</v>
      </c>
      <c r="AO65" s="32">
        <v>0</v>
      </c>
      <c r="AP65" s="32">
        <v>-6941</v>
      </c>
      <c r="AQ6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2.7354279523293608</v>
      </c>
      <c r="AR65" s="32">
        <v>9590</v>
      </c>
      <c r="AS65" s="32">
        <v>1289</v>
      </c>
      <c r="AT65" s="32">
        <v>4482</v>
      </c>
      <c r="AU65" s="32">
        <v>3600</v>
      </c>
      <c r="AV65" s="32">
        <v>1898</v>
      </c>
      <c r="AW65" s="32">
        <v>2627</v>
      </c>
      <c r="AX65" s="32">
        <v>1363</v>
      </c>
      <c r="AY65" s="32">
        <v>0</v>
      </c>
      <c r="AZ65" s="32">
        <v>0</v>
      </c>
      <c r="BA65" s="32">
        <v>399</v>
      </c>
      <c r="BB65" s="32">
        <v>0</v>
      </c>
      <c r="BC65" s="32">
        <v>9230</v>
      </c>
      <c r="BD65" s="34">
        <f>IFERROR(SUM(Cons_Metrics[[#This Row],[Operating surplus/(deficit) (social housing lettings)]])/SUM(Cons_Metrics[[#This Row],[Turnover from social housing lettings]]),"")</f>
        <v>0.34960243217960713</v>
      </c>
      <c r="BE65" s="32">
        <v>14949</v>
      </c>
      <c r="BF65" s="32">
        <v>42760</v>
      </c>
      <c r="BG65" s="34">
        <f>IFERROR(SUM(Cons_Metrics[[#This Row],[Operating surplus/(deficit) (overall)2]],-Cons_Metrics[[#This Row],[Gain/(loss) on disposal of fixed assets (housing properties)2]])/SUM(Cons_Metrics[[#This Row],[Turnover (overall)]]),"")</f>
        <v>0.31819902380715209</v>
      </c>
      <c r="BH65" s="32">
        <v>16788</v>
      </c>
      <c r="BI65" s="32">
        <v>816</v>
      </c>
      <c r="BJ65" s="32">
        <v>50195</v>
      </c>
      <c r="BK65" s="34">
        <f>IFERROR(SUM(Cons_Metrics[[#This Row],[Operating surplus/(deficit) (overall)3]],Cons_Metrics[[#This Row],[Share of operating surplus/(deficit) in joint ventures or associates]])/SUM(Cons_Metrics[[#This Row],[Total assets less current liabilities]]),"")</f>
        <v>8.5500817422039327E-2</v>
      </c>
      <c r="BL65" s="32">
        <v>16788</v>
      </c>
      <c r="BM65" s="32">
        <v>0</v>
      </c>
      <c r="BN65" s="32">
        <v>196349</v>
      </c>
      <c r="BO65" s="34">
        <v>2.1106420795378804E-3</v>
      </c>
      <c r="BP65" s="34">
        <v>0.34447900466562986</v>
      </c>
      <c r="BQ65" s="6" t="s">
        <v>93</v>
      </c>
      <c r="BR65" s="6">
        <v>2003</v>
      </c>
      <c r="BS65" s="6" t="s">
        <v>94</v>
      </c>
      <c r="BT65" s="6" t="s">
        <v>95</v>
      </c>
      <c r="BU65" s="8">
        <v>0.92038375847935383</v>
      </c>
    </row>
    <row r="66" spans="1:73" x14ac:dyDescent="0.25">
      <c r="A66" s="33" t="s">
        <v>221</v>
      </c>
      <c r="B66" s="7" t="s">
        <v>222</v>
      </c>
      <c r="C66" s="7" t="s">
        <v>81</v>
      </c>
      <c r="D6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6.3584367304927891E-2</v>
      </c>
      <c r="E66" s="32">
        <v>13691</v>
      </c>
      <c r="F66" s="32">
        <v>0</v>
      </c>
      <c r="G66" s="32">
        <v>921</v>
      </c>
      <c r="H66" s="32">
        <v>29</v>
      </c>
      <c r="I66" s="32">
        <v>0</v>
      </c>
      <c r="J66" s="32">
        <v>230261</v>
      </c>
      <c r="K66" s="32">
        <v>0</v>
      </c>
      <c r="L6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1.0023387905111927E-3</v>
      </c>
      <c r="M66" s="32">
        <v>3</v>
      </c>
      <c r="N66" s="32">
        <v>0</v>
      </c>
      <c r="O66" s="32">
        <v>2758</v>
      </c>
      <c r="P66" s="32">
        <v>235</v>
      </c>
      <c r="Q6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66" s="32">
        <v>0</v>
      </c>
      <c r="S66" s="32">
        <v>0</v>
      </c>
      <c r="T66" s="32">
        <v>0</v>
      </c>
      <c r="U66" s="32">
        <v>2758</v>
      </c>
      <c r="V66" s="32">
        <v>0</v>
      </c>
      <c r="W66" s="32">
        <v>235</v>
      </c>
      <c r="X66" s="32">
        <v>0</v>
      </c>
      <c r="Y6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0.17831069959741336</v>
      </c>
      <c r="Z66" s="32">
        <v>3234</v>
      </c>
      <c r="AA66" s="32">
        <v>102618</v>
      </c>
      <c r="AB66" s="32">
        <v>64794</v>
      </c>
      <c r="AC66" s="32">
        <v>0</v>
      </c>
      <c r="AD66" s="32">
        <v>0</v>
      </c>
      <c r="AE66" s="32">
        <v>230261</v>
      </c>
      <c r="AF66" s="32">
        <v>0</v>
      </c>
      <c r="AG6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2.2717353044702571</v>
      </c>
      <c r="AH66" s="32">
        <v>6432</v>
      </c>
      <c r="AI66" s="32">
        <v>1109</v>
      </c>
      <c r="AJ66" s="32">
        <v>1193</v>
      </c>
      <c r="AK66" s="32">
        <v>0</v>
      </c>
      <c r="AL66" s="32">
        <v>244</v>
      </c>
      <c r="AM66" s="32">
        <v>921</v>
      </c>
      <c r="AN66" s="32">
        <v>3001</v>
      </c>
      <c r="AO66" s="32">
        <v>-29</v>
      </c>
      <c r="AP66" s="32">
        <v>-2812</v>
      </c>
      <c r="AQ6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5.7559825960841193</v>
      </c>
      <c r="AR66" s="32">
        <v>3559</v>
      </c>
      <c r="AS66" s="32">
        <v>2229</v>
      </c>
      <c r="AT66" s="32">
        <v>3410</v>
      </c>
      <c r="AU66" s="32">
        <v>1270</v>
      </c>
      <c r="AV66" s="32">
        <v>683</v>
      </c>
      <c r="AW66" s="32">
        <v>921</v>
      </c>
      <c r="AX66" s="32">
        <v>0</v>
      </c>
      <c r="AY66" s="32">
        <v>361</v>
      </c>
      <c r="AZ66" s="32">
        <v>0</v>
      </c>
      <c r="BA66" s="32">
        <v>0</v>
      </c>
      <c r="BB66" s="32">
        <v>3442</v>
      </c>
      <c r="BC66" s="32">
        <v>2758</v>
      </c>
      <c r="BD66" s="34">
        <f>IFERROR(SUM(Cons_Metrics[[#This Row],[Operating surplus/(deficit) (social housing lettings)]])/SUM(Cons_Metrics[[#This Row],[Turnover from social housing lettings]]),"")</f>
        <v>0.28810703160904866</v>
      </c>
      <c r="BE66" s="32">
        <v>5642</v>
      </c>
      <c r="BF66" s="32">
        <v>19583</v>
      </c>
      <c r="BG66" s="34">
        <f>IFERROR(SUM(Cons_Metrics[[#This Row],[Operating surplus/(deficit) (overall)2]],-Cons_Metrics[[#This Row],[Gain/(loss) on disposal of fixed assets (housing properties)2]])/SUM(Cons_Metrics[[#This Row],[Turnover (overall)]]),"")</f>
        <v>0.22703232960846201</v>
      </c>
      <c r="BH66" s="32">
        <v>6432</v>
      </c>
      <c r="BI66" s="32">
        <v>1109</v>
      </c>
      <c r="BJ66" s="32">
        <v>23446</v>
      </c>
      <c r="BK66" s="34">
        <f>IFERROR(SUM(Cons_Metrics[[#This Row],[Operating surplus/(deficit) (overall)3]],Cons_Metrics[[#This Row],[Share of operating surplus/(deficit) in joint ventures or associates]])/SUM(Cons_Metrics[[#This Row],[Total assets less current liabilities]]),"")</f>
        <v>2.2270388554571453E-2</v>
      </c>
      <c r="BL66" s="32">
        <v>6432</v>
      </c>
      <c r="BM66" s="32">
        <v>0</v>
      </c>
      <c r="BN66" s="32">
        <v>288814</v>
      </c>
      <c r="BO66" s="34">
        <v>3.8586368553912731E-2</v>
      </c>
      <c r="BP66" s="34">
        <v>0.144248106743599</v>
      </c>
      <c r="BQ66" s="6" t="s">
        <v>82</v>
      </c>
      <c r="BR66" s="6" t="s">
        <v>83</v>
      </c>
      <c r="BS66" s="6" t="s">
        <v>83</v>
      </c>
      <c r="BT66" s="6" t="s">
        <v>156</v>
      </c>
      <c r="BU66" s="8">
        <v>1.2487711995373192</v>
      </c>
    </row>
    <row r="67" spans="1:73" x14ac:dyDescent="0.25">
      <c r="A67" s="33" t="s">
        <v>223</v>
      </c>
      <c r="B67" s="7" t="s">
        <v>224</v>
      </c>
      <c r="C67" s="7" t="s">
        <v>81</v>
      </c>
      <c r="D6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3.1440260284122022E-2</v>
      </c>
      <c r="E67" s="32">
        <v>71300</v>
      </c>
      <c r="F67" s="32">
        <v>0</v>
      </c>
      <c r="G67" s="32">
        <v>16900</v>
      </c>
      <c r="H67" s="32">
        <v>9400</v>
      </c>
      <c r="I67" s="32">
        <v>0</v>
      </c>
      <c r="J67" s="32">
        <v>3104300</v>
      </c>
      <c r="K67" s="32">
        <v>0</v>
      </c>
      <c r="L6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5.7200057200057202E-3</v>
      </c>
      <c r="M67" s="32">
        <v>160</v>
      </c>
      <c r="N67" s="32">
        <v>0</v>
      </c>
      <c r="O67" s="32">
        <v>24764</v>
      </c>
      <c r="P67" s="32">
        <v>3208</v>
      </c>
      <c r="Q6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2.887718702225242E-3</v>
      </c>
      <c r="R67" s="32">
        <v>61</v>
      </c>
      <c r="S67" s="32">
        <v>0</v>
      </c>
      <c r="T67" s="32">
        <v>24</v>
      </c>
      <c r="U67" s="32">
        <v>24764</v>
      </c>
      <c r="V67" s="32">
        <v>1463</v>
      </c>
      <c r="W67" s="32">
        <v>3208</v>
      </c>
      <c r="X67" s="32">
        <v>0</v>
      </c>
      <c r="Y6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0.48613213929066135</v>
      </c>
      <c r="Z67" s="32">
        <v>34000</v>
      </c>
      <c r="AA67" s="32">
        <v>1556300</v>
      </c>
      <c r="AB67" s="32">
        <v>81200</v>
      </c>
      <c r="AC67" s="32">
        <v>0</v>
      </c>
      <c r="AD67" s="32">
        <v>0</v>
      </c>
      <c r="AE67" s="32">
        <v>3104300</v>
      </c>
      <c r="AF67" s="32">
        <v>0</v>
      </c>
      <c r="AG6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0.39559164733178653</v>
      </c>
      <c r="AH67" s="32">
        <v>81800</v>
      </c>
      <c r="AI67" s="32">
        <v>42800</v>
      </c>
      <c r="AJ67" s="32">
        <v>7600</v>
      </c>
      <c r="AK67" s="32">
        <v>800</v>
      </c>
      <c r="AL67" s="32">
        <v>200</v>
      </c>
      <c r="AM67" s="32">
        <v>26300</v>
      </c>
      <c r="AN67" s="32">
        <v>29600</v>
      </c>
      <c r="AO67" s="32">
        <v>-9400</v>
      </c>
      <c r="AP67" s="32">
        <v>-76800</v>
      </c>
      <c r="AQ6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7.5308732725668923</v>
      </c>
      <c r="AR67" s="32">
        <v>76600</v>
      </c>
      <c r="AS67" s="32">
        <v>27400</v>
      </c>
      <c r="AT67" s="32">
        <v>20200</v>
      </c>
      <c r="AU67" s="32">
        <v>9800</v>
      </c>
      <c r="AV67" s="32">
        <v>0</v>
      </c>
      <c r="AW67" s="32">
        <v>26300</v>
      </c>
      <c r="AX67" s="32">
        <v>44300</v>
      </c>
      <c r="AY67" s="32">
        <v>0</v>
      </c>
      <c r="AZ67" s="32">
        <v>0</v>
      </c>
      <c r="BA67" s="32">
        <v>300</v>
      </c>
      <c r="BB67" s="32">
        <v>0</v>
      </c>
      <c r="BC67" s="32">
        <v>27208</v>
      </c>
      <c r="BD67" s="34">
        <f>IFERROR(SUM(Cons_Metrics[[#This Row],[Operating surplus/(deficit) (social housing lettings)]])/SUM(Cons_Metrics[[#This Row],[Turnover from social housing lettings]]),"")</f>
        <v>0.17875751503006013</v>
      </c>
      <c r="BE67" s="32">
        <v>44600</v>
      </c>
      <c r="BF67" s="32">
        <v>249500</v>
      </c>
      <c r="BG67" s="34">
        <f>IFERROR(SUM(Cons_Metrics[[#This Row],[Operating surplus/(deficit) (overall)2]],-Cons_Metrics[[#This Row],[Gain/(loss) on disposal of fixed assets (housing properties)2]])/SUM(Cons_Metrics[[#This Row],[Turnover (overall)]]),"")</f>
        <v>0.12018489984591679</v>
      </c>
      <c r="BH67" s="32">
        <v>81800</v>
      </c>
      <c r="BI67" s="32">
        <v>42800</v>
      </c>
      <c r="BJ67" s="32">
        <v>324500</v>
      </c>
      <c r="BK67" s="34">
        <f>IFERROR(SUM(Cons_Metrics[[#This Row],[Operating surplus/(deficit) (overall)3]],Cons_Metrics[[#This Row],[Share of operating surplus/(deficit) in joint ventures or associates]])/SUM(Cons_Metrics[[#This Row],[Total assets less current liabilities]]),"")</f>
        <v>2.4041852809781331E-2</v>
      </c>
      <c r="BL67" s="32">
        <v>81800</v>
      </c>
      <c r="BM67" s="32">
        <v>0</v>
      </c>
      <c r="BN67" s="32">
        <v>3402400</v>
      </c>
      <c r="BO67" s="34">
        <v>7.8582122769392623E-2</v>
      </c>
      <c r="BP67" s="34">
        <v>5.3413183344798283E-2</v>
      </c>
      <c r="BQ67" s="6" t="s">
        <v>82</v>
      </c>
      <c r="BR67" s="6" t="s">
        <v>83</v>
      </c>
      <c r="BS67" s="6" t="s">
        <v>83</v>
      </c>
      <c r="BT67" s="6" t="s">
        <v>156</v>
      </c>
      <c r="BU67" s="8">
        <v>1.1843269787653574</v>
      </c>
    </row>
    <row r="68" spans="1:73" x14ac:dyDescent="0.25">
      <c r="A68" s="33" t="s">
        <v>225</v>
      </c>
      <c r="B68" s="7" t="s">
        <v>226</v>
      </c>
      <c r="C68" s="7" t="s">
        <v>81</v>
      </c>
      <c r="D6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2.5398588824264458E-2</v>
      </c>
      <c r="E68" s="32">
        <v>10296</v>
      </c>
      <c r="F68" s="32">
        <v>0</v>
      </c>
      <c r="G68" s="32">
        <v>15355</v>
      </c>
      <c r="H68" s="32">
        <v>0</v>
      </c>
      <c r="I68" s="32">
        <v>0</v>
      </c>
      <c r="J68" s="32">
        <v>1009938</v>
      </c>
      <c r="K68" s="32">
        <v>0</v>
      </c>
      <c r="L6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3.8645070233214599E-3</v>
      </c>
      <c r="M68" s="32">
        <v>115</v>
      </c>
      <c r="N68" s="32">
        <v>0</v>
      </c>
      <c r="O68" s="32">
        <v>29020</v>
      </c>
      <c r="P68" s="32">
        <v>738</v>
      </c>
      <c r="Q6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6.2179956108266276E-3</v>
      </c>
      <c r="R68" s="32">
        <v>0</v>
      </c>
      <c r="S68" s="32">
        <v>0</v>
      </c>
      <c r="T68" s="32">
        <v>187</v>
      </c>
      <c r="U68" s="32">
        <v>29020</v>
      </c>
      <c r="V68" s="32">
        <v>70</v>
      </c>
      <c r="W68" s="32">
        <v>738</v>
      </c>
      <c r="X68" s="32">
        <v>246</v>
      </c>
      <c r="Y6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0.54264618224089001</v>
      </c>
      <c r="Z68" s="32">
        <v>11415</v>
      </c>
      <c r="AA68" s="32">
        <v>548414</v>
      </c>
      <c r="AB68" s="32">
        <v>11790</v>
      </c>
      <c r="AC68" s="32">
        <v>0</v>
      </c>
      <c r="AD68" s="32">
        <v>0</v>
      </c>
      <c r="AE68" s="32">
        <v>1009938</v>
      </c>
      <c r="AF68" s="32">
        <v>0</v>
      </c>
      <c r="AG6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2.3005205683196994</v>
      </c>
      <c r="AH68" s="32">
        <v>46173</v>
      </c>
      <c r="AI68" s="32">
        <v>853</v>
      </c>
      <c r="AJ68" s="32">
        <v>1858</v>
      </c>
      <c r="AK68" s="32">
        <v>0</v>
      </c>
      <c r="AL68" s="32">
        <v>1389</v>
      </c>
      <c r="AM68" s="32">
        <v>15355</v>
      </c>
      <c r="AN68" s="32">
        <v>29280</v>
      </c>
      <c r="AO68" s="32">
        <v>0</v>
      </c>
      <c r="AP68" s="32">
        <v>-25549</v>
      </c>
      <c r="AQ6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2.7327203223473497</v>
      </c>
      <c r="AR68" s="32">
        <v>22111</v>
      </c>
      <c r="AS68" s="32">
        <v>2900</v>
      </c>
      <c r="AT68" s="32">
        <v>24917</v>
      </c>
      <c r="AU68" s="32">
        <v>8267</v>
      </c>
      <c r="AV68" s="32">
        <v>3536</v>
      </c>
      <c r="AW68" s="32">
        <v>15355</v>
      </c>
      <c r="AX68" s="32">
        <v>219</v>
      </c>
      <c r="AY68" s="32">
        <v>0</v>
      </c>
      <c r="AZ68" s="32">
        <v>0</v>
      </c>
      <c r="BA68" s="32">
        <v>1071</v>
      </c>
      <c r="BB68" s="32">
        <v>974</v>
      </c>
      <c r="BC68" s="32">
        <v>29037</v>
      </c>
      <c r="BD68" s="34">
        <f>IFERROR(SUM(Cons_Metrics[[#This Row],[Operating surplus/(deficit) (social housing lettings)]])/SUM(Cons_Metrics[[#This Row],[Turnover from social housing lettings]]),"")</f>
        <v>0.31254793272333803</v>
      </c>
      <c r="BE68" s="32">
        <v>41161</v>
      </c>
      <c r="BF68" s="32">
        <v>131695</v>
      </c>
      <c r="BG68" s="34">
        <f>IFERROR(SUM(Cons_Metrics[[#This Row],[Operating surplus/(deficit) (overall)2]],-Cons_Metrics[[#This Row],[Gain/(loss) on disposal of fixed assets (housing properties)2]])/SUM(Cons_Metrics[[#This Row],[Turnover (overall)]]),"")</f>
        <v>0.24856030274776506</v>
      </c>
      <c r="BH68" s="32">
        <v>46173</v>
      </c>
      <c r="BI68" s="32">
        <v>853</v>
      </c>
      <c r="BJ68" s="32">
        <v>182330</v>
      </c>
      <c r="BK68" s="34">
        <f>IFERROR(SUM(Cons_Metrics[[#This Row],[Operating surplus/(deficit) (overall)3]],Cons_Metrics[[#This Row],[Share of operating surplus/(deficit) in joint ventures or associates]])/SUM(Cons_Metrics[[#This Row],[Total assets less current liabilities]]),"")</f>
        <v>4.0368706624164398E-2</v>
      </c>
      <c r="BL68" s="32">
        <v>46173</v>
      </c>
      <c r="BM68" s="32">
        <v>0</v>
      </c>
      <c r="BN68" s="32">
        <v>1143782</v>
      </c>
      <c r="BO68" s="34">
        <v>4.1006202618883532E-3</v>
      </c>
      <c r="BP68" s="34">
        <v>6.5816678152997932E-3</v>
      </c>
      <c r="BQ68" s="6" t="s">
        <v>93</v>
      </c>
      <c r="BR68" s="6">
        <v>2001</v>
      </c>
      <c r="BS68" s="6" t="s">
        <v>94</v>
      </c>
      <c r="BT68" s="6" t="s">
        <v>121</v>
      </c>
      <c r="BU68" s="8">
        <v>0.9026647648742484</v>
      </c>
    </row>
    <row r="69" spans="1:73" x14ac:dyDescent="0.25">
      <c r="A69" s="33" t="s">
        <v>227</v>
      </c>
      <c r="B69" s="7" t="s">
        <v>228</v>
      </c>
      <c r="C69" s="7" t="s">
        <v>81</v>
      </c>
      <c r="D6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0.25941243276833736</v>
      </c>
      <c r="E69" s="32">
        <v>7203</v>
      </c>
      <c r="F69" s="32">
        <v>0</v>
      </c>
      <c r="G69" s="32">
        <v>4903</v>
      </c>
      <c r="H69" s="32">
        <v>0</v>
      </c>
      <c r="I69" s="32">
        <v>0</v>
      </c>
      <c r="J69" s="32">
        <v>46667</v>
      </c>
      <c r="K69" s="32">
        <v>0</v>
      </c>
      <c r="L6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4.8278757346767419E-3</v>
      </c>
      <c r="M69" s="32">
        <v>23</v>
      </c>
      <c r="N69" s="32">
        <v>0</v>
      </c>
      <c r="O69" s="32">
        <v>4466</v>
      </c>
      <c r="P69" s="32">
        <v>298</v>
      </c>
      <c r="Q6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69" s="32">
        <v>0</v>
      </c>
      <c r="S69" s="32">
        <v>0</v>
      </c>
      <c r="T69" s="32">
        <v>0</v>
      </c>
      <c r="U69" s="32">
        <v>4466</v>
      </c>
      <c r="V69" s="32">
        <v>0</v>
      </c>
      <c r="W69" s="32">
        <v>298</v>
      </c>
      <c r="X69" s="32">
        <v>0</v>
      </c>
      <c r="Y6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0.39479718002014269</v>
      </c>
      <c r="Z69" s="32">
        <v>0</v>
      </c>
      <c r="AA69" s="32">
        <v>25160</v>
      </c>
      <c r="AB69" s="32">
        <v>6736</v>
      </c>
      <c r="AC69" s="32">
        <v>0</v>
      </c>
      <c r="AD69" s="32">
        <v>0</v>
      </c>
      <c r="AE69" s="32">
        <v>46667</v>
      </c>
      <c r="AF69" s="32">
        <v>0</v>
      </c>
      <c r="AG6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1.2308243727598567</v>
      </c>
      <c r="AH69" s="32">
        <v>7065</v>
      </c>
      <c r="AI69" s="32">
        <v>1990</v>
      </c>
      <c r="AJ69" s="32">
        <v>8</v>
      </c>
      <c r="AK69" s="32">
        <v>0</v>
      </c>
      <c r="AL69" s="32">
        <v>16</v>
      </c>
      <c r="AM69" s="32">
        <v>4903</v>
      </c>
      <c r="AN69" s="32">
        <v>1537</v>
      </c>
      <c r="AO69" s="32">
        <v>-25</v>
      </c>
      <c r="AP69" s="32">
        <v>-1370</v>
      </c>
      <c r="AQ6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4.2997772828507799</v>
      </c>
      <c r="AR69" s="32">
        <v>7525</v>
      </c>
      <c r="AS69" s="32">
        <v>1254</v>
      </c>
      <c r="AT69" s="32">
        <v>3816</v>
      </c>
      <c r="AU69" s="32">
        <v>371</v>
      </c>
      <c r="AV69" s="32">
        <v>189</v>
      </c>
      <c r="AW69" s="32">
        <v>4903</v>
      </c>
      <c r="AX69" s="32">
        <v>384</v>
      </c>
      <c r="AY69" s="32">
        <v>0</v>
      </c>
      <c r="AZ69" s="32">
        <v>653</v>
      </c>
      <c r="BA69" s="32">
        <v>211</v>
      </c>
      <c r="BB69" s="32">
        <v>0</v>
      </c>
      <c r="BC69" s="32">
        <v>4490</v>
      </c>
      <c r="BD69" s="34">
        <f>IFERROR(SUM(Cons_Metrics[[#This Row],[Operating surplus/(deficit) (social housing lettings)]])/SUM(Cons_Metrics[[#This Row],[Turnover from social housing lettings]]),"")</f>
        <v>0.25578244945060458</v>
      </c>
      <c r="BE69" s="32">
        <v>5098</v>
      </c>
      <c r="BF69" s="32">
        <v>19931</v>
      </c>
      <c r="BG69" s="34">
        <f>IFERROR(SUM(Cons_Metrics[[#This Row],[Operating surplus/(deficit) (overall)2]],-Cons_Metrics[[#This Row],[Gain/(loss) on disposal of fixed assets (housing properties)2]])/SUM(Cons_Metrics[[#This Row],[Turnover (overall)]]),"")</f>
        <v>0.23826291079812206</v>
      </c>
      <c r="BH69" s="32">
        <v>7065</v>
      </c>
      <c r="BI69" s="32">
        <v>1990</v>
      </c>
      <c r="BJ69" s="32">
        <v>21300</v>
      </c>
      <c r="BK69" s="34">
        <f>IFERROR(SUM(Cons_Metrics[[#This Row],[Operating surplus/(deficit) (overall)3]],Cons_Metrics[[#This Row],[Share of operating surplus/(deficit) in joint ventures or associates]])/SUM(Cons_Metrics[[#This Row],[Total assets less current liabilities]]),"")</f>
        <v>4.4167015710079333E-2</v>
      </c>
      <c r="BL69" s="32">
        <v>7065</v>
      </c>
      <c r="BM69" s="32">
        <v>0</v>
      </c>
      <c r="BN69" s="32">
        <v>159961</v>
      </c>
      <c r="BO69" s="34">
        <v>2.0270270270270271E-3</v>
      </c>
      <c r="BP69" s="34">
        <v>0.10653153153153153</v>
      </c>
      <c r="BQ69" s="6" t="s">
        <v>93</v>
      </c>
      <c r="BR69" s="6">
        <v>2015</v>
      </c>
      <c r="BS69" s="6" t="s">
        <v>149</v>
      </c>
      <c r="BT69" s="6" t="s">
        <v>115</v>
      </c>
      <c r="BU69" s="8">
        <v>0.96617455710897804</v>
      </c>
    </row>
    <row r="70" spans="1:73" x14ac:dyDescent="0.25">
      <c r="A70" s="33" t="s">
        <v>229</v>
      </c>
      <c r="B70" s="7" t="s">
        <v>230</v>
      </c>
      <c r="C70" s="7" t="s">
        <v>81</v>
      </c>
      <c r="D7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5.7716959364184077E-2</v>
      </c>
      <c r="E70" s="32">
        <v>4837</v>
      </c>
      <c r="F70" s="32">
        <v>0</v>
      </c>
      <c r="G70" s="32">
        <v>566</v>
      </c>
      <c r="H70" s="32">
        <v>0</v>
      </c>
      <c r="I70" s="32">
        <v>0</v>
      </c>
      <c r="J70" s="32">
        <v>93612</v>
      </c>
      <c r="K70" s="32">
        <v>0</v>
      </c>
      <c r="L7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4.1058887088060506E-2</v>
      </c>
      <c r="M70" s="32">
        <v>76</v>
      </c>
      <c r="N70" s="32">
        <v>0</v>
      </c>
      <c r="O70" s="32">
        <v>1851</v>
      </c>
      <c r="P70" s="32">
        <v>0</v>
      </c>
      <c r="Q7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70" s="32">
        <v>0</v>
      </c>
      <c r="S70" s="32">
        <v>0</v>
      </c>
      <c r="T70" s="32">
        <v>0</v>
      </c>
      <c r="U70" s="32">
        <v>1851</v>
      </c>
      <c r="V70" s="32">
        <v>0</v>
      </c>
      <c r="W70" s="32">
        <v>0</v>
      </c>
      <c r="X70" s="32">
        <v>0</v>
      </c>
      <c r="Y7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0.43969790197837882</v>
      </c>
      <c r="Z70" s="32">
        <v>1499</v>
      </c>
      <c r="AA70" s="32">
        <v>43479</v>
      </c>
      <c r="AB70" s="32">
        <v>6995</v>
      </c>
      <c r="AC70" s="32">
        <v>3178</v>
      </c>
      <c r="AD70" s="32">
        <v>0</v>
      </c>
      <c r="AE70" s="32">
        <v>93612</v>
      </c>
      <c r="AF70" s="32">
        <v>0</v>
      </c>
      <c r="AG7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2.0221456692913384</v>
      </c>
      <c r="AH70" s="32">
        <v>3923</v>
      </c>
      <c r="AI70" s="32">
        <v>0</v>
      </c>
      <c r="AJ70" s="32">
        <v>193</v>
      </c>
      <c r="AK70" s="32">
        <v>0</v>
      </c>
      <c r="AL70" s="32">
        <v>12</v>
      </c>
      <c r="AM70" s="32">
        <v>566</v>
      </c>
      <c r="AN70" s="32">
        <v>933</v>
      </c>
      <c r="AO70" s="32">
        <v>0</v>
      </c>
      <c r="AP70" s="32">
        <v>-2032</v>
      </c>
      <c r="AQ7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6.0669908157752568</v>
      </c>
      <c r="AR70" s="32">
        <v>4150</v>
      </c>
      <c r="AS70" s="32">
        <v>497</v>
      </c>
      <c r="AT70" s="32">
        <v>712</v>
      </c>
      <c r="AU70" s="32">
        <v>920</v>
      </c>
      <c r="AV70" s="32">
        <v>130</v>
      </c>
      <c r="AW70" s="32">
        <v>566</v>
      </c>
      <c r="AX70" s="32">
        <v>4255</v>
      </c>
      <c r="AY70" s="32">
        <v>0</v>
      </c>
      <c r="AZ70" s="32">
        <v>0</v>
      </c>
      <c r="BA70" s="32">
        <v>0</v>
      </c>
      <c r="BB70" s="32">
        <v>0</v>
      </c>
      <c r="BC70" s="32">
        <v>1851</v>
      </c>
      <c r="BD70" s="34">
        <f>IFERROR(SUM(Cons_Metrics[[#This Row],[Operating surplus/(deficit) (social housing lettings)]])/SUM(Cons_Metrics[[#This Row],[Turnover from social housing lettings]]),"")</f>
        <v>0.22948751991502922</v>
      </c>
      <c r="BE70" s="32">
        <v>3457</v>
      </c>
      <c r="BF70" s="32">
        <v>15064</v>
      </c>
      <c r="BG70" s="34">
        <f>IFERROR(SUM(Cons_Metrics[[#This Row],[Operating surplus/(deficit) (overall)2]],-Cons_Metrics[[#This Row],[Gain/(loss) on disposal of fixed assets (housing properties)2]])/SUM(Cons_Metrics[[#This Row],[Turnover (overall)]]),"")</f>
        <v>0.25160338635197538</v>
      </c>
      <c r="BH70" s="32">
        <v>3923</v>
      </c>
      <c r="BI70" s="32">
        <v>0</v>
      </c>
      <c r="BJ70" s="32">
        <v>15592</v>
      </c>
      <c r="BK70" s="34">
        <f>IFERROR(SUM(Cons_Metrics[[#This Row],[Operating surplus/(deficit) (overall)3]],Cons_Metrics[[#This Row],[Share of operating surplus/(deficit) in joint ventures or associates]])/SUM(Cons_Metrics[[#This Row],[Total assets less current liabilities]]),"")</f>
        <v>3.9931598180023002E-2</v>
      </c>
      <c r="BL70" s="32">
        <v>3923</v>
      </c>
      <c r="BM70" s="32">
        <v>0</v>
      </c>
      <c r="BN70" s="32">
        <v>98243</v>
      </c>
      <c r="BO70" s="34">
        <v>0.95990836197021767</v>
      </c>
      <c r="BP70" s="34">
        <v>0</v>
      </c>
      <c r="BQ70" s="6" t="s">
        <v>82</v>
      </c>
      <c r="BR70" s="6" t="s">
        <v>83</v>
      </c>
      <c r="BS70" s="6" t="s">
        <v>83</v>
      </c>
      <c r="BT70" s="6" t="s">
        <v>87</v>
      </c>
      <c r="BU70" s="8">
        <v>0.98679079734796771</v>
      </c>
    </row>
    <row r="71" spans="1:73" x14ac:dyDescent="0.25">
      <c r="A71" s="33" t="s">
        <v>231</v>
      </c>
      <c r="B71" s="7" t="s">
        <v>232</v>
      </c>
      <c r="C71" s="7" t="s">
        <v>81</v>
      </c>
      <c r="D7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7.799016385257429E-2</v>
      </c>
      <c r="E71" s="32">
        <v>22394</v>
      </c>
      <c r="F71" s="32">
        <v>0</v>
      </c>
      <c r="G71" s="32">
        <v>5136</v>
      </c>
      <c r="H71" s="32">
        <v>586</v>
      </c>
      <c r="I71" s="32">
        <v>0</v>
      </c>
      <c r="J71" s="32">
        <v>360507</v>
      </c>
      <c r="K71" s="32">
        <v>0</v>
      </c>
      <c r="L7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1.2589664763577807E-2</v>
      </c>
      <c r="M71" s="32">
        <v>86</v>
      </c>
      <c r="N71" s="32">
        <v>0</v>
      </c>
      <c r="O71" s="32">
        <v>6831</v>
      </c>
      <c r="P71" s="32">
        <v>0</v>
      </c>
      <c r="Q7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2.0494803103498754E-3</v>
      </c>
      <c r="R71" s="32">
        <v>0</v>
      </c>
      <c r="S71" s="32">
        <v>0</v>
      </c>
      <c r="T71" s="32">
        <v>14</v>
      </c>
      <c r="U71" s="32">
        <v>6831</v>
      </c>
      <c r="V71" s="32">
        <v>0</v>
      </c>
      <c r="W71" s="32">
        <v>0</v>
      </c>
      <c r="X71" s="32">
        <v>0</v>
      </c>
      <c r="Y7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0.40416136163791549</v>
      </c>
      <c r="Z71" s="32">
        <v>2702</v>
      </c>
      <c r="AA71" s="32">
        <v>212001</v>
      </c>
      <c r="AB71" s="32">
        <v>69000</v>
      </c>
      <c r="AC71" s="32">
        <v>0</v>
      </c>
      <c r="AD71" s="32">
        <v>0</v>
      </c>
      <c r="AE71" s="32">
        <v>360507</v>
      </c>
      <c r="AF71" s="32">
        <v>0</v>
      </c>
      <c r="AG7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3.0258345915114915</v>
      </c>
      <c r="AH71" s="32">
        <v>15232</v>
      </c>
      <c r="AI71" s="32">
        <v>529</v>
      </c>
      <c r="AJ71" s="32">
        <v>387</v>
      </c>
      <c r="AK71" s="32">
        <v>0</v>
      </c>
      <c r="AL71" s="32">
        <v>102</v>
      </c>
      <c r="AM71" s="32">
        <v>5136</v>
      </c>
      <c r="AN71" s="32">
        <v>8755</v>
      </c>
      <c r="AO71" s="32">
        <v>-1060</v>
      </c>
      <c r="AP71" s="32">
        <v>-4901</v>
      </c>
      <c r="AQ7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3.328941589811155</v>
      </c>
      <c r="AR71" s="32">
        <v>6185</v>
      </c>
      <c r="AS71" s="32">
        <v>1931</v>
      </c>
      <c r="AT71" s="32">
        <v>4352</v>
      </c>
      <c r="AU71" s="32">
        <v>1858</v>
      </c>
      <c r="AV71" s="32">
        <v>2448</v>
      </c>
      <c r="AW71" s="32">
        <v>5136</v>
      </c>
      <c r="AX71" s="32">
        <v>0</v>
      </c>
      <c r="AY71" s="32">
        <v>0</v>
      </c>
      <c r="AZ71" s="32">
        <v>0</v>
      </c>
      <c r="BA71" s="32">
        <v>60</v>
      </c>
      <c r="BB71" s="32">
        <v>770</v>
      </c>
      <c r="BC71" s="32">
        <v>6831</v>
      </c>
      <c r="BD71" s="34">
        <f>IFERROR(SUM(Cons_Metrics[[#This Row],[Operating surplus/(deficit) (social housing lettings)]])/SUM(Cons_Metrics[[#This Row],[Turnover from social housing lettings]]),"")</f>
        <v>0.33303695180313292</v>
      </c>
      <c r="BE71" s="32">
        <v>12735</v>
      </c>
      <c r="BF71" s="32">
        <v>38239</v>
      </c>
      <c r="BG71" s="34">
        <f>IFERROR(SUM(Cons_Metrics[[#This Row],[Operating surplus/(deficit) (overall)2]],-Cons_Metrics[[#This Row],[Gain/(loss) on disposal of fixed assets (housing properties)2]])/SUM(Cons_Metrics[[#This Row],[Turnover (overall)]]),"")</f>
        <v>0.31944987615695475</v>
      </c>
      <c r="BH71" s="32">
        <v>15232</v>
      </c>
      <c r="BI71" s="32">
        <v>529</v>
      </c>
      <c r="BJ71" s="32">
        <v>46026</v>
      </c>
      <c r="BK71" s="34">
        <f>IFERROR(SUM(Cons_Metrics[[#This Row],[Operating surplus/(deficit) (overall)3]],Cons_Metrics[[#This Row],[Share of operating surplus/(deficit) in joint ventures or associates]])/SUM(Cons_Metrics[[#This Row],[Total assets less current liabilities]]),"")</f>
        <v>3.3472950463021969E-2</v>
      </c>
      <c r="BL71" s="32">
        <v>15232</v>
      </c>
      <c r="BM71" s="32">
        <v>0</v>
      </c>
      <c r="BN71" s="32">
        <v>455054</v>
      </c>
      <c r="BO71" s="34">
        <v>0</v>
      </c>
      <c r="BP71" s="34">
        <v>0.14306654939900323</v>
      </c>
      <c r="BQ71" s="6" t="s">
        <v>93</v>
      </c>
      <c r="BR71" s="6">
        <v>2004</v>
      </c>
      <c r="BS71" s="6" t="s">
        <v>94</v>
      </c>
      <c r="BT71" s="6" t="s">
        <v>84</v>
      </c>
      <c r="BU71" s="8">
        <v>1.0118524159776632</v>
      </c>
    </row>
    <row r="72" spans="1:73" x14ac:dyDescent="0.25">
      <c r="A72" s="33" t="s">
        <v>233</v>
      </c>
      <c r="B72" s="7" t="s">
        <v>234</v>
      </c>
      <c r="C72" s="7" t="s">
        <v>81</v>
      </c>
      <c r="D7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3.5822700342518589E-2</v>
      </c>
      <c r="E72" s="32">
        <v>24673</v>
      </c>
      <c r="F72" s="32">
        <v>0</v>
      </c>
      <c r="G72" s="32">
        <v>11676</v>
      </c>
      <c r="H72" s="32">
        <v>800</v>
      </c>
      <c r="I72" s="32">
        <v>0</v>
      </c>
      <c r="J72" s="32">
        <v>1037024</v>
      </c>
      <c r="K72" s="32">
        <v>0</v>
      </c>
      <c r="L7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1.6009046003689818E-2</v>
      </c>
      <c r="M72" s="32">
        <v>269</v>
      </c>
      <c r="N72" s="32">
        <v>0</v>
      </c>
      <c r="O72" s="32">
        <v>15948</v>
      </c>
      <c r="P72" s="32">
        <v>855</v>
      </c>
      <c r="Q7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6.4835553459860896E-4</v>
      </c>
      <c r="R72" s="32">
        <v>0</v>
      </c>
      <c r="S72" s="32">
        <v>0</v>
      </c>
      <c r="T72" s="32">
        <v>11</v>
      </c>
      <c r="U72" s="32">
        <v>15948</v>
      </c>
      <c r="V72" s="32">
        <v>114</v>
      </c>
      <c r="W72" s="32">
        <v>855</v>
      </c>
      <c r="X72" s="32">
        <v>49</v>
      </c>
      <c r="Y7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0.46207995186225198</v>
      </c>
      <c r="Z72" s="32">
        <v>8923</v>
      </c>
      <c r="AA72" s="32">
        <v>542434</v>
      </c>
      <c r="AB72" s="32">
        <v>75218</v>
      </c>
      <c r="AC72" s="32">
        <v>0</v>
      </c>
      <c r="AD72" s="32">
        <v>3049</v>
      </c>
      <c r="AE72" s="32">
        <v>1037024</v>
      </c>
      <c r="AF72" s="32">
        <v>0</v>
      </c>
      <c r="AG7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1.2753516217656948</v>
      </c>
      <c r="AH72" s="32">
        <v>32692</v>
      </c>
      <c r="AI72" s="32">
        <v>2002</v>
      </c>
      <c r="AJ72" s="32">
        <v>5399</v>
      </c>
      <c r="AK72" s="32">
        <v>0</v>
      </c>
      <c r="AL72" s="32">
        <v>319</v>
      </c>
      <c r="AM72" s="32">
        <v>11676</v>
      </c>
      <c r="AN72" s="32">
        <v>17168</v>
      </c>
      <c r="AO72" s="32">
        <v>-1035</v>
      </c>
      <c r="AP72" s="32">
        <v>-23352</v>
      </c>
      <c r="AQ7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3.1471437161755862</v>
      </c>
      <c r="AR72" s="32">
        <v>14070</v>
      </c>
      <c r="AS72" s="32">
        <v>4622</v>
      </c>
      <c r="AT72" s="32">
        <v>7559</v>
      </c>
      <c r="AU72" s="32">
        <v>3045</v>
      </c>
      <c r="AV72" s="32">
        <v>4755</v>
      </c>
      <c r="AW72" s="32">
        <v>11676</v>
      </c>
      <c r="AX72" s="32">
        <v>270</v>
      </c>
      <c r="AY72" s="32">
        <v>0</v>
      </c>
      <c r="AZ72" s="32">
        <v>0</v>
      </c>
      <c r="BA72" s="32">
        <v>2512</v>
      </c>
      <c r="BB72" s="32">
        <v>3828</v>
      </c>
      <c r="BC72" s="32">
        <v>16630</v>
      </c>
      <c r="BD72" s="34">
        <f>IFERROR(SUM(Cons_Metrics[[#This Row],[Operating surplus/(deficit) (social housing lettings)]])/SUM(Cons_Metrics[[#This Row],[Turnover from social housing lettings]]),"")</f>
        <v>0.35821265154016702</v>
      </c>
      <c r="BE72" s="32">
        <v>30375</v>
      </c>
      <c r="BF72" s="32">
        <v>84796</v>
      </c>
      <c r="BG72" s="34">
        <f>IFERROR(SUM(Cons_Metrics[[#This Row],[Operating surplus/(deficit) (overall)2]],-Cons_Metrics[[#This Row],[Gain/(loss) on disposal of fixed assets (housing properties)2]])/SUM(Cons_Metrics[[#This Row],[Turnover (overall)]]),"")</f>
        <v>0.30481809242871188</v>
      </c>
      <c r="BH72" s="32">
        <v>32692</v>
      </c>
      <c r="BI72" s="32">
        <v>2002</v>
      </c>
      <c r="BJ72" s="32">
        <v>100683</v>
      </c>
      <c r="BK72" s="34">
        <f>IFERROR(SUM(Cons_Metrics[[#This Row],[Operating surplus/(deficit) (overall)3]],Cons_Metrics[[#This Row],[Share of operating surplus/(deficit) in joint ventures or associates]])/SUM(Cons_Metrics[[#This Row],[Total assets less current liabilities]]),"")</f>
        <v>2.8818136843235743E-2</v>
      </c>
      <c r="BL72" s="32">
        <v>32692</v>
      </c>
      <c r="BM72" s="32">
        <v>45</v>
      </c>
      <c r="BN72" s="32">
        <v>1135986</v>
      </c>
      <c r="BO72" s="34">
        <v>6.9343065693430656E-2</v>
      </c>
      <c r="BP72" s="34">
        <v>1.8877422602567331E-2</v>
      </c>
      <c r="BQ72" s="6" t="s">
        <v>82</v>
      </c>
      <c r="BR72" s="6" t="s">
        <v>83</v>
      </c>
      <c r="BS72" s="6" t="s">
        <v>83</v>
      </c>
      <c r="BT72" s="6" t="s">
        <v>105</v>
      </c>
      <c r="BU72" s="8">
        <v>0.92002479174327201</v>
      </c>
    </row>
    <row r="73" spans="1:73" x14ac:dyDescent="0.25">
      <c r="A73" s="33" t="s">
        <v>235</v>
      </c>
      <c r="B73" s="7" t="s">
        <v>236</v>
      </c>
      <c r="C73" s="7" t="s">
        <v>81</v>
      </c>
      <c r="D7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0.1081854551541029</v>
      </c>
      <c r="E73" s="32">
        <v>8431</v>
      </c>
      <c r="F73" s="32">
        <v>19586</v>
      </c>
      <c r="G73" s="32">
        <v>3840</v>
      </c>
      <c r="H73" s="32">
        <v>1107</v>
      </c>
      <c r="I73" s="32">
        <v>0</v>
      </c>
      <c r="J73" s="32">
        <v>304699</v>
      </c>
      <c r="K73" s="32">
        <v>0</v>
      </c>
      <c r="L7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2.4239426168686618E-2</v>
      </c>
      <c r="M73" s="32">
        <v>196</v>
      </c>
      <c r="N73" s="32">
        <v>0</v>
      </c>
      <c r="O73" s="32">
        <v>8086</v>
      </c>
      <c r="P73" s="32">
        <v>0</v>
      </c>
      <c r="Q7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73" s="32">
        <v>0</v>
      </c>
      <c r="S73" s="32">
        <v>0</v>
      </c>
      <c r="T73" s="32">
        <v>0</v>
      </c>
      <c r="U73" s="32">
        <v>8086</v>
      </c>
      <c r="V73" s="32">
        <v>0</v>
      </c>
      <c r="W73" s="32">
        <v>0</v>
      </c>
      <c r="X73" s="32">
        <v>0</v>
      </c>
      <c r="Y7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0.49450113062399287</v>
      </c>
      <c r="Z73" s="32">
        <v>0</v>
      </c>
      <c r="AA73" s="32">
        <v>156000</v>
      </c>
      <c r="AB73" s="32">
        <v>5326</v>
      </c>
      <c r="AC73" s="32">
        <v>0</v>
      </c>
      <c r="AD73" s="32">
        <v>0</v>
      </c>
      <c r="AE73" s="32">
        <v>304699</v>
      </c>
      <c r="AF73" s="32">
        <v>0</v>
      </c>
      <c r="AG7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2.7429753244900872</v>
      </c>
      <c r="AH73" s="32">
        <v>18384</v>
      </c>
      <c r="AI73" s="32">
        <v>878</v>
      </c>
      <c r="AJ73" s="32">
        <v>40</v>
      </c>
      <c r="AK73" s="32">
        <v>0</v>
      </c>
      <c r="AL73" s="32">
        <v>177</v>
      </c>
      <c r="AM73" s="32">
        <v>3840</v>
      </c>
      <c r="AN73" s="32">
        <v>5428</v>
      </c>
      <c r="AO73" s="32">
        <v>-1107</v>
      </c>
      <c r="AP73" s="32">
        <v>-5904</v>
      </c>
      <c r="AQ7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3.0116250309176356</v>
      </c>
      <c r="AR73" s="32">
        <v>8512</v>
      </c>
      <c r="AS73" s="32">
        <v>1000</v>
      </c>
      <c r="AT73" s="32">
        <v>4554</v>
      </c>
      <c r="AU73" s="32">
        <v>3778</v>
      </c>
      <c r="AV73" s="32">
        <v>2336</v>
      </c>
      <c r="AW73" s="32">
        <v>3840</v>
      </c>
      <c r="AX73" s="32">
        <v>0</v>
      </c>
      <c r="AY73" s="32">
        <v>262</v>
      </c>
      <c r="AZ73" s="32">
        <v>0</v>
      </c>
      <c r="BA73" s="32">
        <v>0</v>
      </c>
      <c r="BB73" s="32">
        <v>70</v>
      </c>
      <c r="BC73" s="32">
        <v>8086</v>
      </c>
      <c r="BD73" s="34">
        <f>IFERROR(SUM(Cons_Metrics[[#This Row],[Operating surplus/(deficit) (social housing lettings)]])/SUM(Cons_Metrics[[#This Row],[Turnover from social housing lettings]]),"")</f>
        <v>0.37467511962884698</v>
      </c>
      <c r="BE73" s="32">
        <v>15425</v>
      </c>
      <c r="BF73" s="32">
        <v>41169</v>
      </c>
      <c r="BG73" s="34">
        <f>IFERROR(SUM(Cons_Metrics[[#This Row],[Operating surplus/(deficit) (overall)2]],-Cons_Metrics[[#This Row],[Gain/(loss) on disposal of fixed assets (housing properties)2]])/SUM(Cons_Metrics[[#This Row],[Turnover (overall)]]),"")</f>
        <v>0.37174831708819095</v>
      </c>
      <c r="BH73" s="32">
        <v>18384</v>
      </c>
      <c r="BI73" s="32">
        <v>878</v>
      </c>
      <c r="BJ73" s="32">
        <v>47091</v>
      </c>
      <c r="BK73" s="34">
        <f>IFERROR(SUM(Cons_Metrics[[#This Row],[Operating surplus/(deficit) (overall)3]],Cons_Metrics[[#This Row],[Share of operating surplus/(deficit) in joint ventures or associates]])/SUM(Cons_Metrics[[#This Row],[Total assets less current liabilities]]),"")</f>
        <v>5.2223563667353173E-2</v>
      </c>
      <c r="BL73" s="32">
        <v>18384</v>
      </c>
      <c r="BM73" s="32">
        <v>0</v>
      </c>
      <c r="BN73" s="32">
        <v>352025</v>
      </c>
      <c r="BO73" s="34">
        <v>0</v>
      </c>
      <c r="BP73" s="34">
        <v>5.0333910462527824E-2</v>
      </c>
      <c r="BQ73" s="6" t="s">
        <v>93</v>
      </c>
      <c r="BR73" s="6">
        <v>2007</v>
      </c>
      <c r="BS73" s="6" t="s">
        <v>120</v>
      </c>
      <c r="BT73" s="6" t="s">
        <v>100</v>
      </c>
      <c r="BU73" s="8">
        <v>1.0022399874355168</v>
      </c>
    </row>
    <row r="74" spans="1:73" x14ac:dyDescent="0.25">
      <c r="A74" s="33" t="s">
        <v>237</v>
      </c>
      <c r="B74" s="7" t="s">
        <v>238</v>
      </c>
      <c r="C74" s="7" t="s">
        <v>81</v>
      </c>
      <c r="D7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6.8640228297839015E-2</v>
      </c>
      <c r="E74" s="32">
        <v>13581</v>
      </c>
      <c r="F74" s="32">
        <v>26923</v>
      </c>
      <c r="G74" s="32">
        <v>6702</v>
      </c>
      <c r="H74" s="32">
        <v>563</v>
      </c>
      <c r="I74" s="32">
        <v>0</v>
      </c>
      <c r="J74" s="32">
        <v>695933</v>
      </c>
      <c r="K74" s="32">
        <v>0</v>
      </c>
      <c r="L7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2.0421998135751209E-2</v>
      </c>
      <c r="M74" s="32">
        <v>228</v>
      </c>
      <c r="N74" s="32">
        <v>13</v>
      </c>
      <c r="O74" s="32">
        <v>11311</v>
      </c>
      <c r="P74" s="32">
        <v>490</v>
      </c>
      <c r="Q7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1.9365159552075439E-3</v>
      </c>
      <c r="R74" s="32">
        <v>0</v>
      </c>
      <c r="S74" s="32">
        <v>0</v>
      </c>
      <c r="T74" s="32">
        <v>23</v>
      </c>
      <c r="U74" s="32">
        <v>11311</v>
      </c>
      <c r="V74" s="32">
        <v>76</v>
      </c>
      <c r="W74" s="32">
        <v>490</v>
      </c>
      <c r="X74" s="32">
        <v>0</v>
      </c>
      <c r="Y7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0.45135092027537133</v>
      </c>
      <c r="Z74" s="32">
        <v>9256</v>
      </c>
      <c r="AA74" s="32">
        <v>392328</v>
      </c>
      <c r="AB74" s="32">
        <v>87474</v>
      </c>
      <c r="AC74" s="32">
        <v>0</v>
      </c>
      <c r="AD74" s="32">
        <v>0</v>
      </c>
      <c r="AE74" s="32">
        <v>695933</v>
      </c>
      <c r="AF74" s="32">
        <v>0</v>
      </c>
      <c r="AG7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1.7710283159463487</v>
      </c>
      <c r="AH74" s="32">
        <v>28998</v>
      </c>
      <c r="AI74" s="32">
        <v>3130</v>
      </c>
      <c r="AJ74" s="32">
        <v>142</v>
      </c>
      <c r="AK74" s="32">
        <v>0</v>
      </c>
      <c r="AL74" s="32">
        <v>291</v>
      </c>
      <c r="AM74" s="32">
        <v>6702</v>
      </c>
      <c r="AN74" s="32">
        <v>10394</v>
      </c>
      <c r="AO74" s="32">
        <v>-611</v>
      </c>
      <c r="AP74" s="32">
        <v>-16164</v>
      </c>
      <c r="AQ7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3.4027937406064894</v>
      </c>
      <c r="AR74" s="32">
        <v>12103</v>
      </c>
      <c r="AS74" s="32">
        <v>3432</v>
      </c>
      <c r="AT74" s="32">
        <v>8270</v>
      </c>
      <c r="AU74" s="32">
        <v>2929</v>
      </c>
      <c r="AV74" s="32">
        <v>1895</v>
      </c>
      <c r="AW74" s="32">
        <v>6702</v>
      </c>
      <c r="AX74" s="32">
        <v>0</v>
      </c>
      <c r="AY74" s="32">
        <v>0</v>
      </c>
      <c r="AZ74" s="32">
        <v>0</v>
      </c>
      <c r="BA74" s="32">
        <v>998</v>
      </c>
      <c r="BB74" s="32">
        <v>2160</v>
      </c>
      <c r="BC74" s="32">
        <v>11311</v>
      </c>
      <c r="BD74" s="34">
        <f>IFERROR(SUM(Cons_Metrics[[#This Row],[Operating surplus/(deficit) (social housing lettings)]])/SUM(Cons_Metrics[[#This Row],[Turnover from social housing lettings]]),"")</f>
        <v>0.38869687660010238</v>
      </c>
      <c r="BE74" s="32">
        <v>24292</v>
      </c>
      <c r="BF74" s="32">
        <v>62496</v>
      </c>
      <c r="BG74" s="34">
        <f>IFERROR(SUM(Cons_Metrics[[#This Row],[Operating surplus/(deficit) (overall)2]],-Cons_Metrics[[#This Row],[Gain/(loss) on disposal of fixed assets (housing properties)2]])/SUM(Cons_Metrics[[#This Row],[Turnover (overall)]]),"")</f>
        <v>0.30883845318115066</v>
      </c>
      <c r="BH74" s="32">
        <v>28998</v>
      </c>
      <c r="BI74" s="32">
        <v>3130</v>
      </c>
      <c r="BJ74" s="32">
        <v>83759</v>
      </c>
      <c r="BK74" s="34">
        <f>IFERROR(SUM(Cons_Metrics[[#This Row],[Operating surplus/(deficit) (overall)3]],Cons_Metrics[[#This Row],[Share of operating surplus/(deficit) in joint ventures or associates]])/SUM(Cons_Metrics[[#This Row],[Total assets less current liabilities]]),"")</f>
        <v>3.6607026761582187E-2</v>
      </c>
      <c r="BL74" s="32">
        <v>28998</v>
      </c>
      <c r="BM74" s="32">
        <v>0</v>
      </c>
      <c r="BN74" s="32">
        <v>792143</v>
      </c>
      <c r="BO74" s="34">
        <v>4.3005043801433503E-2</v>
      </c>
      <c r="BP74" s="34">
        <v>7.2294487213520928E-2</v>
      </c>
      <c r="BQ74" s="6" t="s">
        <v>93</v>
      </c>
      <c r="BR74" s="6">
        <v>1995</v>
      </c>
      <c r="BS74" s="6" t="s">
        <v>94</v>
      </c>
      <c r="BT74" s="6" t="s">
        <v>115</v>
      </c>
      <c r="BU74" s="8">
        <v>0.97908712620145533</v>
      </c>
    </row>
    <row r="75" spans="1:73" x14ac:dyDescent="0.25">
      <c r="A75" s="33" t="s">
        <v>239</v>
      </c>
      <c r="B75" s="7" t="s">
        <v>240</v>
      </c>
      <c r="C75" s="7" t="s">
        <v>81</v>
      </c>
      <c r="D7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6.0549352670739277E-2</v>
      </c>
      <c r="E75" s="32">
        <v>25799</v>
      </c>
      <c r="F75" s="32">
        <v>0</v>
      </c>
      <c r="G75" s="32">
        <v>7851</v>
      </c>
      <c r="H75" s="32">
        <v>0</v>
      </c>
      <c r="I75" s="32">
        <v>0</v>
      </c>
      <c r="J75" s="32">
        <v>555745</v>
      </c>
      <c r="K75" s="32">
        <v>0</v>
      </c>
      <c r="L7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2.2723360302978137E-2</v>
      </c>
      <c r="M75" s="32">
        <v>264</v>
      </c>
      <c r="N75" s="32">
        <v>0</v>
      </c>
      <c r="O75" s="32">
        <v>11264</v>
      </c>
      <c r="P75" s="32">
        <v>354</v>
      </c>
      <c r="Q7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75" s="32">
        <v>0</v>
      </c>
      <c r="S75" s="32">
        <v>0</v>
      </c>
      <c r="T75" s="32">
        <v>0</v>
      </c>
      <c r="U75" s="32">
        <v>11264</v>
      </c>
      <c r="V75" s="32">
        <v>109</v>
      </c>
      <c r="W75" s="32">
        <v>354</v>
      </c>
      <c r="X75" s="32">
        <v>0</v>
      </c>
      <c r="Y7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0.44886413732917074</v>
      </c>
      <c r="Z75" s="32">
        <v>220</v>
      </c>
      <c r="AA75" s="32">
        <v>304776</v>
      </c>
      <c r="AB75" s="32">
        <v>55542</v>
      </c>
      <c r="AC75" s="32">
        <v>0</v>
      </c>
      <c r="AD75" s="32">
        <v>0</v>
      </c>
      <c r="AE75" s="32">
        <v>555745</v>
      </c>
      <c r="AF75" s="32">
        <v>0</v>
      </c>
      <c r="AG7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1.8684995872753825</v>
      </c>
      <c r="AH75" s="32">
        <v>29652</v>
      </c>
      <c r="AI75" s="32">
        <v>2374</v>
      </c>
      <c r="AJ75" s="32">
        <v>78</v>
      </c>
      <c r="AK75" s="32">
        <v>0</v>
      </c>
      <c r="AL75" s="32">
        <v>465</v>
      </c>
      <c r="AM75" s="32">
        <v>7851</v>
      </c>
      <c r="AN75" s="32">
        <v>9613</v>
      </c>
      <c r="AO75" s="32">
        <v>-1636</v>
      </c>
      <c r="AP75" s="32">
        <v>-14113</v>
      </c>
      <c r="AQ7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3.2783362218370882</v>
      </c>
      <c r="AR75" s="32">
        <v>6565</v>
      </c>
      <c r="AS75" s="32">
        <v>4191</v>
      </c>
      <c r="AT75" s="32">
        <v>8642</v>
      </c>
      <c r="AU75" s="32">
        <v>3454</v>
      </c>
      <c r="AV75" s="32">
        <v>4621</v>
      </c>
      <c r="AW75" s="32">
        <v>7851</v>
      </c>
      <c r="AX75" s="32">
        <v>994</v>
      </c>
      <c r="AY75" s="32">
        <v>116</v>
      </c>
      <c r="AZ75" s="32">
        <v>901</v>
      </c>
      <c r="BA75" s="32">
        <v>497</v>
      </c>
      <c r="BB75" s="32">
        <v>0</v>
      </c>
      <c r="BC75" s="32">
        <v>11540</v>
      </c>
      <c r="BD75" s="34">
        <f>IFERROR(SUM(Cons_Metrics[[#This Row],[Operating surplus/(deficit) (social housing lettings)]])/SUM(Cons_Metrics[[#This Row],[Turnover from social housing lettings]]),"")</f>
        <v>0.36585985965625956</v>
      </c>
      <c r="BE75" s="32">
        <v>21585</v>
      </c>
      <c r="BF75" s="32">
        <v>58998</v>
      </c>
      <c r="BG75" s="34">
        <f>IFERROR(SUM(Cons_Metrics[[#This Row],[Operating surplus/(deficit) (overall)2]],-Cons_Metrics[[#This Row],[Gain/(loss) on disposal of fixed assets (housing properties)2]])/SUM(Cons_Metrics[[#This Row],[Turnover (overall)]]),"")</f>
        <v>0.36946039657601037</v>
      </c>
      <c r="BH75" s="32">
        <v>29652</v>
      </c>
      <c r="BI75" s="32">
        <v>2374</v>
      </c>
      <c r="BJ75" s="32">
        <v>73832</v>
      </c>
      <c r="BK75" s="34">
        <f>IFERROR(SUM(Cons_Metrics[[#This Row],[Operating surplus/(deficit) (overall)3]],Cons_Metrics[[#This Row],[Share of operating surplus/(deficit) in joint ventures or associates]])/SUM(Cons_Metrics[[#This Row],[Total assets less current liabilities]]),"")</f>
        <v>4.6966843486621293E-2</v>
      </c>
      <c r="BL75" s="32">
        <v>29652</v>
      </c>
      <c r="BM75" s="32">
        <v>0</v>
      </c>
      <c r="BN75" s="32">
        <v>631339</v>
      </c>
      <c r="BO75" s="34">
        <v>3.3818569146103317E-2</v>
      </c>
      <c r="BP75" s="34">
        <v>0.18693413811468135</v>
      </c>
      <c r="BQ75" s="6" t="s">
        <v>93</v>
      </c>
      <c r="BR75" s="6">
        <v>2001</v>
      </c>
      <c r="BS75" s="6" t="s">
        <v>94</v>
      </c>
      <c r="BT75" s="6" t="s">
        <v>100</v>
      </c>
      <c r="BU75" s="8">
        <v>0.9742166672604512</v>
      </c>
    </row>
    <row r="76" spans="1:73" x14ac:dyDescent="0.25">
      <c r="A76" s="33" t="s">
        <v>241</v>
      </c>
      <c r="B76" s="7" t="s">
        <v>242</v>
      </c>
      <c r="C76" s="7" t="s">
        <v>81</v>
      </c>
      <c r="D7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1.4914107103958013E-2</v>
      </c>
      <c r="E76" s="32">
        <v>1742</v>
      </c>
      <c r="F76" s="32">
        <v>0</v>
      </c>
      <c r="G76" s="32">
        <v>1202</v>
      </c>
      <c r="H76" s="32">
        <v>0</v>
      </c>
      <c r="I76" s="32">
        <v>0</v>
      </c>
      <c r="J76" s="32">
        <v>197397</v>
      </c>
      <c r="K76" s="32">
        <v>0</v>
      </c>
      <c r="L7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76" s="32">
        <v>0</v>
      </c>
      <c r="N76" s="32">
        <v>0</v>
      </c>
      <c r="O76" s="32">
        <v>3324</v>
      </c>
      <c r="P76" s="32">
        <v>0</v>
      </c>
      <c r="Q7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76" s="32">
        <v>0</v>
      </c>
      <c r="S76" s="32">
        <v>0</v>
      </c>
      <c r="T76" s="32">
        <v>0</v>
      </c>
      <c r="U76" s="32">
        <v>3324</v>
      </c>
      <c r="V76" s="32">
        <v>12</v>
      </c>
      <c r="W76" s="32">
        <v>0</v>
      </c>
      <c r="X76" s="32">
        <v>0</v>
      </c>
      <c r="Y7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0.20266265444763598</v>
      </c>
      <c r="Z76" s="32">
        <v>2394</v>
      </c>
      <c r="AA76" s="32">
        <v>43278</v>
      </c>
      <c r="AB76" s="32">
        <v>5667</v>
      </c>
      <c r="AC76" s="32">
        <v>0</v>
      </c>
      <c r="AD76" s="32">
        <v>0</v>
      </c>
      <c r="AE76" s="32">
        <v>197397</v>
      </c>
      <c r="AF76" s="32">
        <v>0</v>
      </c>
      <c r="AG7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2.3511367737278959</v>
      </c>
      <c r="AH76" s="32">
        <v>5086</v>
      </c>
      <c r="AI76" s="32">
        <v>0</v>
      </c>
      <c r="AJ76" s="32">
        <v>1336</v>
      </c>
      <c r="AK76" s="32">
        <v>0</v>
      </c>
      <c r="AL76" s="32">
        <v>3</v>
      </c>
      <c r="AM76" s="32">
        <v>1202</v>
      </c>
      <c r="AN76" s="32">
        <v>3964</v>
      </c>
      <c r="AO76" s="32">
        <v>-49</v>
      </c>
      <c r="AP76" s="32">
        <v>-2722</v>
      </c>
      <c r="AQ7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4.2442839951865219</v>
      </c>
      <c r="AR76" s="32">
        <v>3969</v>
      </c>
      <c r="AS76" s="32">
        <v>3370</v>
      </c>
      <c r="AT76" s="32">
        <v>3052</v>
      </c>
      <c r="AU76" s="32">
        <v>1765</v>
      </c>
      <c r="AV76" s="32">
        <v>587</v>
      </c>
      <c r="AW76" s="32">
        <v>1202</v>
      </c>
      <c r="AX76" s="32">
        <v>163</v>
      </c>
      <c r="AY76" s="32">
        <v>0</v>
      </c>
      <c r="AZ76" s="32">
        <v>0</v>
      </c>
      <c r="BA76" s="32">
        <v>0</v>
      </c>
      <c r="BB76" s="32">
        <v>0</v>
      </c>
      <c r="BC76" s="32">
        <v>3324</v>
      </c>
      <c r="BD76" s="34">
        <f>IFERROR(SUM(Cons_Metrics[[#This Row],[Operating surplus/(deficit) (social housing lettings)]])/SUM(Cons_Metrics[[#This Row],[Turnover from social housing lettings]]),"")</f>
        <v>0.22944756554307116</v>
      </c>
      <c r="BE76" s="32">
        <v>4901</v>
      </c>
      <c r="BF76" s="32">
        <v>21360</v>
      </c>
      <c r="BG76" s="34">
        <f>IFERROR(SUM(Cons_Metrics[[#This Row],[Operating surplus/(deficit) (overall)2]],-Cons_Metrics[[#This Row],[Gain/(loss) on disposal of fixed assets (housing properties)2]])/SUM(Cons_Metrics[[#This Row],[Turnover (overall)]]),"")</f>
        <v>0.2233738855461373</v>
      </c>
      <c r="BH76" s="32">
        <v>5086</v>
      </c>
      <c r="BI76" s="32">
        <v>0</v>
      </c>
      <c r="BJ76" s="32">
        <v>22769</v>
      </c>
      <c r="BK76" s="34">
        <f>IFERROR(SUM(Cons_Metrics[[#This Row],[Operating surplus/(deficit) (overall)3]],Cons_Metrics[[#This Row],[Share of operating surplus/(deficit) in joint ventures or associates]])/SUM(Cons_Metrics[[#This Row],[Total assets less current liabilities]]),"")</f>
        <v>2.5102909094498683E-2</v>
      </c>
      <c r="BL76" s="32">
        <v>5086</v>
      </c>
      <c r="BM76" s="32">
        <v>0</v>
      </c>
      <c r="BN76" s="32">
        <v>202606</v>
      </c>
      <c r="BO76" s="34">
        <v>0.38585109669447021</v>
      </c>
      <c r="BP76" s="34">
        <v>7.4451652764905771E-2</v>
      </c>
      <c r="BQ76" s="6" t="s">
        <v>82</v>
      </c>
      <c r="BR76" s="6" t="s">
        <v>83</v>
      </c>
      <c r="BS76" s="6" t="s">
        <v>83</v>
      </c>
      <c r="BT76" s="6" t="s">
        <v>87</v>
      </c>
      <c r="BU76" s="8">
        <v>1.043656454945292</v>
      </c>
    </row>
    <row r="77" spans="1:73" x14ac:dyDescent="0.25">
      <c r="A77" s="33" t="s">
        <v>243</v>
      </c>
      <c r="B77" s="7" t="s">
        <v>244</v>
      </c>
      <c r="C77" s="7" t="s">
        <v>81</v>
      </c>
      <c r="D7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0.12244488069091074</v>
      </c>
      <c r="E77" s="32">
        <v>13476</v>
      </c>
      <c r="F77" s="32">
        <v>0</v>
      </c>
      <c r="G77" s="32">
        <v>4830</v>
      </c>
      <c r="H77" s="32">
        <v>593</v>
      </c>
      <c r="I77" s="32">
        <v>0</v>
      </c>
      <c r="J77" s="32">
        <v>154347</v>
      </c>
      <c r="K77" s="32">
        <v>0</v>
      </c>
      <c r="L7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3.1804628709356811E-2</v>
      </c>
      <c r="M77" s="32">
        <v>224</v>
      </c>
      <c r="N77" s="32">
        <v>0</v>
      </c>
      <c r="O77" s="32">
        <v>7043</v>
      </c>
      <c r="P77" s="32">
        <v>0</v>
      </c>
      <c r="Q7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77" s="32">
        <v>0</v>
      </c>
      <c r="S77" s="32">
        <v>0</v>
      </c>
      <c r="T77" s="32">
        <v>0</v>
      </c>
      <c r="U77" s="32">
        <v>7043</v>
      </c>
      <c r="V77" s="32">
        <v>0</v>
      </c>
      <c r="W77" s="32">
        <v>0</v>
      </c>
      <c r="X77" s="32">
        <v>0</v>
      </c>
      <c r="Y7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0.77216920315911552</v>
      </c>
      <c r="Z77" s="32">
        <v>0</v>
      </c>
      <c r="AA77" s="32">
        <v>120952</v>
      </c>
      <c r="AB77" s="32">
        <v>1770</v>
      </c>
      <c r="AC77" s="32">
        <v>0</v>
      </c>
      <c r="AD77" s="32">
        <v>0</v>
      </c>
      <c r="AE77" s="32">
        <v>154347</v>
      </c>
      <c r="AF77" s="32">
        <v>0</v>
      </c>
      <c r="AG7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1.5823877257471632</v>
      </c>
      <c r="AH77" s="32">
        <v>12149</v>
      </c>
      <c r="AI77" s="32">
        <v>1739</v>
      </c>
      <c r="AJ77" s="32">
        <v>216</v>
      </c>
      <c r="AK77" s="32">
        <v>0</v>
      </c>
      <c r="AL77" s="32">
        <v>6</v>
      </c>
      <c r="AM77" s="32">
        <v>4830</v>
      </c>
      <c r="AN77" s="32">
        <v>4531</v>
      </c>
      <c r="AO77" s="32">
        <v>-720</v>
      </c>
      <c r="AP77" s="32">
        <v>-5537</v>
      </c>
      <c r="AQ7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3.3248651717286402</v>
      </c>
      <c r="AR77" s="32">
        <v>7717</v>
      </c>
      <c r="AS77" s="32">
        <v>1547</v>
      </c>
      <c r="AT77" s="32">
        <v>5579</v>
      </c>
      <c r="AU77" s="32">
        <v>854</v>
      </c>
      <c r="AV77" s="32">
        <v>2452</v>
      </c>
      <c r="AW77" s="32">
        <v>4830</v>
      </c>
      <c r="AX77" s="32">
        <v>448</v>
      </c>
      <c r="AY77" s="32">
        <v>0</v>
      </c>
      <c r="AZ77" s="32">
        <v>0</v>
      </c>
      <c r="BA77" s="32">
        <v>0</v>
      </c>
      <c r="BB77" s="32">
        <v>0</v>
      </c>
      <c r="BC77" s="32">
        <v>7046</v>
      </c>
      <c r="BD77" s="34">
        <f>IFERROR(SUM(Cons_Metrics[[#This Row],[Operating surplus/(deficit) (social housing lettings)]])/SUM(Cons_Metrics[[#This Row],[Turnover from social housing lettings]]),"")</f>
        <v>0.29545178896300789</v>
      </c>
      <c r="BE77" s="32">
        <v>9744</v>
      </c>
      <c r="BF77" s="32">
        <v>32980</v>
      </c>
      <c r="BG77" s="34">
        <f>IFERROR(SUM(Cons_Metrics[[#This Row],[Operating surplus/(deficit) (overall)2]],-Cons_Metrics[[#This Row],[Gain/(loss) on disposal of fixed assets (housing properties)2]])/SUM(Cons_Metrics[[#This Row],[Turnover (overall)]]),"")</f>
        <v>0.29251433067326066</v>
      </c>
      <c r="BH77" s="32">
        <v>12149</v>
      </c>
      <c r="BI77" s="32">
        <v>1739</v>
      </c>
      <c r="BJ77" s="32">
        <v>35588</v>
      </c>
      <c r="BK77" s="34">
        <f>IFERROR(SUM(Cons_Metrics[[#This Row],[Operating surplus/(deficit) (overall)3]],Cons_Metrics[[#This Row],[Share of operating surplus/(deficit) in joint ventures or associates]])/SUM(Cons_Metrics[[#This Row],[Total assets less current liabilities]]),"")</f>
        <v>6.8190365002834485E-2</v>
      </c>
      <c r="BL77" s="32">
        <v>12149</v>
      </c>
      <c r="BM77" s="32">
        <v>0</v>
      </c>
      <c r="BN77" s="32">
        <v>178163</v>
      </c>
      <c r="BO77" s="34">
        <v>1.816891412349184E-2</v>
      </c>
      <c r="BP77" s="34">
        <v>0</v>
      </c>
      <c r="BQ77" s="6" t="s">
        <v>93</v>
      </c>
      <c r="BR77" s="6">
        <v>2005</v>
      </c>
      <c r="BS77" s="6" t="s">
        <v>94</v>
      </c>
      <c r="BT77" s="6" t="s">
        <v>105</v>
      </c>
      <c r="BU77" s="8">
        <v>0.9156653862445665</v>
      </c>
    </row>
    <row r="78" spans="1:73" x14ac:dyDescent="0.25">
      <c r="A78" s="33" t="s">
        <v>245</v>
      </c>
      <c r="B78" s="7" t="s">
        <v>246</v>
      </c>
      <c r="C78" s="7" t="s">
        <v>81</v>
      </c>
      <c r="D7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3.679455388482733E-2</v>
      </c>
      <c r="E78" s="32">
        <v>0</v>
      </c>
      <c r="F78" s="32">
        <v>9797</v>
      </c>
      <c r="G78" s="32">
        <v>8501</v>
      </c>
      <c r="H78" s="32">
        <v>57</v>
      </c>
      <c r="I78" s="32">
        <v>0</v>
      </c>
      <c r="J78" s="32">
        <v>498851</v>
      </c>
      <c r="K78" s="32">
        <v>0</v>
      </c>
      <c r="L7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4.4665369930120312E-3</v>
      </c>
      <c r="M78" s="32">
        <v>62</v>
      </c>
      <c r="N78" s="32">
        <v>0</v>
      </c>
      <c r="O78" s="32">
        <v>13881</v>
      </c>
      <c r="P78" s="32">
        <v>0</v>
      </c>
      <c r="Q7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6.915928247244435E-3</v>
      </c>
      <c r="R78" s="32">
        <v>0</v>
      </c>
      <c r="S78" s="32">
        <v>0</v>
      </c>
      <c r="T78" s="32">
        <v>96</v>
      </c>
      <c r="U78" s="32">
        <v>13881</v>
      </c>
      <c r="V78" s="32">
        <v>0</v>
      </c>
      <c r="W78" s="32">
        <v>0</v>
      </c>
      <c r="X78" s="32">
        <v>0</v>
      </c>
      <c r="Y7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0.52988166807323234</v>
      </c>
      <c r="Z78" s="32">
        <v>17449</v>
      </c>
      <c r="AA78" s="32">
        <v>242064</v>
      </c>
      <c r="AB78" s="32">
        <v>1505</v>
      </c>
      <c r="AC78" s="32">
        <v>0</v>
      </c>
      <c r="AD78" s="32">
        <v>6324</v>
      </c>
      <c r="AE78" s="32">
        <v>498851</v>
      </c>
      <c r="AF78" s="32">
        <v>0</v>
      </c>
      <c r="AG7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3.0975519562162561</v>
      </c>
      <c r="AH78" s="32">
        <v>34836</v>
      </c>
      <c r="AI78" s="32">
        <v>0</v>
      </c>
      <c r="AJ78" s="32">
        <v>6174</v>
      </c>
      <c r="AK78" s="32">
        <v>0</v>
      </c>
      <c r="AL78" s="32">
        <v>1142</v>
      </c>
      <c r="AM78" s="32">
        <v>8558</v>
      </c>
      <c r="AN78" s="32">
        <v>20636</v>
      </c>
      <c r="AO78" s="32">
        <v>-57</v>
      </c>
      <c r="AP78" s="32">
        <v>-13464</v>
      </c>
      <c r="AQ7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5.2509185217203376</v>
      </c>
      <c r="AR78" s="32">
        <v>23430</v>
      </c>
      <c r="AS78" s="32">
        <v>25887</v>
      </c>
      <c r="AT78" s="32">
        <v>8329</v>
      </c>
      <c r="AU78" s="32">
        <v>3180</v>
      </c>
      <c r="AV78" s="32">
        <v>0</v>
      </c>
      <c r="AW78" s="32">
        <v>8558</v>
      </c>
      <c r="AX78" s="32">
        <v>1313</v>
      </c>
      <c r="AY78" s="32">
        <v>0</v>
      </c>
      <c r="AZ78" s="32">
        <v>0</v>
      </c>
      <c r="BA78" s="32">
        <v>1504</v>
      </c>
      <c r="BB78" s="32">
        <v>687</v>
      </c>
      <c r="BC78" s="32">
        <v>13881</v>
      </c>
      <c r="BD78" s="34">
        <f>IFERROR(SUM(Cons_Metrics[[#This Row],[Operating surplus/(deficit) (social housing lettings)]])/SUM(Cons_Metrics[[#This Row],[Turnover from social housing lettings]]),"")</f>
        <v>0.22808443887555119</v>
      </c>
      <c r="BE78" s="32">
        <v>23846</v>
      </c>
      <c r="BF78" s="32">
        <v>104549</v>
      </c>
      <c r="BG78" s="34">
        <f>IFERROR(SUM(Cons_Metrics[[#This Row],[Operating surplus/(deficit) (overall)2]],-Cons_Metrics[[#This Row],[Gain/(loss) on disposal of fixed assets (housing properties)2]])/SUM(Cons_Metrics[[#This Row],[Turnover (overall)]]),"")</f>
        <v>0.24601173703946949</v>
      </c>
      <c r="BH78" s="32">
        <v>34836</v>
      </c>
      <c r="BI78" s="32">
        <v>0</v>
      </c>
      <c r="BJ78" s="32">
        <v>141603</v>
      </c>
      <c r="BK78" s="34">
        <f>IFERROR(SUM(Cons_Metrics[[#This Row],[Operating surplus/(deficit) (overall)3]],Cons_Metrics[[#This Row],[Share of operating surplus/(deficit) in joint ventures or associates]])/SUM(Cons_Metrics[[#This Row],[Total assets less current liabilities]]),"")</f>
        <v>5.7648485891544192E-2</v>
      </c>
      <c r="BL78" s="32">
        <v>34836</v>
      </c>
      <c r="BM78" s="32">
        <v>0</v>
      </c>
      <c r="BN78" s="32">
        <v>604283</v>
      </c>
      <c r="BO78" s="34">
        <v>0</v>
      </c>
      <c r="BP78" s="34">
        <v>0.95283157276995301</v>
      </c>
      <c r="BQ78" s="6" t="s">
        <v>82</v>
      </c>
      <c r="BR78" s="6" t="s">
        <v>83</v>
      </c>
      <c r="BS78" s="6" t="s">
        <v>83</v>
      </c>
      <c r="BT78" s="6" t="s">
        <v>87</v>
      </c>
      <c r="BU78" s="8">
        <v>1.0116303511921028</v>
      </c>
    </row>
    <row r="79" spans="1:73" x14ac:dyDescent="0.25">
      <c r="A79" s="33" t="s">
        <v>247</v>
      </c>
      <c r="B79" s="7" t="s">
        <v>248</v>
      </c>
      <c r="C79" s="7" t="s">
        <v>81</v>
      </c>
      <c r="D7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3.9013282543970955E-2</v>
      </c>
      <c r="E79" s="32">
        <v>12750</v>
      </c>
      <c r="F79" s="32">
        <v>0</v>
      </c>
      <c r="G79" s="32">
        <v>2623</v>
      </c>
      <c r="H79" s="32">
        <v>338</v>
      </c>
      <c r="I79" s="32">
        <v>0</v>
      </c>
      <c r="J79" s="32">
        <v>402709</v>
      </c>
      <c r="K79" s="32">
        <v>0</v>
      </c>
      <c r="L7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1.3300425065130947E-2</v>
      </c>
      <c r="M79" s="32">
        <v>84</v>
      </c>
      <c r="N79" s="32">
        <v>13</v>
      </c>
      <c r="O79" s="32">
        <v>5234</v>
      </c>
      <c r="P79" s="32">
        <v>2059</v>
      </c>
      <c r="Q7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5.4779512462339083E-4</v>
      </c>
      <c r="R79" s="32">
        <v>0</v>
      </c>
      <c r="S79" s="32">
        <v>0</v>
      </c>
      <c r="T79" s="32">
        <v>4</v>
      </c>
      <c r="U79" s="32">
        <v>5234</v>
      </c>
      <c r="V79" s="32">
        <v>9</v>
      </c>
      <c r="W79" s="32">
        <v>2059</v>
      </c>
      <c r="X79" s="32">
        <v>0</v>
      </c>
      <c r="Y7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0.54713453138618706</v>
      </c>
      <c r="Z79" s="32">
        <v>4987</v>
      </c>
      <c r="AA79" s="32">
        <v>221243</v>
      </c>
      <c r="AB79" s="32">
        <v>5894</v>
      </c>
      <c r="AC79" s="32">
        <v>0</v>
      </c>
      <c r="AD79" s="32">
        <v>0</v>
      </c>
      <c r="AE79" s="32">
        <v>402709</v>
      </c>
      <c r="AF79" s="32">
        <v>0</v>
      </c>
      <c r="AG7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1.3997091702263018</v>
      </c>
      <c r="AH79" s="32">
        <v>18073</v>
      </c>
      <c r="AI79" s="32">
        <v>3763</v>
      </c>
      <c r="AJ79" s="32">
        <v>1812</v>
      </c>
      <c r="AK79" s="32">
        <v>0</v>
      </c>
      <c r="AL79" s="32">
        <v>27</v>
      </c>
      <c r="AM79" s="32">
        <v>2623</v>
      </c>
      <c r="AN79" s="32">
        <v>5499</v>
      </c>
      <c r="AO79" s="32">
        <v>-387</v>
      </c>
      <c r="AP79" s="32">
        <v>-10616</v>
      </c>
      <c r="AQ7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2.503247993886129</v>
      </c>
      <c r="AR79" s="32">
        <v>3505</v>
      </c>
      <c r="AS79" s="32">
        <v>1007</v>
      </c>
      <c r="AT79" s="32">
        <v>3378</v>
      </c>
      <c r="AU79" s="32">
        <v>743</v>
      </c>
      <c r="AV79" s="32">
        <v>1069</v>
      </c>
      <c r="AW79" s="32">
        <v>2623</v>
      </c>
      <c r="AX79" s="32">
        <v>173</v>
      </c>
      <c r="AY79" s="32">
        <v>211</v>
      </c>
      <c r="AZ79" s="32">
        <v>267</v>
      </c>
      <c r="BA79" s="32">
        <v>112</v>
      </c>
      <c r="BB79" s="32">
        <v>14</v>
      </c>
      <c r="BC79" s="32">
        <v>5234</v>
      </c>
      <c r="BD79" s="34">
        <f>IFERROR(SUM(Cons_Metrics[[#This Row],[Operating surplus/(deficit) (social housing lettings)]])/SUM(Cons_Metrics[[#This Row],[Turnover from social housing lettings]]),"")</f>
        <v>0.46584376653147591</v>
      </c>
      <c r="BE79" s="32">
        <v>13209</v>
      </c>
      <c r="BF79" s="32">
        <v>28355</v>
      </c>
      <c r="BG79" s="34">
        <f>IFERROR(SUM(Cons_Metrics[[#This Row],[Operating surplus/(deficit) (overall)2]],-Cons_Metrics[[#This Row],[Gain/(loss) on disposal of fixed assets (housing properties)2]])/SUM(Cons_Metrics[[#This Row],[Turnover (overall)]]),"")</f>
        <v>0.41682444437971511</v>
      </c>
      <c r="BH79" s="32">
        <v>18073</v>
      </c>
      <c r="BI79" s="32">
        <v>3763</v>
      </c>
      <c r="BJ79" s="32">
        <v>34331</v>
      </c>
      <c r="BK79" s="34">
        <f>IFERROR(SUM(Cons_Metrics[[#This Row],[Operating surplus/(deficit) (overall)3]],Cons_Metrics[[#This Row],[Share of operating surplus/(deficit) in joint ventures or associates]])/SUM(Cons_Metrics[[#This Row],[Total assets less current liabilities]]),"")</f>
        <v>4.4260552687518981E-2</v>
      </c>
      <c r="BL79" s="32">
        <v>18073</v>
      </c>
      <c r="BM79" s="32">
        <v>0</v>
      </c>
      <c r="BN79" s="32">
        <v>408332</v>
      </c>
      <c r="BO79" s="34">
        <v>0</v>
      </c>
      <c r="BP79" s="34">
        <v>0</v>
      </c>
      <c r="BQ79" s="6" t="s">
        <v>82</v>
      </c>
      <c r="BR79" s="6" t="s">
        <v>83</v>
      </c>
      <c r="BS79" s="6" t="s">
        <v>83</v>
      </c>
      <c r="BT79" s="6" t="s">
        <v>87</v>
      </c>
      <c r="BU79" s="8">
        <v>1.0068776850796559</v>
      </c>
    </row>
    <row r="80" spans="1:73" x14ac:dyDescent="0.25">
      <c r="A80" s="33" t="s">
        <v>249</v>
      </c>
      <c r="B80" s="7" t="s">
        <v>250</v>
      </c>
      <c r="C80" s="7" t="s">
        <v>81</v>
      </c>
      <c r="D8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6.2897685432201117E-2</v>
      </c>
      <c r="E80" s="32">
        <v>0</v>
      </c>
      <c r="F80" s="32">
        <v>23061</v>
      </c>
      <c r="G80" s="32">
        <v>3992</v>
      </c>
      <c r="H80" s="32">
        <v>1032</v>
      </c>
      <c r="I80" s="32">
        <v>443</v>
      </c>
      <c r="J80" s="32">
        <v>453562</v>
      </c>
      <c r="K80" s="32">
        <v>0</v>
      </c>
      <c r="L8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1.5112160566706022E-2</v>
      </c>
      <c r="M80" s="32">
        <v>64</v>
      </c>
      <c r="N80" s="32">
        <v>0</v>
      </c>
      <c r="O80" s="32">
        <v>4154</v>
      </c>
      <c r="P80" s="32">
        <v>81</v>
      </c>
      <c r="Q8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1.6404968361846731E-3</v>
      </c>
      <c r="R80" s="32">
        <v>7</v>
      </c>
      <c r="S80" s="32">
        <v>0</v>
      </c>
      <c r="T80" s="32">
        <v>0</v>
      </c>
      <c r="U80" s="32">
        <v>4154</v>
      </c>
      <c r="V80" s="32">
        <v>7</v>
      </c>
      <c r="W80" s="32">
        <v>81</v>
      </c>
      <c r="X80" s="32">
        <v>25</v>
      </c>
      <c r="Y8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0.41760553132758033</v>
      </c>
      <c r="Z80" s="32">
        <v>9673</v>
      </c>
      <c r="AA80" s="32">
        <v>185252</v>
      </c>
      <c r="AB80" s="32">
        <v>5515</v>
      </c>
      <c r="AC80" s="32">
        <v>0</v>
      </c>
      <c r="AD80" s="32">
        <v>0</v>
      </c>
      <c r="AE80" s="32">
        <v>453562</v>
      </c>
      <c r="AF80" s="32">
        <v>0</v>
      </c>
      <c r="AG8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1.6202057998129094</v>
      </c>
      <c r="AH80" s="32">
        <v>9143</v>
      </c>
      <c r="AI80" s="32">
        <v>1659</v>
      </c>
      <c r="AJ80" s="32">
        <v>1771</v>
      </c>
      <c r="AK80" s="32">
        <v>0</v>
      </c>
      <c r="AL80" s="32">
        <v>9</v>
      </c>
      <c r="AM80" s="32">
        <v>3501</v>
      </c>
      <c r="AN80" s="32">
        <v>6439</v>
      </c>
      <c r="AO80" s="32">
        <v>-1410</v>
      </c>
      <c r="AP80" s="32">
        <v>-3935</v>
      </c>
      <c r="AQ8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5.0205840114887508</v>
      </c>
      <c r="AR80" s="32">
        <v>3479</v>
      </c>
      <c r="AS80" s="32">
        <v>1685</v>
      </c>
      <c r="AT80" s="32">
        <v>3707</v>
      </c>
      <c r="AU80" s="32">
        <v>1366</v>
      </c>
      <c r="AV80" s="32">
        <v>3756</v>
      </c>
      <c r="AW80" s="32">
        <v>3501</v>
      </c>
      <c r="AX80" s="32">
        <v>23</v>
      </c>
      <c r="AY80" s="32">
        <v>838</v>
      </c>
      <c r="AZ80" s="32">
        <v>430</v>
      </c>
      <c r="BA80" s="32">
        <v>1223</v>
      </c>
      <c r="BB80" s="32">
        <v>968</v>
      </c>
      <c r="BC80" s="32">
        <v>4178</v>
      </c>
      <c r="BD80" s="34">
        <f>IFERROR(SUM(Cons_Metrics[[#This Row],[Operating surplus/(deficit) (social housing lettings)]])/SUM(Cons_Metrics[[#This Row],[Turnover from social housing lettings]]),"")</f>
        <v>0.269920611584828</v>
      </c>
      <c r="BE80" s="32">
        <v>7344</v>
      </c>
      <c r="BF80" s="32">
        <v>27208</v>
      </c>
      <c r="BG80" s="34">
        <f>IFERROR(SUM(Cons_Metrics[[#This Row],[Operating surplus/(deficit) (overall)2]],-Cons_Metrics[[#This Row],[Gain/(loss) on disposal of fixed assets (housing properties)2]])/SUM(Cons_Metrics[[#This Row],[Turnover (overall)]]),"")</f>
        <v>0.22322307394040625</v>
      </c>
      <c r="BH80" s="32">
        <v>9143</v>
      </c>
      <c r="BI80" s="32">
        <v>1659</v>
      </c>
      <c r="BJ80" s="32">
        <v>33527</v>
      </c>
      <c r="BK80" s="34">
        <f>IFERROR(SUM(Cons_Metrics[[#This Row],[Operating surplus/(deficit) (overall)3]],Cons_Metrics[[#This Row],[Share of operating surplus/(deficit) in joint ventures or associates]])/SUM(Cons_Metrics[[#This Row],[Total assets less current liabilities]]),"")</f>
        <v>1.9359934274050108E-2</v>
      </c>
      <c r="BL80" s="32">
        <v>9143</v>
      </c>
      <c r="BM80" s="32">
        <v>0</v>
      </c>
      <c r="BN80" s="32">
        <v>472264</v>
      </c>
      <c r="BO80" s="34">
        <v>6.3196125907990314E-2</v>
      </c>
      <c r="BP80" s="34">
        <v>0</v>
      </c>
      <c r="BQ80" s="6" t="s">
        <v>82</v>
      </c>
      <c r="BR80" s="6" t="s">
        <v>83</v>
      </c>
      <c r="BS80" s="6" t="s">
        <v>83</v>
      </c>
      <c r="BT80" s="6" t="s">
        <v>156</v>
      </c>
      <c r="BU80" s="8">
        <v>1.2482810154533257</v>
      </c>
    </row>
    <row r="81" spans="1:73" x14ac:dyDescent="0.25">
      <c r="A81" s="33" t="s">
        <v>251</v>
      </c>
      <c r="B81" s="7" t="s">
        <v>252</v>
      </c>
      <c r="C81" s="7" t="s">
        <v>81</v>
      </c>
      <c r="D8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0.11552415439426254</v>
      </c>
      <c r="E81" s="32">
        <v>63853</v>
      </c>
      <c r="F81" s="32">
        <v>0</v>
      </c>
      <c r="G81" s="32">
        <v>1130</v>
      </c>
      <c r="H81" s="32">
        <v>2236</v>
      </c>
      <c r="I81" s="32">
        <v>0</v>
      </c>
      <c r="J81" s="32">
        <v>581861</v>
      </c>
      <c r="K81" s="32">
        <v>0</v>
      </c>
      <c r="L8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0.11204481792717087</v>
      </c>
      <c r="M81" s="32">
        <v>560</v>
      </c>
      <c r="N81" s="32">
        <v>0</v>
      </c>
      <c r="O81" s="32">
        <v>4884</v>
      </c>
      <c r="P81" s="32">
        <v>114</v>
      </c>
      <c r="Q8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1" s="32">
        <v>0</v>
      </c>
      <c r="S81" s="32">
        <v>0</v>
      </c>
      <c r="T81" s="32">
        <v>0</v>
      </c>
      <c r="U81" s="32">
        <v>4884</v>
      </c>
      <c r="V81" s="32">
        <v>0</v>
      </c>
      <c r="W81" s="32">
        <v>114</v>
      </c>
      <c r="X81" s="32">
        <v>618</v>
      </c>
      <c r="Y8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0.5712618649471265</v>
      </c>
      <c r="Z81" s="32">
        <v>3609</v>
      </c>
      <c r="AA81" s="32">
        <v>350705</v>
      </c>
      <c r="AB81" s="32">
        <v>21919</v>
      </c>
      <c r="AC81" s="32">
        <v>0</v>
      </c>
      <c r="AD81" s="32">
        <v>0</v>
      </c>
      <c r="AE81" s="32">
        <v>581861</v>
      </c>
      <c r="AF81" s="32">
        <v>0</v>
      </c>
      <c r="AG8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2.4742846094354216</v>
      </c>
      <c r="AH81" s="32">
        <v>24532</v>
      </c>
      <c r="AI81" s="32">
        <v>2521</v>
      </c>
      <c r="AJ81" s="32">
        <v>1699</v>
      </c>
      <c r="AK81" s="32">
        <v>0</v>
      </c>
      <c r="AL81" s="32">
        <v>278</v>
      </c>
      <c r="AM81" s="32">
        <v>1130</v>
      </c>
      <c r="AN81" s="32">
        <v>6134</v>
      </c>
      <c r="AO81" s="32">
        <v>-2236</v>
      </c>
      <c r="AP81" s="32">
        <v>-8108</v>
      </c>
      <c r="AQ8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6.8980289621882545</v>
      </c>
      <c r="AR81" s="32">
        <v>4673</v>
      </c>
      <c r="AS81" s="32">
        <v>3658</v>
      </c>
      <c r="AT81" s="32">
        <v>2932</v>
      </c>
      <c r="AU81" s="32">
        <v>784</v>
      </c>
      <c r="AV81" s="32">
        <v>850</v>
      </c>
      <c r="AW81" s="32">
        <v>1130</v>
      </c>
      <c r="AX81" s="32">
        <v>17963</v>
      </c>
      <c r="AY81" s="32">
        <v>93</v>
      </c>
      <c r="AZ81" s="32">
        <v>0</v>
      </c>
      <c r="BA81" s="32">
        <v>1217</v>
      </c>
      <c r="BB81" s="32">
        <v>997</v>
      </c>
      <c r="BC81" s="32">
        <v>4972</v>
      </c>
      <c r="BD81" s="34">
        <f>IFERROR(SUM(Cons_Metrics[[#This Row],[Operating surplus/(deficit) (social housing lettings)]])/SUM(Cons_Metrics[[#This Row],[Turnover from social housing lettings]]),"")</f>
        <v>0.33485973894858295</v>
      </c>
      <c r="BE81" s="32">
        <v>18574</v>
      </c>
      <c r="BF81" s="32">
        <v>55468</v>
      </c>
      <c r="BG81" s="34">
        <f>IFERROR(SUM(Cons_Metrics[[#This Row],[Operating surplus/(deficit) (overall)2]],-Cons_Metrics[[#This Row],[Gain/(loss) on disposal of fixed assets (housing properties)2]])/SUM(Cons_Metrics[[#This Row],[Turnover (overall)]]),"")</f>
        <v>0.31709284736728371</v>
      </c>
      <c r="BH81" s="32">
        <v>24532</v>
      </c>
      <c r="BI81" s="32">
        <v>2521</v>
      </c>
      <c r="BJ81" s="32">
        <v>69415</v>
      </c>
      <c r="BK81" s="34">
        <f>IFERROR(SUM(Cons_Metrics[[#This Row],[Operating surplus/(deficit) (overall)3]],Cons_Metrics[[#This Row],[Share of operating surplus/(deficit) in joint ventures or associates]])/SUM(Cons_Metrics[[#This Row],[Total assets less current liabilities]]),"")</f>
        <v>4.0010307563337691E-2</v>
      </c>
      <c r="BL81" s="32">
        <v>24532</v>
      </c>
      <c r="BM81" s="32">
        <v>0</v>
      </c>
      <c r="BN81" s="32">
        <v>613142</v>
      </c>
      <c r="BO81" s="34">
        <v>8.9257812500000006E-2</v>
      </c>
      <c r="BP81" s="34">
        <v>1.5820312499999999E-2</v>
      </c>
      <c r="BQ81" s="6" t="s">
        <v>82</v>
      </c>
      <c r="BR81" s="6" t="s">
        <v>83</v>
      </c>
      <c r="BS81" s="6" t="s">
        <v>83</v>
      </c>
      <c r="BT81" s="6" t="s">
        <v>100</v>
      </c>
      <c r="BU81" s="8">
        <v>1.0040323914988438</v>
      </c>
    </row>
    <row r="82" spans="1:73" x14ac:dyDescent="0.25">
      <c r="A82" s="33" t="s">
        <v>253</v>
      </c>
      <c r="B82" s="7" t="s">
        <v>254</v>
      </c>
      <c r="C82" s="7" t="s">
        <v>81</v>
      </c>
      <c r="D8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6.3228680812490154E-2</v>
      </c>
      <c r="E82" s="32">
        <v>118638</v>
      </c>
      <c r="F82" s="32">
        <v>0</v>
      </c>
      <c r="G82" s="32">
        <v>16293</v>
      </c>
      <c r="H82" s="32">
        <v>2759</v>
      </c>
      <c r="I82" s="32">
        <v>0</v>
      </c>
      <c r="J82" s="32">
        <v>2177651</v>
      </c>
      <c r="K82" s="32">
        <v>0</v>
      </c>
      <c r="L8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2.0720756516211063E-2</v>
      </c>
      <c r="M82" s="32">
        <v>1031</v>
      </c>
      <c r="N82" s="32">
        <v>12</v>
      </c>
      <c r="O82" s="32">
        <v>48551</v>
      </c>
      <c r="P82" s="32">
        <v>1785</v>
      </c>
      <c r="Q8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4.1977005516447181E-3</v>
      </c>
      <c r="R82" s="32">
        <v>42</v>
      </c>
      <c r="S82" s="32">
        <v>64</v>
      </c>
      <c r="T82" s="32">
        <v>120</v>
      </c>
      <c r="U82" s="32">
        <v>48551</v>
      </c>
      <c r="V82" s="32">
        <v>414</v>
      </c>
      <c r="W82" s="32">
        <v>1785</v>
      </c>
      <c r="X82" s="32">
        <v>3089</v>
      </c>
      <c r="Y8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0.43946573624515589</v>
      </c>
      <c r="Z82" s="32">
        <v>40698</v>
      </c>
      <c r="AA82" s="32">
        <v>943159</v>
      </c>
      <c r="AB82" s="32">
        <v>26854</v>
      </c>
      <c r="AC82" s="32">
        <v>0</v>
      </c>
      <c r="AD82" s="32">
        <v>0</v>
      </c>
      <c r="AE82" s="32">
        <v>2177651</v>
      </c>
      <c r="AF82" s="32">
        <v>0</v>
      </c>
      <c r="AG8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1.9767898782278261</v>
      </c>
      <c r="AH82" s="32">
        <v>87511</v>
      </c>
      <c r="AI82" s="32">
        <v>7597</v>
      </c>
      <c r="AJ82" s="32">
        <v>8563</v>
      </c>
      <c r="AK82" s="32">
        <v>8703</v>
      </c>
      <c r="AL82" s="32">
        <v>2091</v>
      </c>
      <c r="AM82" s="32">
        <v>16293</v>
      </c>
      <c r="AN82" s="32">
        <v>43111</v>
      </c>
      <c r="AO82" s="32">
        <v>-2959</v>
      </c>
      <c r="AP82" s="32">
        <v>-43357</v>
      </c>
      <c r="AQ8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4.4091784338896023</v>
      </c>
      <c r="AR82" s="32">
        <v>60794</v>
      </c>
      <c r="AS82" s="32">
        <v>29966</v>
      </c>
      <c r="AT82" s="32">
        <v>38657</v>
      </c>
      <c r="AU82" s="32">
        <v>19076</v>
      </c>
      <c r="AV82" s="32">
        <v>1727</v>
      </c>
      <c r="AW82" s="32">
        <v>16293</v>
      </c>
      <c r="AX82" s="32">
        <v>3743</v>
      </c>
      <c r="AY82" s="32">
        <v>6118</v>
      </c>
      <c r="AZ82" s="32">
        <v>1132</v>
      </c>
      <c r="BA82" s="32">
        <v>5034</v>
      </c>
      <c r="BB82" s="32">
        <v>37284</v>
      </c>
      <c r="BC82" s="32">
        <v>49856</v>
      </c>
      <c r="BD82" s="34">
        <f>IFERROR(SUM(Cons_Metrics[[#This Row],[Operating surplus/(deficit) (social housing lettings)]])/SUM(Cons_Metrics[[#This Row],[Turnover from social housing lettings]]),"")</f>
        <v>0.26860417253406704</v>
      </c>
      <c r="BE82" s="32">
        <v>74391</v>
      </c>
      <c r="BF82" s="32">
        <v>276954</v>
      </c>
      <c r="BG82" s="34">
        <f>IFERROR(SUM(Cons_Metrics[[#This Row],[Operating surplus/(deficit) (overall)2]],-Cons_Metrics[[#This Row],[Gain/(loss) on disposal of fixed assets (housing properties)2]])/SUM(Cons_Metrics[[#This Row],[Turnover (overall)]]),"")</f>
        <v>0.21912076401894143</v>
      </c>
      <c r="BH82" s="32">
        <v>87511</v>
      </c>
      <c r="BI82" s="32">
        <v>7597</v>
      </c>
      <c r="BJ82" s="32">
        <v>364703</v>
      </c>
      <c r="BK82" s="34">
        <f>IFERROR(SUM(Cons_Metrics[[#This Row],[Operating surplus/(deficit) (overall)3]],Cons_Metrics[[#This Row],[Share of operating surplus/(deficit) in joint ventures or associates]])/SUM(Cons_Metrics[[#This Row],[Total assets less current liabilities]]),"")</f>
        <v>4.0229351198451176E-2</v>
      </c>
      <c r="BL82" s="32">
        <v>87511</v>
      </c>
      <c r="BM82" s="32">
        <v>5601</v>
      </c>
      <c r="BN82" s="32">
        <v>2314529</v>
      </c>
      <c r="BO82" s="34">
        <v>0.10506940384157301</v>
      </c>
      <c r="BP82" s="34">
        <v>3.4106412005457026E-2</v>
      </c>
      <c r="BQ82" s="6" t="s">
        <v>82</v>
      </c>
      <c r="BR82" s="6" t="s">
        <v>83</v>
      </c>
      <c r="BS82" s="6" t="s">
        <v>83</v>
      </c>
      <c r="BT82" s="6" t="s">
        <v>87</v>
      </c>
      <c r="BU82" s="8">
        <v>0.96425130461279074</v>
      </c>
    </row>
    <row r="83" spans="1:73" x14ac:dyDescent="0.25">
      <c r="A83" s="33" t="s">
        <v>255</v>
      </c>
      <c r="B83" s="7" t="s">
        <v>256</v>
      </c>
      <c r="C83" s="7" t="s">
        <v>81</v>
      </c>
      <c r="D8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5.1113938850778265E-2</v>
      </c>
      <c r="E83" s="32">
        <v>0</v>
      </c>
      <c r="F83" s="32">
        <v>28279</v>
      </c>
      <c r="G83" s="32">
        <v>28640</v>
      </c>
      <c r="H83" s="32">
        <v>0</v>
      </c>
      <c r="I83" s="32">
        <v>0</v>
      </c>
      <c r="J83" s="32">
        <v>1113571</v>
      </c>
      <c r="K83" s="32">
        <v>0</v>
      </c>
      <c r="L8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3.3957961530834822E-2</v>
      </c>
      <c r="M83" s="32">
        <v>685</v>
      </c>
      <c r="N83" s="32">
        <v>0</v>
      </c>
      <c r="O83" s="32">
        <v>18776</v>
      </c>
      <c r="P83" s="32">
        <v>1396</v>
      </c>
      <c r="Q8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3" s="32">
        <v>0</v>
      </c>
      <c r="S83" s="32">
        <v>0</v>
      </c>
      <c r="T83" s="32">
        <v>0</v>
      </c>
      <c r="U83" s="32">
        <v>18776</v>
      </c>
      <c r="V83" s="32">
        <v>8</v>
      </c>
      <c r="W83" s="32">
        <v>1396</v>
      </c>
      <c r="X83" s="32">
        <v>0</v>
      </c>
      <c r="Y8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0.39213934270917616</v>
      </c>
      <c r="Z83" s="32">
        <v>17915</v>
      </c>
      <c r="AA83" s="32">
        <v>602492</v>
      </c>
      <c r="AB83" s="32">
        <v>185737</v>
      </c>
      <c r="AC83" s="32">
        <v>0</v>
      </c>
      <c r="AD83" s="32">
        <v>2005</v>
      </c>
      <c r="AE83" s="32">
        <v>1113571</v>
      </c>
      <c r="AF83" s="32">
        <v>0</v>
      </c>
      <c r="AG8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1.6677307480097738</v>
      </c>
      <c r="AH83" s="32">
        <v>38879</v>
      </c>
      <c r="AI83" s="32">
        <v>1215</v>
      </c>
      <c r="AJ83" s="32">
        <v>309</v>
      </c>
      <c r="AK83" s="32">
        <v>0</v>
      </c>
      <c r="AL83" s="32">
        <v>7650</v>
      </c>
      <c r="AM83" s="32">
        <v>28640</v>
      </c>
      <c r="AN83" s="32">
        <v>25952</v>
      </c>
      <c r="AO83" s="32">
        <v>-259</v>
      </c>
      <c r="AP83" s="32">
        <v>-25115</v>
      </c>
      <c r="AQ8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6.0225191652470187</v>
      </c>
      <c r="AR83" s="32">
        <v>26739</v>
      </c>
      <c r="AS83" s="32">
        <v>31817</v>
      </c>
      <c r="AT83" s="32">
        <v>12301</v>
      </c>
      <c r="AU83" s="32">
        <v>9031</v>
      </c>
      <c r="AV83" s="32">
        <v>658</v>
      </c>
      <c r="AW83" s="32">
        <v>28640</v>
      </c>
      <c r="AX83" s="32">
        <v>642</v>
      </c>
      <c r="AY83" s="32">
        <v>0</v>
      </c>
      <c r="AZ83" s="32">
        <v>0</v>
      </c>
      <c r="BA83" s="32">
        <v>0</v>
      </c>
      <c r="BB83" s="32">
        <v>3299</v>
      </c>
      <c r="BC83" s="32">
        <v>18784</v>
      </c>
      <c r="BD83" s="34">
        <f>IFERROR(SUM(Cons_Metrics[[#This Row],[Operating surplus/(deficit) (social housing lettings)]])/SUM(Cons_Metrics[[#This Row],[Turnover from social housing lettings]]),"")</f>
        <v>0.25188623678231847</v>
      </c>
      <c r="BE83" s="32">
        <v>35922</v>
      </c>
      <c r="BF83" s="32">
        <v>142612</v>
      </c>
      <c r="BG83" s="34">
        <f>IFERROR(SUM(Cons_Metrics[[#This Row],[Operating surplus/(deficit) (overall)2]],-Cons_Metrics[[#This Row],[Gain/(loss) on disposal of fixed assets (housing properties)2]])/SUM(Cons_Metrics[[#This Row],[Turnover (overall)]]),"")</f>
        <v>0.21068411925938357</v>
      </c>
      <c r="BH83" s="32">
        <v>38879</v>
      </c>
      <c r="BI83" s="32">
        <v>1215</v>
      </c>
      <c r="BJ83" s="32">
        <v>178770</v>
      </c>
      <c r="BK83" s="34">
        <f>IFERROR(SUM(Cons_Metrics[[#This Row],[Operating surplus/(deficit) (overall)3]],Cons_Metrics[[#This Row],[Share of operating surplus/(deficit) in joint ventures or associates]])/SUM(Cons_Metrics[[#This Row],[Total assets less current liabilities]]),"")</f>
        <v>2.7968290279186538E-2</v>
      </c>
      <c r="BL83" s="32">
        <v>38879</v>
      </c>
      <c r="BM83" s="32">
        <v>0</v>
      </c>
      <c r="BN83" s="32">
        <v>1390110</v>
      </c>
      <c r="BO83" s="34">
        <v>3.1526976384510142E-3</v>
      </c>
      <c r="BP83" s="34">
        <v>0.7892451371126048</v>
      </c>
      <c r="BQ83" s="6" t="s">
        <v>82</v>
      </c>
      <c r="BR83" s="6" t="s">
        <v>83</v>
      </c>
      <c r="BS83" s="6" t="s">
        <v>83</v>
      </c>
      <c r="BT83" s="6" t="s">
        <v>87</v>
      </c>
      <c r="BU83" s="8">
        <v>0.96970886101552134</v>
      </c>
    </row>
    <row r="84" spans="1:73" x14ac:dyDescent="0.25">
      <c r="A84" s="33" t="s">
        <v>257</v>
      </c>
      <c r="B84" s="7" t="s">
        <v>258</v>
      </c>
      <c r="C84" s="7" t="s">
        <v>81</v>
      </c>
      <c r="D8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4.2696081609475502E-2</v>
      </c>
      <c r="E84" s="32">
        <v>0</v>
      </c>
      <c r="F84" s="32">
        <v>17181</v>
      </c>
      <c r="G84" s="32">
        <v>1917</v>
      </c>
      <c r="H84" s="32">
        <v>0</v>
      </c>
      <c r="I84" s="32">
        <v>0</v>
      </c>
      <c r="J84" s="32">
        <v>0</v>
      </c>
      <c r="K84" s="32">
        <v>447301</v>
      </c>
      <c r="L8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3.8169319826338637E-2</v>
      </c>
      <c r="M84" s="32">
        <v>211</v>
      </c>
      <c r="N84" s="32">
        <v>0</v>
      </c>
      <c r="O84" s="32">
        <v>5528</v>
      </c>
      <c r="P84" s="32">
        <v>0</v>
      </c>
      <c r="Q8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4" s="32">
        <v>0</v>
      </c>
      <c r="S84" s="32">
        <v>0</v>
      </c>
      <c r="T84" s="32">
        <v>0</v>
      </c>
      <c r="U84" s="32">
        <v>5528</v>
      </c>
      <c r="V84" s="32">
        <v>78</v>
      </c>
      <c r="W84" s="32">
        <v>0</v>
      </c>
      <c r="X84" s="32">
        <v>0</v>
      </c>
      <c r="Y8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0.52037442348664542</v>
      </c>
      <c r="Z84" s="32">
        <v>0</v>
      </c>
      <c r="AA84" s="32">
        <v>290598</v>
      </c>
      <c r="AB84" s="32">
        <v>57834</v>
      </c>
      <c r="AC84" s="32">
        <v>0</v>
      </c>
      <c r="AD84" s="32">
        <v>0</v>
      </c>
      <c r="AE84" s="32">
        <v>0</v>
      </c>
      <c r="AF84" s="32">
        <v>447301</v>
      </c>
      <c r="AG8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1.5280949616153796</v>
      </c>
      <c r="AH84" s="32">
        <v>21795</v>
      </c>
      <c r="AI84" s="32">
        <v>1924</v>
      </c>
      <c r="AJ84" s="32">
        <v>0</v>
      </c>
      <c r="AK84" s="32">
        <v>0</v>
      </c>
      <c r="AL84" s="32">
        <v>245</v>
      </c>
      <c r="AM84" s="32">
        <v>1917</v>
      </c>
      <c r="AN84" s="32">
        <v>5488</v>
      </c>
      <c r="AO84" s="32">
        <v>-1482</v>
      </c>
      <c r="AP84" s="32">
        <v>-14019</v>
      </c>
      <c r="AQ8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2.8722044728434506</v>
      </c>
      <c r="AR84" s="32">
        <v>6005</v>
      </c>
      <c r="AS84" s="32">
        <v>1840</v>
      </c>
      <c r="AT84" s="32">
        <v>2737</v>
      </c>
      <c r="AU84" s="32">
        <v>3058</v>
      </c>
      <c r="AV84" s="32">
        <v>0</v>
      </c>
      <c r="AW84" s="32">
        <v>1917</v>
      </c>
      <c r="AX84" s="32">
        <v>497</v>
      </c>
      <c r="AY84" s="32">
        <v>0</v>
      </c>
      <c r="AZ84" s="32">
        <v>0</v>
      </c>
      <c r="BA84" s="32">
        <v>128</v>
      </c>
      <c r="BB84" s="32">
        <v>0</v>
      </c>
      <c r="BC84" s="32">
        <v>5634</v>
      </c>
      <c r="BD84" s="34">
        <f>IFERROR(SUM(Cons_Metrics[[#This Row],[Operating surplus/(deficit) (social housing lettings)]])/SUM(Cons_Metrics[[#This Row],[Turnover from social housing lettings]]),"")</f>
        <v>0.45598710990502034</v>
      </c>
      <c r="BE84" s="32">
        <v>16131</v>
      </c>
      <c r="BF84" s="32">
        <v>35376</v>
      </c>
      <c r="BG84" s="34">
        <f>IFERROR(SUM(Cons_Metrics[[#This Row],[Operating surplus/(deficit) (overall)2]],-Cons_Metrics[[#This Row],[Gain/(loss) on disposal of fixed assets (housing properties)2]])/SUM(Cons_Metrics[[#This Row],[Turnover (overall)]]),"")</f>
        <v>0.45976399814900509</v>
      </c>
      <c r="BH84" s="32">
        <v>21795</v>
      </c>
      <c r="BI84" s="32">
        <v>1924</v>
      </c>
      <c r="BJ84" s="32">
        <v>43220</v>
      </c>
      <c r="BK84" s="34">
        <f>IFERROR(SUM(Cons_Metrics[[#This Row],[Operating surplus/(deficit) (overall)3]],Cons_Metrics[[#This Row],[Share of operating surplus/(deficit) in joint ventures or associates]])/SUM(Cons_Metrics[[#This Row],[Total assets less current liabilities]]),"")</f>
        <v>4.1209804132892401E-2</v>
      </c>
      <c r="BL84" s="32">
        <v>21795</v>
      </c>
      <c r="BM84" s="32">
        <v>0</v>
      </c>
      <c r="BN84" s="32">
        <v>528879</v>
      </c>
      <c r="BO84" s="34">
        <v>4.7627704053808395E-2</v>
      </c>
      <c r="BP84" s="34">
        <v>4.8354844573713869E-2</v>
      </c>
      <c r="BQ84" s="6" t="s">
        <v>93</v>
      </c>
      <c r="BR84" s="6">
        <v>1995</v>
      </c>
      <c r="BS84" s="6" t="s">
        <v>94</v>
      </c>
      <c r="BT84" s="6" t="s">
        <v>84</v>
      </c>
      <c r="BU84" s="8">
        <v>1.011828101234302</v>
      </c>
    </row>
    <row r="85" spans="1:73" x14ac:dyDescent="0.25">
      <c r="A85" s="33" t="s">
        <v>259</v>
      </c>
      <c r="B85" s="7" t="s">
        <v>260</v>
      </c>
      <c r="C85" s="7" t="s">
        <v>81</v>
      </c>
      <c r="D8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6.1901634491753538E-2</v>
      </c>
      <c r="E85" s="32">
        <v>5288</v>
      </c>
      <c r="F85" s="32">
        <v>0</v>
      </c>
      <c r="G85" s="32">
        <v>1381</v>
      </c>
      <c r="H85" s="32">
        <v>23</v>
      </c>
      <c r="I85" s="32">
        <v>0</v>
      </c>
      <c r="J85" s="32">
        <v>108107</v>
      </c>
      <c r="K85" s="32">
        <v>0</v>
      </c>
      <c r="L8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1.5566625155666251E-2</v>
      </c>
      <c r="M85" s="32">
        <v>25</v>
      </c>
      <c r="N85" s="32">
        <v>0</v>
      </c>
      <c r="O85" s="32">
        <v>1606</v>
      </c>
      <c r="P85" s="32">
        <v>0</v>
      </c>
      <c r="Q8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5" s="32">
        <v>0</v>
      </c>
      <c r="S85" s="32">
        <v>0</v>
      </c>
      <c r="T85" s="32">
        <v>0</v>
      </c>
      <c r="U85" s="32">
        <v>1606</v>
      </c>
      <c r="V85" s="32">
        <v>0</v>
      </c>
      <c r="W85" s="32">
        <v>0</v>
      </c>
      <c r="X85" s="32">
        <v>0</v>
      </c>
      <c r="Y8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0.51079948569472833</v>
      </c>
      <c r="Z85" s="32">
        <v>1224</v>
      </c>
      <c r="AA85" s="32">
        <v>22317</v>
      </c>
      <c r="AB85" s="32">
        <v>1641</v>
      </c>
      <c r="AC85" s="32">
        <v>0</v>
      </c>
      <c r="AD85" s="32">
        <v>33321</v>
      </c>
      <c r="AE85" s="32">
        <v>108107</v>
      </c>
      <c r="AF85" s="32">
        <v>0</v>
      </c>
      <c r="AG8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5.1063829787234045</v>
      </c>
      <c r="AH85" s="32">
        <v>4259</v>
      </c>
      <c r="AI85" s="32">
        <v>288</v>
      </c>
      <c r="AJ85" s="32">
        <v>214</v>
      </c>
      <c r="AK85" s="32">
        <v>0</v>
      </c>
      <c r="AL85" s="32">
        <v>7</v>
      </c>
      <c r="AM85" s="32">
        <v>1381</v>
      </c>
      <c r="AN85" s="32">
        <v>1457</v>
      </c>
      <c r="AO85" s="32">
        <v>-23</v>
      </c>
      <c r="AP85" s="32">
        <v>-729</v>
      </c>
      <c r="AQ8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3.6711906230721776</v>
      </c>
      <c r="AR85" s="32">
        <v>1438</v>
      </c>
      <c r="AS85" s="32">
        <v>463</v>
      </c>
      <c r="AT85" s="32">
        <v>1363</v>
      </c>
      <c r="AU85" s="32">
        <v>716</v>
      </c>
      <c r="AV85" s="32">
        <v>0</v>
      </c>
      <c r="AW85" s="32">
        <v>1381</v>
      </c>
      <c r="AX85" s="32">
        <v>534</v>
      </c>
      <c r="AY85" s="32">
        <v>0</v>
      </c>
      <c r="AZ85" s="32">
        <v>0</v>
      </c>
      <c r="BA85" s="32">
        <v>56</v>
      </c>
      <c r="BB85" s="32">
        <v>0</v>
      </c>
      <c r="BC85" s="32">
        <v>1621</v>
      </c>
      <c r="BD85" s="34">
        <f>IFERROR(SUM(Cons_Metrics[[#This Row],[Operating surplus/(deficit) (social housing lettings)]])/SUM(Cons_Metrics[[#This Row],[Turnover from social housing lettings]]),"")</f>
        <v>0.37553760621000737</v>
      </c>
      <c r="BE85" s="32">
        <v>3580</v>
      </c>
      <c r="BF85" s="32">
        <v>9533</v>
      </c>
      <c r="BG85" s="34">
        <f>IFERROR(SUM(Cons_Metrics[[#This Row],[Operating surplus/(deficit) (overall)2]],-Cons_Metrics[[#This Row],[Gain/(loss) on disposal of fixed assets (housing properties)2]])/SUM(Cons_Metrics[[#This Row],[Turnover (overall)]]),"")</f>
        <v>0.38828590984648481</v>
      </c>
      <c r="BH85" s="32">
        <v>4259</v>
      </c>
      <c r="BI85" s="32">
        <v>288</v>
      </c>
      <c r="BJ85" s="32">
        <v>10227</v>
      </c>
      <c r="BK85" s="34">
        <f>IFERROR(SUM(Cons_Metrics[[#This Row],[Operating surplus/(deficit) (overall)3]],Cons_Metrics[[#This Row],[Share of operating surplus/(deficit) in joint ventures or associates]])/SUM(Cons_Metrics[[#This Row],[Total assets less current liabilities]]),"")</f>
        <v>3.9348836349861874E-2</v>
      </c>
      <c r="BL85" s="32">
        <v>4259</v>
      </c>
      <c r="BM85" s="32">
        <v>0</v>
      </c>
      <c r="BN85" s="32">
        <v>108237</v>
      </c>
      <c r="BO85" s="34">
        <v>4.9875311720698253E-3</v>
      </c>
      <c r="BP85" s="34">
        <v>8.4788029925187039E-2</v>
      </c>
      <c r="BQ85" s="6" t="s">
        <v>82</v>
      </c>
      <c r="BR85" s="6" t="s">
        <v>83</v>
      </c>
      <c r="BS85" s="6" t="s">
        <v>83</v>
      </c>
      <c r="BT85" s="6" t="s">
        <v>100</v>
      </c>
      <c r="BU85" s="8">
        <v>1.0022399874355168</v>
      </c>
    </row>
    <row r="86" spans="1:73" x14ac:dyDescent="0.25">
      <c r="A86" s="33" t="s">
        <v>261</v>
      </c>
      <c r="B86" s="7" t="s">
        <v>262</v>
      </c>
      <c r="C86" s="7" t="s">
        <v>81</v>
      </c>
      <c r="D8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7.0085876830560903E-2</v>
      </c>
      <c r="E86" s="32">
        <v>6166</v>
      </c>
      <c r="F86" s="32">
        <v>0</v>
      </c>
      <c r="G86" s="32">
        <v>232</v>
      </c>
      <c r="H86" s="32">
        <v>82</v>
      </c>
      <c r="I86" s="32">
        <v>0</v>
      </c>
      <c r="J86" s="32">
        <v>92458</v>
      </c>
      <c r="K86" s="32">
        <v>0</v>
      </c>
      <c r="L8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4.6677215189873417E-2</v>
      </c>
      <c r="M86" s="32">
        <v>59</v>
      </c>
      <c r="N86" s="32">
        <v>0</v>
      </c>
      <c r="O86" s="32">
        <v>1252</v>
      </c>
      <c r="P86" s="32">
        <v>12</v>
      </c>
      <c r="Q8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6" s="32">
        <v>0</v>
      </c>
      <c r="S86" s="32">
        <v>0</v>
      </c>
      <c r="T86" s="32">
        <v>0</v>
      </c>
      <c r="U86" s="32">
        <v>1252</v>
      </c>
      <c r="V86" s="32">
        <v>0</v>
      </c>
      <c r="W86" s="32">
        <v>12</v>
      </c>
      <c r="X86" s="32">
        <v>0</v>
      </c>
      <c r="Y8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0.45284345324363495</v>
      </c>
      <c r="Z86" s="32">
        <v>1437</v>
      </c>
      <c r="AA86" s="32">
        <v>49554</v>
      </c>
      <c r="AB86" s="32">
        <v>9122</v>
      </c>
      <c r="AC86" s="32">
        <v>0</v>
      </c>
      <c r="AD86" s="32">
        <v>0</v>
      </c>
      <c r="AE86" s="32">
        <v>92458</v>
      </c>
      <c r="AF86" s="32">
        <v>0</v>
      </c>
      <c r="AG8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2.250892857142857</v>
      </c>
      <c r="AH86" s="32">
        <v>3916</v>
      </c>
      <c r="AI86" s="32">
        <v>15</v>
      </c>
      <c r="AJ86" s="32">
        <v>17</v>
      </c>
      <c r="AK86" s="32">
        <v>0</v>
      </c>
      <c r="AL86" s="32">
        <v>22</v>
      </c>
      <c r="AM86" s="32">
        <v>232</v>
      </c>
      <c r="AN86" s="32">
        <v>1368</v>
      </c>
      <c r="AO86" s="32">
        <v>-82</v>
      </c>
      <c r="AP86" s="32">
        <v>-2158</v>
      </c>
      <c r="AQ8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2.4935714285714288</v>
      </c>
      <c r="AR86" s="32">
        <v>1316</v>
      </c>
      <c r="AS86" s="32">
        <v>727</v>
      </c>
      <c r="AT86" s="32">
        <v>973</v>
      </c>
      <c r="AU86" s="32">
        <v>67</v>
      </c>
      <c r="AV86" s="32">
        <v>0</v>
      </c>
      <c r="AW86" s="32">
        <v>232</v>
      </c>
      <c r="AX86" s="32">
        <v>176</v>
      </c>
      <c r="AY86" s="32">
        <v>0</v>
      </c>
      <c r="AZ86" s="32">
        <v>0</v>
      </c>
      <c r="BA86" s="32">
        <v>0</v>
      </c>
      <c r="BB86" s="32">
        <v>0</v>
      </c>
      <c r="BC86" s="32">
        <v>1400</v>
      </c>
      <c r="BD86" s="34">
        <f>IFERROR(SUM(Cons_Metrics[[#This Row],[Operating surplus/(deficit) (social housing lettings)]])/SUM(Cons_Metrics[[#This Row],[Turnover from social housing lettings]]),"")</f>
        <v>0.37089266155531214</v>
      </c>
      <c r="BE86" s="32">
        <v>2709</v>
      </c>
      <c r="BF86" s="32">
        <v>7304</v>
      </c>
      <c r="BG86" s="34">
        <f>IFERROR(SUM(Cons_Metrics[[#This Row],[Operating surplus/(deficit) (overall)2]],-Cons_Metrics[[#This Row],[Gain/(loss) on disposal of fixed assets (housing properties)2]])/SUM(Cons_Metrics[[#This Row],[Turnover (overall)]]),"")</f>
        <v>0.40899559656112394</v>
      </c>
      <c r="BH86" s="32">
        <v>3916</v>
      </c>
      <c r="BI86" s="32">
        <v>15</v>
      </c>
      <c r="BJ86" s="32">
        <v>9538</v>
      </c>
      <c r="BK86" s="34">
        <f>IFERROR(SUM(Cons_Metrics[[#This Row],[Operating surplus/(deficit) (overall)3]],Cons_Metrics[[#This Row],[Share of operating surplus/(deficit) in joint ventures or associates]])/SUM(Cons_Metrics[[#This Row],[Total assets less current liabilities]]),"")</f>
        <v>3.9604058597740598E-2</v>
      </c>
      <c r="BL86" s="32">
        <v>3916</v>
      </c>
      <c r="BM86" s="32">
        <v>77</v>
      </c>
      <c r="BN86" s="32">
        <v>100823</v>
      </c>
      <c r="BO86" s="34">
        <v>0</v>
      </c>
      <c r="BP86" s="34">
        <v>0</v>
      </c>
      <c r="BQ86" s="6" t="s">
        <v>82</v>
      </c>
      <c r="BR86" s="6" t="s">
        <v>83</v>
      </c>
      <c r="BS86" s="6" t="s">
        <v>83</v>
      </c>
      <c r="BT86" s="6" t="s">
        <v>100</v>
      </c>
      <c r="BU86" s="8">
        <v>1.0022399874355168</v>
      </c>
    </row>
    <row r="87" spans="1:73" x14ac:dyDescent="0.25">
      <c r="A87" s="33" t="s">
        <v>263</v>
      </c>
      <c r="B87" s="7" t="s">
        <v>264</v>
      </c>
      <c r="C87" s="7" t="s">
        <v>81</v>
      </c>
      <c r="D8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6.3348577103340714E-2</v>
      </c>
      <c r="E87" s="32">
        <v>146509</v>
      </c>
      <c r="F87" s="32">
        <v>0</v>
      </c>
      <c r="G87" s="32">
        <v>27480</v>
      </c>
      <c r="H87" s="32">
        <v>13170</v>
      </c>
      <c r="I87" s="32">
        <v>0</v>
      </c>
      <c r="J87" s="32">
        <v>2954431</v>
      </c>
      <c r="K87" s="32">
        <v>0</v>
      </c>
      <c r="L8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2.5170541556452736E-2</v>
      </c>
      <c r="M87" s="32">
        <v>904</v>
      </c>
      <c r="N87" s="32">
        <v>0</v>
      </c>
      <c r="O87" s="32">
        <v>35915</v>
      </c>
      <c r="P87" s="32">
        <v>0</v>
      </c>
      <c r="Q8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1.8748368417305457E-3</v>
      </c>
      <c r="R87" s="32">
        <v>0</v>
      </c>
      <c r="S87" s="32">
        <v>79</v>
      </c>
      <c r="T87" s="32">
        <v>0</v>
      </c>
      <c r="U87" s="32">
        <v>35915</v>
      </c>
      <c r="V87" s="32">
        <v>425</v>
      </c>
      <c r="W87" s="32">
        <v>0</v>
      </c>
      <c r="X87" s="32">
        <v>5797</v>
      </c>
      <c r="Y8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0.53106604960481396</v>
      </c>
      <c r="Z87" s="32">
        <v>59289</v>
      </c>
      <c r="AA87" s="32">
        <v>1590180</v>
      </c>
      <c r="AB87" s="32">
        <v>80471</v>
      </c>
      <c r="AC87" s="32">
        <v>0</v>
      </c>
      <c r="AD87" s="32">
        <v>0</v>
      </c>
      <c r="AE87" s="32">
        <v>2954431</v>
      </c>
      <c r="AF87" s="32">
        <v>0</v>
      </c>
      <c r="AG8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0.57752181820261472</v>
      </c>
      <c r="AH87" s="32">
        <v>161027</v>
      </c>
      <c r="AI87" s="32">
        <v>66198</v>
      </c>
      <c r="AJ87" s="32">
        <v>10883</v>
      </c>
      <c r="AK87" s="32">
        <v>0</v>
      </c>
      <c r="AL87" s="32">
        <v>2016</v>
      </c>
      <c r="AM87" s="32">
        <v>23255</v>
      </c>
      <c r="AN87" s="32">
        <v>38275</v>
      </c>
      <c r="AO87" s="32">
        <v>-13170</v>
      </c>
      <c r="AP87" s="32">
        <v>-161684</v>
      </c>
      <c r="AQ8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3.9115270890084051</v>
      </c>
      <c r="AR87" s="32">
        <v>47719</v>
      </c>
      <c r="AS87" s="32">
        <v>20650</v>
      </c>
      <c r="AT87" s="32">
        <v>21660</v>
      </c>
      <c r="AU87" s="32">
        <v>15312</v>
      </c>
      <c r="AV87" s="32">
        <v>2928</v>
      </c>
      <c r="AW87" s="32">
        <v>23255</v>
      </c>
      <c r="AX87" s="32">
        <v>24</v>
      </c>
      <c r="AY87" s="32">
        <v>0</v>
      </c>
      <c r="AZ87" s="32">
        <v>2990</v>
      </c>
      <c r="BA87" s="32">
        <v>33466</v>
      </c>
      <c r="BB87" s="32">
        <v>0</v>
      </c>
      <c r="BC87" s="32">
        <v>42951</v>
      </c>
      <c r="BD87" s="34">
        <f>IFERROR(SUM(Cons_Metrics[[#This Row],[Operating surplus/(deficit) (social housing lettings)]])/SUM(Cons_Metrics[[#This Row],[Turnover from social housing lettings]]),"")</f>
        <v>0.37723018457732949</v>
      </c>
      <c r="BE87" s="32">
        <v>88147</v>
      </c>
      <c r="BF87" s="32">
        <v>233669</v>
      </c>
      <c r="BG87" s="34">
        <f>IFERROR(SUM(Cons_Metrics[[#This Row],[Operating surplus/(deficit) (overall)2]],-Cons_Metrics[[#This Row],[Gain/(loss) on disposal of fixed assets (housing properties)2]])/SUM(Cons_Metrics[[#This Row],[Turnover (overall)]]),"")</f>
        <v>0.27927023206502533</v>
      </c>
      <c r="BH87" s="32">
        <v>161027</v>
      </c>
      <c r="BI87" s="32">
        <v>66198</v>
      </c>
      <c r="BJ87" s="32">
        <v>339560</v>
      </c>
      <c r="BK87" s="34">
        <f>IFERROR(SUM(Cons_Metrics[[#This Row],[Operating surplus/(deficit) (overall)3]],Cons_Metrics[[#This Row],[Share of operating surplus/(deficit) in joint ventures or associates]])/SUM(Cons_Metrics[[#This Row],[Total assets less current liabilities]]),"")</f>
        <v>4.8311597759677798E-2</v>
      </c>
      <c r="BL87" s="32">
        <v>161027</v>
      </c>
      <c r="BM87" s="32">
        <v>0</v>
      </c>
      <c r="BN87" s="32">
        <v>3333092</v>
      </c>
      <c r="BO87" s="34">
        <v>5.3987628410471666E-2</v>
      </c>
      <c r="BP87" s="34">
        <v>2.8112227990721307E-2</v>
      </c>
      <c r="BQ87" s="6" t="s">
        <v>82</v>
      </c>
      <c r="BR87" s="6" t="s">
        <v>83</v>
      </c>
      <c r="BS87" s="6" t="s">
        <v>83</v>
      </c>
      <c r="BT87" s="6" t="s">
        <v>87</v>
      </c>
      <c r="BU87" s="8">
        <v>1.1189501998742206</v>
      </c>
    </row>
    <row r="88" spans="1:73" x14ac:dyDescent="0.25">
      <c r="A88" s="33" t="s">
        <v>265</v>
      </c>
      <c r="B88" s="7" t="s">
        <v>266</v>
      </c>
      <c r="C88" s="7" t="s">
        <v>134</v>
      </c>
      <c r="D8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3.6842478881238018E-2</v>
      </c>
      <c r="E88" s="32">
        <v>4261</v>
      </c>
      <c r="F88" s="32">
        <v>0</v>
      </c>
      <c r="G88" s="32">
        <v>1448</v>
      </c>
      <c r="H88" s="32">
        <v>0</v>
      </c>
      <c r="I88" s="32">
        <v>0</v>
      </c>
      <c r="J88" s="32">
        <v>154957</v>
      </c>
      <c r="K88" s="32">
        <v>0</v>
      </c>
      <c r="L8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1.2066365007541479E-2</v>
      </c>
      <c r="M88" s="32">
        <v>32</v>
      </c>
      <c r="N88" s="32">
        <v>0</v>
      </c>
      <c r="O88" s="32">
        <v>2652</v>
      </c>
      <c r="P88" s="32">
        <v>0</v>
      </c>
      <c r="Q8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1.5082956259426848E-3</v>
      </c>
      <c r="R88" s="32">
        <v>0</v>
      </c>
      <c r="S88" s="32">
        <v>0</v>
      </c>
      <c r="T88" s="32">
        <v>4</v>
      </c>
      <c r="U88" s="32">
        <v>2652</v>
      </c>
      <c r="V88" s="32">
        <v>0</v>
      </c>
      <c r="W88" s="32">
        <v>0</v>
      </c>
      <c r="X88" s="32">
        <v>0</v>
      </c>
      <c r="Y8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0.42895771084881612</v>
      </c>
      <c r="Z88" s="32">
        <v>2285</v>
      </c>
      <c r="AA88" s="32">
        <v>65017</v>
      </c>
      <c r="AB88" s="32">
        <v>2108</v>
      </c>
      <c r="AC88" s="32">
        <v>0</v>
      </c>
      <c r="AD88" s="32">
        <v>1276</v>
      </c>
      <c r="AE88" s="32">
        <v>154957</v>
      </c>
      <c r="AF88" s="32">
        <v>0</v>
      </c>
      <c r="AG8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0.16037420648179085</v>
      </c>
      <c r="AH88" s="32">
        <v>-25</v>
      </c>
      <c r="AI88" s="32">
        <v>0</v>
      </c>
      <c r="AJ88" s="32">
        <v>810</v>
      </c>
      <c r="AK88" s="32">
        <v>0</v>
      </c>
      <c r="AL88" s="32">
        <v>1</v>
      </c>
      <c r="AM88" s="32">
        <v>1448</v>
      </c>
      <c r="AN88" s="32">
        <v>2762</v>
      </c>
      <c r="AO88" s="32">
        <v>0</v>
      </c>
      <c r="AP88" s="32">
        <v>-2993</v>
      </c>
      <c r="AQ8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4.2881234302116971</v>
      </c>
      <c r="AR88" s="32">
        <v>4196</v>
      </c>
      <c r="AS88" s="32">
        <v>799</v>
      </c>
      <c r="AT88" s="32">
        <v>2049</v>
      </c>
      <c r="AU88" s="32">
        <v>1021</v>
      </c>
      <c r="AV88" s="32">
        <v>11</v>
      </c>
      <c r="AW88" s="32">
        <v>1448</v>
      </c>
      <c r="AX88" s="32">
        <v>0</v>
      </c>
      <c r="AY88" s="32">
        <v>1682</v>
      </c>
      <c r="AZ88" s="32">
        <v>0</v>
      </c>
      <c r="BA88" s="32">
        <v>745</v>
      </c>
      <c r="BB88" s="32">
        <v>0</v>
      </c>
      <c r="BC88" s="32">
        <v>2787</v>
      </c>
      <c r="BD88" s="34">
        <f>IFERROR(SUM(Cons_Metrics[[#This Row],[Operating surplus/(deficit) (social housing lettings)]])/SUM(Cons_Metrics[[#This Row],[Turnover from social housing lettings]]),"")</f>
        <v>0.29451515549140533</v>
      </c>
      <c r="BE88" s="32">
        <v>4489</v>
      </c>
      <c r="BF88" s="32">
        <v>15242</v>
      </c>
      <c r="BG88" s="34">
        <f>IFERROR(SUM(Cons_Metrics[[#This Row],[Operating surplus/(deficit) (overall)2]],-Cons_Metrics[[#This Row],[Gain/(loss) on disposal of fixed assets (housing properties)2]])/SUM(Cons_Metrics[[#This Row],[Turnover (overall)]]),"")</f>
        <v>-1.4311065315702101E-3</v>
      </c>
      <c r="BH88" s="32">
        <v>-25</v>
      </c>
      <c r="BI88" s="32">
        <v>0</v>
      </c>
      <c r="BJ88" s="32">
        <v>17469</v>
      </c>
      <c r="BK88" s="34">
        <f>IFERROR(SUM(Cons_Metrics[[#This Row],[Operating surplus/(deficit) (overall)3]],Cons_Metrics[[#This Row],[Share of operating surplus/(deficit) in joint ventures or associates]])/SUM(Cons_Metrics[[#This Row],[Total assets less current liabilities]]),"")</f>
        <v>-1.6265452179570593E-4</v>
      </c>
      <c r="BL88" s="32">
        <v>-25</v>
      </c>
      <c r="BM88" s="32">
        <v>0</v>
      </c>
      <c r="BN88" s="32">
        <v>153700</v>
      </c>
      <c r="BO88" s="34">
        <v>0.1169709263015551</v>
      </c>
      <c r="BP88" s="34">
        <v>3.1440162271805273E-2</v>
      </c>
      <c r="BQ88" s="6" t="s">
        <v>82</v>
      </c>
      <c r="BR88" s="6" t="s">
        <v>83</v>
      </c>
      <c r="BS88" s="6" t="s">
        <v>83</v>
      </c>
      <c r="BT88" s="6" t="s">
        <v>105</v>
      </c>
      <c r="BU88" s="8">
        <v>0.9156653862445665</v>
      </c>
    </row>
    <row r="89" spans="1:73" x14ac:dyDescent="0.25">
      <c r="A89" s="33" t="s">
        <v>267</v>
      </c>
      <c r="B89" s="7" t="s">
        <v>268</v>
      </c>
      <c r="C89" s="7" t="s">
        <v>81</v>
      </c>
      <c r="D8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0.15939597315436241</v>
      </c>
      <c r="E89" s="32">
        <v>0</v>
      </c>
      <c r="F89" s="32">
        <v>190</v>
      </c>
      <c r="G89" s="32">
        <v>0</v>
      </c>
      <c r="H89" s="32">
        <v>0</v>
      </c>
      <c r="I89" s="32">
        <v>0</v>
      </c>
      <c r="J89" s="32">
        <v>1192</v>
      </c>
      <c r="K89" s="32">
        <v>0</v>
      </c>
      <c r="L8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0.14853672004417448</v>
      </c>
      <c r="M89" s="32">
        <v>269</v>
      </c>
      <c r="N89" s="32">
        <v>269</v>
      </c>
      <c r="O89" s="32">
        <v>1814</v>
      </c>
      <c r="P89" s="32">
        <v>1808</v>
      </c>
      <c r="Q8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89" s="32">
        <v>0</v>
      </c>
      <c r="S89" s="32">
        <v>0</v>
      </c>
      <c r="T89" s="32">
        <v>0</v>
      </c>
      <c r="U89" s="32">
        <v>1814</v>
      </c>
      <c r="V89" s="32">
        <v>0</v>
      </c>
      <c r="W89" s="32">
        <v>1808</v>
      </c>
      <c r="X89" s="32">
        <v>0</v>
      </c>
      <c r="Y8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-3.651006711409396</v>
      </c>
      <c r="Z89" s="32">
        <v>30</v>
      </c>
      <c r="AA89" s="32">
        <v>397</v>
      </c>
      <c r="AB89" s="32">
        <v>4779</v>
      </c>
      <c r="AC89" s="32">
        <v>0</v>
      </c>
      <c r="AD89" s="32">
        <v>0</v>
      </c>
      <c r="AE89" s="32">
        <v>1192</v>
      </c>
      <c r="AF89" s="32">
        <v>0</v>
      </c>
      <c r="AG8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62.185185185185183</v>
      </c>
      <c r="AH89" s="32">
        <v>1592</v>
      </c>
      <c r="AI89" s="32">
        <v>0</v>
      </c>
      <c r="AJ89" s="32">
        <v>0</v>
      </c>
      <c r="AK89" s="32">
        <v>0</v>
      </c>
      <c r="AL89" s="32">
        <v>19</v>
      </c>
      <c r="AM89" s="32">
        <v>0</v>
      </c>
      <c r="AN89" s="32">
        <v>68</v>
      </c>
      <c r="AO89" s="32">
        <v>0</v>
      </c>
      <c r="AP89" s="32">
        <v>-27</v>
      </c>
      <c r="AQ8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11.013230429988974</v>
      </c>
      <c r="AR89" s="32">
        <v>2231</v>
      </c>
      <c r="AS89" s="32">
        <v>1497</v>
      </c>
      <c r="AT89" s="32">
        <v>664</v>
      </c>
      <c r="AU89" s="32">
        <v>325</v>
      </c>
      <c r="AV89" s="32">
        <v>558</v>
      </c>
      <c r="AW89" s="32">
        <v>0</v>
      </c>
      <c r="AX89" s="32">
        <v>14703</v>
      </c>
      <c r="AY89" s="32">
        <v>0</v>
      </c>
      <c r="AZ89" s="32">
        <v>0</v>
      </c>
      <c r="BA89" s="32">
        <v>0</v>
      </c>
      <c r="BB89" s="32">
        <v>0</v>
      </c>
      <c r="BC89" s="32">
        <v>1814</v>
      </c>
      <c r="BD89" s="34">
        <f>IFERROR(SUM(Cons_Metrics[[#This Row],[Operating surplus/(deficit) (social housing lettings)]])/SUM(Cons_Metrics[[#This Row],[Turnover from social housing lettings]]),"")</f>
        <v>7.3673006617613029E-2</v>
      </c>
      <c r="BE89" s="32">
        <v>1592</v>
      </c>
      <c r="BF89" s="32">
        <v>21609</v>
      </c>
      <c r="BG89" s="34">
        <f>IFERROR(SUM(Cons_Metrics[[#This Row],[Operating surplus/(deficit) (overall)2]],-Cons_Metrics[[#This Row],[Gain/(loss) on disposal of fixed assets (housing properties)2]])/SUM(Cons_Metrics[[#This Row],[Turnover (overall)]]),"")</f>
        <v>7.3673006617613029E-2</v>
      </c>
      <c r="BH89" s="32">
        <v>1592</v>
      </c>
      <c r="BI89" s="32">
        <v>0</v>
      </c>
      <c r="BJ89" s="32">
        <v>21609</v>
      </c>
      <c r="BK89" s="34">
        <f>IFERROR(SUM(Cons_Metrics[[#This Row],[Operating surplus/(deficit) (overall)3]],Cons_Metrics[[#This Row],[Share of operating surplus/(deficit) in joint ventures or associates]])/SUM(Cons_Metrics[[#This Row],[Total assets less current liabilities]]),"")</f>
        <v>0.28107344632768361</v>
      </c>
      <c r="BL89" s="32">
        <v>1592</v>
      </c>
      <c r="BM89" s="32">
        <v>0</v>
      </c>
      <c r="BN89" s="32">
        <v>5664</v>
      </c>
      <c r="BO89" s="34">
        <v>0.93441558441558437</v>
      </c>
      <c r="BP89" s="34">
        <v>6.363636363636363E-2</v>
      </c>
      <c r="BQ89" s="6" t="s">
        <v>82</v>
      </c>
      <c r="BR89" s="6" t="s">
        <v>83</v>
      </c>
      <c r="BS89" s="6" t="s">
        <v>83</v>
      </c>
      <c r="BT89" s="6" t="s">
        <v>87</v>
      </c>
      <c r="BU89" s="8">
        <v>0.94863795899164427</v>
      </c>
    </row>
    <row r="90" spans="1:73" x14ac:dyDescent="0.25">
      <c r="A90" s="33" t="s">
        <v>269</v>
      </c>
      <c r="B90" s="7" t="s">
        <v>270</v>
      </c>
      <c r="C90" s="7" t="s">
        <v>81</v>
      </c>
      <c r="D9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6.0384551632686891E-2</v>
      </c>
      <c r="E90" s="32">
        <v>15301</v>
      </c>
      <c r="F90" s="32">
        <v>0</v>
      </c>
      <c r="G90" s="32">
        <v>10200</v>
      </c>
      <c r="H90" s="32">
        <v>0</v>
      </c>
      <c r="I90" s="32">
        <v>0</v>
      </c>
      <c r="J90" s="32">
        <v>422310</v>
      </c>
      <c r="K90" s="32">
        <v>0</v>
      </c>
      <c r="L9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5.9841350837315024E-3</v>
      </c>
      <c r="M90" s="32">
        <v>129</v>
      </c>
      <c r="N90" s="32">
        <v>0</v>
      </c>
      <c r="O90" s="32">
        <v>21557</v>
      </c>
      <c r="P90" s="32">
        <v>0</v>
      </c>
      <c r="Q9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0" s="32">
        <v>0</v>
      </c>
      <c r="S90" s="32">
        <v>0</v>
      </c>
      <c r="T90" s="32">
        <v>0</v>
      </c>
      <c r="U90" s="32">
        <v>21557</v>
      </c>
      <c r="V90" s="32">
        <v>0</v>
      </c>
      <c r="W90" s="32">
        <v>0</v>
      </c>
      <c r="X90" s="32">
        <v>0</v>
      </c>
      <c r="Y9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0.64330704932395633</v>
      </c>
      <c r="Z90" s="32">
        <v>1030</v>
      </c>
      <c r="AA90" s="32">
        <v>286652</v>
      </c>
      <c r="AB90" s="32">
        <v>16007</v>
      </c>
      <c r="AC90" s="32">
        <v>0</v>
      </c>
      <c r="AD90" s="32">
        <v>0</v>
      </c>
      <c r="AE90" s="32">
        <v>422310</v>
      </c>
      <c r="AF90" s="32">
        <v>0</v>
      </c>
      <c r="AG9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1.3726017123929755</v>
      </c>
      <c r="AH90" s="32">
        <v>14800</v>
      </c>
      <c r="AI90" s="32">
        <v>0</v>
      </c>
      <c r="AJ90" s="32">
        <v>783</v>
      </c>
      <c r="AK90" s="32">
        <v>0</v>
      </c>
      <c r="AL90" s="32">
        <v>18</v>
      </c>
      <c r="AM90" s="32">
        <v>9542</v>
      </c>
      <c r="AN90" s="32">
        <v>17470</v>
      </c>
      <c r="AO90" s="32">
        <v>0</v>
      </c>
      <c r="AP90" s="32">
        <v>-16001</v>
      </c>
      <c r="AQ9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3.0057085445494818</v>
      </c>
      <c r="AR90" s="32">
        <v>22733</v>
      </c>
      <c r="AS90" s="32">
        <v>3328</v>
      </c>
      <c r="AT90" s="32">
        <v>19503</v>
      </c>
      <c r="AU90" s="32">
        <v>4384</v>
      </c>
      <c r="AV90" s="32">
        <v>2370</v>
      </c>
      <c r="AW90" s="32">
        <v>9542</v>
      </c>
      <c r="AX90" s="32">
        <v>866</v>
      </c>
      <c r="AY90" s="32">
        <v>8</v>
      </c>
      <c r="AZ90" s="32">
        <v>0</v>
      </c>
      <c r="BA90" s="32">
        <v>2042</v>
      </c>
      <c r="BB90" s="32">
        <v>1040</v>
      </c>
      <c r="BC90" s="32">
        <v>21897</v>
      </c>
      <c r="BD90" s="34">
        <f>IFERROR(SUM(Cons_Metrics[[#This Row],[Operating surplus/(deficit) (social housing lettings)]])/SUM(Cons_Metrics[[#This Row],[Turnover from social housing lettings]]),"")</f>
        <v>0.20212281389362627</v>
      </c>
      <c r="BE90" s="32">
        <v>19081</v>
      </c>
      <c r="BF90" s="32">
        <v>94403</v>
      </c>
      <c r="BG90" s="34">
        <f>IFERROR(SUM(Cons_Metrics[[#This Row],[Operating surplus/(deficit) (overall)2]],-Cons_Metrics[[#This Row],[Gain/(loss) on disposal of fixed assets (housing properties)2]])/SUM(Cons_Metrics[[#This Row],[Turnover (overall)]]),"")</f>
        <v>0.15022482972827578</v>
      </c>
      <c r="BH90" s="32">
        <v>14800</v>
      </c>
      <c r="BI90" s="32">
        <v>0</v>
      </c>
      <c r="BJ90" s="32">
        <v>98519</v>
      </c>
      <c r="BK90" s="34">
        <f>IFERROR(SUM(Cons_Metrics[[#This Row],[Operating surplus/(deficit) (overall)3]],Cons_Metrics[[#This Row],[Share of operating surplus/(deficit) in joint ventures or associates]])/SUM(Cons_Metrics[[#This Row],[Total assets less current liabilities]]),"")</f>
        <v>3.4105075895315855E-2</v>
      </c>
      <c r="BL90" s="32">
        <v>14800</v>
      </c>
      <c r="BM90" s="32">
        <v>0</v>
      </c>
      <c r="BN90" s="32">
        <v>433953</v>
      </c>
      <c r="BO90" s="34">
        <v>3.8977309637603826E-3</v>
      </c>
      <c r="BP90" s="34">
        <v>4.1575796946777412E-2</v>
      </c>
      <c r="BQ90" s="6" t="s">
        <v>93</v>
      </c>
      <c r="BR90" s="6">
        <v>2003</v>
      </c>
      <c r="BS90" s="6" t="s">
        <v>94</v>
      </c>
      <c r="BT90" s="6" t="s">
        <v>108</v>
      </c>
      <c r="BU90" s="8">
        <v>0.94807909763407583</v>
      </c>
    </row>
    <row r="91" spans="1:73" x14ac:dyDescent="0.25">
      <c r="A91" s="33" t="s">
        <v>271</v>
      </c>
      <c r="B91" s="7" t="s">
        <v>272</v>
      </c>
      <c r="C91" s="7" t="s">
        <v>81</v>
      </c>
      <c r="D9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4.1173612114366763E-3</v>
      </c>
      <c r="E91" s="32">
        <v>0</v>
      </c>
      <c r="F91" s="32">
        <v>0</v>
      </c>
      <c r="G91" s="32">
        <v>412</v>
      </c>
      <c r="H91" s="32">
        <v>215</v>
      </c>
      <c r="I91" s="32">
        <v>0</v>
      </c>
      <c r="J91" s="32">
        <v>152282</v>
      </c>
      <c r="K91" s="32">
        <v>0</v>
      </c>
      <c r="L9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91" s="32">
        <v>0</v>
      </c>
      <c r="N91" s="32">
        <v>0</v>
      </c>
      <c r="O91" s="32">
        <v>1270</v>
      </c>
      <c r="P91" s="32">
        <v>0</v>
      </c>
      <c r="Q9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1" s="32">
        <v>0</v>
      </c>
      <c r="S91" s="32">
        <v>0</v>
      </c>
      <c r="T91" s="32">
        <v>0</v>
      </c>
      <c r="U91" s="32">
        <v>1270</v>
      </c>
      <c r="V91" s="32">
        <v>0</v>
      </c>
      <c r="W91" s="32">
        <v>0</v>
      </c>
      <c r="X91" s="32">
        <v>0</v>
      </c>
      <c r="Y9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0.34250272520718139</v>
      </c>
      <c r="Z91" s="32">
        <v>0</v>
      </c>
      <c r="AA91" s="32">
        <v>55447</v>
      </c>
      <c r="AB91" s="32">
        <v>3290</v>
      </c>
      <c r="AC91" s="32">
        <v>0</v>
      </c>
      <c r="AD91" s="32">
        <v>0</v>
      </c>
      <c r="AE91" s="32">
        <v>152282</v>
      </c>
      <c r="AF91" s="32">
        <v>0</v>
      </c>
      <c r="AG9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2.2800552740672502</v>
      </c>
      <c r="AH91" s="32">
        <v>4872</v>
      </c>
      <c r="AI91" s="32">
        <v>697</v>
      </c>
      <c r="AJ91" s="32">
        <v>799</v>
      </c>
      <c r="AK91" s="32">
        <v>0</v>
      </c>
      <c r="AL91" s="32">
        <v>38</v>
      </c>
      <c r="AM91" s="32">
        <v>412</v>
      </c>
      <c r="AN91" s="32">
        <v>1948</v>
      </c>
      <c r="AO91" s="32">
        <v>-294</v>
      </c>
      <c r="AP91" s="32">
        <v>-1877</v>
      </c>
      <c r="AQ9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3.1929133858267718</v>
      </c>
      <c r="AR91" s="32">
        <v>951</v>
      </c>
      <c r="AS91" s="32">
        <v>671</v>
      </c>
      <c r="AT91" s="32">
        <v>1179</v>
      </c>
      <c r="AU91" s="32">
        <v>347</v>
      </c>
      <c r="AV91" s="32">
        <v>255</v>
      </c>
      <c r="AW91" s="32">
        <v>412</v>
      </c>
      <c r="AX91" s="32">
        <v>75</v>
      </c>
      <c r="AY91" s="32">
        <v>165</v>
      </c>
      <c r="AZ91" s="32">
        <v>0</v>
      </c>
      <c r="BA91" s="32">
        <v>0</v>
      </c>
      <c r="BB91" s="32">
        <v>0</v>
      </c>
      <c r="BC91" s="32">
        <v>1270</v>
      </c>
      <c r="BD91" s="34">
        <f>IFERROR(SUM(Cons_Metrics[[#This Row],[Operating surplus/(deficit) (social housing lettings)]])/SUM(Cons_Metrics[[#This Row],[Turnover from social housing lettings]]),"")</f>
        <v>0.45296534288423046</v>
      </c>
      <c r="BE91" s="32">
        <v>4300</v>
      </c>
      <c r="BF91" s="32">
        <v>9493</v>
      </c>
      <c r="BG91" s="34">
        <f>IFERROR(SUM(Cons_Metrics[[#This Row],[Operating surplus/(deficit) (overall)2]],-Cons_Metrics[[#This Row],[Gain/(loss) on disposal of fixed assets (housing properties)2]])/SUM(Cons_Metrics[[#This Row],[Turnover (overall)]]),"")</f>
        <v>0.43795237595720132</v>
      </c>
      <c r="BH91" s="32">
        <v>4872</v>
      </c>
      <c r="BI91" s="32">
        <v>697</v>
      </c>
      <c r="BJ91" s="32">
        <v>9533</v>
      </c>
      <c r="BK91" s="34">
        <f>IFERROR(SUM(Cons_Metrics[[#This Row],[Operating surplus/(deficit) (overall)3]],Cons_Metrics[[#This Row],[Share of operating surplus/(deficit) in joint ventures or associates]])/SUM(Cons_Metrics[[#This Row],[Total assets less current liabilities]]),"")</f>
        <v>3.1419892816375493E-2</v>
      </c>
      <c r="BL91" s="32">
        <v>4872</v>
      </c>
      <c r="BM91" s="32">
        <v>0</v>
      </c>
      <c r="BN91" s="32">
        <v>155061</v>
      </c>
      <c r="BO91" s="34">
        <v>4.7244094488188976E-3</v>
      </c>
      <c r="BP91" s="34">
        <v>0</v>
      </c>
      <c r="BQ91" s="6" t="s">
        <v>82</v>
      </c>
      <c r="BR91" s="6" t="s">
        <v>83</v>
      </c>
      <c r="BS91" s="6" t="s">
        <v>83</v>
      </c>
      <c r="BT91" s="6" t="s">
        <v>156</v>
      </c>
      <c r="BU91" s="8">
        <v>1.2354259707718402</v>
      </c>
    </row>
    <row r="92" spans="1:73" x14ac:dyDescent="0.25">
      <c r="A92" s="33" t="s">
        <v>273</v>
      </c>
      <c r="B92" s="7" t="s">
        <v>274</v>
      </c>
      <c r="C92" s="7" t="s">
        <v>81</v>
      </c>
      <c r="D9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1.5624564144048649E-2</v>
      </c>
      <c r="E92" s="32">
        <v>0</v>
      </c>
      <c r="F92" s="32">
        <v>0</v>
      </c>
      <c r="G92" s="32">
        <v>4481</v>
      </c>
      <c r="H92" s="32">
        <v>0</v>
      </c>
      <c r="I92" s="32">
        <v>0</v>
      </c>
      <c r="J92" s="32">
        <v>286792</v>
      </c>
      <c r="K92" s="32">
        <v>0</v>
      </c>
      <c r="L9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92" s="32">
        <v>0</v>
      </c>
      <c r="N92" s="32">
        <v>0</v>
      </c>
      <c r="O92" s="32">
        <v>7226</v>
      </c>
      <c r="P92" s="32">
        <v>236</v>
      </c>
      <c r="Q9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2" s="32">
        <v>0</v>
      </c>
      <c r="S92" s="32">
        <v>0</v>
      </c>
      <c r="T92" s="32">
        <v>0</v>
      </c>
      <c r="U92" s="32">
        <v>7226</v>
      </c>
      <c r="V92" s="32">
        <v>183</v>
      </c>
      <c r="W92" s="32">
        <v>236</v>
      </c>
      <c r="X92" s="32">
        <v>9</v>
      </c>
      <c r="Y9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0.41275907277748336</v>
      </c>
      <c r="Z92" s="32">
        <v>5701</v>
      </c>
      <c r="AA92" s="32">
        <v>119367</v>
      </c>
      <c r="AB92" s="32">
        <v>6692</v>
      </c>
      <c r="AC92" s="32">
        <v>0</v>
      </c>
      <c r="AD92" s="32">
        <v>0</v>
      </c>
      <c r="AE92" s="32">
        <v>286792</v>
      </c>
      <c r="AF92" s="32">
        <v>0</v>
      </c>
      <c r="AG9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2.2955674436377533</v>
      </c>
      <c r="AH92" s="32">
        <v>12201</v>
      </c>
      <c r="AI92" s="32">
        <v>533</v>
      </c>
      <c r="AJ92" s="32">
        <v>1285</v>
      </c>
      <c r="AK92" s="32">
        <v>0</v>
      </c>
      <c r="AL92" s="32">
        <v>14</v>
      </c>
      <c r="AM92" s="32">
        <v>4481</v>
      </c>
      <c r="AN92" s="32">
        <v>6099</v>
      </c>
      <c r="AO92" s="32">
        <v>0</v>
      </c>
      <c r="AP92" s="32">
        <v>-5234</v>
      </c>
      <c r="AQ9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3.0687794076944366</v>
      </c>
      <c r="AR92" s="32">
        <v>5694</v>
      </c>
      <c r="AS92" s="32">
        <v>2517</v>
      </c>
      <c r="AT92" s="32">
        <v>2569</v>
      </c>
      <c r="AU92" s="32">
        <v>4958</v>
      </c>
      <c r="AV92" s="32">
        <v>318</v>
      </c>
      <c r="AW92" s="32">
        <v>4481</v>
      </c>
      <c r="AX92" s="32">
        <v>624</v>
      </c>
      <c r="AY92" s="32">
        <v>0</v>
      </c>
      <c r="AZ92" s="32">
        <v>448</v>
      </c>
      <c r="BA92" s="32">
        <v>0</v>
      </c>
      <c r="BB92" s="32">
        <v>566</v>
      </c>
      <c r="BC92" s="32">
        <v>7226</v>
      </c>
      <c r="BD92" s="34">
        <f>IFERROR(SUM(Cons_Metrics[[#This Row],[Operating surplus/(deficit) (social housing lettings)]])/SUM(Cons_Metrics[[#This Row],[Turnover from social housing lettings]]),"")</f>
        <v>0.35063605790320224</v>
      </c>
      <c r="BE92" s="32">
        <v>11990</v>
      </c>
      <c r="BF92" s="32">
        <v>34195</v>
      </c>
      <c r="BG92" s="34">
        <f>IFERROR(SUM(Cons_Metrics[[#This Row],[Operating surplus/(deficit) (overall)2]],-Cons_Metrics[[#This Row],[Gain/(loss) on disposal of fixed assets (housing properties)2]])/SUM(Cons_Metrics[[#This Row],[Turnover (overall)]]),"")</f>
        <v>0.32694463124859896</v>
      </c>
      <c r="BH92" s="32">
        <v>12201</v>
      </c>
      <c r="BI92" s="32">
        <v>533</v>
      </c>
      <c r="BJ92" s="32">
        <v>35688</v>
      </c>
      <c r="BK92" s="34">
        <f>IFERROR(SUM(Cons_Metrics[[#This Row],[Operating surplus/(deficit) (overall)3]],Cons_Metrics[[#This Row],[Share of operating surplus/(deficit) in joint ventures or associates]])/SUM(Cons_Metrics[[#This Row],[Total assets less current liabilities]]),"")</f>
        <v>4.0794422990119865E-2</v>
      </c>
      <c r="BL92" s="32">
        <v>12201</v>
      </c>
      <c r="BM92" s="32">
        <v>0</v>
      </c>
      <c r="BN92" s="32">
        <v>299085</v>
      </c>
      <c r="BO92" s="34">
        <v>3.3426573426573424E-2</v>
      </c>
      <c r="BP92" s="34">
        <v>6.3916083916083916E-2</v>
      </c>
      <c r="BQ92" s="6" t="s">
        <v>82</v>
      </c>
      <c r="BR92" s="6" t="s">
        <v>83</v>
      </c>
      <c r="BS92" s="6" t="s">
        <v>83</v>
      </c>
      <c r="BT92" s="6" t="s">
        <v>105</v>
      </c>
      <c r="BU92" s="8">
        <v>0.9156653862445665</v>
      </c>
    </row>
    <row r="93" spans="1:73" x14ac:dyDescent="0.25">
      <c r="A93" s="33" t="s">
        <v>275</v>
      </c>
      <c r="B93" s="7" t="s">
        <v>276</v>
      </c>
      <c r="C93" s="7" t="s">
        <v>81</v>
      </c>
      <c r="D9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5.4831465703755654E-2</v>
      </c>
      <c r="E93" s="32">
        <v>13588</v>
      </c>
      <c r="F93" s="32">
        <v>0</v>
      </c>
      <c r="G93" s="32">
        <v>768</v>
      </c>
      <c r="H93" s="32">
        <v>343</v>
      </c>
      <c r="I93" s="32">
        <v>0</v>
      </c>
      <c r="J93" s="32">
        <v>268076</v>
      </c>
      <c r="K93" s="32">
        <v>0</v>
      </c>
      <c r="L9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8.8261253309797002E-4</v>
      </c>
      <c r="M93" s="32">
        <v>2</v>
      </c>
      <c r="N93" s="32">
        <v>0</v>
      </c>
      <c r="O93" s="32">
        <v>2266</v>
      </c>
      <c r="P93" s="32">
        <v>0</v>
      </c>
      <c r="Q9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3" s="32">
        <v>0</v>
      </c>
      <c r="S93" s="32">
        <v>0</v>
      </c>
      <c r="T93" s="32">
        <v>0</v>
      </c>
      <c r="U93" s="32">
        <v>2266</v>
      </c>
      <c r="V93" s="32">
        <v>0</v>
      </c>
      <c r="W93" s="32">
        <v>0</v>
      </c>
      <c r="X93" s="32">
        <v>0</v>
      </c>
      <c r="Y9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0.28787731837240188</v>
      </c>
      <c r="Z93" s="32">
        <v>3084</v>
      </c>
      <c r="AA93" s="32">
        <v>85300</v>
      </c>
      <c r="AB93" s="32">
        <v>11211</v>
      </c>
      <c r="AC93" s="32">
        <v>0</v>
      </c>
      <c r="AD93" s="32">
        <v>0</v>
      </c>
      <c r="AE93" s="32">
        <v>268076</v>
      </c>
      <c r="AF93" s="32">
        <v>0</v>
      </c>
      <c r="AG9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2.024181729360039</v>
      </c>
      <c r="AH93" s="32">
        <v>9458</v>
      </c>
      <c r="AI93" s="32">
        <v>2715</v>
      </c>
      <c r="AJ93" s="32">
        <v>1374</v>
      </c>
      <c r="AK93" s="32">
        <v>0</v>
      </c>
      <c r="AL93" s="32">
        <v>30</v>
      </c>
      <c r="AM93" s="32">
        <v>768</v>
      </c>
      <c r="AN93" s="32">
        <v>3656</v>
      </c>
      <c r="AO93" s="32">
        <v>-343</v>
      </c>
      <c r="AP93" s="32">
        <v>-3751</v>
      </c>
      <c r="AQ9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4.7652250661959403</v>
      </c>
      <c r="AR93" s="32">
        <v>2106</v>
      </c>
      <c r="AS93" s="32">
        <v>2467</v>
      </c>
      <c r="AT93" s="32">
        <v>2980</v>
      </c>
      <c r="AU93" s="32">
        <v>646</v>
      </c>
      <c r="AV93" s="32">
        <v>1088</v>
      </c>
      <c r="AW93" s="32">
        <v>768</v>
      </c>
      <c r="AX93" s="32">
        <v>0</v>
      </c>
      <c r="AY93" s="32">
        <v>82</v>
      </c>
      <c r="AZ93" s="32">
        <v>17</v>
      </c>
      <c r="BA93" s="32">
        <v>644</v>
      </c>
      <c r="BB93" s="32">
        <v>0</v>
      </c>
      <c r="BC93" s="32">
        <v>2266</v>
      </c>
      <c r="BD93" s="34">
        <f>IFERROR(SUM(Cons_Metrics[[#This Row],[Operating surplus/(deficit) (social housing lettings)]])/SUM(Cons_Metrics[[#This Row],[Turnover from social housing lettings]]),"")</f>
        <v>0.25202734012974976</v>
      </c>
      <c r="BE93" s="32">
        <v>4351</v>
      </c>
      <c r="BF93" s="32">
        <v>17264</v>
      </c>
      <c r="BG93" s="34">
        <f>IFERROR(SUM(Cons_Metrics[[#This Row],[Operating surplus/(deficit) (overall)2]],-Cons_Metrics[[#This Row],[Gain/(loss) on disposal of fixed assets (housing properties)2]])/SUM(Cons_Metrics[[#This Row],[Turnover (overall)]]),"")</f>
        <v>0.30707227105059431</v>
      </c>
      <c r="BH93" s="32">
        <v>9458</v>
      </c>
      <c r="BI93" s="32">
        <v>2715</v>
      </c>
      <c r="BJ93" s="32">
        <v>21959</v>
      </c>
      <c r="BK93" s="34">
        <f>IFERROR(SUM(Cons_Metrics[[#This Row],[Operating surplus/(deficit) (overall)3]],Cons_Metrics[[#This Row],[Share of operating surplus/(deficit) in joint ventures or associates]])/SUM(Cons_Metrics[[#This Row],[Total assets less current liabilities]]),"")</f>
        <v>3.2412722456211296E-2</v>
      </c>
      <c r="BL93" s="32">
        <v>9458</v>
      </c>
      <c r="BM93" s="32">
        <v>0</v>
      </c>
      <c r="BN93" s="32">
        <v>291799</v>
      </c>
      <c r="BO93" s="34">
        <v>3.2286995515695069E-2</v>
      </c>
      <c r="BP93" s="34">
        <v>1.883408071748879E-2</v>
      </c>
      <c r="BQ93" s="6" t="s">
        <v>82</v>
      </c>
      <c r="BR93" s="6" t="s">
        <v>83</v>
      </c>
      <c r="BS93" s="6" t="s">
        <v>83</v>
      </c>
      <c r="BT93" s="6" t="s">
        <v>156</v>
      </c>
      <c r="BU93" s="8">
        <v>1.2488627787394371</v>
      </c>
    </row>
    <row r="94" spans="1:73" x14ac:dyDescent="0.25">
      <c r="A94" s="33" t="s">
        <v>277</v>
      </c>
      <c r="B94" s="7" t="s">
        <v>278</v>
      </c>
      <c r="C94" s="7" t="s">
        <v>81</v>
      </c>
      <c r="D9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9.7606272203846628E-2</v>
      </c>
      <c r="E94" s="32">
        <v>55511</v>
      </c>
      <c r="F94" s="32">
        <v>0</v>
      </c>
      <c r="G94" s="32">
        <v>2757</v>
      </c>
      <c r="H94" s="32">
        <v>1489</v>
      </c>
      <c r="I94" s="32">
        <v>0</v>
      </c>
      <c r="J94" s="32">
        <v>612225</v>
      </c>
      <c r="K94" s="32">
        <v>0</v>
      </c>
      <c r="L9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6.0402153261557949E-2</v>
      </c>
      <c r="M94" s="32">
        <v>763</v>
      </c>
      <c r="N94" s="32">
        <v>0</v>
      </c>
      <c r="O94" s="32">
        <v>12200</v>
      </c>
      <c r="P94" s="32">
        <v>432</v>
      </c>
      <c r="Q9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4" s="32">
        <v>0</v>
      </c>
      <c r="S94" s="32">
        <v>0</v>
      </c>
      <c r="T94" s="32">
        <v>0</v>
      </c>
      <c r="U94" s="32">
        <v>12200</v>
      </c>
      <c r="V94" s="32">
        <v>0</v>
      </c>
      <c r="W94" s="32">
        <v>432</v>
      </c>
      <c r="X94" s="32">
        <v>0</v>
      </c>
      <c r="Y9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0.41802441912695498</v>
      </c>
      <c r="Z94" s="32">
        <v>15908</v>
      </c>
      <c r="AA94" s="32">
        <v>283348</v>
      </c>
      <c r="AB94" s="32">
        <v>43331</v>
      </c>
      <c r="AC94" s="32">
        <v>0</v>
      </c>
      <c r="AD94" s="32">
        <v>0</v>
      </c>
      <c r="AE94" s="32">
        <v>612225</v>
      </c>
      <c r="AF94" s="32">
        <v>0</v>
      </c>
      <c r="AG9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2.0882933350308739</v>
      </c>
      <c r="AH94" s="32">
        <v>32190</v>
      </c>
      <c r="AI94" s="32">
        <v>2484</v>
      </c>
      <c r="AJ94" s="32">
        <v>2931</v>
      </c>
      <c r="AK94" s="32">
        <v>0</v>
      </c>
      <c r="AL94" s="32">
        <v>108</v>
      </c>
      <c r="AM94" s="32">
        <v>2757</v>
      </c>
      <c r="AN94" s="32">
        <v>8679</v>
      </c>
      <c r="AO94" s="32">
        <v>-1489</v>
      </c>
      <c r="AP94" s="32">
        <v>-14220</v>
      </c>
      <c r="AQ9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2.3685393258426966</v>
      </c>
      <c r="AR94" s="32">
        <v>6817</v>
      </c>
      <c r="AS94" s="32">
        <v>6007</v>
      </c>
      <c r="AT94" s="32">
        <v>6847</v>
      </c>
      <c r="AU94" s="32">
        <v>4886</v>
      </c>
      <c r="AV94" s="32">
        <v>764</v>
      </c>
      <c r="AW94" s="32">
        <v>2757</v>
      </c>
      <c r="AX94" s="32">
        <v>438</v>
      </c>
      <c r="AY94" s="32">
        <v>0</v>
      </c>
      <c r="AZ94" s="32">
        <v>0</v>
      </c>
      <c r="BA94" s="32">
        <v>4158</v>
      </c>
      <c r="BB94" s="32">
        <v>0</v>
      </c>
      <c r="BC94" s="32">
        <v>13795</v>
      </c>
      <c r="BD94" s="34">
        <f>IFERROR(SUM(Cons_Metrics[[#This Row],[Operating surplus/(deficit) (social housing lettings)]])/SUM(Cons_Metrics[[#This Row],[Turnover from social housing lettings]]),"")</f>
        <v>0.43879671471451659</v>
      </c>
      <c r="BE94" s="32">
        <v>26606</v>
      </c>
      <c r="BF94" s="32">
        <v>60634</v>
      </c>
      <c r="BG94" s="34">
        <f>IFERROR(SUM(Cons_Metrics[[#This Row],[Operating surplus/(deficit) (overall)2]],-Cons_Metrics[[#This Row],[Gain/(loss) on disposal of fixed assets (housing properties)2]])/SUM(Cons_Metrics[[#This Row],[Turnover (overall)]]),"")</f>
        <v>0.43125925495775386</v>
      </c>
      <c r="BH94" s="32">
        <v>32190</v>
      </c>
      <c r="BI94" s="32">
        <v>2484</v>
      </c>
      <c r="BJ94" s="32">
        <v>68882</v>
      </c>
      <c r="BK94" s="34">
        <f>IFERROR(SUM(Cons_Metrics[[#This Row],[Operating surplus/(deficit) (overall)3]],Cons_Metrics[[#This Row],[Share of operating surplus/(deficit) in joint ventures or associates]])/SUM(Cons_Metrics[[#This Row],[Total assets less current liabilities]]),"")</f>
        <v>5.0103584764401084E-2</v>
      </c>
      <c r="BL94" s="32">
        <v>32190</v>
      </c>
      <c r="BM94" s="32">
        <v>0</v>
      </c>
      <c r="BN94" s="32">
        <v>642469</v>
      </c>
      <c r="BO94" s="34">
        <v>3.6185018419975443E-2</v>
      </c>
      <c r="BP94" s="34">
        <v>0.1346704871060172</v>
      </c>
      <c r="BQ94" s="6" t="s">
        <v>82</v>
      </c>
      <c r="BR94" s="6" t="s">
        <v>83</v>
      </c>
      <c r="BS94" s="6" t="s">
        <v>83</v>
      </c>
      <c r="BT94" s="6" t="s">
        <v>105</v>
      </c>
      <c r="BU94" s="8">
        <v>0.91567089503304189</v>
      </c>
    </row>
    <row r="95" spans="1:73" x14ac:dyDescent="0.25">
      <c r="A95" s="33" t="s">
        <v>279</v>
      </c>
      <c r="B95" s="7" t="s">
        <v>280</v>
      </c>
      <c r="C95" s="7" t="s">
        <v>81</v>
      </c>
      <c r="D9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2.5603792165306363E-2</v>
      </c>
      <c r="E95" s="32">
        <v>0</v>
      </c>
      <c r="F95" s="32">
        <v>380</v>
      </c>
      <c r="G95" s="32">
        <v>2688</v>
      </c>
      <c r="H95" s="32">
        <v>0</v>
      </c>
      <c r="I95" s="32">
        <v>0</v>
      </c>
      <c r="J95" s="32">
        <v>119826</v>
      </c>
      <c r="K95" s="32">
        <v>0</v>
      </c>
      <c r="L9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1.2028869286287089E-3</v>
      </c>
      <c r="M95" s="32">
        <v>6</v>
      </c>
      <c r="N95" s="32">
        <v>0</v>
      </c>
      <c r="O95" s="32">
        <v>4910</v>
      </c>
      <c r="P95" s="32">
        <v>78</v>
      </c>
      <c r="Q9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5" s="32">
        <v>0</v>
      </c>
      <c r="S95" s="32">
        <v>0</v>
      </c>
      <c r="T95" s="32">
        <v>0</v>
      </c>
      <c r="U95" s="32">
        <v>4910</v>
      </c>
      <c r="V95" s="32">
        <v>0</v>
      </c>
      <c r="W95" s="32">
        <v>78</v>
      </c>
      <c r="X95" s="32">
        <v>0</v>
      </c>
      <c r="Y9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0.45685410511908936</v>
      </c>
      <c r="Z95" s="32">
        <v>2799</v>
      </c>
      <c r="AA95" s="32">
        <v>64581</v>
      </c>
      <c r="AB95" s="32">
        <v>12637</v>
      </c>
      <c r="AC95" s="32">
        <v>0</v>
      </c>
      <c r="AD95" s="32">
        <v>0</v>
      </c>
      <c r="AE95" s="32">
        <v>119826</v>
      </c>
      <c r="AF95" s="32">
        <v>0</v>
      </c>
      <c r="AG9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2.2224287484510534</v>
      </c>
      <c r="AH95" s="32">
        <v>6418</v>
      </c>
      <c r="AI95" s="32">
        <v>-53</v>
      </c>
      <c r="AJ95" s="32">
        <v>26</v>
      </c>
      <c r="AK95" s="32">
        <v>0</v>
      </c>
      <c r="AL95" s="32">
        <v>29</v>
      </c>
      <c r="AM95" s="32">
        <v>2688</v>
      </c>
      <c r="AN95" s="32">
        <v>3388</v>
      </c>
      <c r="AO95" s="32">
        <v>0</v>
      </c>
      <c r="AP95" s="32">
        <v>-3228</v>
      </c>
      <c r="AQ9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3.4798370672097758</v>
      </c>
      <c r="AR95" s="32">
        <v>5287</v>
      </c>
      <c r="AS95" s="32">
        <v>5005</v>
      </c>
      <c r="AT95" s="32">
        <v>1422</v>
      </c>
      <c r="AU95" s="32">
        <v>2559</v>
      </c>
      <c r="AV95" s="32">
        <v>0</v>
      </c>
      <c r="AW95" s="32">
        <v>2688</v>
      </c>
      <c r="AX95" s="32">
        <v>0</v>
      </c>
      <c r="AY95" s="32">
        <v>80</v>
      </c>
      <c r="AZ95" s="32">
        <v>0</v>
      </c>
      <c r="BA95" s="32">
        <v>45</v>
      </c>
      <c r="BB95" s="32">
        <v>0</v>
      </c>
      <c r="BC95" s="32">
        <v>4910</v>
      </c>
      <c r="BD95" s="34">
        <f>IFERROR(SUM(Cons_Metrics[[#This Row],[Operating surplus/(deficit) (social housing lettings)]])/SUM(Cons_Metrics[[#This Row],[Turnover from social housing lettings]]),"")</f>
        <v>0.26198860919090472</v>
      </c>
      <c r="BE95" s="32">
        <v>6026</v>
      </c>
      <c r="BF95" s="32">
        <v>23001</v>
      </c>
      <c r="BG95" s="34">
        <f>IFERROR(SUM(Cons_Metrics[[#This Row],[Operating surplus/(deficit) (overall)2]],-Cons_Metrics[[#This Row],[Gain/(loss) on disposal of fixed assets (housing properties)2]])/SUM(Cons_Metrics[[#This Row],[Turnover (overall)]]),"")</f>
        <v>0.25828211064101542</v>
      </c>
      <c r="BH95" s="32">
        <v>6418</v>
      </c>
      <c r="BI95" s="32">
        <v>-53</v>
      </c>
      <c r="BJ95" s="32">
        <v>25054</v>
      </c>
      <c r="BK95" s="34">
        <f>IFERROR(SUM(Cons_Metrics[[#This Row],[Operating surplus/(deficit) (overall)3]],Cons_Metrics[[#This Row],[Share of operating surplus/(deficit) in joint ventures or associates]])/SUM(Cons_Metrics[[#This Row],[Total assets less current liabilities]]),"")</f>
        <v>5.0939742205854337E-2</v>
      </c>
      <c r="BL95" s="32">
        <v>6418</v>
      </c>
      <c r="BM95" s="32">
        <v>0</v>
      </c>
      <c r="BN95" s="32">
        <v>125992</v>
      </c>
      <c r="BO95" s="34">
        <v>2.0012378791004745E-2</v>
      </c>
      <c r="BP95" s="34">
        <v>0.50753043119455332</v>
      </c>
      <c r="BQ95" s="6" t="s">
        <v>82</v>
      </c>
      <c r="BR95" s="6" t="s">
        <v>83</v>
      </c>
      <c r="BS95" s="6" t="s">
        <v>83</v>
      </c>
      <c r="BT95" s="6" t="s">
        <v>87</v>
      </c>
      <c r="BU95" s="8">
        <v>0.92179818639617539</v>
      </c>
    </row>
    <row r="96" spans="1:73" x14ac:dyDescent="0.25">
      <c r="A96" s="33" t="s">
        <v>281</v>
      </c>
      <c r="B96" s="7" t="s">
        <v>282</v>
      </c>
      <c r="C96" s="7" t="s">
        <v>81</v>
      </c>
      <c r="D9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6.6966290896365105E-2</v>
      </c>
      <c r="E96" s="32">
        <v>39380</v>
      </c>
      <c r="F96" s="32">
        <v>30</v>
      </c>
      <c r="G96" s="32">
        <v>9194</v>
      </c>
      <c r="H96" s="32">
        <v>0</v>
      </c>
      <c r="I96" s="32">
        <v>0</v>
      </c>
      <c r="J96" s="32">
        <v>725798</v>
      </c>
      <c r="K96" s="32">
        <v>0</v>
      </c>
      <c r="L9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1.3540455225120452E-2</v>
      </c>
      <c r="M96" s="32">
        <v>326</v>
      </c>
      <c r="N96" s="32">
        <v>0</v>
      </c>
      <c r="O96" s="32">
        <v>24076</v>
      </c>
      <c r="P96" s="32">
        <v>0</v>
      </c>
      <c r="Q9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4.1000410004100039E-4</v>
      </c>
      <c r="R96" s="32">
        <v>2</v>
      </c>
      <c r="S96" s="32">
        <v>0</v>
      </c>
      <c r="T96" s="32">
        <v>8</v>
      </c>
      <c r="U96" s="32">
        <v>24076</v>
      </c>
      <c r="V96" s="32">
        <v>314</v>
      </c>
      <c r="W96" s="32">
        <v>0</v>
      </c>
      <c r="X96" s="32">
        <v>0</v>
      </c>
      <c r="Y9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0.33793975734295217</v>
      </c>
      <c r="Z96" s="32">
        <v>4699</v>
      </c>
      <c r="AA96" s="32">
        <v>274512</v>
      </c>
      <c r="AB96" s="32">
        <v>33935</v>
      </c>
      <c r="AC96" s="32">
        <v>0</v>
      </c>
      <c r="AD96" s="32">
        <v>0</v>
      </c>
      <c r="AE96" s="32">
        <v>725798</v>
      </c>
      <c r="AF96" s="32">
        <v>0</v>
      </c>
      <c r="AG9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2.6503716190330242</v>
      </c>
      <c r="AH96" s="32">
        <v>31287</v>
      </c>
      <c r="AI96" s="32">
        <v>2800</v>
      </c>
      <c r="AJ96" s="32">
        <v>4378</v>
      </c>
      <c r="AK96" s="32">
        <v>0</v>
      </c>
      <c r="AL96" s="32">
        <v>112</v>
      </c>
      <c r="AM96" s="32">
        <v>9194</v>
      </c>
      <c r="AN96" s="32">
        <v>19563</v>
      </c>
      <c r="AO96" s="32">
        <v>0</v>
      </c>
      <c r="AP96" s="32">
        <v>-13051</v>
      </c>
      <c r="AQ9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3.1665978870914495</v>
      </c>
      <c r="AR96" s="32">
        <v>14979</v>
      </c>
      <c r="AS96" s="32">
        <v>11972</v>
      </c>
      <c r="AT96" s="32">
        <v>21043</v>
      </c>
      <c r="AU96" s="32">
        <v>13088</v>
      </c>
      <c r="AV96" s="32">
        <v>0</v>
      </c>
      <c r="AW96" s="32">
        <v>9194</v>
      </c>
      <c r="AX96" s="32">
        <v>874</v>
      </c>
      <c r="AY96" s="32">
        <v>865</v>
      </c>
      <c r="AZ96" s="32">
        <v>436</v>
      </c>
      <c r="BA96" s="32">
        <v>1890</v>
      </c>
      <c r="BB96" s="32">
        <v>2392</v>
      </c>
      <c r="BC96" s="32">
        <v>24232</v>
      </c>
      <c r="BD96" s="34">
        <f>IFERROR(SUM(Cons_Metrics[[#This Row],[Operating surplus/(deficit) (social housing lettings)]])/SUM(Cons_Metrics[[#This Row],[Turnover from social housing lettings]]),"")</f>
        <v>0.24459149198290184</v>
      </c>
      <c r="BE96" s="32">
        <v>26207</v>
      </c>
      <c r="BF96" s="32">
        <v>107146</v>
      </c>
      <c r="BG96" s="34">
        <f>IFERROR(SUM(Cons_Metrics[[#This Row],[Operating surplus/(deficit) (overall)2]],-Cons_Metrics[[#This Row],[Gain/(loss) on disposal of fixed assets (housing properties)2]])/SUM(Cons_Metrics[[#This Row],[Turnover (overall)]]),"")</f>
        <v>0.22487724782519458</v>
      </c>
      <c r="BH96" s="32">
        <v>31287</v>
      </c>
      <c r="BI96" s="32">
        <v>2800</v>
      </c>
      <c r="BJ96" s="32">
        <v>126678</v>
      </c>
      <c r="BK96" s="34">
        <f>IFERROR(SUM(Cons_Metrics[[#This Row],[Operating surplus/(deficit) (overall)3]],Cons_Metrics[[#This Row],[Share of operating surplus/(deficit) in joint ventures or associates]])/SUM(Cons_Metrics[[#This Row],[Total assets less current liabilities]]),"")</f>
        <v>3.8288842303131322E-2</v>
      </c>
      <c r="BL96" s="32">
        <v>31287</v>
      </c>
      <c r="BM96" s="32">
        <v>0</v>
      </c>
      <c r="BN96" s="32">
        <v>817131</v>
      </c>
      <c r="BO96" s="34">
        <v>3.089321692411014E-2</v>
      </c>
      <c r="BP96" s="34">
        <v>2.9382135661517796E-2</v>
      </c>
      <c r="BQ96" s="6" t="s">
        <v>93</v>
      </c>
      <c r="BR96" s="6">
        <v>2006</v>
      </c>
      <c r="BS96" s="6" t="s">
        <v>94</v>
      </c>
      <c r="BT96" s="6" t="s">
        <v>121</v>
      </c>
      <c r="BU96" s="8">
        <v>0.90427803550219121</v>
      </c>
    </row>
    <row r="97" spans="1:73" x14ac:dyDescent="0.25">
      <c r="A97" s="33" t="s">
        <v>283</v>
      </c>
      <c r="B97" s="7" t="s">
        <v>284</v>
      </c>
      <c r="C97" s="7" t="s">
        <v>81</v>
      </c>
      <c r="D9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7.8370984744861955E-2</v>
      </c>
      <c r="E97" s="32">
        <v>9829</v>
      </c>
      <c r="F97" s="32">
        <v>4738</v>
      </c>
      <c r="G97" s="32">
        <v>4051</v>
      </c>
      <c r="H97" s="32">
        <v>0</v>
      </c>
      <c r="I97" s="32">
        <v>-627</v>
      </c>
      <c r="J97" s="32">
        <v>229562</v>
      </c>
      <c r="K97" s="32">
        <v>0</v>
      </c>
      <c r="L9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1.6440422322775265E-2</v>
      </c>
      <c r="M97" s="32">
        <v>218</v>
      </c>
      <c r="N97" s="32">
        <v>0</v>
      </c>
      <c r="O97" s="32">
        <v>13260</v>
      </c>
      <c r="P97" s="32">
        <v>0</v>
      </c>
      <c r="Q9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1.5082956259426848E-4</v>
      </c>
      <c r="R97" s="32">
        <v>0</v>
      </c>
      <c r="S97" s="32">
        <v>0</v>
      </c>
      <c r="T97" s="32">
        <v>2</v>
      </c>
      <c r="U97" s="32">
        <v>13260</v>
      </c>
      <c r="V97" s="32">
        <v>0</v>
      </c>
      <c r="W97" s="32">
        <v>0</v>
      </c>
      <c r="X97" s="32">
        <v>0</v>
      </c>
      <c r="Y9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0.73400649933351336</v>
      </c>
      <c r="Z97" s="32">
        <v>0</v>
      </c>
      <c r="AA97" s="32">
        <v>183153</v>
      </c>
      <c r="AB97" s="32">
        <v>14653</v>
      </c>
      <c r="AC97" s="32">
        <v>0</v>
      </c>
      <c r="AD97" s="32">
        <v>0</v>
      </c>
      <c r="AE97" s="32">
        <v>229562</v>
      </c>
      <c r="AF97" s="32">
        <v>0</v>
      </c>
      <c r="AG9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2.1362580960527922</v>
      </c>
      <c r="AH97" s="32">
        <v>17095</v>
      </c>
      <c r="AI97" s="32">
        <v>3225</v>
      </c>
      <c r="AJ97" s="32">
        <v>316</v>
      </c>
      <c r="AK97" s="32">
        <v>0</v>
      </c>
      <c r="AL97" s="32">
        <v>23</v>
      </c>
      <c r="AM97" s="32">
        <v>4051</v>
      </c>
      <c r="AN97" s="32">
        <v>7955</v>
      </c>
      <c r="AO97" s="32">
        <v>0</v>
      </c>
      <c r="AP97" s="32">
        <v>-8183</v>
      </c>
      <c r="AQ9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3.03098379193366</v>
      </c>
      <c r="AR97" s="32">
        <v>13928</v>
      </c>
      <c r="AS97" s="32">
        <v>2291</v>
      </c>
      <c r="AT97" s="32">
        <v>11897</v>
      </c>
      <c r="AU97" s="32">
        <v>0</v>
      </c>
      <c r="AV97" s="32">
        <v>6474</v>
      </c>
      <c r="AW97" s="32">
        <v>4051</v>
      </c>
      <c r="AX97" s="32">
        <v>588</v>
      </c>
      <c r="AY97" s="32">
        <v>0</v>
      </c>
      <c r="AZ97" s="32">
        <v>0</v>
      </c>
      <c r="BA97" s="32">
        <v>674</v>
      </c>
      <c r="BB97" s="32">
        <v>303</v>
      </c>
      <c r="BC97" s="32">
        <v>13265</v>
      </c>
      <c r="BD97" s="34">
        <f>IFERROR(SUM(Cons_Metrics[[#This Row],[Operating surplus/(deficit) (social housing lettings)]])/SUM(Cons_Metrics[[#This Row],[Turnover from social housing lettings]]),"")</f>
        <v>0.23705704123303911</v>
      </c>
      <c r="BE97" s="32">
        <v>14396</v>
      </c>
      <c r="BF97" s="32">
        <v>60728</v>
      </c>
      <c r="BG97" s="34">
        <f>IFERROR(SUM(Cons_Metrics[[#This Row],[Operating surplus/(deficit) (overall)2]],-Cons_Metrics[[#This Row],[Gain/(loss) on disposal of fixed assets (housing properties)2]])/SUM(Cons_Metrics[[#This Row],[Turnover (overall)]]),"")</f>
        <v>0.22604302477183832</v>
      </c>
      <c r="BH97" s="32">
        <v>17095</v>
      </c>
      <c r="BI97" s="32">
        <v>3225</v>
      </c>
      <c r="BJ97" s="32">
        <v>61360</v>
      </c>
      <c r="BK97" s="34">
        <f>IFERROR(SUM(Cons_Metrics[[#This Row],[Operating surplus/(deficit) (overall)3]],Cons_Metrics[[#This Row],[Share of operating surplus/(deficit) in joint ventures or associates]])/SUM(Cons_Metrics[[#This Row],[Total assets less current liabilities]]),"")</f>
        <v>6.8988199970943839E-2</v>
      </c>
      <c r="BL97" s="32">
        <v>17095</v>
      </c>
      <c r="BM97" s="32">
        <v>0</v>
      </c>
      <c r="BN97" s="32">
        <v>247796</v>
      </c>
      <c r="BO97" s="34">
        <v>2.8000605418495536E-3</v>
      </c>
      <c r="BP97" s="34">
        <v>5.070379900105948E-2</v>
      </c>
      <c r="BQ97" s="6" t="s">
        <v>93</v>
      </c>
      <c r="BR97" s="6">
        <v>2002</v>
      </c>
      <c r="BS97" s="6" t="s">
        <v>94</v>
      </c>
      <c r="BT97" s="6" t="s">
        <v>105</v>
      </c>
      <c r="BU97" s="8">
        <v>0.9156653862445665</v>
      </c>
    </row>
    <row r="98" spans="1:73" x14ac:dyDescent="0.25">
      <c r="A98" s="33" t="s">
        <v>285</v>
      </c>
      <c r="B98" s="7" t="s">
        <v>286</v>
      </c>
      <c r="C98" s="7" t="s">
        <v>81</v>
      </c>
      <c r="D9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0.12197323810861235</v>
      </c>
      <c r="E98" s="32">
        <v>5336</v>
      </c>
      <c r="F98" s="32">
        <v>0</v>
      </c>
      <c r="G98" s="32">
        <v>668</v>
      </c>
      <c r="H98" s="32">
        <v>76</v>
      </c>
      <c r="I98" s="32">
        <v>0</v>
      </c>
      <c r="J98" s="32">
        <v>49847</v>
      </c>
      <c r="K98" s="32">
        <v>0</v>
      </c>
      <c r="L9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6.3965884861407252E-2</v>
      </c>
      <c r="M98" s="32">
        <v>90</v>
      </c>
      <c r="N98" s="32">
        <v>0</v>
      </c>
      <c r="O98" s="32">
        <v>1407</v>
      </c>
      <c r="P98" s="32">
        <v>0</v>
      </c>
      <c r="Q9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8" s="32">
        <v>0</v>
      </c>
      <c r="S98" s="32">
        <v>0</v>
      </c>
      <c r="T98" s="32">
        <v>0</v>
      </c>
      <c r="U98" s="32">
        <v>1407</v>
      </c>
      <c r="V98" s="32">
        <v>13</v>
      </c>
      <c r="W98" s="32">
        <v>0</v>
      </c>
      <c r="X98" s="32">
        <v>0</v>
      </c>
      <c r="Y9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0.33498505426605413</v>
      </c>
      <c r="Z98" s="32">
        <v>613</v>
      </c>
      <c r="AA98" s="32">
        <v>16946</v>
      </c>
      <c r="AB98" s="32">
        <v>861</v>
      </c>
      <c r="AC98" s="32">
        <v>0</v>
      </c>
      <c r="AD98" s="32">
        <v>0</v>
      </c>
      <c r="AE98" s="32">
        <v>49847</v>
      </c>
      <c r="AF98" s="32">
        <v>0</v>
      </c>
      <c r="AG9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3.9927953890489913</v>
      </c>
      <c r="AH98" s="32">
        <v>3020</v>
      </c>
      <c r="AI98" s="32">
        <v>476</v>
      </c>
      <c r="AJ98" s="32">
        <v>85</v>
      </c>
      <c r="AK98" s="32">
        <v>0</v>
      </c>
      <c r="AL98" s="32">
        <v>6</v>
      </c>
      <c r="AM98" s="32">
        <v>668</v>
      </c>
      <c r="AN98" s="32">
        <v>974</v>
      </c>
      <c r="AO98" s="32">
        <v>-76</v>
      </c>
      <c r="AP98" s="32">
        <v>-618</v>
      </c>
      <c r="AQ9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2.8730375426621162</v>
      </c>
      <c r="AR98" s="32">
        <v>1860</v>
      </c>
      <c r="AS98" s="32">
        <v>272</v>
      </c>
      <c r="AT98" s="32">
        <v>803</v>
      </c>
      <c r="AU98" s="32">
        <v>415</v>
      </c>
      <c r="AV98" s="32">
        <v>107</v>
      </c>
      <c r="AW98" s="32">
        <v>668</v>
      </c>
      <c r="AX98" s="32">
        <v>9</v>
      </c>
      <c r="AY98" s="32">
        <v>0</v>
      </c>
      <c r="AZ98" s="32">
        <v>0</v>
      </c>
      <c r="BA98" s="32">
        <v>70</v>
      </c>
      <c r="BB98" s="32">
        <v>5</v>
      </c>
      <c r="BC98" s="32">
        <v>1465</v>
      </c>
      <c r="BD98" s="34">
        <f>IFERROR(SUM(Cons_Metrics[[#This Row],[Operating surplus/(deficit) (social housing lettings)]])/SUM(Cons_Metrics[[#This Row],[Turnover from social housing lettings]]),"")</f>
        <v>0.31801055011303692</v>
      </c>
      <c r="BE98" s="32">
        <v>2110</v>
      </c>
      <c r="BF98" s="32">
        <v>6635</v>
      </c>
      <c r="BG98" s="34">
        <f>IFERROR(SUM(Cons_Metrics[[#This Row],[Operating surplus/(deficit) (overall)2]],-Cons_Metrics[[#This Row],[Gain/(loss) on disposal of fixed assets (housing properties)2]])/SUM(Cons_Metrics[[#This Row],[Turnover (overall)]]),"")</f>
        <v>0.34056224899598392</v>
      </c>
      <c r="BH98" s="32">
        <v>3020</v>
      </c>
      <c r="BI98" s="32">
        <v>476</v>
      </c>
      <c r="BJ98" s="32">
        <v>7470</v>
      </c>
      <c r="BK98" s="34">
        <f>IFERROR(SUM(Cons_Metrics[[#This Row],[Operating surplus/(deficit) (overall)3]],Cons_Metrics[[#This Row],[Share of operating surplus/(deficit) in joint ventures or associates]])/SUM(Cons_Metrics[[#This Row],[Total assets less current liabilities]]),"")</f>
        <v>5.8628254159305782E-2</v>
      </c>
      <c r="BL98" s="32">
        <v>3020</v>
      </c>
      <c r="BM98" s="32">
        <v>0</v>
      </c>
      <c r="BN98" s="32">
        <v>51511</v>
      </c>
      <c r="BO98" s="34">
        <v>0</v>
      </c>
      <c r="BP98" s="34">
        <v>5.8305084745762709E-2</v>
      </c>
      <c r="BQ98" s="6" t="s">
        <v>82</v>
      </c>
      <c r="BR98" s="6" t="s">
        <v>83</v>
      </c>
      <c r="BS98" s="6" t="s">
        <v>83</v>
      </c>
      <c r="BT98" s="6" t="s">
        <v>108</v>
      </c>
      <c r="BU98" s="8">
        <v>0.94796922064631484</v>
      </c>
    </row>
    <row r="99" spans="1:73" x14ac:dyDescent="0.25">
      <c r="A99" s="33" t="s">
        <v>287</v>
      </c>
      <c r="B99" s="7" t="s">
        <v>288</v>
      </c>
      <c r="C99" s="7" t="s">
        <v>81</v>
      </c>
      <c r="D9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9.9500296256678888E-2</v>
      </c>
      <c r="E99" s="32">
        <v>3138</v>
      </c>
      <c r="F99" s="32">
        <v>13292</v>
      </c>
      <c r="G99" s="32">
        <v>2546</v>
      </c>
      <c r="H99" s="32">
        <v>0</v>
      </c>
      <c r="I99" s="32">
        <v>0</v>
      </c>
      <c r="J99" s="32">
        <v>190713</v>
      </c>
      <c r="K99" s="32">
        <v>0</v>
      </c>
      <c r="L9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3.8177339901477834E-2</v>
      </c>
      <c r="M99" s="32">
        <v>155</v>
      </c>
      <c r="N99" s="32">
        <v>0</v>
      </c>
      <c r="O99" s="32">
        <v>4048</v>
      </c>
      <c r="P99" s="32">
        <v>12</v>
      </c>
      <c r="Q9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99" s="32">
        <v>0</v>
      </c>
      <c r="S99" s="32">
        <v>0</v>
      </c>
      <c r="T99" s="32">
        <v>0</v>
      </c>
      <c r="U99" s="32">
        <v>4048</v>
      </c>
      <c r="V99" s="32">
        <v>85</v>
      </c>
      <c r="W99" s="32">
        <v>12</v>
      </c>
      <c r="X99" s="32">
        <v>0</v>
      </c>
      <c r="Y9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0.22733112058433352</v>
      </c>
      <c r="Z99" s="32">
        <v>2483</v>
      </c>
      <c r="AA99" s="32">
        <v>46367</v>
      </c>
      <c r="AB99" s="32">
        <v>5495</v>
      </c>
      <c r="AC99" s="32">
        <v>0</v>
      </c>
      <c r="AD99" s="32">
        <v>0</v>
      </c>
      <c r="AE99" s="32">
        <v>190713</v>
      </c>
      <c r="AF99" s="32">
        <v>0</v>
      </c>
      <c r="AG9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3.2778452814904822</v>
      </c>
      <c r="AH99" s="32">
        <v>8581</v>
      </c>
      <c r="AI99" s="32">
        <v>412</v>
      </c>
      <c r="AJ99" s="32">
        <v>1857</v>
      </c>
      <c r="AK99" s="32">
        <v>0</v>
      </c>
      <c r="AL99" s="32">
        <v>67</v>
      </c>
      <c r="AM99" s="32">
        <v>2546</v>
      </c>
      <c r="AN99" s="32">
        <v>4260</v>
      </c>
      <c r="AO99" s="32">
        <v>0</v>
      </c>
      <c r="AP99" s="32">
        <v>-2469</v>
      </c>
      <c r="AQ9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2.987966601178782</v>
      </c>
      <c r="AR99" s="32">
        <v>3918</v>
      </c>
      <c r="AS99" s="32">
        <v>707</v>
      </c>
      <c r="AT99" s="32">
        <v>2383</v>
      </c>
      <c r="AU99" s="32">
        <v>766</v>
      </c>
      <c r="AV99" s="32">
        <v>712</v>
      </c>
      <c r="AW99" s="32">
        <v>2546</v>
      </c>
      <c r="AX99" s="32">
        <v>519</v>
      </c>
      <c r="AY99" s="32">
        <v>163</v>
      </c>
      <c r="AZ99" s="32">
        <v>0</v>
      </c>
      <c r="BA99" s="32">
        <v>453</v>
      </c>
      <c r="BB99" s="32">
        <v>0</v>
      </c>
      <c r="BC99" s="32">
        <v>4072</v>
      </c>
      <c r="BD99" s="34">
        <f>IFERROR(SUM(Cons_Metrics[[#This Row],[Operating surplus/(deficit) (social housing lettings)]])/SUM(Cons_Metrics[[#This Row],[Turnover from social housing lettings]]),"")</f>
        <v>0.32733478125969595</v>
      </c>
      <c r="BE99" s="32">
        <v>6330</v>
      </c>
      <c r="BF99" s="32">
        <v>19338</v>
      </c>
      <c r="BG99" s="34">
        <f>IFERROR(SUM(Cons_Metrics[[#This Row],[Operating surplus/(deficit) (overall)2]],-Cons_Metrics[[#This Row],[Gain/(loss) on disposal of fixed assets (housing properties)2]])/SUM(Cons_Metrics[[#This Row],[Turnover (overall)]]),"")</f>
        <v>0.34889382420773896</v>
      </c>
      <c r="BH99" s="32">
        <v>8581</v>
      </c>
      <c r="BI99" s="32">
        <v>412</v>
      </c>
      <c r="BJ99" s="32">
        <v>23414</v>
      </c>
      <c r="BK99" s="34">
        <f>IFERROR(SUM(Cons_Metrics[[#This Row],[Operating surplus/(deficit) (overall)3]],Cons_Metrics[[#This Row],[Share of operating surplus/(deficit) in joint ventures or associates]])/SUM(Cons_Metrics[[#This Row],[Total assets less current liabilities]]),"")</f>
        <v>4.3128621904575219E-2</v>
      </c>
      <c r="BL99" s="32">
        <v>8581</v>
      </c>
      <c r="BM99" s="32">
        <v>0</v>
      </c>
      <c r="BN99" s="32">
        <v>198963</v>
      </c>
      <c r="BO99" s="34">
        <v>4.572713643178411E-2</v>
      </c>
      <c r="BP99" s="34">
        <v>6.3968015992003996E-2</v>
      </c>
      <c r="BQ99" s="6" t="s">
        <v>82</v>
      </c>
      <c r="BR99" s="6" t="s">
        <v>83</v>
      </c>
      <c r="BS99" s="6" t="s">
        <v>83</v>
      </c>
      <c r="BT99" s="6" t="s">
        <v>108</v>
      </c>
      <c r="BU99" s="8">
        <v>0.94806402515399968</v>
      </c>
    </row>
    <row r="100" spans="1:73" x14ac:dyDescent="0.25">
      <c r="A100" s="33" t="s">
        <v>289</v>
      </c>
      <c r="B100" s="7" t="s">
        <v>290</v>
      </c>
      <c r="C100" s="7" t="s">
        <v>81</v>
      </c>
      <c r="D10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0.10916815512286195</v>
      </c>
      <c r="E100" s="32">
        <v>0</v>
      </c>
      <c r="F100" s="32">
        <v>33108</v>
      </c>
      <c r="G100" s="32">
        <v>10332</v>
      </c>
      <c r="H100" s="32">
        <v>1116</v>
      </c>
      <c r="I100" s="32">
        <v>0</v>
      </c>
      <c r="J100" s="32">
        <v>408141</v>
      </c>
      <c r="K100" s="32">
        <v>0</v>
      </c>
      <c r="L10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1.5425297487880123E-2</v>
      </c>
      <c r="M100" s="32">
        <v>245</v>
      </c>
      <c r="N100" s="32">
        <v>0</v>
      </c>
      <c r="O100" s="32">
        <v>15467</v>
      </c>
      <c r="P100" s="32">
        <v>416</v>
      </c>
      <c r="Q10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0" s="32">
        <v>0</v>
      </c>
      <c r="S100" s="32">
        <v>0</v>
      </c>
      <c r="T100" s="32">
        <v>0</v>
      </c>
      <c r="U100" s="32">
        <v>15467</v>
      </c>
      <c r="V100" s="32">
        <v>0</v>
      </c>
      <c r="W100" s="32">
        <v>416</v>
      </c>
      <c r="X100" s="32">
        <v>46</v>
      </c>
      <c r="Y10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0.18425250097392812</v>
      </c>
      <c r="Z100" s="32">
        <v>0</v>
      </c>
      <c r="AA100" s="32">
        <v>157529</v>
      </c>
      <c r="AB100" s="32">
        <v>82328</v>
      </c>
      <c r="AC100" s="32">
        <v>0</v>
      </c>
      <c r="AD100" s="32">
        <v>0</v>
      </c>
      <c r="AE100" s="32">
        <v>408141</v>
      </c>
      <c r="AF100" s="32">
        <v>0</v>
      </c>
      <c r="AG10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1.4188961195468788</v>
      </c>
      <c r="AH100" s="32">
        <v>25999</v>
      </c>
      <c r="AI100" s="32">
        <v>0</v>
      </c>
      <c r="AJ100" s="32">
        <v>273</v>
      </c>
      <c r="AK100" s="32">
        <v>0</v>
      </c>
      <c r="AL100" s="32">
        <v>215</v>
      </c>
      <c r="AM100" s="32">
        <v>10332</v>
      </c>
      <c r="AN100" s="32">
        <v>13826</v>
      </c>
      <c r="AO100" s="32">
        <v>-1116</v>
      </c>
      <c r="AP100" s="32">
        <v>-19629</v>
      </c>
      <c r="AQ10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2.7103141327485001</v>
      </c>
      <c r="AR100" s="32">
        <v>13130</v>
      </c>
      <c r="AS100" s="32">
        <v>3475</v>
      </c>
      <c r="AT100" s="32">
        <v>13432</v>
      </c>
      <c r="AU100" s="32">
        <v>901</v>
      </c>
      <c r="AV100" s="32">
        <v>0</v>
      </c>
      <c r="AW100" s="32">
        <v>10332</v>
      </c>
      <c r="AX100" s="32">
        <v>639</v>
      </c>
      <c r="AY100" s="32">
        <v>0</v>
      </c>
      <c r="AZ100" s="32">
        <v>0</v>
      </c>
      <c r="BA100" s="32">
        <v>109</v>
      </c>
      <c r="BB100" s="32">
        <v>0</v>
      </c>
      <c r="BC100" s="32">
        <v>15503</v>
      </c>
      <c r="BD100" s="34">
        <f>IFERROR(SUM(Cons_Metrics[[#This Row],[Operating surplus/(deficit) (social housing lettings)]])/SUM(Cons_Metrics[[#This Row],[Turnover from social housing lettings]]),"")</f>
        <v>0.3524395887971053</v>
      </c>
      <c r="BE100" s="32">
        <v>25130</v>
      </c>
      <c r="BF100" s="32">
        <v>71303</v>
      </c>
      <c r="BG100" s="34">
        <f>IFERROR(SUM(Cons_Metrics[[#This Row],[Operating surplus/(deficit) (overall)2]],-Cons_Metrics[[#This Row],[Gain/(loss) on disposal of fixed assets (housing properties)2]])/SUM(Cons_Metrics[[#This Row],[Turnover (overall)]]),"")</f>
        <v>0.33662199779892538</v>
      </c>
      <c r="BH100" s="32">
        <v>25999</v>
      </c>
      <c r="BI100" s="32">
        <v>0</v>
      </c>
      <c r="BJ100" s="32">
        <v>77235</v>
      </c>
      <c r="BK100" s="34">
        <f>IFERROR(SUM(Cons_Metrics[[#This Row],[Operating surplus/(deficit) (overall)3]],Cons_Metrics[[#This Row],[Share of operating surplus/(deficit) in joint ventures or associates]])/SUM(Cons_Metrics[[#This Row],[Total assets less current liabilities]]),"")</f>
        <v>5.2879178632735911E-2</v>
      </c>
      <c r="BL100" s="32">
        <v>25999</v>
      </c>
      <c r="BM100" s="32">
        <v>0</v>
      </c>
      <c r="BN100" s="32">
        <v>491668</v>
      </c>
      <c r="BO100" s="34">
        <v>4.1391799249773636E-3</v>
      </c>
      <c r="BP100" s="34">
        <v>4.6695123528650885E-2</v>
      </c>
      <c r="BQ100" s="6" t="s">
        <v>93</v>
      </c>
      <c r="BR100" s="6">
        <v>2008</v>
      </c>
      <c r="BS100" s="6" t="s">
        <v>120</v>
      </c>
      <c r="BT100" s="6" t="s">
        <v>105</v>
      </c>
      <c r="BU100" s="8">
        <v>0.9156653862445665</v>
      </c>
    </row>
    <row r="101" spans="1:73" x14ac:dyDescent="0.25">
      <c r="A101" s="33" t="s">
        <v>291</v>
      </c>
      <c r="B101" s="7" t="s">
        <v>292</v>
      </c>
      <c r="C101" s="7" t="s">
        <v>81</v>
      </c>
      <c r="D10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5.4916890305763723E-2</v>
      </c>
      <c r="E101" s="32">
        <v>26353</v>
      </c>
      <c r="F101" s="32">
        <v>57396</v>
      </c>
      <c r="G101" s="32">
        <v>16501</v>
      </c>
      <c r="H101" s="32">
        <v>1678</v>
      </c>
      <c r="I101" s="32">
        <v>0</v>
      </c>
      <c r="J101" s="32">
        <v>1856041</v>
      </c>
      <c r="K101" s="32">
        <v>0</v>
      </c>
      <c r="L10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2.4276129943502825E-2</v>
      </c>
      <c r="M101" s="32">
        <v>825</v>
      </c>
      <c r="N101" s="32">
        <v>0</v>
      </c>
      <c r="O101" s="32">
        <v>33984</v>
      </c>
      <c r="P101" s="32">
        <v>0</v>
      </c>
      <c r="Q10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7.3346046648085667E-4</v>
      </c>
      <c r="R101" s="32">
        <v>0</v>
      </c>
      <c r="S101" s="32">
        <v>0</v>
      </c>
      <c r="T101" s="32">
        <v>25</v>
      </c>
      <c r="U101" s="32">
        <v>33984</v>
      </c>
      <c r="V101" s="32">
        <v>101</v>
      </c>
      <c r="W101" s="32">
        <v>0</v>
      </c>
      <c r="X101" s="32">
        <v>0</v>
      </c>
      <c r="Y10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0.38212302422198646</v>
      </c>
      <c r="Z101" s="32">
        <v>25184</v>
      </c>
      <c r="AA101" s="32">
        <v>707446</v>
      </c>
      <c r="AB101" s="32">
        <v>23394</v>
      </c>
      <c r="AC101" s="32">
        <v>0</v>
      </c>
      <c r="AD101" s="32">
        <v>0</v>
      </c>
      <c r="AE101" s="32">
        <v>1856041</v>
      </c>
      <c r="AF101" s="32">
        <v>0</v>
      </c>
      <c r="AG10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2.4124470375772731</v>
      </c>
      <c r="AH101" s="32">
        <v>68857</v>
      </c>
      <c r="AI101" s="32">
        <v>7255</v>
      </c>
      <c r="AJ101" s="32">
        <v>7933</v>
      </c>
      <c r="AK101" s="32">
        <v>0</v>
      </c>
      <c r="AL101" s="32">
        <v>268</v>
      </c>
      <c r="AM101" s="32">
        <v>16501</v>
      </c>
      <c r="AN101" s="32">
        <v>32028</v>
      </c>
      <c r="AO101" s="32">
        <v>-1871</v>
      </c>
      <c r="AP101" s="32">
        <v>-26923</v>
      </c>
      <c r="AQ10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3.24522648493038</v>
      </c>
      <c r="AR101" s="32">
        <v>37069</v>
      </c>
      <c r="AS101" s="32">
        <v>10490</v>
      </c>
      <c r="AT101" s="32">
        <v>23061</v>
      </c>
      <c r="AU101" s="32">
        <v>9374</v>
      </c>
      <c r="AV101" s="32">
        <v>6448</v>
      </c>
      <c r="AW101" s="32">
        <v>16501</v>
      </c>
      <c r="AX101" s="32">
        <v>0</v>
      </c>
      <c r="AY101" s="32">
        <v>2332</v>
      </c>
      <c r="AZ101" s="32">
        <v>0</v>
      </c>
      <c r="BA101" s="32">
        <v>479</v>
      </c>
      <c r="BB101" s="32">
        <v>4720</v>
      </c>
      <c r="BC101" s="32">
        <v>34042</v>
      </c>
      <c r="BD101" s="34">
        <f>IFERROR(SUM(Cons_Metrics[[#This Row],[Operating surplus/(deficit) (social housing lettings)]])/SUM(Cons_Metrics[[#This Row],[Turnover from social housing lettings]]),"")</f>
        <v>0.30561608702510384</v>
      </c>
      <c r="BE101" s="32">
        <v>52312</v>
      </c>
      <c r="BF101" s="32">
        <v>171169</v>
      </c>
      <c r="BG101" s="34">
        <f>IFERROR(SUM(Cons_Metrics[[#This Row],[Operating surplus/(deficit) (overall)2]],-Cons_Metrics[[#This Row],[Gain/(loss) on disposal of fixed assets (housing properties)2]])/SUM(Cons_Metrics[[#This Row],[Turnover (overall)]]),"")</f>
        <v>0.26710778489849368</v>
      </c>
      <c r="BH101" s="32">
        <v>68857</v>
      </c>
      <c r="BI101" s="32">
        <v>7255</v>
      </c>
      <c r="BJ101" s="32">
        <v>230626</v>
      </c>
      <c r="BK101" s="34">
        <f>IFERROR(SUM(Cons_Metrics[[#This Row],[Operating surplus/(deficit) (overall)3]],Cons_Metrics[[#This Row],[Share of operating surplus/(deficit) in joint ventures or associates]])/SUM(Cons_Metrics[[#This Row],[Total assets less current liabilities]]),"")</f>
        <v>3.6069599617805564E-2</v>
      </c>
      <c r="BL101" s="32">
        <v>68857</v>
      </c>
      <c r="BM101" s="32">
        <v>-1</v>
      </c>
      <c r="BN101" s="32">
        <v>1908976</v>
      </c>
      <c r="BO101" s="34">
        <v>4.3480848784262373E-2</v>
      </c>
      <c r="BP101" s="34">
        <v>2.1249367578345883E-2</v>
      </c>
      <c r="BQ101" s="6" t="s">
        <v>82</v>
      </c>
      <c r="BR101" s="6" t="s">
        <v>83</v>
      </c>
      <c r="BS101" s="6" t="s">
        <v>83</v>
      </c>
      <c r="BT101" s="6" t="s">
        <v>115</v>
      </c>
      <c r="BU101" s="8">
        <v>0.96631337538938056</v>
      </c>
    </row>
    <row r="102" spans="1:73" x14ac:dyDescent="0.25">
      <c r="A102" s="33" t="s">
        <v>293</v>
      </c>
      <c r="B102" s="7" t="s">
        <v>294</v>
      </c>
      <c r="C102" s="7" t="s">
        <v>81</v>
      </c>
      <c r="D10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8.945314774911188E-2</v>
      </c>
      <c r="E102" s="32">
        <v>5910</v>
      </c>
      <c r="F102" s="32">
        <v>1891</v>
      </c>
      <c r="G102" s="32">
        <v>2951</v>
      </c>
      <c r="H102" s="32">
        <v>0</v>
      </c>
      <c r="I102" s="32">
        <v>0</v>
      </c>
      <c r="J102" s="32">
        <v>120197</v>
      </c>
      <c r="K102" s="32">
        <v>0</v>
      </c>
      <c r="L10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9.1929321872015277E-3</v>
      </c>
      <c r="M102" s="32">
        <v>77</v>
      </c>
      <c r="N102" s="32">
        <v>0</v>
      </c>
      <c r="O102" s="32">
        <v>8376</v>
      </c>
      <c r="P102" s="32">
        <v>0</v>
      </c>
      <c r="Q10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2" s="32">
        <v>0</v>
      </c>
      <c r="S102" s="32">
        <v>0</v>
      </c>
      <c r="T102" s="32">
        <v>0</v>
      </c>
      <c r="U102" s="32">
        <v>8376</v>
      </c>
      <c r="V102" s="32">
        <v>0</v>
      </c>
      <c r="W102" s="32">
        <v>0</v>
      </c>
      <c r="X102" s="32">
        <v>0</v>
      </c>
      <c r="Y10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0.47403013386357395</v>
      </c>
      <c r="Z102" s="32">
        <v>0</v>
      </c>
      <c r="AA102" s="32">
        <v>65400</v>
      </c>
      <c r="AB102" s="32">
        <v>8423</v>
      </c>
      <c r="AC102" s="32">
        <v>0</v>
      </c>
      <c r="AD102" s="32">
        <v>0</v>
      </c>
      <c r="AE102" s="32">
        <v>120197</v>
      </c>
      <c r="AF102" s="32">
        <v>0</v>
      </c>
      <c r="AG10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2.4766155637492724</v>
      </c>
      <c r="AH102" s="32">
        <v>11387</v>
      </c>
      <c r="AI102" s="32">
        <v>535</v>
      </c>
      <c r="AJ102" s="32">
        <v>157</v>
      </c>
      <c r="AK102" s="32">
        <v>0</v>
      </c>
      <c r="AL102" s="32">
        <v>8</v>
      </c>
      <c r="AM102" s="32">
        <v>2951</v>
      </c>
      <c r="AN102" s="32">
        <v>5010</v>
      </c>
      <c r="AO102" s="32">
        <v>0</v>
      </c>
      <c r="AP102" s="32">
        <v>-5153</v>
      </c>
      <c r="AQ10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2.5520534861509074</v>
      </c>
      <c r="AR102" s="32">
        <v>8799</v>
      </c>
      <c r="AS102" s="32">
        <v>83</v>
      </c>
      <c r="AT102" s="32">
        <v>6901</v>
      </c>
      <c r="AU102" s="32">
        <v>483</v>
      </c>
      <c r="AV102" s="32">
        <v>1354</v>
      </c>
      <c r="AW102" s="32">
        <v>2951</v>
      </c>
      <c r="AX102" s="32">
        <v>352</v>
      </c>
      <c r="AY102" s="32">
        <v>0</v>
      </c>
      <c r="AZ102" s="32">
        <v>0</v>
      </c>
      <c r="BA102" s="32">
        <v>453</v>
      </c>
      <c r="BB102" s="32">
        <v>0</v>
      </c>
      <c r="BC102" s="32">
        <v>8376</v>
      </c>
      <c r="BD102" s="34">
        <f>IFERROR(SUM(Cons_Metrics[[#This Row],[Operating surplus/(deficit) (social housing lettings)]])/SUM(Cons_Metrics[[#This Row],[Turnover from social housing lettings]]),"")</f>
        <v>0.29471890971039183</v>
      </c>
      <c r="BE102" s="32">
        <v>9688</v>
      </c>
      <c r="BF102" s="32">
        <v>32872</v>
      </c>
      <c r="BG102" s="34">
        <f>IFERROR(SUM(Cons_Metrics[[#This Row],[Operating surplus/(deficit) (overall)2]],-Cons_Metrics[[#This Row],[Gain/(loss) on disposal of fixed assets (housing properties)2]])/SUM(Cons_Metrics[[#This Row],[Turnover (overall)]]),"")</f>
        <v>0.31408642296894446</v>
      </c>
      <c r="BH102" s="32">
        <v>11387</v>
      </c>
      <c r="BI102" s="32">
        <v>535</v>
      </c>
      <c r="BJ102" s="32">
        <v>34551</v>
      </c>
      <c r="BK102" s="34">
        <f>IFERROR(SUM(Cons_Metrics[[#This Row],[Operating surplus/(deficit) (overall)3]],Cons_Metrics[[#This Row],[Share of operating surplus/(deficit) in joint ventures or associates]])/SUM(Cons_Metrics[[#This Row],[Total assets less current liabilities]]),"")</f>
        <v>8.3343092191937238E-2</v>
      </c>
      <c r="BL102" s="32">
        <v>11387</v>
      </c>
      <c r="BM102" s="32">
        <v>0</v>
      </c>
      <c r="BN102" s="32">
        <v>136628</v>
      </c>
      <c r="BO102" s="34">
        <v>0</v>
      </c>
      <c r="BP102" s="34">
        <v>0</v>
      </c>
      <c r="BQ102" s="6" t="s">
        <v>93</v>
      </c>
      <c r="BR102" s="6">
        <v>2009</v>
      </c>
      <c r="BS102" s="6" t="s">
        <v>120</v>
      </c>
      <c r="BT102" s="6" t="s">
        <v>121</v>
      </c>
      <c r="BU102" s="8">
        <v>0.9026647648742484</v>
      </c>
    </row>
    <row r="103" spans="1:73" x14ac:dyDescent="0.25">
      <c r="A103" s="33" t="s">
        <v>295</v>
      </c>
      <c r="B103" s="7" t="s">
        <v>296</v>
      </c>
      <c r="C103" s="7" t="s">
        <v>81</v>
      </c>
      <c r="D10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0.15811453328864225</v>
      </c>
      <c r="E103" s="32">
        <v>0</v>
      </c>
      <c r="F103" s="32">
        <v>62987</v>
      </c>
      <c r="G103" s="32">
        <v>696</v>
      </c>
      <c r="H103" s="32">
        <v>0</v>
      </c>
      <c r="I103" s="32">
        <v>0</v>
      </c>
      <c r="J103" s="32">
        <v>402765</v>
      </c>
      <c r="K103" s="32">
        <v>0</v>
      </c>
      <c r="L10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0.1102803738317757</v>
      </c>
      <c r="M103" s="32">
        <v>236</v>
      </c>
      <c r="N103" s="32">
        <v>0</v>
      </c>
      <c r="O103" s="32">
        <v>2140</v>
      </c>
      <c r="P103" s="32">
        <v>0</v>
      </c>
      <c r="Q10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3" s="32">
        <v>0</v>
      </c>
      <c r="S103" s="32">
        <v>0</v>
      </c>
      <c r="T103" s="32">
        <v>0</v>
      </c>
      <c r="U103" s="32">
        <v>2140</v>
      </c>
      <c r="V103" s="32">
        <v>0</v>
      </c>
      <c r="W103" s="32">
        <v>0</v>
      </c>
      <c r="X103" s="32">
        <v>0</v>
      </c>
      <c r="Y10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0.52816158305711769</v>
      </c>
      <c r="Z103" s="32">
        <v>0</v>
      </c>
      <c r="AA103" s="32">
        <v>221799</v>
      </c>
      <c r="AB103" s="32">
        <v>9074</v>
      </c>
      <c r="AC103" s="32">
        <v>0</v>
      </c>
      <c r="AD103" s="32">
        <v>0</v>
      </c>
      <c r="AE103" s="32">
        <v>402765</v>
      </c>
      <c r="AF103" s="32">
        <v>0</v>
      </c>
      <c r="AG10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2.2294124012552756</v>
      </c>
      <c r="AH103" s="32">
        <v>17036</v>
      </c>
      <c r="AI103" s="32">
        <v>0</v>
      </c>
      <c r="AJ103" s="32">
        <v>0</v>
      </c>
      <c r="AK103" s="32">
        <v>0</v>
      </c>
      <c r="AL103" s="32">
        <v>36</v>
      </c>
      <c r="AM103" s="32">
        <v>696</v>
      </c>
      <c r="AN103" s="32">
        <v>4226</v>
      </c>
      <c r="AO103" s="32">
        <v>0</v>
      </c>
      <c r="AP103" s="32">
        <v>-9241</v>
      </c>
      <c r="AQ10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2.8462616822429907</v>
      </c>
      <c r="AR103" s="32">
        <v>3211</v>
      </c>
      <c r="AS103" s="32">
        <v>719</v>
      </c>
      <c r="AT103" s="32">
        <v>755</v>
      </c>
      <c r="AU103" s="32">
        <v>507</v>
      </c>
      <c r="AV103" s="32">
        <v>0</v>
      </c>
      <c r="AW103" s="32">
        <v>696</v>
      </c>
      <c r="AX103" s="32">
        <v>203</v>
      </c>
      <c r="AY103" s="32">
        <v>0</v>
      </c>
      <c r="AZ103" s="32">
        <v>0</v>
      </c>
      <c r="BA103" s="32">
        <v>0</v>
      </c>
      <c r="BB103" s="32">
        <v>0</v>
      </c>
      <c r="BC103" s="32">
        <v>2140</v>
      </c>
      <c r="BD103" s="34">
        <f>IFERROR(SUM(Cons_Metrics[[#This Row],[Operating surplus/(deficit) (social housing lettings)]])/SUM(Cons_Metrics[[#This Row],[Turnover from social housing lettings]]),"")</f>
        <v>0.64420464835496527</v>
      </c>
      <c r="BE103" s="32">
        <v>17074</v>
      </c>
      <c r="BF103" s="32">
        <v>26504</v>
      </c>
      <c r="BG103" s="34">
        <f>IFERROR(SUM(Cons_Metrics[[#This Row],[Operating surplus/(deficit) (overall)2]],-Cons_Metrics[[#This Row],[Gain/(loss) on disposal of fixed assets (housing properties)2]])/SUM(Cons_Metrics[[#This Row],[Turnover (overall)]]),"")</f>
        <v>0.64204416974447875</v>
      </c>
      <c r="BH103" s="32">
        <v>17036</v>
      </c>
      <c r="BI103" s="32">
        <v>0</v>
      </c>
      <c r="BJ103" s="32">
        <v>26534</v>
      </c>
      <c r="BK103" s="34">
        <f>IFERROR(SUM(Cons_Metrics[[#This Row],[Operating surplus/(deficit) (overall)3]],Cons_Metrics[[#This Row],[Share of operating surplus/(deficit) in joint ventures or associates]])/SUM(Cons_Metrics[[#This Row],[Total assets less current liabilities]]),"")</f>
        <v>4.1748557817194443E-2</v>
      </c>
      <c r="BL103" s="32">
        <v>17036</v>
      </c>
      <c r="BM103" s="32">
        <v>0</v>
      </c>
      <c r="BN103" s="32">
        <v>408062</v>
      </c>
      <c r="BO103" s="34">
        <v>0</v>
      </c>
      <c r="BP103" s="34">
        <v>0</v>
      </c>
      <c r="BQ103" s="6" t="s">
        <v>82</v>
      </c>
      <c r="BR103" s="6" t="s">
        <v>83</v>
      </c>
      <c r="BS103" s="6" t="s">
        <v>83</v>
      </c>
      <c r="BT103" s="6" t="s">
        <v>156</v>
      </c>
      <c r="BU103" s="8">
        <v>1.2237619813742295</v>
      </c>
    </row>
    <row r="104" spans="1:73" x14ac:dyDescent="0.25">
      <c r="A104" s="33" t="s">
        <v>297</v>
      </c>
      <c r="B104" s="7" t="s">
        <v>298</v>
      </c>
      <c r="C104" s="7" t="s">
        <v>81</v>
      </c>
      <c r="D10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5.491356350132047E-2</v>
      </c>
      <c r="E104" s="32">
        <v>433579</v>
      </c>
      <c r="F104" s="32">
        <v>0</v>
      </c>
      <c r="G104" s="32">
        <v>65520</v>
      </c>
      <c r="H104" s="32">
        <v>0</v>
      </c>
      <c r="I104" s="32">
        <v>0</v>
      </c>
      <c r="J104" s="32">
        <v>9088811</v>
      </c>
      <c r="K104" s="32">
        <v>0</v>
      </c>
      <c r="L10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1.5737946077561061E-2</v>
      </c>
      <c r="M104" s="32">
        <v>1241</v>
      </c>
      <c r="N104" s="32">
        <v>0</v>
      </c>
      <c r="O104" s="32">
        <v>78854</v>
      </c>
      <c r="P104" s="32">
        <v>0</v>
      </c>
      <c r="Q10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8.6108504324447707E-3</v>
      </c>
      <c r="R104" s="32">
        <v>0</v>
      </c>
      <c r="S104" s="32">
        <v>0</v>
      </c>
      <c r="T104" s="32">
        <v>679</v>
      </c>
      <c r="U104" s="32">
        <v>78854</v>
      </c>
      <c r="V104" s="32">
        <v>0</v>
      </c>
      <c r="W104" s="32">
        <v>0</v>
      </c>
      <c r="X104" s="32">
        <v>0</v>
      </c>
      <c r="Y10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0.45983825607111867</v>
      </c>
      <c r="Z104" s="32">
        <v>33563</v>
      </c>
      <c r="AA104" s="32">
        <v>4367376</v>
      </c>
      <c r="AB104" s="32">
        <v>221556</v>
      </c>
      <c r="AC104" s="32">
        <v>0</v>
      </c>
      <c r="AD104" s="32">
        <v>0</v>
      </c>
      <c r="AE104" s="32">
        <v>9088811</v>
      </c>
      <c r="AF104" s="32">
        <v>0</v>
      </c>
      <c r="AG10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2.4395931105870634</v>
      </c>
      <c r="AH104" s="32">
        <v>355473</v>
      </c>
      <c r="AI104" s="32">
        <v>54360</v>
      </c>
      <c r="AJ104" s="32">
        <v>23079</v>
      </c>
      <c r="AK104" s="32">
        <v>0</v>
      </c>
      <c r="AL104" s="32">
        <v>25093</v>
      </c>
      <c r="AM104" s="32">
        <v>65520</v>
      </c>
      <c r="AN104" s="32">
        <v>75849</v>
      </c>
      <c r="AO104" s="32">
        <v>-37641</v>
      </c>
      <c r="AP104" s="32">
        <v>-90846</v>
      </c>
      <c r="AQ10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4.0144063712684197</v>
      </c>
      <c r="AR104" s="32">
        <v>51271</v>
      </c>
      <c r="AS104" s="32">
        <v>50919</v>
      </c>
      <c r="AT104" s="32">
        <v>63347</v>
      </c>
      <c r="AU104" s="32">
        <v>36307</v>
      </c>
      <c r="AV104" s="32">
        <v>0</v>
      </c>
      <c r="AW104" s="32">
        <v>65520</v>
      </c>
      <c r="AX104" s="32">
        <v>429</v>
      </c>
      <c r="AY104" s="32">
        <v>20638</v>
      </c>
      <c r="AZ104" s="32">
        <v>7135</v>
      </c>
      <c r="BA104" s="32">
        <v>10076</v>
      </c>
      <c r="BB104" s="32">
        <v>10910</v>
      </c>
      <c r="BC104" s="32">
        <v>78854</v>
      </c>
      <c r="BD104" s="34">
        <f>IFERROR(SUM(Cons_Metrics[[#This Row],[Operating surplus/(deficit) (social housing lettings)]])/SUM(Cons_Metrics[[#This Row],[Turnover from social housing lettings]]),"")</f>
        <v>0.45600187348595078</v>
      </c>
      <c r="BE104" s="32">
        <v>237556</v>
      </c>
      <c r="BF104" s="32">
        <v>520954</v>
      </c>
      <c r="BG104" s="34">
        <f>IFERROR(SUM(Cons_Metrics[[#This Row],[Operating surplus/(deficit) (overall)2]],-Cons_Metrics[[#This Row],[Gain/(loss) on disposal of fixed assets (housing properties)2]])/SUM(Cons_Metrics[[#This Row],[Turnover (overall)]]),"")</f>
        <v>0.29350190850855612</v>
      </c>
      <c r="BH104" s="32">
        <v>355473</v>
      </c>
      <c r="BI104" s="32">
        <v>54360</v>
      </c>
      <c r="BJ104" s="32">
        <v>1025932</v>
      </c>
      <c r="BK104" s="34">
        <f>IFERROR(SUM(Cons_Metrics[[#This Row],[Operating surplus/(deficit) (overall)3]],Cons_Metrics[[#This Row],[Share of operating surplus/(deficit) in joint ventures or associates]])/SUM(Cons_Metrics[[#This Row],[Total assets less current liabilities]]),"")</f>
        <v>3.2720158644901673E-2</v>
      </c>
      <c r="BL104" s="32">
        <v>355473</v>
      </c>
      <c r="BM104" s="32">
        <v>16004</v>
      </c>
      <c r="BN104" s="32">
        <v>11353154</v>
      </c>
      <c r="BO104" s="34">
        <v>3.5879958345167093E-2</v>
      </c>
      <c r="BP104" s="34">
        <v>3.4608674483709988E-2</v>
      </c>
      <c r="BQ104" s="6" t="s">
        <v>82</v>
      </c>
      <c r="BR104" s="6" t="s">
        <v>83</v>
      </c>
      <c r="BS104" s="6" t="s">
        <v>83</v>
      </c>
      <c r="BT104" s="6" t="s">
        <v>156</v>
      </c>
      <c r="BU104" s="8">
        <v>1.2131360162209888</v>
      </c>
    </row>
    <row r="105" spans="1:73" x14ac:dyDescent="0.25">
      <c r="A105" s="33" t="s">
        <v>299</v>
      </c>
      <c r="B105" s="7" t="s">
        <v>300</v>
      </c>
      <c r="C105" s="7" t="s">
        <v>81</v>
      </c>
      <c r="D10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6.9703386832809022E-2</v>
      </c>
      <c r="E105" s="32">
        <v>60596</v>
      </c>
      <c r="F105" s="32">
        <v>0</v>
      </c>
      <c r="G105" s="32">
        <v>10517</v>
      </c>
      <c r="H105" s="32">
        <v>2782</v>
      </c>
      <c r="I105" s="32">
        <v>0</v>
      </c>
      <c r="J105" s="32">
        <v>1060135</v>
      </c>
      <c r="K105" s="32">
        <v>0</v>
      </c>
      <c r="L10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1.7075669610186858E-2</v>
      </c>
      <c r="M105" s="32">
        <v>350</v>
      </c>
      <c r="N105" s="32">
        <v>0</v>
      </c>
      <c r="O105" s="32">
        <v>20109</v>
      </c>
      <c r="P105" s="32">
        <v>388</v>
      </c>
      <c r="Q10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5" s="32">
        <v>0</v>
      </c>
      <c r="S105" s="32">
        <v>0</v>
      </c>
      <c r="T105" s="32">
        <v>0</v>
      </c>
      <c r="U105" s="32">
        <v>20109</v>
      </c>
      <c r="V105" s="32">
        <v>53</v>
      </c>
      <c r="W105" s="32">
        <v>388</v>
      </c>
      <c r="X105" s="32">
        <v>1482</v>
      </c>
      <c r="Y10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0.49810260014054814</v>
      </c>
      <c r="Z105" s="32">
        <v>6267</v>
      </c>
      <c r="AA105" s="32">
        <v>537439</v>
      </c>
      <c r="AB105" s="32">
        <v>15650</v>
      </c>
      <c r="AC105" s="32">
        <v>0</v>
      </c>
      <c r="AD105" s="32">
        <v>0</v>
      </c>
      <c r="AE105" s="32">
        <v>1060135</v>
      </c>
      <c r="AF105" s="32">
        <v>0</v>
      </c>
      <c r="AG10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1.775326051218354</v>
      </c>
      <c r="AH105" s="32">
        <v>46998</v>
      </c>
      <c r="AI105" s="32">
        <v>1324</v>
      </c>
      <c r="AJ105" s="32">
        <v>2665</v>
      </c>
      <c r="AK105" s="32">
        <v>0</v>
      </c>
      <c r="AL105" s="32">
        <v>53</v>
      </c>
      <c r="AM105" s="32">
        <v>10517</v>
      </c>
      <c r="AN105" s="32">
        <v>16051</v>
      </c>
      <c r="AO105" s="32">
        <v>-2782</v>
      </c>
      <c r="AP105" s="32">
        <v>-24591</v>
      </c>
      <c r="AQ10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3.2648028744401238</v>
      </c>
      <c r="AR105" s="32">
        <v>14901</v>
      </c>
      <c r="AS105" s="32">
        <v>14943</v>
      </c>
      <c r="AT105" s="32">
        <v>10941</v>
      </c>
      <c r="AU105" s="32">
        <v>5926</v>
      </c>
      <c r="AV105" s="32">
        <v>1563</v>
      </c>
      <c r="AW105" s="32">
        <v>10517</v>
      </c>
      <c r="AX105" s="32">
        <v>59</v>
      </c>
      <c r="AY105" s="32">
        <v>971</v>
      </c>
      <c r="AZ105" s="32">
        <v>0</v>
      </c>
      <c r="BA105" s="32">
        <v>2902</v>
      </c>
      <c r="BB105" s="32">
        <v>3608</v>
      </c>
      <c r="BC105" s="32">
        <v>20317</v>
      </c>
      <c r="BD105" s="34">
        <f>IFERROR(SUM(Cons_Metrics[[#This Row],[Operating surplus/(deficit) (social housing lettings)]])/SUM(Cons_Metrics[[#This Row],[Turnover from social housing lettings]]),"")</f>
        <v>0.37615601714860497</v>
      </c>
      <c r="BE105" s="32">
        <v>38518</v>
      </c>
      <c r="BF105" s="32">
        <v>102399</v>
      </c>
      <c r="BG105" s="34">
        <f>IFERROR(SUM(Cons_Metrics[[#This Row],[Operating surplus/(deficit) (overall)2]],-Cons_Metrics[[#This Row],[Gain/(loss) on disposal of fixed assets (housing properties)2]])/SUM(Cons_Metrics[[#This Row],[Turnover (overall)]]),"")</f>
        <v>0.3136907460062362</v>
      </c>
      <c r="BH105" s="32">
        <v>46998</v>
      </c>
      <c r="BI105" s="32">
        <v>1324</v>
      </c>
      <c r="BJ105" s="32">
        <v>145602</v>
      </c>
      <c r="BK105" s="34">
        <f>IFERROR(SUM(Cons_Metrics[[#This Row],[Operating surplus/(deficit) (overall)3]],Cons_Metrics[[#This Row],[Share of operating surplus/(deficit) in joint ventures or associates]])/SUM(Cons_Metrics[[#This Row],[Total assets less current liabilities]]),"")</f>
        <v>4.2699291525011042E-2</v>
      </c>
      <c r="BL105" s="32">
        <v>46998</v>
      </c>
      <c r="BM105" s="32">
        <v>0</v>
      </c>
      <c r="BN105" s="32">
        <v>1100674</v>
      </c>
      <c r="BO105" s="34">
        <v>2.5918357174899067E-2</v>
      </c>
      <c r="BP105" s="34">
        <v>6.2453272192593334E-2</v>
      </c>
      <c r="BQ105" s="6" t="s">
        <v>82</v>
      </c>
      <c r="BR105" s="6" t="s">
        <v>83</v>
      </c>
      <c r="BS105" s="6" t="s">
        <v>83</v>
      </c>
      <c r="BT105" s="6" t="s">
        <v>95</v>
      </c>
      <c r="BU105" s="8">
        <v>0.93425687930142898</v>
      </c>
    </row>
    <row r="106" spans="1:73" x14ac:dyDescent="0.25">
      <c r="A106" s="33" t="s">
        <v>301</v>
      </c>
      <c r="B106" s="7" t="s">
        <v>302</v>
      </c>
      <c r="C106" s="7" t="s">
        <v>81</v>
      </c>
      <c r="D10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2.355952339354974E-2</v>
      </c>
      <c r="E106" s="32">
        <v>0</v>
      </c>
      <c r="F106" s="32">
        <v>0</v>
      </c>
      <c r="G106" s="32">
        <v>2697</v>
      </c>
      <c r="H106" s="32">
        <v>0</v>
      </c>
      <c r="I106" s="32">
        <v>0</v>
      </c>
      <c r="J106" s="32">
        <v>114476</v>
      </c>
      <c r="K106" s="32">
        <v>0</v>
      </c>
      <c r="L10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8.368200836820083E-3</v>
      </c>
      <c r="M106" s="32">
        <v>10</v>
      </c>
      <c r="N106" s="32">
        <v>0</v>
      </c>
      <c r="O106" s="32">
        <v>1195</v>
      </c>
      <c r="P106" s="32">
        <v>0</v>
      </c>
      <c r="Q10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6" s="32">
        <v>0</v>
      </c>
      <c r="S106" s="32">
        <v>0</v>
      </c>
      <c r="T106" s="32">
        <v>0</v>
      </c>
      <c r="U106" s="32">
        <v>1195</v>
      </c>
      <c r="V106" s="32">
        <v>0</v>
      </c>
      <c r="W106" s="32">
        <v>0</v>
      </c>
      <c r="X106" s="32">
        <v>0</v>
      </c>
      <c r="Y10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2.4834899891680352E-2</v>
      </c>
      <c r="Z106" s="32">
        <v>409</v>
      </c>
      <c r="AA106" s="32">
        <v>5589</v>
      </c>
      <c r="AB106" s="32">
        <v>3155</v>
      </c>
      <c r="AC106" s="32">
        <v>0</v>
      </c>
      <c r="AD106" s="32">
        <v>0</v>
      </c>
      <c r="AE106" s="32">
        <v>114476</v>
      </c>
      <c r="AF106" s="32">
        <v>0</v>
      </c>
      <c r="AG10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-1.1237113402061856</v>
      </c>
      <c r="AH106" s="32">
        <v>711</v>
      </c>
      <c r="AI106" s="32">
        <v>207</v>
      </c>
      <c r="AJ106" s="32">
        <v>880</v>
      </c>
      <c r="AK106" s="32">
        <v>0</v>
      </c>
      <c r="AL106" s="32">
        <v>753</v>
      </c>
      <c r="AM106" s="32">
        <v>2697</v>
      </c>
      <c r="AN106" s="32">
        <v>2211</v>
      </c>
      <c r="AO106" s="32">
        <v>0</v>
      </c>
      <c r="AP106" s="32">
        <v>-97</v>
      </c>
      <c r="AQ10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24.153554901135884</v>
      </c>
      <c r="AR106" s="32">
        <v>9275</v>
      </c>
      <c r="AS106" s="32">
        <v>8112</v>
      </c>
      <c r="AT106" s="32">
        <v>2243</v>
      </c>
      <c r="AU106" s="32">
        <v>0</v>
      </c>
      <c r="AV106" s="32">
        <v>138</v>
      </c>
      <c r="AW106" s="32">
        <v>2697</v>
      </c>
      <c r="AX106" s="32">
        <v>0</v>
      </c>
      <c r="AY106" s="32">
        <v>0</v>
      </c>
      <c r="AZ106" s="32">
        <v>0</v>
      </c>
      <c r="BA106" s="32">
        <v>0</v>
      </c>
      <c r="BB106" s="32">
        <v>34948</v>
      </c>
      <c r="BC106" s="32">
        <v>2377</v>
      </c>
      <c r="BD106" s="34">
        <f>IFERROR(SUM(Cons_Metrics[[#This Row],[Operating surplus/(deficit) (social housing lettings)]])/SUM(Cons_Metrics[[#This Row],[Turnover from social housing lettings]]),"")</f>
        <v>7.5263358294199778E-2</v>
      </c>
      <c r="BE106" s="32">
        <v>1779</v>
      </c>
      <c r="BF106" s="32">
        <v>23637</v>
      </c>
      <c r="BG106" s="34">
        <f>IFERROR(SUM(Cons_Metrics[[#This Row],[Operating surplus/(deficit) (overall)2]],-Cons_Metrics[[#This Row],[Gain/(loss) on disposal of fixed assets (housing properties)2]])/SUM(Cons_Metrics[[#This Row],[Turnover (overall)]]),"")</f>
        <v>8.7867640649244242E-3</v>
      </c>
      <c r="BH106" s="32">
        <v>711</v>
      </c>
      <c r="BI106" s="32">
        <v>207</v>
      </c>
      <c r="BJ106" s="32">
        <v>57359</v>
      </c>
      <c r="BK106" s="34">
        <f>IFERROR(SUM(Cons_Metrics[[#This Row],[Operating surplus/(deficit) (overall)3]],Cons_Metrics[[#This Row],[Share of operating surplus/(deficit) in joint ventures or associates]])/SUM(Cons_Metrics[[#This Row],[Total assets less current liabilities]]),"")</f>
        <v>4.393119300066731E-3</v>
      </c>
      <c r="BL106" s="32">
        <v>711</v>
      </c>
      <c r="BM106" s="32">
        <v>0</v>
      </c>
      <c r="BN106" s="32">
        <v>161844</v>
      </c>
      <c r="BO106" s="34">
        <v>0.95016339869281041</v>
      </c>
      <c r="BP106" s="34">
        <v>0</v>
      </c>
      <c r="BQ106" s="6" t="s">
        <v>82</v>
      </c>
      <c r="BR106" s="6" t="s">
        <v>83</v>
      </c>
      <c r="BS106" s="6" t="s">
        <v>83</v>
      </c>
      <c r="BT106" s="6" t="s">
        <v>156</v>
      </c>
      <c r="BU106" s="8">
        <v>1.2126141350229305</v>
      </c>
    </row>
    <row r="107" spans="1:73" x14ac:dyDescent="0.25">
      <c r="A107" s="33" t="s">
        <v>303</v>
      </c>
      <c r="B107" s="7" t="s">
        <v>304</v>
      </c>
      <c r="C107" s="7" t="s">
        <v>81</v>
      </c>
      <c r="D10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1.860644316532591E-2</v>
      </c>
      <c r="E107" s="32">
        <v>620</v>
      </c>
      <c r="F107" s="32">
        <v>0</v>
      </c>
      <c r="G107" s="32">
        <v>5802</v>
      </c>
      <c r="H107" s="32">
        <v>1</v>
      </c>
      <c r="I107" s="32">
        <v>0</v>
      </c>
      <c r="J107" s="32">
        <v>345203</v>
      </c>
      <c r="K107" s="32">
        <v>0</v>
      </c>
      <c r="L10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07" s="32">
        <v>0</v>
      </c>
      <c r="N107" s="32">
        <v>0</v>
      </c>
      <c r="O107" s="32">
        <v>8327</v>
      </c>
      <c r="P107" s="32">
        <v>372</v>
      </c>
      <c r="Q10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7" s="32">
        <v>0</v>
      </c>
      <c r="S107" s="32">
        <v>0</v>
      </c>
      <c r="T107" s="32">
        <v>0</v>
      </c>
      <c r="U107" s="32">
        <v>8327</v>
      </c>
      <c r="V107" s="32">
        <v>180</v>
      </c>
      <c r="W107" s="32">
        <v>372</v>
      </c>
      <c r="X107" s="32">
        <v>0</v>
      </c>
      <c r="Y10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0.32011888656819321</v>
      </c>
      <c r="Z107" s="32">
        <v>10505</v>
      </c>
      <c r="AA107" s="32">
        <v>127279</v>
      </c>
      <c r="AB107" s="32">
        <v>27278</v>
      </c>
      <c r="AC107" s="32">
        <v>0</v>
      </c>
      <c r="AD107" s="32">
        <v>0</v>
      </c>
      <c r="AE107" s="32">
        <v>345203</v>
      </c>
      <c r="AF107" s="32">
        <v>0</v>
      </c>
      <c r="AG10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3.4827191139965628</v>
      </c>
      <c r="AH107" s="32">
        <v>19435</v>
      </c>
      <c r="AI107" s="32">
        <v>3256</v>
      </c>
      <c r="AJ107" s="32">
        <v>7</v>
      </c>
      <c r="AK107" s="32">
        <v>0</v>
      </c>
      <c r="AL107" s="32">
        <v>173</v>
      </c>
      <c r="AM107" s="32">
        <v>5802</v>
      </c>
      <c r="AN107" s="32">
        <v>7696</v>
      </c>
      <c r="AO107" s="32">
        <v>-1</v>
      </c>
      <c r="AP107" s="32">
        <v>-5236</v>
      </c>
      <c r="AQ10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3.347935669707153</v>
      </c>
      <c r="AR107" s="32">
        <v>7779</v>
      </c>
      <c r="AS107" s="32">
        <v>2856</v>
      </c>
      <c r="AT107" s="32">
        <v>3699</v>
      </c>
      <c r="AU107" s="32">
        <v>2599</v>
      </c>
      <c r="AV107" s="32">
        <v>2368</v>
      </c>
      <c r="AW107" s="32">
        <v>5802</v>
      </c>
      <c r="AX107" s="32">
        <v>1955</v>
      </c>
      <c r="AY107" s="32">
        <v>184</v>
      </c>
      <c r="AZ107" s="32">
        <v>0</v>
      </c>
      <c r="BA107" s="32">
        <v>14</v>
      </c>
      <c r="BB107" s="32">
        <v>639</v>
      </c>
      <c r="BC107" s="32">
        <v>8332</v>
      </c>
      <c r="BD107" s="34">
        <f>IFERROR(SUM(Cons_Metrics[[#This Row],[Operating surplus/(deficit) (social housing lettings)]])/SUM(Cons_Metrics[[#This Row],[Turnover from social housing lettings]]),"")</f>
        <v>0.3569419125424797</v>
      </c>
      <c r="BE107" s="32">
        <v>15860</v>
      </c>
      <c r="BF107" s="32">
        <v>44433</v>
      </c>
      <c r="BG107" s="34">
        <f>IFERROR(SUM(Cons_Metrics[[#This Row],[Operating surplus/(deficit) (overall)2]],-Cons_Metrics[[#This Row],[Gain/(loss) on disposal of fixed assets (housing properties)2]])/SUM(Cons_Metrics[[#This Row],[Turnover (overall)]]),"")</f>
        <v>0.34941580459149513</v>
      </c>
      <c r="BH107" s="32">
        <v>19435</v>
      </c>
      <c r="BI107" s="32">
        <v>3256</v>
      </c>
      <c r="BJ107" s="32">
        <v>46303</v>
      </c>
      <c r="BK107" s="34">
        <f>IFERROR(SUM(Cons_Metrics[[#This Row],[Operating surplus/(deficit) (overall)3]],Cons_Metrics[[#This Row],[Share of operating surplus/(deficit) in joint ventures or associates]])/SUM(Cons_Metrics[[#This Row],[Total assets less current liabilities]]),"")</f>
        <v>5.3834328213509135E-2</v>
      </c>
      <c r="BL107" s="32">
        <v>19435</v>
      </c>
      <c r="BM107" s="32">
        <v>0</v>
      </c>
      <c r="BN107" s="32">
        <v>361015</v>
      </c>
      <c r="BO107" s="34">
        <v>2.473880148913174E-2</v>
      </c>
      <c r="BP107" s="34">
        <v>0.22204875705536206</v>
      </c>
      <c r="BQ107" s="6" t="s">
        <v>93</v>
      </c>
      <c r="BR107" s="6">
        <v>1993</v>
      </c>
      <c r="BS107" s="6" t="s">
        <v>94</v>
      </c>
      <c r="BT107" s="6" t="s">
        <v>115</v>
      </c>
      <c r="BU107" s="8">
        <v>0.96617455710897804</v>
      </c>
    </row>
    <row r="108" spans="1:73" x14ac:dyDescent="0.25">
      <c r="A108" s="33" t="s">
        <v>305</v>
      </c>
      <c r="B108" s="7" t="s">
        <v>306</v>
      </c>
      <c r="C108" s="7" t="s">
        <v>81</v>
      </c>
      <c r="D10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9.8407555494278223E-3</v>
      </c>
      <c r="E108" s="32">
        <v>171</v>
      </c>
      <c r="F108" s="32">
        <v>0</v>
      </c>
      <c r="G108" s="32">
        <v>966</v>
      </c>
      <c r="H108" s="32">
        <v>5</v>
      </c>
      <c r="I108" s="32">
        <v>0</v>
      </c>
      <c r="J108" s="32">
        <v>116048</v>
      </c>
      <c r="K108" s="32">
        <v>0</v>
      </c>
      <c r="L10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1.4194464158977999E-3</v>
      </c>
      <c r="M108" s="32">
        <v>2</v>
      </c>
      <c r="N108" s="32">
        <v>0</v>
      </c>
      <c r="O108" s="32">
        <v>1409</v>
      </c>
      <c r="P108" s="32">
        <v>0</v>
      </c>
      <c r="Q10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8" s="32">
        <v>0</v>
      </c>
      <c r="S108" s="32">
        <v>0</v>
      </c>
      <c r="T108" s="32">
        <v>0</v>
      </c>
      <c r="U108" s="32">
        <v>1409</v>
      </c>
      <c r="V108" s="32">
        <v>0</v>
      </c>
      <c r="W108" s="32">
        <v>0</v>
      </c>
      <c r="X108" s="32">
        <v>0</v>
      </c>
      <c r="Y10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0.40391906797187371</v>
      </c>
      <c r="Z108" s="32">
        <v>1855</v>
      </c>
      <c r="AA108" s="32">
        <v>50867</v>
      </c>
      <c r="AB108" s="32">
        <v>5848</v>
      </c>
      <c r="AC108" s="32">
        <v>0</v>
      </c>
      <c r="AD108" s="32">
        <v>0</v>
      </c>
      <c r="AE108" s="32">
        <v>116048</v>
      </c>
      <c r="AF108" s="32">
        <v>0</v>
      </c>
      <c r="AG10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1.2850113550340652</v>
      </c>
      <c r="AH108" s="32">
        <v>3270</v>
      </c>
      <c r="AI108" s="32">
        <v>-1</v>
      </c>
      <c r="AJ108" s="32">
        <v>882</v>
      </c>
      <c r="AK108" s="32">
        <v>0</v>
      </c>
      <c r="AL108" s="32">
        <v>8</v>
      </c>
      <c r="AM108" s="32">
        <v>970</v>
      </c>
      <c r="AN108" s="32">
        <v>1968</v>
      </c>
      <c r="AO108" s="32">
        <v>-5</v>
      </c>
      <c r="AP108" s="32">
        <v>-2637</v>
      </c>
      <c r="AQ10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3.0951714485654302</v>
      </c>
      <c r="AR108" s="32">
        <v>1919</v>
      </c>
      <c r="AS108" s="32">
        <v>253</v>
      </c>
      <c r="AT108" s="32">
        <v>743</v>
      </c>
      <c r="AU108" s="32">
        <v>449</v>
      </c>
      <c r="AV108" s="32">
        <v>38</v>
      </c>
      <c r="AW108" s="32">
        <v>970</v>
      </c>
      <c r="AX108" s="32">
        <v>51</v>
      </c>
      <c r="AY108" s="32">
        <v>0</v>
      </c>
      <c r="AZ108" s="32">
        <v>0</v>
      </c>
      <c r="BA108" s="32">
        <v>0</v>
      </c>
      <c r="BB108" s="32">
        <v>0</v>
      </c>
      <c r="BC108" s="32">
        <v>1429</v>
      </c>
      <c r="BD108" s="34">
        <f>IFERROR(SUM(Cons_Metrics[[#This Row],[Operating surplus/(deficit) (social housing lettings)]])/SUM(Cons_Metrics[[#This Row],[Turnover from social housing lettings]]),"")</f>
        <v>0.3697587256968845</v>
      </c>
      <c r="BE108" s="32">
        <v>3157</v>
      </c>
      <c r="BF108" s="32">
        <v>8538</v>
      </c>
      <c r="BG108" s="34">
        <f>IFERROR(SUM(Cons_Metrics[[#This Row],[Operating surplus/(deficit) (overall)2]],-Cons_Metrics[[#This Row],[Gain/(loss) on disposal of fixed assets (housing properties)2]])/SUM(Cons_Metrics[[#This Row],[Turnover (overall)]]),"")</f>
        <v>0.37806287563569119</v>
      </c>
      <c r="BH108" s="32">
        <v>3270</v>
      </c>
      <c r="BI108" s="32">
        <v>-1</v>
      </c>
      <c r="BJ108" s="32">
        <v>8652</v>
      </c>
      <c r="BK108" s="34">
        <f>IFERROR(SUM(Cons_Metrics[[#This Row],[Operating surplus/(deficit) (overall)3]],Cons_Metrics[[#This Row],[Share of operating surplus/(deficit) in joint ventures or associates]])/SUM(Cons_Metrics[[#This Row],[Total assets less current liabilities]]),"")</f>
        <v>2.7372262773722629E-2</v>
      </c>
      <c r="BL108" s="32">
        <v>3270</v>
      </c>
      <c r="BM108" s="32">
        <v>0</v>
      </c>
      <c r="BN108" s="32">
        <v>119464</v>
      </c>
      <c r="BO108" s="34">
        <v>0</v>
      </c>
      <c r="BP108" s="34">
        <v>0</v>
      </c>
      <c r="BQ108" s="6" t="s">
        <v>82</v>
      </c>
      <c r="BR108" s="6" t="s">
        <v>83</v>
      </c>
      <c r="BS108" s="6" t="s">
        <v>83</v>
      </c>
      <c r="BT108" s="6" t="s">
        <v>108</v>
      </c>
      <c r="BU108" s="8">
        <v>0.94807909763407583</v>
      </c>
    </row>
    <row r="109" spans="1:73" x14ac:dyDescent="0.25">
      <c r="A109" s="33" t="s">
        <v>307</v>
      </c>
      <c r="B109" s="7" t="s">
        <v>308</v>
      </c>
      <c r="C109" s="7" t="s">
        <v>81</v>
      </c>
      <c r="D10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0.19214888337468983</v>
      </c>
      <c r="E109" s="32">
        <v>33400</v>
      </c>
      <c r="F109" s="32">
        <v>0</v>
      </c>
      <c r="G109" s="32">
        <v>5318</v>
      </c>
      <c r="H109" s="32">
        <v>0</v>
      </c>
      <c r="I109" s="32">
        <v>0</v>
      </c>
      <c r="J109" s="32">
        <v>201500</v>
      </c>
      <c r="K109" s="32">
        <v>0</v>
      </c>
      <c r="L10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2.2945965951147299E-2</v>
      </c>
      <c r="M109" s="32">
        <v>186</v>
      </c>
      <c r="N109" s="32">
        <v>0</v>
      </c>
      <c r="O109" s="32">
        <v>8106</v>
      </c>
      <c r="P109" s="32">
        <v>0</v>
      </c>
      <c r="Q10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09" s="32">
        <v>0</v>
      </c>
      <c r="S109" s="32">
        <v>0</v>
      </c>
      <c r="T109" s="32">
        <v>0</v>
      </c>
      <c r="U109" s="32">
        <v>8106</v>
      </c>
      <c r="V109" s="32">
        <v>0</v>
      </c>
      <c r="W109" s="32">
        <v>0</v>
      </c>
      <c r="X109" s="32">
        <v>0</v>
      </c>
      <c r="Y10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0.49142928039702233</v>
      </c>
      <c r="Z109" s="32">
        <v>0</v>
      </c>
      <c r="AA109" s="32">
        <v>150958</v>
      </c>
      <c r="AB109" s="32">
        <v>51935</v>
      </c>
      <c r="AC109" s="32">
        <v>0</v>
      </c>
      <c r="AD109" s="32">
        <v>0</v>
      </c>
      <c r="AE109" s="32">
        <v>201500</v>
      </c>
      <c r="AF109" s="32">
        <v>0</v>
      </c>
      <c r="AG10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2.6705259026687598</v>
      </c>
      <c r="AH109" s="32">
        <v>19457</v>
      </c>
      <c r="AI109" s="32">
        <v>3213</v>
      </c>
      <c r="AJ109" s="32">
        <v>88</v>
      </c>
      <c r="AK109" s="32">
        <v>0</v>
      </c>
      <c r="AL109" s="32">
        <v>100</v>
      </c>
      <c r="AM109" s="32">
        <v>8379</v>
      </c>
      <c r="AN109" s="32">
        <v>5732</v>
      </c>
      <c r="AO109" s="32">
        <v>-592</v>
      </c>
      <c r="AP109" s="32">
        <v>-4504</v>
      </c>
      <c r="AQ10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3.7448803355539106</v>
      </c>
      <c r="AR109" s="32">
        <v>8316</v>
      </c>
      <c r="AS109" s="32">
        <v>3553</v>
      </c>
      <c r="AT109" s="32">
        <v>5707</v>
      </c>
      <c r="AU109" s="32">
        <v>1584</v>
      </c>
      <c r="AV109" s="32">
        <v>2169</v>
      </c>
      <c r="AW109" s="32">
        <v>8379</v>
      </c>
      <c r="AX109" s="32">
        <v>0</v>
      </c>
      <c r="AY109" s="32">
        <v>0</v>
      </c>
      <c r="AZ109" s="32">
        <v>0</v>
      </c>
      <c r="BA109" s="32">
        <v>0</v>
      </c>
      <c r="BB109" s="32">
        <v>648</v>
      </c>
      <c r="BC109" s="32">
        <v>8106</v>
      </c>
      <c r="BD109" s="34">
        <f>IFERROR(SUM(Cons_Metrics[[#This Row],[Operating surplus/(deficit) (social housing lettings)]])/SUM(Cons_Metrics[[#This Row],[Turnover from social housing lettings]]),"")</f>
        <v>0.35291570438799075</v>
      </c>
      <c r="BE109" s="32">
        <v>14670</v>
      </c>
      <c r="BF109" s="32">
        <v>41568</v>
      </c>
      <c r="BG109" s="34">
        <f>IFERROR(SUM(Cons_Metrics[[#This Row],[Operating surplus/(deficit) (overall)2]],-Cons_Metrics[[#This Row],[Gain/(loss) on disposal of fixed assets (housing properties)2]])/SUM(Cons_Metrics[[#This Row],[Turnover (overall)]]),"")</f>
        <v>0.34972442301067863</v>
      </c>
      <c r="BH109" s="32">
        <v>19457</v>
      </c>
      <c r="BI109" s="32">
        <v>3213</v>
      </c>
      <c r="BJ109" s="32">
        <v>46448</v>
      </c>
      <c r="BK109" s="34">
        <f>IFERROR(SUM(Cons_Metrics[[#This Row],[Operating surplus/(deficit) (overall)3]],Cons_Metrics[[#This Row],[Share of operating surplus/(deficit) in joint ventures or associates]])/SUM(Cons_Metrics[[#This Row],[Total assets less current liabilities]]),"")</f>
        <v>7.007465938680621E-2</v>
      </c>
      <c r="BL109" s="32">
        <v>19457</v>
      </c>
      <c r="BM109" s="32">
        <v>0</v>
      </c>
      <c r="BN109" s="32">
        <v>277661</v>
      </c>
      <c r="BO109" s="34">
        <v>9.1834202035244485E-3</v>
      </c>
      <c r="BP109" s="34">
        <v>0.16344005956813104</v>
      </c>
      <c r="BQ109" s="6" t="s">
        <v>93</v>
      </c>
      <c r="BR109" s="6">
        <v>2007</v>
      </c>
      <c r="BS109" s="6" t="s">
        <v>120</v>
      </c>
      <c r="BT109" s="6" t="s">
        <v>115</v>
      </c>
      <c r="BU109" s="8">
        <v>0.96617455710897804</v>
      </c>
    </row>
    <row r="110" spans="1:73" x14ac:dyDescent="0.25">
      <c r="A110" s="33" t="s">
        <v>309</v>
      </c>
      <c r="B110" s="7" t="s">
        <v>310</v>
      </c>
      <c r="C110" s="7" t="s">
        <v>81</v>
      </c>
      <c r="D11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6.4277397718918008E-2</v>
      </c>
      <c r="E110" s="32">
        <v>159368</v>
      </c>
      <c r="F110" s="32">
        <v>0</v>
      </c>
      <c r="G110" s="32">
        <v>28774</v>
      </c>
      <c r="H110" s="32">
        <v>0</v>
      </c>
      <c r="I110" s="32">
        <v>0</v>
      </c>
      <c r="J110" s="32">
        <v>2927032</v>
      </c>
      <c r="K110" s="32">
        <v>0</v>
      </c>
      <c r="L11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1.6105054509415264E-2</v>
      </c>
      <c r="M110" s="32">
        <v>520</v>
      </c>
      <c r="N110" s="32">
        <v>0</v>
      </c>
      <c r="O110" s="32">
        <v>32288</v>
      </c>
      <c r="P110" s="32">
        <v>0</v>
      </c>
      <c r="Q11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2.7696361827422088E-3</v>
      </c>
      <c r="R110" s="32">
        <v>0</v>
      </c>
      <c r="S110" s="32">
        <v>0</v>
      </c>
      <c r="T110" s="32">
        <v>103</v>
      </c>
      <c r="U110" s="32">
        <v>32288</v>
      </c>
      <c r="V110" s="32">
        <v>498</v>
      </c>
      <c r="W110" s="32">
        <v>0</v>
      </c>
      <c r="X110" s="32">
        <v>4403</v>
      </c>
      <c r="Y11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0.35855125601633325</v>
      </c>
      <c r="Z110" s="32">
        <v>19847</v>
      </c>
      <c r="AA110" s="32">
        <v>1117658</v>
      </c>
      <c r="AB110" s="32">
        <v>88601</v>
      </c>
      <c r="AC110" s="32">
        <v>0</v>
      </c>
      <c r="AD110" s="32">
        <v>587</v>
      </c>
      <c r="AE110" s="32">
        <v>2927032</v>
      </c>
      <c r="AF110" s="32">
        <v>0</v>
      </c>
      <c r="AG11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1.3340539331705772</v>
      </c>
      <c r="AH110" s="32">
        <v>102849</v>
      </c>
      <c r="AI110" s="32">
        <v>18525</v>
      </c>
      <c r="AJ110" s="32">
        <v>4967</v>
      </c>
      <c r="AK110" s="32">
        <v>0</v>
      </c>
      <c r="AL110" s="32">
        <v>1056</v>
      </c>
      <c r="AM110" s="32">
        <v>28774</v>
      </c>
      <c r="AN110" s="32">
        <v>19945</v>
      </c>
      <c r="AO110" s="32">
        <v>-9034</v>
      </c>
      <c r="AP110" s="32">
        <v>-44625</v>
      </c>
      <c r="AQ11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4.961797344005821</v>
      </c>
      <c r="AR110" s="32">
        <v>46610</v>
      </c>
      <c r="AS110" s="32">
        <v>33188</v>
      </c>
      <c r="AT110" s="32">
        <v>21951</v>
      </c>
      <c r="AU110" s="32">
        <v>9651</v>
      </c>
      <c r="AV110" s="32">
        <v>1602</v>
      </c>
      <c r="AW110" s="32">
        <v>28774</v>
      </c>
      <c r="AX110" s="32">
        <v>3087</v>
      </c>
      <c r="AY110" s="32">
        <v>0</v>
      </c>
      <c r="AZ110" s="32">
        <v>2550</v>
      </c>
      <c r="BA110" s="32">
        <v>3570</v>
      </c>
      <c r="BB110" s="32">
        <v>12667</v>
      </c>
      <c r="BC110" s="32">
        <v>32982</v>
      </c>
      <c r="BD110" s="34">
        <f>IFERROR(SUM(Cons_Metrics[[#This Row],[Operating surplus/(deficit) (social housing lettings)]])/SUM(Cons_Metrics[[#This Row],[Turnover from social housing lettings]]),"")</f>
        <v>0.3324136703453186</v>
      </c>
      <c r="BE110" s="32">
        <v>67230</v>
      </c>
      <c r="BF110" s="32">
        <v>202248</v>
      </c>
      <c r="BG110" s="34">
        <f>IFERROR(SUM(Cons_Metrics[[#This Row],[Operating surplus/(deficit) (overall)2]],-Cons_Metrics[[#This Row],[Gain/(loss) on disposal of fixed assets (housing properties)2]])/SUM(Cons_Metrics[[#This Row],[Turnover (overall)]]),"")</f>
        <v>0.29265854767449528</v>
      </c>
      <c r="BH110" s="32">
        <v>102849</v>
      </c>
      <c r="BI110" s="32">
        <v>18525</v>
      </c>
      <c r="BJ110" s="32">
        <v>288131</v>
      </c>
      <c r="BK110" s="34">
        <f>IFERROR(SUM(Cons_Metrics[[#This Row],[Operating surplus/(deficit) (overall)3]],Cons_Metrics[[#This Row],[Share of operating surplus/(deficit) in joint ventures or associates]])/SUM(Cons_Metrics[[#This Row],[Total assets less current liabilities]]),"")</f>
        <v>3.2225397119537313E-2</v>
      </c>
      <c r="BL110" s="32">
        <v>102849</v>
      </c>
      <c r="BM110" s="32">
        <v>1144</v>
      </c>
      <c r="BN110" s="32">
        <v>3227051</v>
      </c>
      <c r="BO110" s="34">
        <v>7.0101429945097549E-2</v>
      </c>
      <c r="BP110" s="34">
        <v>9.9537826855671696E-2</v>
      </c>
      <c r="BQ110" s="6" t="s">
        <v>82</v>
      </c>
      <c r="BR110" s="6" t="s">
        <v>83</v>
      </c>
      <c r="BS110" s="6" t="s">
        <v>83</v>
      </c>
      <c r="BT110" s="6" t="s">
        <v>156</v>
      </c>
      <c r="BU110" s="8">
        <v>1.1115098914974846</v>
      </c>
    </row>
    <row r="111" spans="1:73" x14ac:dyDescent="0.25">
      <c r="A111" s="33" t="s">
        <v>311</v>
      </c>
      <c r="B111" s="7" t="s">
        <v>312</v>
      </c>
      <c r="C111" s="7" t="s">
        <v>81</v>
      </c>
      <c r="D11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4.032267791308683E-2</v>
      </c>
      <c r="E111" s="32">
        <v>34998</v>
      </c>
      <c r="F111" s="32">
        <v>12097</v>
      </c>
      <c r="G111" s="32">
        <v>12018</v>
      </c>
      <c r="H111" s="32">
        <v>1064</v>
      </c>
      <c r="I111" s="32">
        <v>0</v>
      </c>
      <c r="J111" s="32">
        <v>1492386</v>
      </c>
      <c r="K111" s="32">
        <v>0</v>
      </c>
      <c r="L11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1.0150444081928585E-2</v>
      </c>
      <c r="M111" s="32">
        <v>280</v>
      </c>
      <c r="N111" s="32">
        <v>0</v>
      </c>
      <c r="O111" s="32">
        <v>27585</v>
      </c>
      <c r="P111" s="32">
        <v>0</v>
      </c>
      <c r="Q11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7.9379397438210353E-4</v>
      </c>
      <c r="R111" s="32">
        <v>4</v>
      </c>
      <c r="S111" s="32">
        <v>0</v>
      </c>
      <c r="T111" s="32">
        <v>18</v>
      </c>
      <c r="U111" s="32">
        <v>27585</v>
      </c>
      <c r="V111" s="32">
        <v>130</v>
      </c>
      <c r="W111" s="32">
        <v>0</v>
      </c>
      <c r="X111" s="32">
        <v>0</v>
      </c>
      <c r="Y11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0.319751056362094</v>
      </c>
      <c r="Z111" s="32">
        <v>31984</v>
      </c>
      <c r="AA111" s="32">
        <v>520839</v>
      </c>
      <c r="AB111" s="32">
        <v>79541</v>
      </c>
      <c r="AC111" s="32">
        <v>0</v>
      </c>
      <c r="AD111" s="32">
        <v>3910</v>
      </c>
      <c r="AE111" s="32">
        <v>1492386</v>
      </c>
      <c r="AF111" s="32">
        <v>0</v>
      </c>
      <c r="AG11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2.4707359539275431</v>
      </c>
      <c r="AH111" s="32">
        <v>74551</v>
      </c>
      <c r="AI111" s="32">
        <v>5985</v>
      </c>
      <c r="AJ111" s="32">
        <v>8052</v>
      </c>
      <c r="AK111" s="32">
        <v>0</v>
      </c>
      <c r="AL111" s="32">
        <v>859</v>
      </c>
      <c r="AM111" s="32">
        <v>12018</v>
      </c>
      <c r="AN111" s="32">
        <v>24436</v>
      </c>
      <c r="AO111" s="32">
        <v>-1119</v>
      </c>
      <c r="AP111" s="32">
        <v>-28747</v>
      </c>
      <c r="AQ11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3.1141117288853586</v>
      </c>
      <c r="AR111" s="32">
        <v>28091</v>
      </c>
      <c r="AS111" s="32">
        <v>23168</v>
      </c>
      <c r="AT111" s="32">
        <v>20743</v>
      </c>
      <c r="AU111" s="32">
        <v>5622</v>
      </c>
      <c r="AV111" s="32">
        <v>3468</v>
      </c>
      <c r="AW111" s="32">
        <v>12018</v>
      </c>
      <c r="AX111" s="32">
        <v>16</v>
      </c>
      <c r="AY111" s="32">
        <v>193</v>
      </c>
      <c r="AZ111" s="32">
        <v>104</v>
      </c>
      <c r="BA111" s="32">
        <v>673</v>
      </c>
      <c r="BB111" s="32">
        <v>0</v>
      </c>
      <c r="BC111" s="32">
        <v>30216</v>
      </c>
      <c r="BD111" s="34">
        <f>IFERROR(SUM(Cons_Metrics[[#This Row],[Operating surplus/(deficit) (social housing lettings)]])/SUM(Cons_Metrics[[#This Row],[Turnover from social housing lettings]]),"")</f>
        <v>0.39544908651028943</v>
      </c>
      <c r="BE111" s="32">
        <v>68160</v>
      </c>
      <c r="BF111" s="32">
        <v>172361</v>
      </c>
      <c r="BG111" s="34">
        <f>IFERROR(SUM(Cons_Metrics[[#This Row],[Operating surplus/(deficit) (overall)2]],-Cons_Metrics[[#This Row],[Gain/(loss) on disposal of fixed assets (housing properties)2]])/SUM(Cons_Metrics[[#This Row],[Turnover (overall)]]),"")</f>
        <v>0.35443783923494443</v>
      </c>
      <c r="BH111" s="32">
        <v>74551</v>
      </c>
      <c r="BI111" s="32">
        <v>5985</v>
      </c>
      <c r="BJ111" s="32">
        <v>193450</v>
      </c>
      <c r="BK111" s="34">
        <f>IFERROR(SUM(Cons_Metrics[[#This Row],[Operating surplus/(deficit) (overall)3]],Cons_Metrics[[#This Row],[Share of operating surplus/(deficit) in joint ventures or associates]])/SUM(Cons_Metrics[[#This Row],[Total assets less current liabilities]]),"")</f>
        <v>4.7709372862146403E-2</v>
      </c>
      <c r="BL111" s="32">
        <v>74551</v>
      </c>
      <c r="BM111" s="32">
        <v>0</v>
      </c>
      <c r="BN111" s="32">
        <v>1562607</v>
      </c>
      <c r="BO111" s="34">
        <v>6.0507438894792771E-2</v>
      </c>
      <c r="BP111" s="34">
        <v>9.2786928799149834E-2</v>
      </c>
      <c r="BQ111" s="6" t="s">
        <v>82</v>
      </c>
      <c r="BR111" s="6" t="s">
        <v>83</v>
      </c>
      <c r="BS111" s="6" t="s">
        <v>83</v>
      </c>
      <c r="BT111" s="6" t="s">
        <v>90</v>
      </c>
      <c r="BU111" s="8">
        <v>0.91736488687961493</v>
      </c>
    </row>
    <row r="112" spans="1:73" x14ac:dyDescent="0.25">
      <c r="A112" s="33" t="s">
        <v>313</v>
      </c>
      <c r="B112" s="7" t="s">
        <v>314</v>
      </c>
      <c r="C112" s="7" t="s">
        <v>81</v>
      </c>
      <c r="D11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7.4819110834626834E-2</v>
      </c>
      <c r="E112" s="32">
        <v>82417</v>
      </c>
      <c r="F112" s="32">
        <v>103</v>
      </c>
      <c r="G112" s="32">
        <v>13134</v>
      </c>
      <c r="H112" s="32">
        <v>3449</v>
      </c>
      <c r="I112" s="32">
        <v>0</v>
      </c>
      <c r="J112" s="32">
        <v>1324568</v>
      </c>
      <c r="K112" s="32">
        <v>0</v>
      </c>
      <c r="L11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2.602357496725699E-2</v>
      </c>
      <c r="M112" s="32">
        <v>457</v>
      </c>
      <c r="N112" s="32">
        <v>0</v>
      </c>
      <c r="O112" s="32">
        <v>16557</v>
      </c>
      <c r="P112" s="32">
        <v>1004</v>
      </c>
      <c r="Q11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5.4875706524721505E-5</v>
      </c>
      <c r="R112" s="32">
        <v>0</v>
      </c>
      <c r="S112" s="32">
        <v>1</v>
      </c>
      <c r="T112" s="32">
        <v>0</v>
      </c>
      <c r="U112" s="32">
        <v>16557</v>
      </c>
      <c r="V112" s="32">
        <v>643</v>
      </c>
      <c r="W112" s="32">
        <v>1004</v>
      </c>
      <c r="X112" s="32">
        <v>19</v>
      </c>
      <c r="Y11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0.32036256349239906</v>
      </c>
      <c r="Z112" s="32">
        <v>11103</v>
      </c>
      <c r="AA112" s="32">
        <v>444926</v>
      </c>
      <c r="AB112" s="32">
        <v>32220</v>
      </c>
      <c r="AC112" s="32">
        <v>0</v>
      </c>
      <c r="AD112" s="32">
        <v>533</v>
      </c>
      <c r="AE112" s="32">
        <v>1324568</v>
      </c>
      <c r="AF112" s="32">
        <v>0</v>
      </c>
      <c r="AG11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2.3247758952456938</v>
      </c>
      <c r="AH112" s="32">
        <v>75053</v>
      </c>
      <c r="AI112" s="32">
        <v>32619</v>
      </c>
      <c r="AJ112" s="32">
        <v>5093</v>
      </c>
      <c r="AK112" s="32">
        <v>0</v>
      </c>
      <c r="AL112" s="32">
        <v>78</v>
      </c>
      <c r="AM112" s="32">
        <v>4248</v>
      </c>
      <c r="AN112" s="32">
        <v>16363</v>
      </c>
      <c r="AO112" s="32">
        <v>-3449</v>
      </c>
      <c r="AP112" s="32">
        <v>-17858</v>
      </c>
      <c r="AQ11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2.9921763869132292</v>
      </c>
      <c r="AR112" s="32">
        <v>15575</v>
      </c>
      <c r="AS112" s="32">
        <v>9394</v>
      </c>
      <c r="AT112" s="32">
        <v>9069</v>
      </c>
      <c r="AU112" s="32">
        <v>3601</v>
      </c>
      <c r="AV112" s="32">
        <v>2495</v>
      </c>
      <c r="AW112" s="32">
        <v>4248</v>
      </c>
      <c r="AX112" s="32">
        <v>0</v>
      </c>
      <c r="AY112" s="32">
        <v>3007</v>
      </c>
      <c r="AZ112" s="32">
        <v>1709</v>
      </c>
      <c r="BA112" s="32">
        <v>1386</v>
      </c>
      <c r="BB112" s="32">
        <v>0</v>
      </c>
      <c r="BC112" s="32">
        <v>16872</v>
      </c>
      <c r="BD112" s="34">
        <f>IFERROR(SUM(Cons_Metrics[[#This Row],[Operating surplus/(deficit) (social housing lettings)]])/SUM(Cons_Metrics[[#This Row],[Turnover from social housing lettings]]),"")</f>
        <v>0.4270719597865722</v>
      </c>
      <c r="BE112" s="32">
        <v>41461</v>
      </c>
      <c r="BF112" s="32">
        <v>97082</v>
      </c>
      <c r="BG112" s="34">
        <f>IFERROR(SUM(Cons_Metrics[[#This Row],[Operating surplus/(deficit) (overall)2]],-Cons_Metrics[[#This Row],[Gain/(loss) on disposal of fixed assets (housing properties)2]])/SUM(Cons_Metrics[[#This Row],[Turnover (overall)]]),"")</f>
        <v>0.34126569247967314</v>
      </c>
      <c r="BH112" s="32">
        <v>75053</v>
      </c>
      <c r="BI112" s="32">
        <v>32619</v>
      </c>
      <c r="BJ112" s="32">
        <v>124343</v>
      </c>
      <c r="BK112" s="34">
        <f>IFERROR(SUM(Cons_Metrics[[#This Row],[Operating surplus/(deficit) (overall)3]],Cons_Metrics[[#This Row],[Share of operating surplus/(deficit) in joint ventures or associates]])/SUM(Cons_Metrics[[#This Row],[Total assets less current liabilities]]),"")</f>
        <v>5.1315167829103052E-2</v>
      </c>
      <c r="BL112" s="32">
        <v>75053</v>
      </c>
      <c r="BM112" s="32">
        <v>0</v>
      </c>
      <c r="BN112" s="32">
        <v>1462589</v>
      </c>
      <c r="BO112" s="34">
        <v>1.3294657964708726E-2</v>
      </c>
      <c r="BP112" s="34">
        <v>9.1793570219966161E-2</v>
      </c>
      <c r="BQ112" s="6" t="s">
        <v>82</v>
      </c>
      <c r="BR112" s="6" t="s">
        <v>83</v>
      </c>
      <c r="BS112" s="6" t="s">
        <v>83</v>
      </c>
      <c r="BT112" s="6" t="s">
        <v>84</v>
      </c>
      <c r="BU112" s="8">
        <v>1.0578627509652032</v>
      </c>
    </row>
    <row r="113" spans="1:73" x14ac:dyDescent="0.25">
      <c r="A113" s="33" t="s">
        <v>315</v>
      </c>
      <c r="B113" s="7" t="s">
        <v>316</v>
      </c>
      <c r="C113" s="7" t="s">
        <v>81</v>
      </c>
      <c r="D11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2.7414986285333915E-2</v>
      </c>
      <c r="E113" s="32">
        <v>5637</v>
      </c>
      <c r="F113" s="32">
        <v>0</v>
      </c>
      <c r="G113" s="32">
        <v>3918</v>
      </c>
      <c r="H113" s="32">
        <v>0</v>
      </c>
      <c r="I113" s="32">
        <v>0</v>
      </c>
      <c r="J113" s="32">
        <v>348532</v>
      </c>
      <c r="K113" s="32">
        <v>0</v>
      </c>
      <c r="L11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8.8281533438142462E-3</v>
      </c>
      <c r="M113" s="32">
        <v>73</v>
      </c>
      <c r="N113" s="32">
        <v>0</v>
      </c>
      <c r="O113" s="32">
        <v>8159</v>
      </c>
      <c r="P113" s="32">
        <v>110</v>
      </c>
      <c r="Q11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3" s="32">
        <v>0</v>
      </c>
      <c r="S113" s="32">
        <v>0</v>
      </c>
      <c r="T113" s="32">
        <v>0</v>
      </c>
      <c r="U113" s="32">
        <v>8159</v>
      </c>
      <c r="V113" s="32">
        <v>114</v>
      </c>
      <c r="W113" s="32">
        <v>110</v>
      </c>
      <c r="X113" s="32">
        <v>0</v>
      </c>
      <c r="Y11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0.4043990221844766</v>
      </c>
      <c r="Z113" s="32">
        <v>4752</v>
      </c>
      <c r="AA113" s="32">
        <v>146190</v>
      </c>
      <c r="AB113" s="32">
        <v>9996</v>
      </c>
      <c r="AC113" s="32">
        <v>0</v>
      </c>
      <c r="AD113" s="32">
        <v>0</v>
      </c>
      <c r="AE113" s="32">
        <v>348532</v>
      </c>
      <c r="AF113" s="32">
        <v>0</v>
      </c>
      <c r="AG11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1.8610291287052483</v>
      </c>
      <c r="AH113" s="32">
        <v>14102</v>
      </c>
      <c r="AI113" s="32">
        <v>1028</v>
      </c>
      <c r="AJ113" s="32">
        <v>2119</v>
      </c>
      <c r="AK113" s="32">
        <v>177</v>
      </c>
      <c r="AL113" s="32">
        <v>27</v>
      </c>
      <c r="AM113" s="32">
        <v>3918</v>
      </c>
      <c r="AN113" s="32">
        <v>7616</v>
      </c>
      <c r="AO113" s="32">
        <v>-105</v>
      </c>
      <c r="AP113" s="32">
        <v>-7688</v>
      </c>
      <c r="AQ11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3.2716468590831917</v>
      </c>
      <c r="AR113" s="32">
        <v>6279</v>
      </c>
      <c r="AS113" s="32">
        <v>4385</v>
      </c>
      <c r="AT113" s="32">
        <v>7153</v>
      </c>
      <c r="AU113" s="32">
        <v>2864</v>
      </c>
      <c r="AV113" s="32">
        <v>320</v>
      </c>
      <c r="AW113" s="32">
        <v>3918</v>
      </c>
      <c r="AX113" s="32">
        <v>909</v>
      </c>
      <c r="AY113" s="32">
        <v>633</v>
      </c>
      <c r="AZ113" s="32">
        <v>515</v>
      </c>
      <c r="BA113" s="32">
        <v>2</v>
      </c>
      <c r="BB113" s="32">
        <v>0</v>
      </c>
      <c r="BC113" s="32">
        <v>8246</v>
      </c>
      <c r="BD113" s="34">
        <f>IFERROR(SUM(Cons_Metrics[[#This Row],[Operating surplus/(deficit) (social housing lettings)]])/SUM(Cons_Metrics[[#This Row],[Turnover from social housing lettings]]),"")</f>
        <v>0.30575607902735563</v>
      </c>
      <c r="BE113" s="32">
        <v>12876</v>
      </c>
      <c r="BF113" s="32">
        <v>42112</v>
      </c>
      <c r="BG113" s="34">
        <f>IFERROR(SUM(Cons_Metrics[[#This Row],[Operating surplus/(deficit) (overall)2]],-Cons_Metrics[[#This Row],[Gain/(loss) on disposal of fixed assets (housing properties)2]])/SUM(Cons_Metrics[[#This Row],[Turnover (overall)]]),"")</f>
        <v>0.28532146130679586</v>
      </c>
      <c r="BH113" s="32">
        <v>14102</v>
      </c>
      <c r="BI113" s="32">
        <v>1028</v>
      </c>
      <c r="BJ113" s="32">
        <v>45822</v>
      </c>
      <c r="BK113" s="34">
        <f>IFERROR(SUM(Cons_Metrics[[#This Row],[Operating surplus/(deficit) (overall)3]],Cons_Metrics[[#This Row],[Share of operating surplus/(deficit) in joint ventures or associates]])/SUM(Cons_Metrics[[#This Row],[Total assets less current liabilities]]),"")</f>
        <v>3.8861652846556821E-2</v>
      </c>
      <c r="BL113" s="32">
        <v>14102</v>
      </c>
      <c r="BM113" s="32">
        <v>0</v>
      </c>
      <c r="BN113" s="32">
        <v>362877</v>
      </c>
      <c r="BO113" s="34">
        <v>7.54994484618213E-2</v>
      </c>
      <c r="BP113" s="34">
        <v>6.581688932467214E-2</v>
      </c>
      <c r="BQ113" s="6" t="s">
        <v>82</v>
      </c>
      <c r="BR113" s="6" t="s">
        <v>83</v>
      </c>
      <c r="BS113" s="6" t="s">
        <v>83</v>
      </c>
      <c r="BT113" s="6" t="s">
        <v>105</v>
      </c>
      <c r="BU113" s="8">
        <v>0.91629309390364744</v>
      </c>
    </row>
    <row r="114" spans="1:73" x14ac:dyDescent="0.25">
      <c r="A114" s="33" t="s">
        <v>317</v>
      </c>
      <c r="B114" s="7" t="s">
        <v>318</v>
      </c>
      <c r="C114" s="7" t="s">
        <v>81</v>
      </c>
      <c r="D11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6.341016638681117E-2</v>
      </c>
      <c r="E114" s="32">
        <v>5414</v>
      </c>
      <c r="F114" s="32">
        <v>0</v>
      </c>
      <c r="G114" s="32">
        <v>817</v>
      </c>
      <c r="H114" s="32">
        <v>0</v>
      </c>
      <c r="I114" s="32">
        <v>0</v>
      </c>
      <c r="J114" s="32">
        <v>98265</v>
      </c>
      <c r="K114" s="32">
        <v>0</v>
      </c>
      <c r="L11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2.8956228956228958E-2</v>
      </c>
      <c r="M114" s="32">
        <v>43</v>
      </c>
      <c r="N114" s="32">
        <v>0</v>
      </c>
      <c r="O114" s="32">
        <v>1485</v>
      </c>
      <c r="P114" s="32">
        <v>0</v>
      </c>
      <c r="Q11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4" s="32">
        <v>0</v>
      </c>
      <c r="S114" s="32">
        <v>0</v>
      </c>
      <c r="T114" s="32">
        <v>0</v>
      </c>
      <c r="U114" s="32">
        <v>1485</v>
      </c>
      <c r="V114" s="32">
        <v>0</v>
      </c>
      <c r="W114" s="32">
        <v>0</v>
      </c>
      <c r="X114" s="32">
        <v>0</v>
      </c>
      <c r="Y11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0.7161145881035974</v>
      </c>
      <c r="Z114" s="32">
        <v>41</v>
      </c>
      <c r="AA114" s="32">
        <v>72174</v>
      </c>
      <c r="AB114" s="32">
        <v>1846</v>
      </c>
      <c r="AC114" s="32">
        <v>0</v>
      </c>
      <c r="AD114" s="32">
        <v>0</v>
      </c>
      <c r="AE114" s="32">
        <v>98265</v>
      </c>
      <c r="AF114" s="32">
        <v>0</v>
      </c>
      <c r="AG11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1.3619829862129658</v>
      </c>
      <c r="AH114" s="32">
        <v>4620</v>
      </c>
      <c r="AI114" s="32">
        <v>594</v>
      </c>
      <c r="AJ114" s="32">
        <v>199</v>
      </c>
      <c r="AK114" s="32">
        <v>0</v>
      </c>
      <c r="AL114" s="32">
        <v>30</v>
      </c>
      <c r="AM114" s="32">
        <v>817</v>
      </c>
      <c r="AN114" s="32">
        <v>1603</v>
      </c>
      <c r="AO114" s="32">
        <v>-491</v>
      </c>
      <c r="AP114" s="32">
        <v>-2918</v>
      </c>
      <c r="AQ11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4.2289562289562292</v>
      </c>
      <c r="AR114" s="32">
        <v>1431</v>
      </c>
      <c r="AS114" s="32">
        <v>948</v>
      </c>
      <c r="AT114" s="32">
        <v>983</v>
      </c>
      <c r="AU114" s="32">
        <v>987</v>
      </c>
      <c r="AV114" s="32">
        <v>569</v>
      </c>
      <c r="AW114" s="32">
        <v>817</v>
      </c>
      <c r="AX114" s="32">
        <v>105</v>
      </c>
      <c r="AY114" s="32">
        <v>279</v>
      </c>
      <c r="AZ114" s="32">
        <v>0</v>
      </c>
      <c r="BA114" s="32">
        <v>46</v>
      </c>
      <c r="BB114" s="32">
        <v>115</v>
      </c>
      <c r="BC114" s="32">
        <v>1485</v>
      </c>
      <c r="BD114" s="34">
        <f>IFERROR(SUM(Cons_Metrics[[#This Row],[Operating surplus/(deficit) (social housing lettings)]])/SUM(Cons_Metrics[[#This Row],[Turnover from social housing lettings]]),"")</f>
        <v>0.36944176577734922</v>
      </c>
      <c r="BE114" s="32">
        <v>3448</v>
      </c>
      <c r="BF114" s="32">
        <v>9333</v>
      </c>
      <c r="BG114" s="34">
        <f>IFERROR(SUM(Cons_Metrics[[#This Row],[Operating surplus/(deficit) (overall)2]],-Cons_Metrics[[#This Row],[Gain/(loss) on disposal of fixed assets (housing properties)2]])/SUM(Cons_Metrics[[#This Row],[Turnover (overall)]]),"")</f>
        <v>0.31758302437485209</v>
      </c>
      <c r="BH114" s="32">
        <v>4620</v>
      </c>
      <c r="BI114" s="32">
        <v>594</v>
      </c>
      <c r="BJ114" s="32">
        <v>12677</v>
      </c>
      <c r="BK114" s="34">
        <f>IFERROR(SUM(Cons_Metrics[[#This Row],[Operating surplus/(deficit) (overall)3]],Cons_Metrics[[#This Row],[Share of operating surplus/(deficit) in joint ventures or associates]])/SUM(Cons_Metrics[[#This Row],[Total assets less current liabilities]]),"")</f>
        <v>4.0091985941771165E-2</v>
      </c>
      <c r="BL114" s="32">
        <v>4620</v>
      </c>
      <c r="BM114" s="32">
        <v>0</v>
      </c>
      <c r="BN114" s="32">
        <v>115235</v>
      </c>
      <c r="BO114" s="34">
        <v>3.3863165169315826E-2</v>
      </c>
      <c r="BP114" s="34">
        <v>0.22667588113337941</v>
      </c>
      <c r="BQ114" s="6" t="s">
        <v>82</v>
      </c>
      <c r="BR114" s="6" t="s">
        <v>83</v>
      </c>
      <c r="BS114" s="6" t="s">
        <v>83</v>
      </c>
      <c r="BT114" s="6" t="s">
        <v>84</v>
      </c>
      <c r="BU114" s="8">
        <v>1.0166488573734003</v>
      </c>
    </row>
    <row r="115" spans="1:73" x14ac:dyDescent="0.25">
      <c r="A115" s="33" t="s">
        <v>319</v>
      </c>
      <c r="B115" s="7" t="s">
        <v>320</v>
      </c>
      <c r="C115" s="7" t="s">
        <v>81</v>
      </c>
      <c r="D11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3.7179696269079118E-2</v>
      </c>
      <c r="E115" s="32">
        <v>0</v>
      </c>
      <c r="F115" s="32">
        <v>4879</v>
      </c>
      <c r="G115" s="32">
        <v>2770</v>
      </c>
      <c r="H115" s="32">
        <v>102</v>
      </c>
      <c r="I115" s="32">
        <v>0</v>
      </c>
      <c r="J115" s="32">
        <v>208474</v>
      </c>
      <c r="K115" s="32">
        <v>0</v>
      </c>
      <c r="L11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1.1606140022463497E-2</v>
      </c>
      <c r="M115" s="32">
        <v>62</v>
      </c>
      <c r="N115" s="32">
        <v>0</v>
      </c>
      <c r="O115" s="32">
        <v>5342</v>
      </c>
      <c r="P115" s="32">
        <v>0</v>
      </c>
      <c r="Q11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5" s="32">
        <v>0</v>
      </c>
      <c r="S115" s="32">
        <v>0</v>
      </c>
      <c r="T115" s="32">
        <v>0</v>
      </c>
      <c r="U115" s="32">
        <v>5342</v>
      </c>
      <c r="V115" s="32">
        <v>0</v>
      </c>
      <c r="W115" s="32">
        <v>0</v>
      </c>
      <c r="X115" s="32">
        <v>0</v>
      </c>
      <c r="Y11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0.34606713547013057</v>
      </c>
      <c r="Z115" s="32">
        <v>5168</v>
      </c>
      <c r="AA115" s="32">
        <v>67973</v>
      </c>
      <c r="AB115" s="32">
        <v>995</v>
      </c>
      <c r="AC115" s="32">
        <v>0</v>
      </c>
      <c r="AD115" s="32">
        <v>0</v>
      </c>
      <c r="AE115" s="32">
        <v>208474</v>
      </c>
      <c r="AF115" s="32">
        <v>0</v>
      </c>
      <c r="AG11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3.1901336073997943</v>
      </c>
      <c r="AH115" s="32">
        <v>8402</v>
      </c>
      <c r="AI115" s="32">
        <v>279</v>
      </c>
      <c r="AJ115" s="32">
        <v>1131</v>
      </c>
      <c r="AK115" s="32">
        <v>0</v>
      </c>
      <c r="AL115" s="32">
        <v>34</v>
      </c>
      <c r="AM115" s="32">
        <v>2770</v>
      </c>
      <c r="AN115" s="32">
        <v>5056</v>
      </c>
      <c r="AO115" s="32">
        <v>-102</v>
      </c>
      <c r="AP115" s="32">
        <v>-2817</v>
      </c>
      <c r="AQ11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3.4717334331710972</v>
      </c>
      <c r="AR115" s="32">
        <v>4873</v>
      </c>
      <c r="AS115" s="32">
        <v>2926</v>
      </c>
      <c r="AT115" s="32">
        <v>4207</v>
      </c>
      <c r="AU115" s="32">
        <v>862</v>
      </c>
      <c r="AV115" s="32">
        <v>2312</v>
      </c>
      <c r="AW115" s="32">
        <v>2770</v>
      </c>
      <c r="AX115" s="32">
        <v>33</v>
      </c>
      <c r="AY115" s="32">
        <v>512</v>
      </c>
      <c r="AZ115" s="32">
        <v>0</v>
      </c>
      <c r="BA115" s="32">
        <v>51</v>
      </c>
      <c r="BB115" s="32">
        <v>0</v>
      </c>
      <c r="BC115" s="32">
        <v>5342</v>
      </c>
      <c r="BD115" s="34">
        <f>IFERROR(SUM(Cons_Metrics[[#This Row],[Operating surplus/(deficit) (social housing lettings)]])/SUM(Cons_Metrics[[#This Row],[Turnover from social housing lettings]]),"")</f>
        <v>0.29400297724533919</v>
      </c>
      <c r="BE115" s="32">
        <v>8295</v>
      </c>
      <c r="BF115" s="32">
        <v>28214</v>
      </c>
      <c r="BG115" s="34">
        <f>IFERROR(SUM(Cons_Metrics[[#This Row],[Operating surplus/(deficit) (overall)2]],-Cons_Metrics[[#This Row],[Gain/(loss) on disposal of fixed assets (housing properties)2]])/SUM(Cons_Metrics[[#This Row],[Turnover (overall)]]),"")</f>
        <v>0.26817431495543081</v>
      </c>
      <c r="BH115" s="32">
        <v>8402</v>
      </c>
      <c r="BI115" s="32">
        <v>279</v>
      </c>
      <c r="BJ115" s="32">
        <v>30290</v>
      </c>
      <c r="BK115" s="34">
        <f>IFERROR(SUM(Cons_Metrics[[#This Row],[Operating surplus/(deficit) (overall)3]],Cons_Metrics[[#This Row],[Share of operating surplus/(deficit) in joint ventures or associates]])/SUM(Cons_Metrics[[#This Row],[Total assets less current liabilities]]),"")</f>
        <v>3.8349011606943172E-2</v>
      </c>
      <c r="BL115" s="32">
        <v>8402</v>
      </c>
      <c r="BM115" s="32">
        <v>0</v>
      </c>
      <c r="BN115" s="32">
        <v>219093</v>
      </c>
      <c r="BO115" s="34">
        <v>7.0321151716500552E-2</v>
      </c>
      <c r="BP115" s="34">
        <v>0.11406423034330011</v>
      </c>
      <c r="BQ115" s="6" t="s">
        <v>82</v>
      </c>
      <c r="BR115" s="6" t="s">
        <v>83</v>
      </c>
      <c r="BS115" s="6" t="s">
        <v>83</v>
      </c>
      <c r="BT115" s="6" t="s">
        <v>105</v>
      </c>
      <c r="BU115" s="8">
        <v>0.93093188252061243</v>
      </c>
    </row>
    <row r="116" spans="1:73" x14ac:dyDescent="0.25">
      <c r="A116" s="33" t="s">
        <v>321</v>
      </c>
      <c r="B116" s="7" t="s">
        <v>322</v>
      </c>
      <c r="C116" s="7" t="s">
        <v>81</v>
      </c>
      <c r="D11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1.6275206900571163E-2</v>
      </c>
      <c r="E116" s="32">
        <v>0</v>
      </c>
      <c r="F116" s="32">
        <v>0</v>
      </c>
      <c r="G116" s="32">
        <v>661</v>
      </c>
      <c r="H116" s="32">
        <v>0</v>
      </c>
      <c r="I116" s="32">
        <v>456</v>
      </c>
      <c r="J116" s="32">
        <v>68632</v>
      </c>
      <c r="K116" s="32">
        <v>0</v>
      </c>
      <c r="L11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16" s="32">
        <v>0</v>
      </c>
      <c r="N116" s="32">
        <v>0</v>
      </c>
      <c r="O116" s="32">
        <v>1085</v>
      </c>
      <c r="P116" s="32">
        <v>0</v>
      </c>
      <c r="Q11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6" s="32">
        <v>0</v>
      </c>
      <c r="S116" s="32">
        <v>0</v>
      </c>
      <c r="T116" s="32">
        <v>0</v>
      </c>
      <c r="U116" s="32">
        <v>1085</v>
      </c>
      <c r="V116" s="32">
        <v>0</v>
      </c>
      <c r="W116" s="32">
        <v>0</v>
      </c>
      <c r="X116" s="32">
        <v>0</v>
      </c>
      <c r="Y11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0.3626879589695769</v>
      </c>
      <c r="Z116" s="32">
        <v>697</v>
      </c>
      <c r="AA116" s="32">
        <v>27211</v>
      </c>
      <c r="AB116" s="32">
        <v>3016</v>
      </c>
      <c r="AC116" s="32">
        <v>0</v>
      </c>
      <c r="AD116" s="32">
        <v>0</v>
      </c>
      <c r="AE116" s="32">
        <v>68632</v>
      </c>
      <c r="AF116" s="32">
        <v>0</v>
      </c>
      <c r="AG11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1.95</v>
      </c>
      <c r="AH116" s="32">
        <v>2198</v>
      </c>
      <c r="AI116" s="32">
        <v>52</v>
      </c>
      <c r="AJ116" s="32">
        <v>331</v>
      </c>
      <c r="AK116" s="32">
        <v>0</v>
      </c>
      <c r="AL116" s="32">
        <v>4</v>
      </c>
      <c r="AM116" s="32">
        <v>661</v>
      </c>
      <c r="AN116" s="32">
        <v>714</v>
      </c>
      <c r="AO116" s="32">
        <v>0</v>
      </c>
      <c r="AP116" s="32">
        <v>-960</v>
      </c>
      <c r="AQ11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3.7544642857142856</v>
      </c>
      <c r="AR116" s="32">
        <v>1193</v>
      </c>
      <c r="AS116" s="32">
        <v>903</v>
      </c>
      <c r="AT116" s="32">
        <v>728</v>
      </c>
      <c r="AU116" s="32">
        <v>472</v>
      </c>
      <c r="AV116" s="32">
        <v>0</v>
      </c>
      <c r="AW116" s="32">
        <v>661</v>
      </c>
      <c r="AX116" s="32">
        <v>173</v>
      </c>
      <c r="AY116" s="32">
        <v>75</v>
      </c>
      <c r="AZ116" s="32">
        <v>0</v>
      </c>
      <c r="BA116" s="32">
        <v>0</v>
      </c>
      <c r="BB116" s="32">
        <v>0</v>
      </c>
      <c r="BC116" s="32">
        <v>1120</v>
      </c>
      <c r="BD116" s="34">
        <f>IFERROR(SUM(Cons_Metrics[[#This Row],[Operating surplus/(deficit) (social housing lettings)]])/SUM(Cons_Metrics[[#This Row],[Turnover from social housing lettings]]),"")</f>
        <v>0.33858515834252401</v>
      </c>
      <c r="BE116" s="32">
        <v>2149</v>
      </c>
      <c r="BF116" s="32">
        <v>6347</v>
      </c>
      <c r="BG116" s="34">
        <f>IFERROR(SUM(Cons_Metrics[[#This Row],[Operating surplus/(deficit) (overall)2]],-Cons_Metrics[[#This Row],[Gain/(loss) on disposal of fixed assets (housing properties)2]])/SUM(Cons_Metrics[[#This Row],[Turnover (overall)]]),"")</f>
        <v>0.33431998753699954</v>
      </c>
      <c r="BH116" s="32">
        <v>2198</v>
      </c>
      <c r="BI116" s="32">
        <v>52</v>
      </c>
      <c r="BJ116" s="32">
        <v>6419</v>
      </c>
      <c r="BK116" s="34">
        <f>IFERROR(SUM(Cons_Metrics[[#This Row],[Operating surplus/(deficit) (overall)3]],Cons_Metrics[[#This Row],[Share of operating surplus/(deficit) in joint ventures or associates]])/SUM(Cons_Metrics[[#This Row],[Total assets less current liabilities]]),"")</f>
        <v>3.0663634714917481E-2</v>
      </c>
      <c r="BL116" s="32">
        <v>2198</v>
      </c>
      <c r="BM116" s="32">
        <v>0</v>
      </c>
      <c r="BN116" s="32">
        <v>71681</v>
      </c>
      <c r="BO116" s="34">
        <v>2.8518859245630176E-2</v>
      </c>
      <c r="BP116" s="34">
        <v>0.22079116835326587</v>
      </c>
      <c r="BQ116" s="6" t="s">
        <v>82</v>
      </c>
      <c r="BR116" s="6" t="s">
        <v>83</v>
      </c>
      <c r="BS116" s="6" t="s">
        <v>83</v>
      </c>
      <c r="BT116" s="6" t="s">
        <v>90</v>
      </c>
      <c r="BU116" s="8">
        <v>0.91571558169387279</v>
      </c>
    </row>
    <row r="117" spans="1:73" x14ac:dyDescent="0.25">
      <c r="A117" s="33" t="s">
        <v>323</v>
      </c>
      <c r="B117" s="7" t="s">
        <v>324</v>
      </c>
      <c r="C117" s="7" t="s">
        <v>81</v>
      </c>
      <c r="D11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0.12392001372057126</v>
      </c>
      <c r="E117" s="32">
        <v>192838</v>
      </c>
      <c r="F117" s="32">
        <v>0</v>
      </c>
      <c r="G117" s="32">
        <v>14782</v>
      </c>
      <c r="H117" s="32">
        <v>5528</v>
      </c>
      <c r="I117" s="32">
        <v>0</v>
      </c>
      <c r="J117" s="32">
        <v>1720045</v>
      </c>
      <c r="K117" s="32">
        <v>0</v>
      </c>
      <c r="L11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1.4667725708234049E-2</v>
      </c>
      <c r="M117" s="32">
        <v>275</v>
      </c>
      <c r="N117" s="32">
        <v>2</v>
      </c>
      <c r="O117" s="32">
        <v>16790</v>
      </c>
      <c r="P117" s="32">
        <v>2095</v>
      </c>
      <c r="Q11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7.0979517339282089E-3</v>
      </c>
      <c r="R117" s="32">
        <v>1</v>
      </c>
      <c r="S117" s="32">
        <v>77</v>
      </c>
      <c r="T117" s="32">
        <v>62</v>
      </c>
      <c r="U117" s="32">
        <v>16790</v>
      </c>
      <c r="V117" s="32">
        <v>258</v>
      </c>
      <c r="W117" s="32">
        <v>2095</v>
      </c>
      <c r="X117" s="32">
        <v>581</v>
      </c>
      <c r="Y11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0.45886299486350646</v>
      </c>
      <c r="Z117" s="32">
        <v>6550</v>
      </c>
      <c r="AA117" s="32">
        <v>852234</v>
      </c>
      <c r="AB117" s="32">
        <v>69519</v>
      </c>
      <c r="AC117" s="32">
        <v>0</v>
      </c>
      <c r="AD117" s="32">
        <v>0</v>
      </c>
      <c r="AE117" s="32">
        <v>1720045</v>
      </c>
      <c r="AF117" s="32">
        <v>0</v>
      </c>
      <c r="AG11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1.8085119738865698</v>
      </c>
      <c r="AH117" s="32">
        <v>69675</v>
      </c>
      <c r="AI117" s="32">
        <v>10804</v>
      </c>
      <c r="AJ117" s="32">
        <v>7420</v>
      </c>
      <c r="AK117" s="32">
        <v>0</v>
      </c>
      <c r="AL117" s="32">
        <v>283</v>
      </c>
      <c r="AM117" s="32">
        <v>14782</v>
      </c>
      <c r="AN117" s="32">
        <v>20669</v>
      </c>
      <c r="AO117" s="32">
        <v>-5528</v>
      </c>
      <c r="AP117" s="32">
        <v>-26333</v>
      </c>
      <c r="AQ11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6.1286480047647407</v>
      </c>
      <c r="AR117" s="32">
        <v>33782</v>
      </c>
      <c r="AS117" s="32">
        <v>12027</v>
      </c>
      <c r="AT117" s="32">
        <v>15467</v>
      </c>
      <c r="AU117" s="32">
        <v>0</v>
      </c>
      <c r="AV117" s="32">
        <v>7360</v>
      </c>
      <c r="AW117" s="32">
        <v>14782</v>
      </c>
      <c r="AX117" s="32">
        <v>17547</v>
      </c>
      <c r="AY117" s="32">
        <v>1198</v>
      </c>
      <c r="AZ117" s="32">
        <v>492</v>
      </c>
      <c r="BA117" s="32">
        <v>33</v>
      </c>
      <c r="BB117" s="32">
        <v>212</v>
      </c>
      <c r="BC117" s="32">
        <v>16790</v>
      </c>
      <c r="BD117" s="34">
        <f>IFERROR(SUM(Cons_Metrics[[#This Row],[Operating surplus/(deficit) (social housing lettings)]])/SUM(Cons_Metrics[[#This Row],[Turnover from social housing lettings]]),"")</f>
        <v>0.26113270138931727</v>
      </c>
      <c r="BE117" s="32">
        <v>38099</v>
      </c>
      <c r="BF117" s="32">
        <v>145899</v>
      </c>
      <c r="BG117" s="34">
        <f>IFERROR(SUM(Cons_Metrics[[#This Row],[Operating surplus/(deficit) (overall)2]],-Cons_Metrics[[#This Row],[Gain/(loss) on disposal of fixed assets (housing properties)2]])/SUM(Cons_Metrics[[#This Row],[Turnover (overall)]]),"")</f>
        <v>0.28021400046646011</v>
      </c>
      <c r="BH117" s="32">
        <v>69675</v>
      </c>
      <c r="BI117" s="32">
        <v>10804</v>
      </c>
      <c r="BJ117" s="32">
        <v>210093</v>
      </c>
      <c r="BK117" s="34">
        <f>IFERROR(SUM(Cons_Metrics[[#This Row],[Operating surplus/(deficit) (overall)3]],Cons_Metrics[[#This Row],[Share of operating surplus/(deficit) in joint ventures or associates]])/SUM(Cons_Metrics[[#This Row],[Total assets less current liabilities]]),"")</f>
        <v>3.7336306574698122E-2</v>
      </c>
      <c r="BL117" s="32">
        <v>69675</v>
      </c>
      <c r="BM117" s="32">
        <v>-157</v>
      </c>
      <c r="BN117" s="32">
        <v>1861941</v>
      </c>
      <c r="BO117" s="34">
        <v>3.0494341870160809E-2</v>
      </c>
      <c r="BP117" s="34">
        <v>8.4574151280524118E-2</v>
      </c>
      <c r="BQ117" s="6" t="s">
        <v>82</v>
      </c>
      <c r="BR117" s="6" t="s">
        <v>83</v>
      </c>
      <c r="BS117" s="6" t="s">
        <v>83</v>
      </c>
      <c r="BT117" s="6" t="s">
        <v>156</v>
      </c>
      <c r="BU117" s="8">
        <v>1.1822211148400199</v>
      </c>
    </row>
    <row r="118" spans="1:73" x14ac:dyDescent="0.25">
      <c r="A118" s="33" t="s">
        <v>325</v>
      </c>
      <c r="B118" s="7" t="s">
        <v>326</v>
      </c>
      <c r="C118" s="7" t="s">
        <v>81</v>
      </c>
      <c r="D11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6.1275714478119192E-2</v>
      </c>
      <c r="E118" s="32">
        <v>26424</v>
      </c>
      <c r="F118" s="32">
        <v>0</v>
      </c>
      <c r="G118" s="32">
        <v>8608</v>
      </c>
      <c r="H118" s="32">
        <v>0</v>
      </c>
      <c r="I118" s="32">
        <v>0</v>
      </c>
      <c r="J118" s="32">
        <v>571711</v>
      </c>
      <c r="K118" s="32">
        <v>0</v>
      </c>
      <c r="L11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6.8475249594898329E-3</v>
      </c>
      <c r="M118" s="32">
        <v>131</v>
      </c>
      <c r="N118" s="32">
        <v>0</v>
      </c>
      <c r="O118" s="32">
        <v>19131</v>
      </c>
      <c r="P118" s="32">
        <v>0</v>
      </c>
      <c r="Q11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8" s="32">
        <v>0</v>
      </c>
      <c r="S118" s="32">
        <v>0</v>
      </c>
      <c r="T118" s="32">
        <v>0</v>
      </c>
      <c r="U118" s="32">
        <v>19131</v>
      </c>
      <c r="V118" s="32">
        <v>0</v>
      </c>
      <c r="W118" s="32">
        <v>0</v>
      </c>
      <c r="X118" s="32">
        <v>495</v>
      </c>
      <c r="Y11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0.5913249876248664</v>
      </c>
      <c r="Z118" s="32">
        <v>4000</v>
      </c>
      <c r="AA118" s="32">
        <v>366786</v>
      </c>
      <c r="AB118" s="32">
        <v>32719</v>
      </c>
      <c r="AC118" s="32">
        <v>0</v>
      </c>
      <c r="AD118" s="32">
        <v>0</v>
      </c>
      <c r="AE118" s="32">
        <v>571711</v>
      </c>
      <c r="AF118" s="32">
        <v>0</v>
      </c>
      <c r="AG11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1.3460875090777051</v>
      </c>
      <c r="AH118" s="32">
        <v>27031</v>
      </c>
      <c r="AI118" s="32">
        <v>2812</v>
      </c>
      <c r="AJ118" s="32">
        <v>127</v>
      </c>
      <c r="AK118" s="32">
        <v>0</v>
      </c>
      <c r="AL118" s="32">
        <v>42</v>
      </c>
      <c r="AM118" s="32">
        <v>8608</v>
      </c>
      <c r="AN118" s="32">
        <v>14131</v>
      </c>
      <c r="AO118" s="32">
        <v>-876</v>
      </c>
      <c r="AP118" s="32">
        <v>-21156</v>
      </c>
      <c r="AQ11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3.4121062638096706</v>
      </c>
      <c r="AR118" s="32">
        <v>21356</v>
      </c>
      <c r="AS118" s="32">
        <v>5036</v>
      </c>
      <c r="AT118" s="32">
        <v>13775</v>
      </c>
      <c r="AU118" s="32">
        <v>4170</v>
      </c>
      <c r="AV118" s="32">
        <v>7904</v>
      </c>
      <c r="AW118" s="32">
        <v>8608</v>
      </c>
      <c r="AX118" s="32">
        <v>177</v>
      </c>
      <c r="AY118" s="32">
        <v>0</v>
      </c>
      <c r="AZ118" s="32">
        <v>0</v>
      </c>
      <c r="BA118" s="32">
        <v>5377</v>
      </c>
      <c r="BB118" s="32">
        <v>0</v>
      </c>
      <c r="BC118" s="32">
        <v>19461</v>
      </c>
      <c r="BD118" s="34">
        <f>IFERROR(SUM(Cons_Metrics[[#This Row],[Operating surplus/(deficit) (social housing lettings)]])/SUM(Cons_Metrics[[#This Row],[Turnover from social housing lettings]]),"")</f>
        <v>0.25553254603458891</v>
      </c>
      <c r="BE118" s="32">
        <v>22828</v>
      </c>
      <c r="BF118" s="32">
        <v>89335</v>
      </c>
      <c r="BG118" s="34">
        <f>IFERROR(SUM(Cons_Metrics[[#This Row],[Operating surplus/(deficit) (overall)2]],-Cons_Metrics[[#This Row],[Gain/(loss) on disposal of fixed assets (housing properties)2]])/SUM(Cons_Metrics[[#This Row],[Turnover (overall)]]),"")</f>
        <v>0.2337335212028798</v>
      </c>
      <c r="BH118" s="32">
        <v>27031</v>
      </c>
      <c r="BI118" s="32">
        <v>2812</v>
      </c>
      <c r="BJ118" s="32">
        <v>103618</v>
      </c>
      <c r="BK118" s="34">
        <f>IFERROR(SUM(Cons_Metrics[[#This Row],[Operating surplus/(deficit) (overall)3]],Cons_Metrics[[#This Row],[Share of operating surplus/(deficit) in joint ventures or associates]])/SUM(Cons_Metrics[[#This Row],[Total assets less current liabilities]]),"")</f>
        <v>4.4038559602999662E-2</v>
      </c>
      <c r="BL118" s="32">
        <v>27031</v>
      </c>
      <c r="BM118" s="32">
        <v>0</v>
      </c>
      <c r="BN118" s="32">
        <v>613803</v>
      </c>
      <c r="BO118" s="34">
        <v>5.6106129725761629E-3</v>
      </c>
      <c r="BP118" s="34">
        <v>7.9387551780189816E-2</v>
      </c>
      <c r="BQ118" s="6" t="s">
        <v>93</v>
      </c>
      <c r="BR118" s="6">
        <v>2000</v>
      </c>
      <c r="BS118" s="6" t="s">
        <v>94</v>
      </c>
      <c r="BT118" s="6" t="s">
        <v>105</v>
      </c>
      <c r="BU118" s="8">
        <v>0.91645635871767306</v>
      </c>
    </row>
    <row r="119" spans="1:73" x14ac:dyDescent="0.25">
      <c r="A119" s="33" t="s">
        <v>327</v>
      </c>
      <c r="B119" s="7" t="s">
        <v>328</v>
      </c>
      <c r="C119" s="7" t="s">
        <v>81</v>
      </c>
      <c r="D11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7.5169665485150777E-2</v>
      </c>
      <c r="E119" s="32">
        <v>69147</v>
      </c>
      <c r="F119" s="32">
        <v>0</v>
      </c>
      <c r="G119" s="32">
        <v>7644</v>
      </c>
      <c r="H119" s="32">
        <v>0</v>
      </c>
      <c r="I119" s="32">
        <v>0</v>
      </c>
      <c r="J119" s="32">
        <v>1021569</v>
      </c>
      <c r="K119" s="32">
        <v>0</v>
      </c>
      <c r="L11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1.0221465076660987E-2</v>
      </c>
      <c r="M119" s="32">
        <v>72</v>
      </c>
      <c r="N119" s="32">
        <v>0</v>
      </c>
      <c r="O119" s="32">
        <v>7044</v>
      </c>
      <c r="P119" s="32">
        <v>0</v>
      </c>
      <c r="Q11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19" s="32">
        <v>0</v>
      </c>
      <c r="S119" s="32">
        <v>0</v>
      </c>
      <c r="T119" s="32">
        <v>0</v>
      </c>
      <c r="U119" s="32">
        <v>7044</v>
      </c>
      <c r="V119" s="32">
        <v>68</v>
      </c>
      <c r="W119" s="32">
        <v>0</v>
      </c>
      <c r="X119" s="32">
        <v>0</v>
      </c>
      <c r="Y11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0.4634195047030597</v>
      </c>
      <c r="Z119" s="32">
        <v>3983</v>
      </c>
      <c r="AA119" s="32">
        <v>502133</v>
      </c>
      <c r="AB119" s="32">
        <v>32701</v>
      </c>
      <c r="AC119" s="32">
        <v>0</v>
      </c>
      <c r="AD119" s="32">
        <v>0</v>
      </c>
      <c r="AE119" s="32">
        <v>1021569</v>
      </c>
      <c r="AF119" s="32">
        <v>0</v>
      </c>
      <c r="AG11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1.2574695684249355</v>
      </c>
      <c r="AH119" s="32">
        <v>31387</v>
      </c>
      <c r="AI119" s="32">
        <v>7235</v>
      </c>
      <c r="AJ119" s="32">
        <v>3785</v>
      </c>
      <c r="AK119" s="32">
        <v>0</v>
      </c>
      <c r="AL119" s="32">
        <v>93</v>
      </c>
      <c r="AM119" s="32">
        <v>7644</v>
      </c>
      <c r="AN119" s="32">
        <v>7638</v>
      </c>
      <c r="AO119" s="32">
        <v>-3146</v>
      </c>
      <c r="AP119" s="32">
        <v>-13120</v>
      </c>
      <c r="AQ11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7.2406303236797278</v>
      </c>
      <c r="AR119" s="32">
        <v>7943</v>
      </c>
      <c r="AS119" s="32">
        <v>11417</v>
      </c>
      <c r="AT119" s="32">
        <v>5524</v>
      </c>
      <c r="AU119" s="32">
        <v>3638</v>
      </c>
      <c r="AV119" s="32">
        <v>37</v>
      </c>
      <c r="AW119" s="32">
        <v>7644</v>
      </c>
      <c r="AX119" s="32">
        <v>0</v>
      </c>
      <c r="AY119" s="32">
        <v>668</v>
      </c>
      <c r="AZ119" s="32">
        <v>118</v>
      </c>
      <c r="BA119" s="32">
        <v>1113</v>
      </c>
      <c r="BB119" s="32">
        <v>12901</v>
      </c>
      <c r="BC119" s="32">
        <v>7044</v>
      </c>
      <c r="BD119" s="34">
        <f>IFERROR(SUM(Cons_Metrics[[#This Row],[Operating surplus/(deficit) (social housing lettings)]])/SUM(Cons_Metrics[[#This Row],[Turnover from social housing lettings]]),"")</f>
        <v>0.3941439138289532</v>
      </c>
      <c r="BE119" s="32">
        <v>23126</v>
      </c>
      <c r="BF119" s="32">
        <v>58674</v>
      </c>
      <c r="BG119" s="34">
        <f>IFERROR(SUM(Cons_Metrics[[#This Row],[Operating surplus/(deficit) (overall)2]],-Cons_Metrics[[#This Row],[Gain/(loss) on disposal of fixed assets (housing properties)2]])/SUM(Cons_Metrics[[#This Row],[Turnover (overall)]]),"")</f>
        <v>0.31764736828261042</v>
      </c>
      <c r="BH119" s="32">
        <v>31387</v>
      </c>
      <c r="BI119" s="32">
        <v>7235</v>
      </c>
      <c r="BJ119" s="32">
        <v>76034</v>
      </c>
      <c r="BK119" s="34">
        <f>IFERROR(SUM(Cons_Metrics[[#This Row],[Operating surplus/(deficit) (overall)3]],Cons_Metrics[[#This Row],[Share of operating surplus/(deficit) in joint ventures or associates]])/SUM(Cons_Metrics[[#This Row],[Total assets less current liabilities]]),"")</f>
        <v>2.9587795729485705E-2</v>
      </c>
      <c r="BL119" s="32">
        <v>31387</v>
      </c>
      <c r="BM119" s="32">
        <v>0</v>
      </c>
      <c r="BN119" s="32">
        <v>1060809</v>
      </c>
      <c r="BO119" s="34">
        <v>6.6953978759427435E-2</v>
      </c>
      <c r="BP119" s="34">
        <v>2.2933661690010775E-2</v>
      </c>
      <c r="BQ119" s="6" t="s">
        <v>82</v>
      </c>
      <c r="BR119" s="6" t="s">
        <v>83</v>
      </c>
      <c r="BS119" s="6" t="s">
        <v>83</v>
      </c>
      <c r="BT119" s="6" t="s">
        <v>156</v>
      </c>
      <c r="BU119" s="8">
        <v>1.2488242679975095</v>
      </c>
    </row>
    <row r="120" spans="1:73" x14ac:dyDescent="0.25">
      <c r="A120" s="33" t="s">
        <v>329</v>
      </c>
      <c r="B120" s="7" t="s">
        <v>330</v>
      </c>
      <c r="C120" s="7" t="s">
        <v>81</v>
      </c>
      <c r="D12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5.2551717823109675E-2</v>
      </c>
      <c r="E120" s="32">
        <v>4346</v>
      </c>
      <c r="F120" s="32">
        <v>1877</v>
      </c>
      <c r="G120" s="32">
        <v>1695</v>
      </c>
      <c r="H120" s="32">
        <v>117</v>
      </c>
      <c r="I120" s="32">
        <v>0</v>
      </c>
      <c r="J120" s="32">
        <v>152897</v>
      </c>
      <c r="K120" s="32">
        <v>0</v>
      </c>
      <c r="L12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1.0516548097742036E-2</v>
      </c>
      <c r="M120" s="32">
        <v>34</v>
      </c>
      <c r="N120" s="32">
        <v>0</v>
      </c>
      <c r="O120" s="32">
        <v>3233</v>
      </c>
      <c r="P120" s="32">
        <v>0</v>
      </c>
      <c r="Q12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20" s="32">
        <v>0</v>
      </c>
      <c r="S120" s="32">
        <v>0</v>
      </c>
      <c r="T120" s="32">
        <v>0</v>
      </c>
      <c r="U120" s="32">
        <v>3233</v>
      </c>
      <c r="V120" s="32">
        <v>10</v>
      </c>
      <c r="W120" s="32">
        <v>0</v>
      </c>
      <c r="X120" s="32">
        <v>95</v>
      </c>
      <c r="Y12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0.56437994205249287</v>
      </c>
      <c r="Z120" s="32">
        <v>0</v>
      </c>
      <c r="AA120" s="32">
        <v>92252</v>
      </c>
      <c r="AB120" s="32">
        <v>5960</v>
      </c>
      <c r="AC120" s="32">
        <v>0</v>
      </c>
      <c r="AD120" s="32">
        <v>0</v>
      </c>
      <c r="AE120" s="32">
        <v>152897</v>
      </c>
      <c r="AF120" s="32">
        <v>0</v>
      </c>
      <c r="AG12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1.2411296162201304</v>
      </c>
      <c r="AH120" s="32">
        <v>4154</v>
      </c>
      <c r="AI120" s="32">
        <v>532</v>
      </c>
      <c r="AJ120" s="32">
        <v>130</v>
      </c>
      <c r="AK120" s="32">
        <v>0</v>
      </c>
      <c r="AL120" s="32">
        <v>90</v>
      </c>
      <c r="AM120" s="32">
        <v>1695</v>
      </c>
      <c r="AN120" s="32">
        <v>3255</v>
      </c>
      <c r="AO120" s="32">
        <v>-117</v>
      </c>
      <c r="AP120" s="32">
        <v>-4026</v>
      </c>
      <c r="AQ12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3.0667076544727943</v>
      </c>
      <c r="AR120" s="32">
        <v>1611</v>
      </c>
      <c r="AS120" s="32">
        <v>742</v>
      </c>
      <c r="AT120" s="32">
        <v>2595</v>
      </c>
      <c r="AU120" s="32">
        <v>1243</v>
      </c>
      <c r="AV120" s="32">
        <v>1737</v>
      </c>
      <c r="AW120" s="32">
        <v>1695</v>
      </c>
      <c r="AX120" s="32">
        <v>71</v>
      </c>
      <c r="AY120" s="32">
        <v>0</v>
      </c>
      <c r="AZ120" s="32">
        <v>0</v>
      </c>
      <c r="BA120" s="32">
        <v>0</v>
      </c>
      <c r="BB120" s="32">
        <v>282</v>
      </c>
      <c r="BC120" s="32">
        <v>3253</v>
      </c>
      <c r="BD120" s="34">
        <f>IFERROR(SUM(Cons_Metrics[[#This Row],[Operating surplus/(deficit) (social housing lettings)]])/SUM(Cons_Metrics[[#This Row],[Turnover from social housing lettings]]),"")</f>
        <v>0.23473373997669797</v>
      </c>
      <c r="BE120" s="32">
        <v>3425</v>
      </c>
      <c r="BF120" s="32">
        <v>14591</v>
      </c>
      <c r="BG120" s="34">
        <f>IFERROR(SUM(Cons_Metrics[[#This Row],[Operating surplus/(deficit) (overall)2]],-Cons_Metrics[[#This Row],[Gain/(loss) on disposal of fixed assets (housing properties)2]])/SUM(Cons_Metrics[[#This Row],[Turnover (overall)]]),"")</f>
        <v>0.2314229122739761</v>
      </c>
      <c r="BH120" s="32">
        <v>4154</v>
      </c>
      <c r="BI120" s="32">
        <v>532</v>
      </c>
      <c r="BJ120" s="32">
        <v>15651</v>
      </c>
      <c r="BK120" s="34">
        <f>IFERROR(SUM(Cons_Metrics[[#This Row],[Operating surplus/(deficit) (overall)3]],Cons_Metrics[[#This Row],[Share of operating surplus/(deficit) in joint ventures or associates]])/SUM(Cons_Metrics[[#This Row],[Total assets less current liabilities]]),"")</f>
        <v>2.4861812351941806E-2</v>
      </c>
      <c r="BL120" s="32">
        <v>4154</v>
      </c>
      <c r="BM120" s="32">
        <v>2</v>
      </c>
      <c r="BN120" s="32">
        <v>167164</v>
      </c>
      <c r="BO120" s="34">
        <v>0</v>
      </c>
      <c r="BP120" s="34">
        <v>0.15805753170429943</v>
      </c>
      <c r="BQ120" s="6" t="s">
        <v>93</v>
      </c>
      <c r="BR120" s="6">
        <v>2000</v>
      </c>
      <c r="BS120" s="6" t="s">
        <v>94</v>
      </c>
      <c r="BT120" s="6" t="s">
        <v>115</v>
      </c>
      <c r="BU120" s="8">
        <v>0.96617455710897804</v>
      </c>
    </row>
    <row r="121" spans="1:73" x14ac:dyDescent="0.25">
      <c r="A121" s="33" t="s">
        <v>331</v>
      </c>
      <c r="B121" s="7" t="s">
        <v>332</v>
      </c>
      <c r="C121" s="7" t="s">
        <v>81</v>
      </c>
      <c r="D12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3.1738327825252634E-2</v>
      </c>
      <c r="E121" s="32">
        <v>8307</v>
      </c>
      <c r="F121" s="32">
        <v>0</v>
      </c>
      <c r="G121" s="32">
        <v>2662</v>
      </c>
      <c r="H121" s="32">
        <v>344</v>
      </c>
      <c r="I121" s="32">
        <v>0</v>
      </c>
      <c r="J121" s="32">
        <v>356446</v>
      </c>
      <c r="K121" s="32">
        <v>0</v>
      </c>
      <c r="L12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9.1818716892289581E-3</v>
      </c>
      <c r="M121" s="32">
        <v>78</v>
      </c>
      <c r="N121" s="32">
        <v>0</v>
      </c>
      <c r="O121" s="32">
        <v>8495</v>
      </c>
      <c r="P121" s="32">
        <v>0</v>
      </c>
      <c r="Q12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3.0751329787234044E-3</v>
      </c>
      <c r="R121" s="32">
        <v>24</v>
      </c>
      <c r="S121" s="32">
        <v>0</v>
      </c>
      <c r="T121" s="32">
        <v>13</v>
      </c>
      <c r="U121" s="32">
        <v>8495</v>
      </c>
      <c r="V121" s="32">
        <v>2958</v>
      </c>
      <c r="W121" s="32">
        <v>0</v>
      </c>
      <c r="X121" s="32">
        <v>579</v>
      </c>
      <c r="Y12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0.60828568703253794</v>
      </c>
      <c r="Z121" s="32">
        <v>4500</v>
      </c>
      <c r="AA121" s="32">
        <v>283136</v>
      </c>
      <c r="AB121" s="32">
        <v>70815</v>
      </c>
      <c r="AC121" s="32">
        <v>0</v>
      </c>
      <c r="AD121" s="32">
        <v>0</v>
      </c>
      <c r="AE121" s="32">
        <v>356446</v>
      </c>
      <c r="AF121" s="32">
        <v>0</v>
      </c>
      <c r="AG12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2.1969374734155678</v>
      </c>
      <c r="AH121" s="32">
        <v>18999</v>
      </c>
      <c r="AI121" s="32">
        <v>0</v>
      </c>
      <c r="AJ121" s="32">
        <v>545</v>
      </c>
      <c r="AK121" s="32">
        <v>9</v>
      </c>
      <c r="AL121" s="32">
        <v>769</v>
      </c>
      <c r="AM121" s="32">
        <v>2662</v>
      </c>
      <c r="AN121" s="32">
        <v>9273</v>
      </c>
      <c r="AO121" s="32">
        <v>-344</v>
      </c>
      <c r="AP121" s="32">
        <v>-11411</v>
      </c>
      <c r="AQ12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3.2958210712183638</v>
      </c>
      <c r="AR121" s="32">
        <v>10131</v>
      </c>
      <c r="AS121" s="32">
        <v>5258</v>
      </c>
      <c r="AT121" s="32">
        <v>2672</v>
      </c>
      <c r="AU121" s="32">
        <v>1918</v>
      </c>
      <c r="AV121" s="32">
        <v>66</v>
      </c>
      <c r="AW121" s="32">
        <v>2662</v>
      </c>
      <c r="AX121" s="32">
        <v>5101</v>
      </c>
      <c r="AY121" s="32">
        <v>0</v>
      </c>
      <c r="AZ121" s="32">
        <v>0</v>
      </c>
      <c r="BA121" s="32">
        <v>190</v>
      </c>
      <c r="BB121" s="32">
        <v>0</v>
      </c>
      <c r="BC121" s="32">
        <v>8495</v>
      </c>
      <c r="BD121" s="34">
        <f>IFERROR(SUM(Cons_Metrics[[#This Row],[Operating surplus/(deficit) (social housing lettings)]])/SUM(Cons_Metrics[[#This Row],[Turnover from social housing lettings]]),"")</f>
        <v>0.3399282656485017</v>
      </c>
      <c r="BE121" s="32">
        <v>17628</v>
      </c>
      <c r="BF121" s="32">
        <v>51858</v>
      </c>
      <c r="BG121" s="34">
        <f>IFERROR(SUM(Cons_Metrics[[#This Row],[Operating surplus/(deficit) (overall)2]],-Cons_Metrics[[#This Row],[Gain/(loss) on disposal of fixed assets (housing properties)2]])/SUM(Cons_Metrics[[#This Row],[Turnover (overall)]]),"")</f>
        <v>0.24355194339042149</v>
      </c>
      <c r="BH121" s="32">
        <v>18999</v>
      </c>
      <c r="BI121" s="32">
        <v>0</v>
      </c>
      <c r="BJ121" s="32">
        <v>78008</v>
      </c>
      <c r="BK121" s="34">
        <f>IFERROR(SUM(Cons_Metrics[[#This Row],[Operating surplus/(deficit) (overall)3]],Cons_Metrics[[#This Row],[Share of operating surplus/(deficit) in joint ventures or associates]])/SUM(Cons_Metrics[[#This Row],[Total assets less current liabilities]]),"")</f>
        <v>4.3840541251505653E-2</v>
      </c>
      <c r="BL121" s="32">
        <v>18999</v>
      </c>
      <c r="BM121" s="32">
        <v>0</v>
      </c>
      <c r="BN121" s="32">
        <v>433366</v>
      </c>
      <c r="BO121" s="34">
        <v>1.2338425381903642E-2</v>
      </c>
      <c r="BP121" s="34">
        <v>8.8836662749706224E-2</v>
      </c>
      <c r="BQ121" s="6" t="s">
        <v>93</v>
      </c>
      <c r="BR121" s="6">
        <v>2003</v>
      </c>
      <c r="BS121" s="6" t="s">
        <v>94</v>
      </c>
      <c r="BT121" s="6" t="s">
        <v>100</v>
      </c>
      <c r="BU121" s="8">
        <v>1.0022399874355168</v>
      </c>
    </row>
    <row r="122" spans="1:73" x14ac:dyDescent="0.25">
      <c r="A122" s="33" t="s">
        <v>333</v>
      </c>
      <c r="B122" s="7" t="s">
        <v>334</v>
      </c>
      <c r="C122" s="7" t="s">
        <v>81</v>
      </c>
      <c r="D12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4.0119021004332872E-2</v>
      </c>
      <c r="E122" s="32">
        <v>4754</v>
      </c>
      <c r="F122" s="32">
        <v>1020</v>
      </c>
      <c r="G122" s="32">
        <v>1694</v>
      </c>
      <c r="H122" s="32">
        <v>69</v>
      </c>
      <c r="I122" s="32">
        <v>0</v>
      </c>
      <c r="J122" s="32">
        <v>187866</v>
      </c>
      <c r="K122" s="32">
        <v>0</v>
      </c>
      <c r="L12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4.4805376645197428E-3</v>
      </c>
      <c r="M122" s="32">
        <v>16</v>
      </c>
      <c r="N122" s="32">
        <v>0</v>
      </c>
      <c r="O122" s="32">
        <v>3564</v>
      </c>
      <c r="P122" s="32">
        <v>7</v>
      </c>
      <c r="Q12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22" s="32">
        <v>0</v>
      </c>
      <c r="S122" s="32">
        <v>0</v>
      </c>
      <c r="T122" s="32">
        <v>0</v>
      </c>
      <c r="U122" s="32">
        <v>3564</v>
      </c>
      <c r="V122" s="32">
        <v>0</v>
      </c>
      <c r="W122" s="32">
        <v>7</v>
      </c>
      <c r="X122" s="32">
        <v>0</v>
      </c>
      <c r="Y12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0.42154514387914788</v>
      </c>
      <c r="Z122" s="32">
        <v>1253</v>
      </c>
      <c r="AA122" s="32">
        <v>79822</v>
      </c>
      <c r="AB122" s="32">
        <v>1881</v>
      </c>
      <c r="AC122" s="32">
        <v>0</v>
      </c>
      <c r="AD122" s="32">
        <v>0</v>
      </c>
      <c r="AE122" s="32">
        <v>187866</v>
      </c>
      <c r="AF122" s="32">
        <v>0</v>
      </c>
      <c r="AG12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2.1922398589065257</v>
      </c>
      <c r="AH122" s="32">
        <v>6266</v>
      </c>
      <c r="AI122" s="32">
        <v>100</v>
      </c>
      <c r="AJ122" s="32">
        <v>881</v>
      </c>
      <c r="AK122" s="32">
        <v>0</v>
      </c>
      <c r="AL122" s="32">
        <v>9</v>
      </c>
      <c r="AM122" s="32">
        <v>1728</v>
      </c>
      <c r="AN122" s="32">
        <v>2649</v>
      </c>
      <c r="AO122" s="32">
        <v>-69</v>
      </c>
      <c r="AP122" s="32">
        <v>-2766</v>
      </c>
      <c r="AQ12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2.8976118583584958</v>
      </c>
      <c r="AR122" s="32">
        <v>1953</v>
      </c>
      <c r="AS122" s="32">
        <v>1592</v>
      </c>
      <c r="AT122" s="32">
        <v>1836</v>
      </c>
      <c r="AU122" s="32">
        <v>1828</v>
      </c>
      <c r="AV122" s="32">
        <v>369</v>
      </c>
      <c r="AW122" s="32">
        <v>1728</v>
      </c>
      <c r="AX122" s="32">
        <v>317</v>
      </c>
      <c r="AY122" s="32">
        <v>0</v>
      </c>
      <c r="AZ122" s="32">
        <v>0</v>
      </c>
      <c r="BA122" s="32">
        <v>933</v>
      </c>
      <c r="BB122" s="32">
        <v>0</v>
      </c>
      <c r="BC122" s="32">
        <v>3643</v>
      </c>
      <c r="BD122" s="34">
        <f>IFERROR(SUM(Cons_Metrics[[#This Row],[Operating surplus/(deficit) (social housing lettings)]])/SUM(Cons_Metrics[[#This Row],[Turnover from social housing lettings]]),"")</f>
        <v>0.4619873979960748</v>
      </c>
      <c r="BE122" s="32">
        <v>8945</v>
      </c>
      <c r="BF122" s="32">
        <v>19362</v>
      </c>
      <c r="BG122" s="34">
        <f>IFERROR(SUM(Cons_Metrics[[#This Row],[Operating surplus/(deficit) (overall)2]],-Cons_Metrics[[#This Row],[Gain/(loss) on disposal of fixed assets (housing properties)2]])/SUM(Cons_Metrics[[#This Row],[Turnover (overall)]]),"")</f>
        <v>0.31272505959324443</v>
      </c>
      <c r="BH122" s="32">
        <v>6266</v>
      </c>
      <c r="BI122" s="32">
        <v>100</v>
      </c>
      <c r="BJ122" s="32">
        <v>19717</v>
      </c>
      <c r="BK122" s="34">
        <f>IFERROR(SUM(Cons_Metrics[[#This Row],[Operating surplus/(deficit) (overall)3]],Cons_Metrics[[#This Row],[Share of operating surplus/(deficit) in joint ventures or associates]])/SUM(Cons_Metrics[[#This Row],[Total assets less current liabilities]]),"")</f>
        <v>3.3372212546801519E-2</v>
      </c>
      <c r="BL122" s="32">
        <v>6266</v>
      </c>
      <c r="BM122" s="32">
        <v>0</v>
      </c>
      <c r="BN122" s="32">
        <v>187761</v>
      </c>
      <c r="BO122" s="34">
        <v>0.11139169472502806</v>
      </c>
      <c r="BP122" s="34">
        <v>5.4152637485970823E-2</v>
      </c>
      <c r="BQ122" s="6" t="s">
        <v>82</v>
      </c>
      <c r="BR122" s="6" t="s">
        <v>83</v>
      </c>
      <c r="BS122" s="6" t="s">
        <v>83</v>
      </c>
      <c r="BT122" s="6" t="s">
        <v>121</v>
      </c>
      <c r="BU122" s="8">
        <v>0.90389010943437864</v>
      </c>
    </row>
    <row r="123" spans="1:73" x14ac:dyDescent="0.25">
      <c r="A123" s="33" t="s">
        <v>335</v>
      </c>
      <c r="B123" s="7" t="s">
        <v>336</v>
      </c>
      <c r="C123" s="7" t="s">
        <v>81</v>
      </c>
      <c r="D12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7.0673394605634654E-2</v>
      </c>
      <c r="E123" s="32">
        <v>228800</v>
      </c>
      <c r="F123" s="32">
        <v>0</v>
      </c>
      <c r="G123" s="32">
        <v>6500</v>
      </c>
      <c r="H123" s="32">
        <v>0</v>
      </c>
      <c r="I123" s="32">
        <v>0</v>
      </c>
      <c r="J123" s="32">
        <v>3329400</v>
      </c>
      <c r="K123" s="32">
        <v>0</v>
      </c>
      <c r="L12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1.2411059488612366E-2</v>
      </c>
      <c r="M123" s="32">
        <v>382</v>
      </c>
      <c r="N123" s="32">
        <v>0</v>
      </c>
      <c r="O123" s="32">
        <v>26945</v>
      </c>
      <c r="P123" s="32">
        <v>3834</v>
      </c>
      <c r="Q12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4.7268262737876002E-3</v>
      </c>
      <c r="R123" s="32">
        <v>0</v>
      </c>
      <c r="S123" s="32">
        <v>0</v>
      </c>
      <c r="T123" s="32">
        <v>154</v>
      </c>
      <c r="U123" s="32">
        <v>26945</v>
      </c>
      <c r="V123" s="32">
        <v>1801</v>
      </c>
      <c r="W123" s="32">
        <v>3834</v>
      </c>
      <c r="X123" s="32">
        <v>0</v>
      </c>
      <c r="Y12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0.48068721090887245</v>
      </c>
      <c r="Z123" s="32">
        <v>81900</v>
      </c>
      <c r="AA123" s="32">
        <v>1595500</v>
      </c>
      <c r="AB123" s="32">
        <v>77000</v>
      </c>
      <c r="AC123" s="32">
        <v>0</v>
      </c>
      <c r="AD123" s="32">
        <v>0</v>
      </c>
      <c r="AE123" s="32">
        <v>3329400</v>
      </c>
      <c r="AF123" s="32">
        <v>0</v>
      </c>
      <c r="AG12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2.1584615384615384</v>
      </c>
      <c r="AH123" s="32">
        <v>139700</v>
      </c>
      <c r="AI123" s="32">
        <v>25900</v>
      </c>
      <c r="AJ123" s="32">
        <v>1200</v>
      </c>
      <c r="AK123" s="32">
        <v>0</v>
      </c>
      <c r="AL123" s="32">
        <v>1300</v>
      </c>
      <c r="AM123" s="32">
        <v>6500</v>
      </c>
      <c r="AN123" s="32">
        <v>32900</v>
      </c>
      <c r="AO123" s="32">
        <v>-13900</v>
      </c>
      <c r="AP123" s="32">
        <v>-51100</v>
      </c>
      <c r="AQ12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5.4295787715717205</v>
      </c>
      <c r="AR123" s="32">
        <v>30500</v>
      </c>
      <c r="AS123" s="32">
        <v>21000</v>
      </c>
      <c r="AT123" s="32">
        <v>26200</v>
      </c>
      <c r="AU123" s="32">
        <v>9700</v>
      </c>
      <c r="AV123" s="32">
        <v>12500</v>
      </c>
      <c r="AW123" s="32">
        <v>6500</v>
      </c>
      <c r="AX123" s="32">
        <v>22000</v>
      </c>
      <c r="AY123" s="32">
        <v>3600</v>
      </c>
      <c r="AZ123" s="32">
        <v>600</v>
      </c>
      <c r="BA123" s="32">
        <v>4900</v>
      </c>
      <c r="BB123" s="32">
        <v>8800</v>
      </c>
      <c r="BC123" s="32">
        <v>26945</v>
      </c>
      <c r="BD123" s="34">
        <f>IFERROR(SUM(Cons_Metrics[[#This Row],[Operating surplus/(deficit) (social housing lettings)]])/SUM(Cons_Metrics[[#This Row],[Turnover from social housing lettings]]),"")</f>
        <v>0.33406400701446731</v>
      </c>
      <c r="BE123" s="32">
        <v>76200</v>
      </c>
      <c r="BF123" s="32">
        <v>228100</v>
      </c>
      <c r="BG123" s="34">
        <f>IFERROR(SUM(Cons_Metrics[[#This Row],[Operating surplus/(deficit) (overall)2]],-Cons_Metrics[[#This Row],[Gain/(loss) on disposal of fixed assets (housing properties)2]])/SUM(Cons_Metrics[[#This Row],[Turnover (overall)]]),"")</f>
        <v>0.30665588790083537</v>
      </c>
      <c r="BH123" s="32">
        <v>139700</v>
      </c>
      <c r="BI123" s="32">
        <v>25900</v>
      </c>
      <c r="BJ123" s="32">
        <v>371100</v>
      </c>
      <c r="BK123" s="34">
        <f>IFERROR(SUM(Cons_Metrics[[#This Row],[Operating surplus/(deficit) (overall)3]],Cons_Metrics[[#This Row],[Share of operating surplus/(deficit) in joint ventures or associates]])/SUM(Cons_Metrics[[#This Row],[Total assets less current liabilities]]),"")</f>
        <v>3.2165964403306394E-2</v>
      </c>
      <c r="BL123" s="32">
        <v>139700</v>
      </c>
      <c r="BM123" s="32">
        <v>0</v>
      </c>
      <c r="BN123" s="32">
        <v>4343100</v>
      </c>
      <c r="BO123" s="34">
        <v>3.9300967830414167E-2</v>
      </c>
      <c r="BP123" s="34">
        <v>2.6292073194624035E-2</v>
      </c>
      <c r="BQ123" s="6" t="s">
        <v>82</v>
      </c>
      <c r="BR123" s="6" t="s">
        <v>83</v>
      </c>
      <c r="BS123" s="6" t="s">
        <v>83</v>
      </c>
      <c r="BT123" s="6" t="s">
        <v>156</v>
      </c>
      <c r="BU123" s="8">
        <v>1.2461216155241515</v>
      </c>
    </row>
    <row r="124" spans="1:73" x14ac:dyDescent="0.25">
      <c r="A124" s="33" t="s">
        <v>337</v>
      </c>
      <c r="B124" s="7" t="s">
        <v>338</v>
      </c>
      <c r="C124" s="7" t="s">
        <v>81</v>
      </c>
      <c r="D12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5.3908386443877174E-2</v>
      </c>
      <c r="E124" s="32">
        <v>0</v>
      </c>
      <c r="F124" s="32">
        <v>24302</v>
      </c>
      <c r="G124" s="32">
        <v>3516</v>
      </c>
      <c r="H124" s="32">
        <v>628</v>
      </c>
      <c r="I124" s="32">
        <v>0</v>
      </c>
      <c r="J124" s="32">
        <v>527673</v>
      </c>
      <c r="K124" s="32">
        <v>0</v>
      </c>
      <c r="L12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2.4906467129877072E-2</v>
      </c>
      <c r="M124" s="32">
        <v>233</v>
      </c>
      <c r="N124" s="32">
        <v>0</v>
      </c>
      <c r="O124" s="32">
        <v>9265</v>
      </c>
      <c r="P124" s="32">
        <v>90</v>
      </c>
      <c r="Q12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2.1103724807428512E-4</v>
      </c>
      <c r="R124" s="32">
        <v>0</v>
      </c>
      <c r="S124" s="32">
        <v>0</v>
      </c>
      <c r="T124" s="32">
        <v>2</v>
      </c>
      <c r="U124" s="32">
        <v>9265</v>
      </c>
      <c r="V124" s="32">
        <v>122</v>
      </c>
      <c r="W124" s="32">
        <v>90</v>
      </c>
      <c r="X124" s="32">
        <v>0</v>
      </c>
      <c r="Y12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0.44478493309303302</v>
      </c>
      <c r="Z124" s="32">
        <v>19500</v>
      </c>
      <c r="AA124" s="32">
        <v>229566</v>
      </c>
      <c r="AB124" s="32">
        <v>14365</v>
      </c>
      <c r="AC124" s="32">
        <v>0</v>
      </c>
      <c r="AD124" s="32">
        <v>0</v>
      </c>
      <c r="AE124" s="32">
        <v>527673</v>
      </c>
      <c r="AF124" s="32">
        <v>0</v>
      </c>
      <c r="AG12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1.9466871832005792</v>
      </c>
      <c r="AH124" s="32">
        <v>19936</v>
      </c>
      <c r="AI124" s="32">
        <v>2962</v>
      </c>
      <c r="AJ124" s="32">
        <v>2972</v>
      </c>
      <c r="AK124" s="32">
        <v>0</v>
      </c>
      <c r="AL124" s="32">
        <v>87</v>
      </c>
      <c r="AM124" s="32">
        <v>3513</v>
      </c>
      <c r="AN124" s="32">
        <v>10931</v>
      </c>
      <c r="AO124" s="32">
        <v>-628</v>
      </c>
      <c r="AP124" s="32">
        <v>-10420</v>
      </c>
      <c r="AQ12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4.9716135995682675</v>
      </c>
      <c r="AR124" s="32">
        <v>9319</v>
      </c>
      <c r="AS124" s="32">
        <v>4033</v>
      </c>
      <c r="AT124" s="32">
        <v>6400</v>
      </c>
      <c r="AU124" s="32">
        <v>1457</v>
      </c>
      <c r="AV124" s="32">
        <v>2945</v>
      </c>
      <c r="AW124" s="32">
        <v>3513</v>
      </c>
      <c r="AX124" s="32">
        <v>7914</v>
      </c>
      <c r="AY124" s="32">
        <v>490</v>
      </c>
      <c r="AZ124" s="32">
        <v>0</v>
      </c>
      <c r="BA124" s="32">
        <v>1154</v>
      </c>
      <c r="BB124" s="32">
        <v>8837</v>
      </c>
      <c r="BC124" s="32">
        <v>9265</v>
      </c>
      <c r="BD124" s="34">
        <f>IFERROR(SUM(Cons_Metrics[[#This Row],[Operating surplus/(deficit) (social housing lettings)]])/SUM(Cons_Metrics[[#This Row],[Turnover from social housing lettings]]),"")</f>
        <v>0.29310226961990704</v>
      </c>
      <c r="BE124" s="32">
        <v>17150</v>
      </c>
      <c r="BF124" s="32">
        <v>58512</v>
      </c>
      <c r="BG124" s="34">
        <f>IFERROR(SUM(Cons_Metrics[[#This Row],[Operating surplus/(deficit) (overall)2]],-Cons_Metrics[[#This Row],[Gain/(loss) on disposal of fixed assets (housing properties)2]])/SUM(Cons_Metrics[[#This Row],[Turnover (overall)]]),"")</f>
        <v>0.2278358679749265</v>
      </c>
      <c r="BH124" s="32">
        <v>19936</v>
      </c>
      <c r="BI124" s="32">
        <v>2962</v>
      </c>
      <c r="BJ124" s="32">
        <v>74501</v>
      </c>
      <c r="BK124" s="34">
        <f>IFERROR(SUM(Cons_Metrics[[#This Row],[Operating surplus/(deficit) (overall)3]],Cons_Metrics[[#This Row],[Share of operating surplus/(deficit) in joint ventures or associates]])/SUM(Cons_Metrics[[#This Row],[Total assets less current liabilities]]),"")</f>
        <v>3.682903759754079E-2</v>
      </c>
      <c r="BL124" s="32">
        <v>19936</v>
      </c>
      <c r="BM124" s="32">
        <v>0</v>
      </c>
      <c r="BN124" s="32">
        <v>541312</v>
      </c>
      <c r="BO124" s="34">
        <v>5.2997978890635525E-2</v>
      </c>
      <c r="BP124" s="34">
        <v>7.0401976195823043E-2</v>
      </c>
      <c r="BQ124" s="6" t="s">
        <v>82</v>
      </c>
      <c r="BR124" s="6" t="s">
        <v>83</v>
      </c>
      <c r="BS124" s="6" t="s">
        <v>83</v>
      </c>
      <c r="BT124" s="6" t="s">
        <v>95</v>
      </c>
      <c r="BU124" s="8">
        <v>0.92038375847935383</v>
      </c>
    </row>
    <row r="125" spans="1:73" x14ac:dyDescent="0.25">
      <c r="A125" s="33" t="s">
        <v>339</v>
      </c>
      <c r="B125" s="7" t="s">
        <v>340</v>
      </c>
      <c r="C125" s="7" t="s">
        <v>81</v>
      </c>
      <c r="D12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0.14007586244090101</v>
      </c>
      <c r="E125" s="32">
        <v>12140</v>
      </c>
      <c r="F125" s="32">
        <v>0</v>
      </c>
      <c r="G125" s="32">
        <v>3444</v>
      </c>
      <c r="H125" s="32">
        <v>0</v>
      </c>
      <c r="I125" s="32">
        <v>0</v>
      </c>
      <c r="J125" s="32">
        <v>111254</v>
      </c>
      <c r="K125" s="32">
        <v>0</v>
      </c>
      <c r="L12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1.2557621999682085E-2</v>
      </c>
      <c r="M125" s="32">
        <v>79</v>
      </c>
      <c r="N125" s="32">
        <v>0</v>
      </c>
      <c r="O125" s="32">
        <v>6291</v>
      </c>
      <c r="P125" s="32">
        <v>0</v>
      </c>
      <c r="Q12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25" s="32">
        <v>0</v>
      </c>
      <c r="S125" s="32">
        <v>0</v>
      </c>
      <c r="T125" s="32">
        <v>0</v>
      </c>
      <c r="U125" s="32">
        <v>6291</v>
      </c>
      <c r="V125" s="32">
        <v>0</v>
      </c>
      <c r="W125" s="32">
        <v>0</v>
      </c>
      <c r="X125" s="32">
        <v>0</v>
      </c>
      <c r="Y12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0.37036870584428427</v>
      </c>
      <c r="Z125" s="32">
        <v>0</v>
      </c>
      <c r="AA125" s="32">
        <v>52426</v>
      </c>
      <c r="AB125" s="32">
        <v>11269</v>
      </c>
      <c r="AC125" s="32">
        <v>0</v>
      </c>
      <c r="AD125" s="32">
        <v>48</v>
      </c>
      <c r="AE125" s="32">
        <v>111254</v>
      </c>
      <c r="AF125" s="32">
        <v>0</v>
      </c>
      <c r="AG12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5.578708946772367</v>
      </c>
      <c r="AH125" s="32">
        <v>8873</v>
      </c>
      <c r="AI125" s="32">
        <v>190</v>
      </c>
      <c r="AJ125" s="32">
        <v>0</v>
      </c>
      <c r="AK125" s="32">
        <v>0</v>
      </c>
      <c r="AL125" s="32">
        <v>14</v>
      </c>
      <c r="AM125" s="32">
        <v>3444</v>
      </c>
      <c r="AN125" s="32">
        <v>4599</v>
      </c>
      <c r="AO125" s="32">
        <v>0</v>
      </c>
      <c r="AP125" s="32">
        <v>-1766</v>
      </c>
      <c r="AQ12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4.0621146732429096</v>
      </c>
      <c r="AR125" s="32">
        <v>6648</v>
      </c>
      <c r="AS125" s="32">
        <v>2037</v>
      </c>
      <c r="AT125" s="32">
        <v>3457</v>
      </c>
      <c r="AU125" s="32">
        <v>1638</v>
      </c>
      <c r="AV125" s="32">
        <v>5577</v>
      </c>
      <c r="AW125" s="32">
        <v>3444</v>
      </c>
      <c r="AX125" s="32">
        <v>0</v>
      </c>
      <c r="AY125" s="32">
        <v>0</v>
      </c>
      <c r="AZ125" s="32">
        <v>0</v>
      </c>
      <c r="BA125" s="32">
        <v>100</v>
      </c>
      <c r="BB125" s="32">
        <v>3454</v>
      </c>
      <c r="BC125" s="32">
        <v>6488</v>
      </c>
      <c r="BD125" s="34">
        <f>IFERROR(SUM(Cons_Metrics[[#This Row],[Operating surplus/(deficit) (social housing lettings)]])/SUM(Cons_Metrics[[#This Row],[Turnover from social housing lettings]]),"")</f>
        <v>0.30825885978428352</v>
      </c>
      <c r="BE125" s="32">
        <v>10003</v>
      </c>
      <c r="BF125" s="32">
        <v>32450</v>
      </c>
      <c r="BG125" s="34">
        <f>IFERROR(SUM(Cons_Metrics[[#This Row],[Operating surplus/(deficit) (overall)2]],-Cons_Metrics[[#This Row],[Gain/(loss) on disposal of fixed assets (housing properties)2]])/SUM(Cons_Metrics[[#This Row],[Turnover (overall)]]),"")</f>
        <v>0.20696477093960053</v>
      </c>
      <c r="BH125" s="32">
        <v>8873</v>
      </c>
      <c r="BI125" s="32">
        <v>190</v>
      </c>
      <c r="BJ125" s="32">
        <v>41954</v>
      </c>
      <c r="BK125" s="34">
        <f>IFERROR(SUM(Cons_Metrics[[#This Row],[Operating surplus/(deficit) (overall)3]],Cons_Metrics[[#This Row],[Share of operating surplus/(deficit) in joint ventures or associates]])/SUM(Cons_Metrics[[#This Row],[Total assets less current liabilities]]),"")</f>
        <v>6.158640698529922E-2</v>
      </c>
      <c r="BL125" s="32">
        <v>8873</v>
      </c>
      <c r="BM125" s="32">
        <v>0</v>
      </c>
      <c r="BN125" s="32">
        <v>144074</v>
      </c>
      <c r="BO125" s="34">
        <v>1.5418852328723573E-2</v>
      </c>
      <c r="BP125" s="34">
        <v>0</v>
      </c>
      <c r="BQ125" s="6" t="s">
        <v>93</v>
      </c>
      <c r="BR125" s="6">
        <v>2006</v>
      </c>
      <c r="BS125" s="6" t="s">
        <v>94</v>
      </c>
      <c r="BT125" s="6" t="s">
        <v>115</v>
      </c>
      <c r="BU125" s="8">
        <v>0.96617455710897804</v>
      </c>
    </row>
    <row r="126" spans="1:73" x14ac:dyDescent="0.25">
      <c r="A126" s="33" t="s">
        <v>341</v>
      </c>
      <c r="B126" s="7" t="s">
        <v>342</v>
      </c>
      <c r="C126" s="7" t="s">
        <v>81</v>
      </c>
      <c r="D12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7.2744757258698667E-2</v>
      </c>
      <c r="E126" s="32">
        <v>0</v>
      </c>
      <c r="F126" s="32">
        <v>13254</v>
      </c>
      <c r="G126" s="32">
        <v>1270</v>
      </c>
      <c r="H126" s="32">
        <v>0</v>
      </c>
      <c r="I126" s="32">
        <v>0</v>
      </c>
      <c r="J126" s="32">
        <v>199657</v>
      </c>
      <c r="K126" s="32">
        <v>0</v>
      </c>
      <c r="L12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3.308270676691729E-2</v>
      </c>
      <c r="M126" s="32">
        <v>154</v>
      </c>
      <c r="N126" s="32">
        <v>0</v>
      </c>
      <c r="O126" s="32">
        <v>4523</v>
      </c>
      <c r="P126" s="32">
        <v>132</v>
      </c>
      <c r="Q12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5.1557465091299675E-3</v>
      </c>
      <c r="R126" s="32">
        <v>0</v>
      </c>
      <c r="S126" s="32">
        <v>0</v>
      </c>
      <c r="T126" s="32">
        <v>24</v>
      </c>
      <c r="U126" s="32">
        <v>4523</v>
      </c>
      <c r="V126" s="32">
        <v>0</v>
      </c>
      <c r="W126" s="32">
        <v>132</v>
      </c>
      <c r="X126" s="32">
        <v>0</v>
      </c>
      <c r="Y12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0.65590487686382148</v>
      </c>
      <c r="Z126" s="32">
        <v>0</v>
      </c>
      <c r="AA126" s="32">
        <v>149255</v>
      </c>
      <c r="AB126" s="32">
        <v>18299</v>
      </c>
      <c r="AC126" s="32">
        <v>0</v>
      </c>
      <c r="AD126" s="32">
        <v>0</v>
      </c>
      <c r="AE126" s="32">
        <v>199657</v>
      </c>
      <c r="AF126" s="32">
        <v>0</v>
      </c>
      <c r="AG12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1.5636595547309833</v>
      </c>
      <c r="AH126" s="32">
        <v>12021</v>
      </c>
      <c r="AI126" s="32">
        <v>763</v>
      </c>
      <c r="AJ126" s="32">
        <v>522</v>
      </c>
      <c r="AK126" s="32">
        <v>0</v>
      </c>
      <c r="AL126" s="32">
        <v>11</v>
      </c>
      <c r="AM126" s="32">
        <v>1270</v>
      </c>
      <c r="AN126" s="32">
        <v>4008</v>
      </c>
      <c r="AO126" s="32">
        <v>-530</v>
      </c>
      <c r="AP126" s="32">
        <v>-8094</v>
      </c>
      <c r="AQ12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1.8386026973247844</v>
      </c>
      <c r="AR126" s="32">
        <v>2523</v>
      </c>
      <c r="AS126" s="32">
        <v>797</v>
      </c>
      <c r="AT126" s="32">
        <v>2334</v>
      </c>
      <c r="AU126" s="32">
        <v>1150</v>
      </c>
      <c r="AV126" s="32">
        <v>242</v>
      </c>
      <c r="AW126" s="32">
        <v>1270</v>
      </c>
      <c r="AX126" s="32">
        <v>0</v>
      </c>
      <c r="AY126" s="32">
        <v>0</v>
      </c>
      <c r="AZ126" s="32">
        <v>0</v>
      </c>
      <c r="BA126" s="32">
        <v>0</v>
      </c>
      <c r="BB126" s="32">
        <v>0</v>
      </c>
      <c r="BC126" s="32">
        <v>4523</v>
      </c>
      <c r="BD126" s="34">
        <f>IFERROR(SUM(Cons_Metrics[[#This Row],[Operating surplus/(deficit) (social housing lettings)]])/SUM(Cons_Metrics[[#This Row],[Turnover from social housing lettings]]),"")</f>
        <v>0.46403053733972788</v>
      </c>
      <c r="BE126" s="32">
        <v>9482</v>
      </c>
      <c r="BF126" s="32">
        <v>20434</v>
      </c>
      <c r="BG126" s="34">
        <f>IFERROR(SUM(Cons_Metrics[[#This Row],[Operating surplus/(deficit) (overall)2]],-Cons_Metrics[[#This Row],[Gain/(loss) on disposal of fixed assets (housing properties)2]])/SUM(Cons_Metrics[[#This Row],[Turnover (overall)]]),"")</f>
        <v>0.31510300044782802</v>
      </c>
      <c r="BH126" s="32">
        <v>12021</v>
      </c>
      <c r="BI126" s="32">
        <v>763</v>
      </c>
      <c r="BJ126" s="32">
        <v>35728</v>
      </c>
      <c r="BK126" s="34">
        <f>IFERROR(SUM(Cons_Metrics[[#This Row],[Operating surplus/(deficit) (overall)3]],Cons_Metrics[[#This Row],[Share of operating surplus/(deficit) in joint ventures or associates]])/SUM(Cons_Metrics[[#This Row],[Total assets less current liabilities]]),"")</f>
        <v>5.3268153453410863E-2</v>
      </c>
      <c r="BL126" s="32">
        <v>12021</v>
      </c>
      <c r="BM126" s="32">
        <v>-2</v>
      </c>
      <c r="BN126" s="32">
        <v>225632</v>
      </c>
      <c r="BO126" s="34">
        <v>3.0952907362370107E-3</v>
      </c>
      <c r="BP126" s="34">
        <v>0.16604023877957108</v>
      </c>
      <c r="BQ126" s="6" t="s">
        <v>93</v>
      </c>
      <c r="BR126" s="6">
        <v>2000</v>
      </c>
      <c r="BS126" s="6" t="s">
        <v>94</v>
      </c>
      <c r="BT126" s="6" t="s">
        <v>115</v>
      </c>
      <c r="BU126" s="8">
        <v>0.96617455710897804</v>
      </c>
    </row>
    <row r="127" spans="1:73" x14ac:dyDescent="0.25">
      <c r="A127" s="33" t="s">
        <v>343</v>
      </c>
      <c r="B127" s="7" t="s">
        <v>344</v>
      </c>
      <c r="C127" s="7" t="s">
        <v>81</v>
      </c>
      <c r="D12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8.5761223752794588E-2</v>
      </c>
      <c r="E127" s="32">
        <v>27688</v>
      </c>
      <c r="F127" s="32">
        <v>9800</v>
      </c>
      <c r="G127" s="32">
        <v>3021</v>
      </c>
      <c r="H127" s="32">
        <v>575</v>
      </c>
      <c r="I127" s="32">
        <v>0</v>
      </c>
      <c r="J127" s="32">
        <v>479051</v>
      </c>
      <c r="K127" s="32">
        <v>0</v>
      </c>
      <c r="L12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3.1697785497177597E-2</v>
      </c>
      <c r="M127" s="32">
        <v>146</v>
      </c>
      <c r="N127" s="32">
        <v>0</v>
      </c>
      <c r="O127" s="32">
        <v>4606</v>
      </c>
      <c r="P127" s="32">
        <v>0</v>
      </c>
      <c r="Q12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27" s="32">
        <v>0</v>
      </c>
      <c r="S127" s="32">
        <v>0</v>
      </c>
      <c r="T127" s="32">
        <v>0</v>
      </c>
      <c r="U127" s="32">
        <v>4606</v>
      </c>
      <c r="V127" s="32">
        <v>122</v>
      </c>
      <c r="W127" s="32">
        <v>0</v>
      </c>
      <c r="X127" s="32">
        <v>0</v>
      </c>
      <c r="Y12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0.35773435396231301</v>
      </c>
      <c r="Z127" s="32">
        <v>7317</v>
      </c>
      <c r="AA127" s="32">
        <v>182594</v>
      </c>
      <c r="AB127" s="32">
        <v>18538</v>
      </c>
      <c r="AC127" s="32">
        <v>0</v>
      </c>
      <c r="AD127" s="32">
        <v>0</v>
      </c>
      <c r="AE127" s="32">
        <v>479051</v>
      </c>
      <c r="AF127" s="32">
        <v>0</v>
      </c>
      <c r="AG12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1.8190341543269588</v>
      </c>
      <c r="AH127" s="32">
        <v>23712</v>
      </c>
      <c r="AI127" s="32">
        <v>1570</v>
      </c>
      <c r="AJ127" s="32">
        <v>2248</v>
      </c>
      <c r="AK127" s="32">
        <v>0</v>
      </c>
      <c r="AL127" s="32">
        <v>138</v>
      </c>
      <c r="AM127" s="32">
        <v>3153</v>
      </c>
      <c r="AN127" s="32">
        <v>7567</v>
      </c>
      <c r="AO127" s="32">
        <v>-704</v>
      </c>
      <c r="AP127" s="32">
        <v>-12735</v>
      </c>
      <c r="AQ12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5.8941890719861227</v>
      </c>
      <c r="AR127" s="32">
        <v>4830</v>
      </c>
      <c r="AS127" s="32">
        <v>5353</v>
      </c>
      <c r="AT127" s="32">
        <v>4647</v>
      </c>
      <c r="AU127" s="32">
        <v>3908</v>
      </c>
      <c r="AV127" s="32">
        <v>513</v>
      </c>
      <c r="AW127" s="32">
        <v>3153</v>
      </c>
      <c r="AX127" s="32">
        <v>2831</v>
      </c>
      <c r="AY127" s="32">
        <v>0</v>
      </c>
      <c r="AZ127" s="32">
        <v>0</v>
      </c>
      <c r="BA127" s="32">
        <v>1774</v>
      </c>
      <c r="BB127" s="32">
        <v>175</v>
      </c>
      <c r="BC127" s="32">
        <v>4612</v>
      </c>
      <c r="BD127" s="34">
        <f>IFERROR(SUM(Cons_Metrics[[#This Row],[Operating surplus/(deficit) (social housing lettings)]])/SUM(Cons_Metrics[[#This Row],[Turnover from social housing lettings]]),"")</f>
        <v>0.22996831145314622</v>
      </c>
      <c r="BE127" s="32">
        <v>8636</v>
      </c>
      <c r="BF127" s="32">
        <v>37553</v>
      </c>
      <c r="BG127" s="34">
        <f>IFERROR(SUM(Cons_Metrics[[#This Row],[Operating surplus/(deficit) (overall)2]],-Cons_Metrics[[#This Row],[Gain/(loss) on disposal of fixed assets (housing properties)2]])/SUM(Cons_Metrics[[#This Row],[Turnover (overall)]]),"")</f>
        <v>0.33327312682500976</v>
      </c>
      <c r="BH127" s="32">
        <v>23712</v>
      </c>
      <c r="BI127" s="32">
        <v>1570</v>
      </c>
      <c r="BJ127" s="32">
        <v>66438</v>
      </c>
      <c r="BK127" s="34">
        <f>IFERROR(SUM(Cons_Metrics[[#This Row],[Operating surplus/(deficit) (overall)3]],Cons_Metrics[[#This Row],[Share of operating surplus/(deficit) in joint ventures or associates]])/SUM(Cons_Metrics[[#This Row],[Total assets less current liabilities]]),"")</f>
        <v>4.6127808578932013E-2</v>
      </c>
      <c r="BL127" s="32">
        <v>23712</v>
      </c>
      <c r="BM127" s="32">
        <v>0</v>
      </c>
      <c r="BN127" s="32">
        <v>514050</v>
      </c>
      <c r="BO127" s="34">
        <v>6.0930334134090415E-2</v>
      </c>
      <c r="BP127" s="34">
        <v>3.0574361214238916E-2</v>
      </c>
      <c r="BQ127" s="6" t="s">
        <v>82</v>
      </c>
      <c r="BR127" s="6" t="s">
        <v>83</v>
      </c>
      <c r="BS127" s="6" t="s">
        <v>83</v>
      </c>
      <c r="BT127" s="6" t="s">
        <v>156</v>
      </c>
      <c r="BU127" s="8">
        <v>1.2488627787394371</v>
      </c>
    </row>
    <row r="128" spans="1:73" x14ac:dyDescent="0.25">
      <c r="A128" s="33" t="s">
        <v>345</v>
      </c>
      <c r="B128" s="7" t="s">
        <v>346</v>
      </c>
      <c r="C128" s="7" t="s">
        <v>134</v>
      </c>
      <c r="D12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v>
      </c>
      <c r="E128" s="32">
        <v>0</v>
      </c>
      <c r="F128" s="32">
        <v>0</v>
      </c>
      <c r="G128" s="32">
        <v>0</v>
      </c>
      <c r="H128" s="32">
        <v>0</v>
      </c>
      <c r="I128" s="32">
        <v>0</v>
      </c>
      <c r="J128" s="32">
        <v>658</v>
      </c>
      <c r="K128" s="32">
        <v>0</v>
      </c>
      <c r="L12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28" s="32">
        <v>0</v>
      </c>
      <c r="N128" s="32">
        <v>0</v>
      </c>
      <c r="O128" s="32">
        <v>1060</v>
      </c>
      <c r="P128" s="32">
        <v>0</v>
      </c>
      <c r="Q12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28" s="32">
        <v>0</v>
      </c>
      <c r="S128" s="32">
        <v>0</v>
      </c>
      <c r="T128" s="32">
        <v>0</v>
      </c>
      <c r="U128" s="32">
        <v>1060</v>
      </c>
      <c r="V128" s="32">
        <v>0</v>
      </c>
      <c r="W128" s="32">
        <v>0</v>
      </c>
      <c r="X128" s="32">
        <v>0</v>
      </c>
      <c r="Y12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-2.0106382978723403</v>
      </c>
      <c r="Z128" s="32">
        <v>22</v>
      </c>
      <c r="AA128" s="32">
        <v>251</v>
      </c>
      <c r="AB128" s="32">
        <v>1596</v>
      </c>
      <c r="AC128" s="32">
        <v>0</v>
      </c>
      <c r="AD128" s="32">
        <v>0</v>
      </c>
      <c r="AE128" s="32">
        <v>658</v>
      </c>
      <c r="AF128" s="32">
        <v>0</v>
      </c>
      <c r="AG12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270.5</v>
      </c>
      <c r="AH128" s="32">
        <v>501</v>
      </c>
      <c r="AI128" s="32">
        <v>0</v>
      </c>
      <c r="AJ128" s="32">
        <v>0</v>
      </c>
      <c r="AK128" s="32">
        <v>0</v>
      </c>
      <c r="AL128" s="32">
        <v>20</v>
      </c>
      <c r="AM128" s="32">
        <v>0</v>
      </c>
      <c r="AN128" s="32">
        <v>20</v>
      </c>
      <c r="AO128" s="32">
        <v>0</v>
      </c>
      <c r="AP128" s="32">
        <v>-2</v>
      </c>
      <c r="AQ12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7.8801886792452827</v>
      </c>
      <c r="AR128" s="32">
        <v>147</v>
      </c>
      <c r="AS128" s="32">
        <v>0</v>
      </c>
      <c r="AT128" s="32">
        <v>6</v>
      </c>
      <c r="AU128" s="32">
        <v>0</v>
      </c>
      <c r="AV128" s="32">
        <v>0</v>
      </c>
      <c r="AW128" s="32">
        <v>0</v>
      </c>
      <c r="AX128" s="32">
        <v>8200</v>
      </c>
      <c r="AY128" s="32">
        <v>0</v>
      </c>
      <c r="AZ128" s="32">
        <v>0</v>
      </c>
      <c r="BA128" s="32">
        <v>0</v>
      </c>
      <c r="BB128" s="32">
        <v>0</v>
      </c>
      <c r="BC128" s="32">
        <v>1060</v>
      </c>
      <c r="BD128" s="34">
        <f>IFERROR(SUM(Cons_Metrics[[#This Row],[Operating surplus/(deficit) (social housing lettings)]])/SUM(Cons_Metrics[[#This Row],[Turnover from social housing lettings]]),"")</f>
        <v>6.4638359523013486E-2</v>
      </c>
      <c r="BE128" s="32">
        <v>580</v>
      </c>
      <c r="BF128" s="32">
        <v>8973</v>
      </c>
      <c r="BG128" s="34">
        <f>IFERROR(SUM(Cons_Metrics[[#This Row],[Operating surplus/(deficit) (overall)2]],-Cons_Metrics[[#This Row],[Gain/(loss) on disposal of fixed assets (housing properties)2]])/SUM(Cons_Metrics[[#This Row],[Turnover (overall)]]),"")</f>
        <v>5.5827947403610433E-2</v>
      </c>
      <c r="BH128" s="32">
        <v>501</v>
      </c>
      <c r="BI128" s="32">
        <v>0</v>
      </c>
      <c r="BJ128" s="32">
        <v>8974</v>
      </c>
      <c r="BK128" s="34">
        <f>IFERROR(SUM(Cons_Metrics[[#This Row],[Operating surplus/(deficit) (overall)3]],Cons_Metrics[[#This Row],[Share of operating surplus/(deficit) in joint ventures or associates]])/SUM(Cons_Metrics[[#This Row],[Total assets less current liabilities]]),"")</f>
        <v>0.32156611039794608</v>
      </c>
      <c r="BL128" s="32">
        <v>501</v>
      </c>
      <c r="BM128" s="32">
        <v>0</v>
      </c>
      <c r="BN128" s="32">
        <v>1558</v>
      </c>
      <c r="BO128" s="34">
        <v>0</v>
      </c>
      <c r="BP128" s="34">
        <v>0</v>
      </c>
      <c r="BQ128" s="6" t="s">
        <v>82</v>
      </c>
      <c r="BR128" s="6" t="s">
        <v>83</v>
      </c>
      <c r="BS128" s="6" t="s">
        <v>83</v>
      </c>
      <c r="BT128" s="6" t="s">
        <v>87</v>
      </c>
      <c r="BU128" s="8">
        <v>1.0942575614270067</v>
      </c>
    </row>
    <row r="129" spans="1:73" x14ac:dyDescent="0.25">
      <c r="A129" s="33" t="s">
        <v>347</v>
      </c>
      <c r="B129" s="7" t="s">
        <v>348</v>
      </c>
      <c r="C129" s="7" t="s">
        <v>81</v>
      </c>
      <c r="D12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5.4859726133306322E-2</v>
      </c>
      <c r="E129" s="32">
        <v>83812</v>
      </c>
      <c r="F129" s="32">
        <v>0</v>
      </c>
      <c r="G129" s="32">
        <v>4459</v>
      </c>
      <c r="H129" s="32">
        <v>0</v>
      </c>
      <c r="I129" s="32">
        <v>0</v>
      </c>
      <c r="J129" s="32">
        <v>1609031</v>
      </c>
      <c r="K129" s="32">
        <v>0</v>
      </c>
      <c r="L12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4.5048802869775591E-2</v>
      </c>
      <c r="M129" s="32">
        <v>540</v>
      </c>
      <c r="N129" s="32">
        <v>0</v>
      </c>
      <c r="O129" s="32">
        <v>11987</v>
      </c>
      <c r="P129" s="32">
        <v>0</v>
      </c>
      <c r="Q12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1.0256741065668946E-2</v>
      </c>
      <c r="R129" s="32">
        <v>139</v>
      </c>
      <c r="S129" s="32">
        <v>20</v>
      </c>
      <c r="T129" s="32">
        <v>0</v>
      </c>
      <c r="U129" s="32">
        <v>11987</v>
      </c>
      <c r="V129" s="32">
        <v>490</v>
      </c>
      <c r="W129" s="32">
        <v>0</v>
      </c>
      <c r="X129" s="32">
        <v>3025</v>
      </c>
      <c r="Y12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0.56226200738208276</v>
      </c>
      <c r="Z129" s="32">
        <v>46122</v>
      </c>
      <c r="AA129" s="32">
        <v>904950</v>
      </c>
      <c r="AB129" s="32">
        <v>46375</v>
      </c>
      <c r="AC129" s="32">
        <v>0</v>
      </c>
      <c r="AD129" s="32">
        <v>0</v>
      </c>
      <c r="AE129" s="32">
        <v>1609031</v>
      </c>
      <c r="AF129" s="32">
        <v>0</v>
      </c>
      <c r="AG12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1.9342033364404874</v>
      </c>
      <c r="AH129" s="32">
        <v>66541</v>
      </c>
      <c r="AI129" s="32">
        <v>13809</v>
      </c>
      <c r="AJ129" s="32">
        <v>4584</v>
      </c>
      <c r="AK129" s="32">
        <v>0</v>
      </c>
      <c r="AL129" s="32">
        <v>262</v>
      </c>
      <c r="AM129" s="32">
        <v>4459</v>
      </c>
      <c r="AN129" s="32">
        <v>16224</v>
      </c>
      <c r="AO129" s="32">
        <v>-5428</v>
      </c>
      <c r="AP129" s="32">
        <v>-25683</v>
      </c>
      <c r="AQ12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7.798595595276093</v>
      </c>
      <c r="AR129" s="32">
        <v>19170</v>
      </c>
      <c r="AS129" s="32">
        <v>20177</v>
      </c>
      <c r="AT129" s="32">
        <v>11210</v>
      </c>
      <c r="AU129" s="32">
        <v>5256</v>
      </c>
      <c r="AV129" s="32">
        <v>5880</v>
      </c>
      <c r="AW129" s="32">
        <v>4459</v>
      </c>
      <c r="AX129" s="32">
        <v>4274</v>
      </c>
      <c r="AY129" s="32">
        <v>1307</v>
      </c>
      <c r="AZ129" s="32">
        <v>1145</v>
      </c>
      <c r="BA129" s="32">
        <v>0</v>
      </c>
      <c r="BB129" s="32">
        <v>24854</v>
      </c>
      <c r="BC129" s="32">
        <v>12532</v>
      </c>
      <c r="BD129" s="34">
        <f>IFERROR(SUM(Cons_Metrics[[#This Row],[Operating surplus/(deficit) (social housing lettings)]])/SUM(Cons_Metrics[[#This Row],[Turnover from social housing lettings]]),"")</f>
        <v>0.28129259020156372</v>
      </c>
      <c r="BE129" s="32">
        <v>31372</v>
      </c>
      <c r="BF129" s="32">
        <v>111528</v>
      </c>
      <c r="BG129" s="34">
        <f>IFERROR(SUM(Cons_Metrics[[#This Row],[Operating surplus/(deficit) (overall)2]],-Cons_Metrics[[#This Row],[Gain/(loss) on disposal of fixed assets (housing properties)2]])/SUM(Cons_Metrics[[#This Row],[Turnover (overall)]]),"")</f>
        <v>0.24424949280665512</v>
      </c>
      <c r="BH129" s="32">
        <v>66541</v>
      </c>
      <c r="BI129" s="32">
        <v>13809</v>
      </c>
      <c r="BJ129" s="32">
        <v>215894</v>
      </c>
      <c r="BK129" s="34">
        <f>IFERROR(SUM(Cons_Metrics[[#This Row],[Operating surplus/(deficit) (overall)3]],Cons_Metrics[[#This Row],[Share of operating surplus/(deficit) in joint ventures or associates]])/SUM(Cons_Metrics[[#This Row],[Total assets less current liabilities]]),"")</f>
        <v>3.505210408460413E-2</v>
      </c>
      <c r="BL129" s="32">
        <v>66541</v>
      </c>
      <c r="BM129" s="32">
        <v>5512</v>
      </c>
      <c r="BN129" s="32">
        <v>2055597</v>
      </c>
      <c r="BO129" s="34">
        <v>0.106725029844807</v>
      </c>
      <c r="BP129" s="34">
        <v>1.7747711898129726E-2</v>
      </c>
      <c r="BQ129" s="6" t="s">
        <v>82</v>
      </c>
      <c r="BR129" s="6" t="s">
        <v>83</v>
      </c>
      <c r="BS129" s="6" t="s">
        <v>83</v>
      </c>
      <c r="BT129" s="6" t="s">
        <v>156</v>
      </c>
      <c r="BU129" s="8">
        <v>1.2214113816297931</v>
      </c>
    </row>
    <row r="130" spans="1:73" x14ac:dyDescent="0.25">
      <c r="A130" s="33" t="s">
        <v>349</v>
      </c>
      <c r="B130" s="7" t="s">
        <v>350</v>
      </c>
      <c r="C130" s="7" t="s">
        <v>81</v>
      </c>
      <c r="D13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7.6494772700575586E-2</v>
      </c>
      <c r="E130" s="32">
        <v>7067</v>
      </c>
      <c r="F130" s="32">
        <v>382</v>
      </c>
      <c r="G130" s="32">
        <v>5575</v>
      </c>
      <c r="H130" s="32">
        <v>0</v>
      </c>
      <c r="I130" s="32">
        <v>0</v>
      </c>
      <c r="J130" s="32">
        <v>170260</v>
      </c>
      <c r="K130" s="32">
        <v>0</v>
      </c>
      <c r="L13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1.3470281192119885E-3</v>
      </c>
      <c r="M130" s="32">
        <v>16</v>
      </c>
      <c r="N130" s="32">
        <v>0</v>
      </c>
      <c r="O130" s="32">
        <v>11878</v>
      </c>
      <c r="P130" s="32">
        <v>0</v>
      </c>
      <c r="Q13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0" s="32">
        <v>0</v>
      </c>
      <c r="S130" s="32">
        <v>0</v>
      </c>
      <c r="T130" s="32">
        <v>0</v>
      </c>
      <c r="U130" s="32">
        <v>11878</v>
      </c>
      <c r="V130" s="32">
        <v>0</v>
      </c>
      <c r="W130" s="32">
        <v>0</v>
      </c>
      <c r="X130" s="32">
        <v>0</v>
      </c>
      <c r="Y13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0.64350405262539645</v>
      </c>
      <c r="Z130" s="32">
        <v>5293</v>
      </c>
      <c r="AA130" s="32">
        <v>114232</v>
      </c>
      <c r="AB130" s="32">
        <v>9962</v>
      </c>
      <c r="AC130" s="32">
        <v>0</v>
      </c>
      <c r="AD130" s="32">
        <v>0</v>
      </c>
      <c r="AE130" s="32">
        <v>170260</v>
      </c>
      <c r="AF130" s="32">
        <v>0</v>
      </c>
      <c r="AG13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1.7037861915367483</v>
      </c>
      <c r="AH130" s="32">
        <v>16395</v>
      </c>
      <c r="AI130" s="32">
        <v>3282</v>
      </c>
      <c r="AJ130" s="32">
        <v>4023</v>
      </c>
      <c r="AK130" s="32">
        <v>0</v>
      </c>
      <c r="AL130" s="32">
        <v>80</v>
      </c>
      <c r="AM130" s="32">
        <v>5575</v>
      </c>
      <c r="AN130" s="32">
        <v>9410</v>
      </c>
      <c r="AO130" s="32">
        <v>-382</v>
      </c>
      <c r="AP130" s="32">
        <v>-7251</v>
      </c>
      <c r="AQ13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3.07526519616097</v>
      </c>
      <c r="AR130" s="32">
        <v>13944</v>
      </c>
      <c r="AS130" s="32">
        <v>2189</v>
      </c>
      <c r="AT130" s="32">
        <v>6013</v>
      </c>
      <c r="AU130" s="32">
        <v>1650</v>
      </c>
      <c r="AV130" s="32">
        <v>4824</v>
      </c>
      <c r="AW130" s="32">
        <v>5575</v>
      </c>
      <c r="AX130" s="32">
        <v>1835</v>
      </c>
      <c r="AY130" s="32">
        <v>403</v>
      </c>
      <c r="AZ130" s="32">
        <v>0</v>
      </c>
      <c r="BA130" s="32">
        <v>0</v>
      </c>
      <c r="BB130" s="32">
        <v>95</v>
      </c>
      <c r="BC130" s="32">
        <v>11878</v>
      </c>
      <c r="BD130" s="34">
        <f>IFERROR(SUM(Cons_Metrics[[#This Row],[Operating surplus/(deficit) (social housing lettings)]])/SUM(Cons_Metrics[[#This Row],[Turnover from social housing lettings]]),"")</f>
        <v>0.26349896053789823</v>
      </c>
      <c r="BE130" s="32">
        <v>14069</v>
      </c>
      <c r="BF130" s="32">
        <v>53393</v>
      </c>
      <c r="BG130" s="34">
        <f>IFERROR(SUM(Cons_Metrics[[#This Row],[Operating surplus/(deficit) (overall)2]],-Cons_Metrics[[#This Row],[Gain/(loss) on disposal of fixed assets (housing properties)2]])/SUM(Cons_Metrics[[#This Row],[Turnover (overall)]]),"")</f>
        <v>0.23408129384673057</v>
      </c>
      <c r="BH130" s="32">
        <v>16395</v>
      </c>
      <c r="BI130" s="32">
        <v>3282</v>
      </c>
      <c r="BJ130" s="32">
        <v>56019</v>
      </c>
      <c r="BK130" s="34">
        <f>IFERROR(SUM(Cons_Metrics[[#This Row],[Operating surplus/(deficit) (overall)3]],Cons_Metrics[[#This Row],[Share of operating surplus/(deficit) in joint ventures or associates]])/SUM(Cons_Metrics[[#This Row],[Total assets less current liabilities]]),"")</f>
        <v>7.9833467241253384E-2</v>
      </c>
      <c r="BL130" s="32">
        <v>16395</v>
      </c>
      <c r="BM130" s="32">
        <v>0</v>
      </c>
      <c r="BN130" s="32">
        <v>205365</v>
      </c>
      <c r="BO130" s="34">
        <v>6.7226890756302523E-4</v>
      </c>
      <c r="BP130" s="34">
        <v>2.0504201680672268E-2</v>
      </c>
      <c r="BQ130" s="6" t="s">
        <v>93</v>
      </c>
      <c r="BR130" s="6">
        <v>2009</v>
      </c>
      <c r="BS130" s="6" t="s">
        <v>120</v>
      </c>
      <c r="BT130" s="6" t="s">
        <v>105</v>
      </c>
      <c r="BU130" s="8">
        <v>0.9156653862445665</v>
      </c>
    </row>
    <row r="131" spans="1:73" x14ac:dyDescent="0.25">
      <c r="A131" s="33" t="s">
        <v>351</v>
      </c>
      <c r="B131" s="7" t="s">
        <v>352</v>
      </c>
      <c r="C131" s="7" t="s">
        <v>81</v>
      </c>
      <c r="D13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0.13441096807383121</v>
      </c>
      <c r="E131" s="32">
        <v>14453</v>
      </c>
      <c r="F131" s="32">
        <v>0</v>
      </c>
      <c r="G131" s="32">
        <v>7233</v>
      </c>
      <c r="H131" s="32">
        <v>0</v>
      </c>
      <c r="I131" s="32">
        <v>0</v>
      </c>
      <c r="J131" s="32">
        <v>161341</v>
      </c>
      <c r="K131" s="32">
        <v>0</v>
      </c>
      <c r="L13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1.0997462124125203E-2</v>
      </c>
      <c r="M131" s="32">
        <v>136</v>
      </c>
      <c r="N131" s="32">
        <v>7</v>
      </c>
      <c r="O131" s="32">
        <v>12399</v>
      </c>
      <c r="P131" s="32">
        <v>604</v>
      </c>
      <c r="Q13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1" s="32">
        <v>0</v>
      </c>
      <c r="S131" s="32">
        <v>0</v>
      </c>
      <c r="T131" s="32">
        <v>0</v>
      </c>
      <c r="U131" s="32">
        <v>12399</v>
      </c>
      <c r="V131" s="32">
        <v>90</v>
      </c>
      <c r="W131" s="32">
        <v>604</v>
      </c>
      <c r="X131" s="32">
        <v>0</v>
      </c>
      <c r="Y13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0.73360770046051527</v>
      </c>
      <c r="Z131" s="32">
        <v>1261</v>
      </c>
      <c r="AA131" s="32">
        <v>138490</v>
      </c>
      <c r="AB131" s="32">
        <v>21390</v>
      </c>
      <c r="AC131" s="32">
        <v>0</v>
      </c>
      <c r="AD131" s="32">
        <v>0</v>
      </c>
      <c r="AE131" s="32">
        <v>161341</v>
      </c>
      <c r="AF131" s="32">
        <v>0</v>
      </c>
      <c r="AG13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1.575993091537133</v>
      </c>
      <c r="AH131" s="32">
        <v>12816</v>
      </c>
      <c r="AI131" s="32">
        <v>1880</v>
      </c>
      <c r="AJ131" s="32">
        <v>43</v>
      </c>
      <c r="AK131" s="32">
        <v>0</v>
      </c>
      <c r="AL131" s="32">
        <v>350</v>
      </c>
      <c r="AM131" s="32">
        <v>6599</v>
      </c>
      <c r="AN131" s="32">
        <v>8131</v>
      </c>
      <c r="AO131" s="32">
        <v>0</v>
      </c>
      <c r="AP131" s="32">
        <v>-8106</v>
      </c>
      <c r="AQ13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3.7357044922977658</v>
      </c>
      <c r="AR131" s="32">
        <v>12457</v>
      </c>
      <c r="AS131" s="32">
        <v>3182</v>
      </c>
      <c r="AT131" s="32">
        <v>3869</v>
      </c>
      <c r="AU131" s="32">
        <v>7881</v>
      </c>
      <c r="AV131" s="32">
        <v>11606</v>
      </c>
      <c r="AW131" s="32">
        <v>6599</v>
      </c>
      <c r="AX131" s="32">
        <v>725</v>
      </c>
      <c r="AY131" s="32">
        <v>0</v>
      </c>
      <c r="AZ131" s="32">
        <v>0</v>
      </c>
      <c r="BA131" s="32">
        <v>0</v>
      </c>
      <c r="BB131" s="32">
        <v>0</v>
      </c>
      <c r="BC131" s="32">
        <v>12399</v>
      </c>
      <c r="BD131" s="34">
        <f>IFERROR(SUM(Cons_Metrics[[#This Row],[Operating surplus/(deficit) (social housing lettings)]])/SUM(Cons_Metrics[[#This Row],[Turnover from social housing lettings]]),"")</f>
        <v>0.16751838679603606</v>
      </c>
      <c r="BE131" s="32">
        <v>9703</v>
      </c>
      <c r="BF131" s="32">
        <v>57922</v>
      </c>
      <c r="BG131" s="34">
        <f>IFERROR(SUM(Cons_Metrics[[#This Row],[Operating surplus/(deficit) (overall)2]],-Cons_Metrics[[#This Row],[Gain/(loss) on disposal of fixed assets (housing properties)2]])/SUM(Cons_Metrics[[#This Row],[Turnover (overall)]]),"")</f>
        <v>0.1789823407145546</v>
      </c>
      <c r="BH131" s="32">
        <v>12816</v>
      </c>
      <c r="BI131" s="32">
        <v>1880</v>
      </c>
      <c r="BJ131" s="32">
        <v>61101</v>
      </c>
      <c r="BK131" s="34">
        <f>IFERROR(SUM(Cons_Metrics[[#This Row],[Operating surplus/(deficit) (overall)3]],Cons_Metrics[[#This Row],[Share of operating surplus/(deficit) in joint ventures or associates]])/SUM(Cons_Metrics[[#This Row],[Total assets less current liabilities]]),"")</f>
        <v>6.3337056329257804E-2</v>
      </c>
      <c r="BL131" s="32">
        <v>12816</v>
      </c>
      <c r="BM131" s="32">
        <v>0</v>
      </c>
      <c r="BN131" s="32">
        <v>202346</v>
      </c>
      <c r="BO131" s="34">
        <v>8.3474473747882888E-2</v>
      </c>
      <c r="BP131" s="34">
        <v>0</v>
      </c>
      <c r="BQ131" s="6" t="s">
        <v>93</v>
      </c>
      <c r="BR131" s="6">
        <v>2006</v>
      </c>
      <c r="BS131" s="6" t="s">
        <v>94</v>
      </c>
      <c r="BT131" s="6" t="s">
        <v>105</v>
      </c>
      <c r="BU131" s="8">
        <v>0.9156653862445665</v>
      </c>
    </row>
    <row r="132" spans="1:73" x14ac:dyDescent="0.25">
      <c r="A132" s="33" t="s">
        <v>353</v>
      </c>
      <c r="B132" s="7" t="s">
        <v>354</v>
      </c>
      <c r="C132" s="7" t="s">
        <v>81</v>
      </c>
      <c r="D13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0.11542810938131705</v>
      </c>
      <c r="E132" s="32">
        <v>13971</v>
      </c>
      <c r="F132" s="32">
        <v>0</v>
      </c>
      <c r="G132" s="32">
        <v>5729</v>
      </c>
      <c r="H132" s="32">
        <v>0</v>
      </c>
      <c r="I132" s="32">
        <v>0</v>
      </c>
      <c r="J132" s="32">
        <v>170669</v>
      </c>
      <c r="K132" s="32">
        <v>0</v>
      </c>
      <c r="L13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1.1624441132637855E-2</v>
      </c>
      <c r="M132" s="32">
        <v>116</v>
      </c>
      <c r="N132" s="32">
        <v>1</v>
      </c>
      <c r="O132" s="32">
        <v>9783</v>
      </c>
      <c r="P132" s="32">
        <v>282</v>
      </c>
      <c r="Q13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2" s="32">
        <v>0</v>
      </c>
      <c r="S132" s="32">
        <v>0</v>
      </c>
      <c r="T132" s="32">
        <v>0</v>
      </c>
      <c r="U132" s="32">
        <v>9783</v>
      </c>
      <c r="V132" s="32">
        <v>0</v>
      </c>
      <c r="W132" s="32">
        <v>282</v>
      </c>
      <c r="X132" s="32">
        <v>0</v>
      </c>
      <c r="Y13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0.23676238801422636</v>
      </c>
      <c r="Z132" s="32">
        <v>0</v>
      </c>
      <c r="AA132" s="32">
        <v>59169</v>
      </c>
      <c r="AB132" s="32">
        <v>18761</v>
      </c>
      <c r="AC132" s="32">
        <v>0</v>
      </c>
      <c r="AD132" s="32">
        <v>0</v>
      </c>
      <c r="AE132" s="32">
        <v>170669</v>
      </c>
      <c r="AF132" s="32">
        <v>0</v>
      </c>
      <c r="AG13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4.4491283676703643</v>
      </c>
      <c r="AH132" s="32">
        <v>13707</v>
      </c>
      <c r="AI132" s="32">
        <v>798</v>
      </c>
      <c r="AJ132" s="32">
        <v>2501</v>
      </c>
      <c r="AK132" s="32">
        <v>0</v>
      </c>
      <c r="AL132" s="32">
        <v>81</v>
      </c>
      <c r="AM132" s="32">
        <v>5729</v>
      </c>
      <c r="AN132" s="32">
        <v>9277</v>
      </c>
      <c r="AO132" s="32">
        <v>0</v>
      </c>
      <c r="AP132" s="32">
        <v>-3155</v>
      </c>
      <c r="AQ13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2.127772666871103</v>
      </c>
      <c r="AR132" s="32">
        <v>5595</v>
      </c>
      <c r="AS132" s="32">
        <v>1582</v>
      </c>
      <c r="AT132" s="32">
        <v>4766</v>
      </c>
      <c r="AU132" s="32">
        <v>1401</v>
      </c>
      <c r="AV132" s="32">
        <v>1740</v>
      </c>
      <c r="AW132" s="32">
        <v>5729</v>
      </c>
      <c r="AX132" s="32">
        <v>3</v>
      </c>
      <c r="AY132" s="32">
        <v>0</v>
      </c>
      <c r="AZ132" s="32">
        <v>0</v>
      </c>
      <c r="BA132" s="32">
        <v>0</v>
      </c>
      <c r="BB132" s="32">
        <v>0</v>
      </c>
      <c r="BC132" s="32">
        <v>9783</v>
      </c>
      <c r="BD132" s="34">
        <f>IFERROR(SUM(Cons_Metrics[[#This Row],[Operating surplus/(deficit) (social housing lettings)]])/SUM(Cons_Metrics[[#This Row],[Turnover from social housing lettings]]),"")</f>
        <v>0.42500462363602737</v>
      </c>
      <c r="BE132" s="32">
        <v>18384</v>
      </c>
      <c r="BF132" s="32">
        <v>43256</v>
      </c>
      <c r="BG132" s="34">
        <f>IFERROR(SUM(Cons_Metrics[[#This Row],[Operating surplus/(deficit) (overall)2]],-Cons_Metrics[[#This Row],[Gain/(loss) on disposal of fixed assets (housing properties)2]])/SUM(Cons_Metrics[[#This Row],[Turnover (overall)]]),"")</f>
        <v>0.26784380446510087</v>
      </c>
      <c r="BH132" s="32">
        <v>13707</v>
      </c>
      <c r="BI132" s="32">
        <v>798</v>
      </c>
      <c r="BJ132" s="32">
        <v>48196</v>
      </c>
      <c r="BK132" s="34">
        <f>IFERROR(SUM(Cons_Metrics[[#This Row],[Operating surplus/(deficit) (overall)3]],Cons_Metrics[[#This Row],[Share of operating surplus/(deficit) in joint ventures or associates]])/SUM(Cons_Metrics[[#This Row],[Total assets less current liabilities]]),"")</f>
        <v>7.3977925897941013E-2</v>
      </c>
      <c r="BL132" s="32">
        <v>13707</v>
      </c>
      <c r="BM132" s="32">
        <v>0</v>
      </c>
      <c r="BN132" s="32">
        <v>185285</v>
      </c>
      <c r="BO132" s="34">
        <v>0</v>
      </c>
      <c r="BP132" s="34">
        <v>0</v>
      </c>
      <c r="BQ132" s="6" t="s">
        <v>93</v>
      </c>
      <c r="BR132" s="6">
        <v>2007</v>
      </c>
      <c r="BS132" s="6" t="s">
        <v>120</v>
      </c>
      <c r="BT132" s="6" t="s">
        <v>108</v>
      </c>
      <c r="BU132" s="8">
        <v>0.94792318733177194</v>
      </c>
    </row>
    <row r="133" spans="1:73" x14ac:dyDescent="0.25">
      <c r="A133" s="33" t="s">
        <v>355</v>
      </c>
      <c r="B133" s="7" t="s">
        <v>356</v>
      </c>
      <c r="C133" s="7" t="s">
        <v>81</v>
      </c>
      <c r="D13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2.5735230135879077E-2</v>
      </c>
      <c r="E133" s="32">
        <v>11765</v>
      </c>
      <c r="F133" s="32">
        <v>0</v>
      </c>
      <c r="G133" s="32">
        <v>14719</v>
      </c>
      <c r="H133" s="32">
        <v>134</v>
      </c>
      <c r="I133" s="32">
        <v>0</v>
      </c>
      <c r="J133" s="32">
        <v>1034302</v>
      </c>
      <c r="K133" s="32">
        <v>0</v>
      </c>
      <c r="L13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2.3714343790229692E-3</v>
      </c>
      <c r="M133" s="32">
        <v>70</v>
      </c>
      <c r="N133" s="32">
        <v>0</v>
      </c>
      <c r="O133" s="32">
        <v>29518</v>
      </c>
      <c r="P133" s="32">
        <v>0</v>
      </c>
      <c r="Q13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3" s="32">
        <v>0</v>
      </c>
      <c r="S133" s="32">
        <v>0</v>
      </c>
      <c r="T133" s="32">
        <v>0</v>
      </c>
      <c r="U133" s="32">
        <v>29518</v>
      </c>
      <c r="V133" s="32">
        <v>143</v>
      </c>
      <c r="W133" s="32">
        <v>0</v>
      </c>
      <c r="X133" s="32">
        <v>0</v>
      </c>
      <c r="Y13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0.33533532759290807</v>
      </c>
      <c r="Z133" s="32">
        <v>16936</v>
      </c>
      <c r="AA133" s="32">
        <v>377536</v>
      </c>
      <c r="AB133" s="32">
        <v>47634</v>
      </c>
      <c r="AC133" s="32">
        <v>0</v>
      </c>
      <c r="AD133" s="32">
        <v>0</v>
      </c>
      <c r="AE133" s="32">
        <v>1034302</v>
      </c>
      <c r="AF133" s="32">
        <v>0</v>
      </c>
      <c r="AG13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3.1600509716470215</v>
      </c>
      <c r="AH133" s="32">
        <v>43704</v>
      </c>
      <c r="AI133" s="32">
        <v>1550</v>
      </c>
      <c r="AJ133" s="32">
        <v>6733</v>
      </c>
      <c r="AK133" s="32">
        <v>0</v>
      </c>
      <c r="AL133" s="32">
        <v>541</v>
      </c>
      <c r="AM133" s="32">
        <v>14719</v>
      </c>
      <c r="AN133" s="32">
        <v>28354</v>
      </c>
      <c r="AO133" s="32">
        <v>-134</v>
      </c>
      <c r="AP133" s="32">
        <v>-15561</v>
      </c>
      <c r="AQ13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3.5011713359648278</v>
      </c>
      <c r="AR133" s="32">
        <v>31691</v>
      </c>
      <c r="AS133" s="32">
        <v>12686</v>
      </c>
      <c r="AT133" s="32">
        <v>24228</v>
      </c>
      <c r="AU133" s="32">
        <v>18895</v>
      </c>
      <c r="AV133" s="32">
        <v>1316</v>
      </c>
      <c r="AW133" s="32">
        <v>14719</v>
      </c>
      <c r="AX133" s="32">
        <v>1991</v>
      </c>
      <c r="AY133" s="32">
        <v>1103</v>
      </c>
      <c r="AZ133" s="32">
        <v>2208</v>
      </c>
      <c r="BA133" s="32">
        <v>106</v>
      </c>
      <c r="BB133" s="32">
        <v>157</v>
      </c>
      <c r="BC133" s="32">
        <v>31161</v>
      </c>
      <c r="BD133" s="34">
        <f>IFERROR(SUM(Cons_Metrics[[#This Row],[Operating surplus/(deficit) (social housing lettings)]])/SUM(Cons_Metrics[[#This Row],[Turnover from social housing lettings]]),"")</f>
        <v>0.23748922871143235</v>
      </c>
      <c r="BE133" s="32">
        <v>36931</v>
      </c>
      <c r="BF133" s="32">
        <v>155506</v>
      </c>
      <c r="BG133" s="34">
        <f>IFERROR(SUM(Cons_Metrics[[#This Row],[Operating surplus/(deficit) (overall)2]],-Cons_Metrics[[#This Row],[Gain/(loss) on disposal of fixed assets (housing properties)2]])/SUM(Cons_Metrics[[#This Row],[Turnover (overall)]]),"")</f>
        <v>0.246621344909493</v>
      </c>
      <c r="BH133" s="32">
        <v>43704</v>
      </c>
      <c r="BI133" s="32">
        <v>1550</v>
      </c>
      <c r="BJ133" s="32">
        <v>170926</v>
      </c>
      <c r="BK133" s="34">
        <f>IFERROR(SUM(Cons_Metrics[[#This Row],[Operating surplus/(deficit) (overall)3]],Cons_Metrics[[#This Row],[Share of operating surplus/(deficit) in joint ventures or associates]])/SUM(Cons_Metrics[[#This Row],[Total assets less current liabilities]]),"")</f>
        <v>3.7188088987972413E-2</v>
      </c>
      <c r="BL133" s="32">
        <v>43704</v>
      </c>
      <c r="BM133" s="32">
        <v>0</v>
      </c>
      <c r="BN133" s="32">
        <v>1175215</v>
      </c>
      <c r="BO133" s="34">
        <v>6.3666972757881843E-2</v>
      </c>
      <c r="BP133" s="34">
        <v>0.1296126245621195</v>
      </c>
      <c r="BQ133" s="6" t="s">
        <v>93</v>
      </c>
      <c r="BR133" s="6">
        <v>2005</v>
      </c>
      <c r="BS133" s="6" t="s">
        <v>94</v>
      </c>
      <c r="BT133" s="6" t="s">
        <v>105</v>
      </c>
      <c r="BU133" s="8">
        <v>0.91566602992960244</v>
      </c>
    </row>
    <row r="134" spans="1:73" x14ac:dyDescent="0.25">
      <c r="A134" s="33" t="s">
        <v>357</v>
      </c>
      <c r="B134" s="7" t="s">
        <v>358</v>
      </c>
      <c r="C134" s="7" t="s">
        <v>81</v>
      </c>
      <c r="D13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6.6884398824373303E-2</v>
      </c>
      <c r="E134" s="32">
        <v>146086</v>
      </c>
      <c r="F134" s="32">
        <v>0</v>
      </c>
      <c r="G134" s="32">
        <v>17320</v>
      </c>
      <c r="H134" s="32">
        <v>5178</v>
      </c>
      <c r="I134" s="32">
        <v>0</v>
      </c>
      <c r="J134" s="32">
        <v>2520528</v>
      </c>
      <c r="K134" s="32">
        <v>0</v>
      </c>
      <c r="L13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9.3412991747253305E-3</v>
      </c>
      <c r="M134" s="32">
        <v>369</v>
      </c>
      <c r="N134" s="32">
        <v>0</v>
      </c>
      <c r="O134" s="32">
        <v>39502</v>
      </c>
      <c r="P134" s="32">
        <v>0</v>
      </c>
      <c r="Q13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4" s="32">
        <v>0</v>
      </c>
      <c r="S134" s="32">
        <v>0</v>
      </c>
      <c r="T134" s="32">
        <v>0</v>
      </c>
      <c r="U134" s="32">
        <v>39502</v>
      </c>
      <c r="V134" s="32">
        <v>2156</v>
      </c>
      <c r="W134" s="32">
        <v>0</v>
      </c>
      <c r="X134" s="32">
        <v>0</v>
      </c>
      <c r="Y13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0.38847535119625731</v>
      </c>
      <c r="Z134" s="32">
        <v>32574</v>
      </c>
      <c r="AA134" s="32">
        <v>1050821</v>
      </c>
      <c r="AB134" s="32">
        <v>104232</v>
      </c>
      <c r="AC134" s="32">
        <v>0</v>
      </c>
      <c r="AD134" s="32">
        <v>0</v>
      </c>
      <c r="AE134" s="32">
        <v>2520528</v>
      </c>
      <c r="AF134" s="32">
        <v>0</v>
      </c>
      <c r="AG13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2.240067819315946</v>
      </c>
      <c r="AH134" s="32">
        <v>117415</v>
      </c>
      <c r="AI134" s="32">
        <v>20469</v>
      </c>
      <c r="AJ134" s="32">
        <v>9716</v>
      </c>
      <c r="AK134" s="32">
        <v>0</v>
      </c>
      <c r="AL134" s="32">
        <v>488</v>
      </c>
      <c r="AM134" s="32">
        <v>17320</v>
      </c>
      <c r="AN134" s="32">
        <v>36619</v>
      </c>
      <c r="AO134" s="32">
        <v>-5457</v>
      </c>
      <c r="AP134" s="32">
        <v>-42317</v>
      </c>
      <c r="AQ13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4.3036187113857016</v>
      </c>
      <c r="AR134" s="32">
        <v>64134</v>
      </c>
      <c r="AS134" s="32">
        <v>21619</v>
      </c>
      <c r="AT134" s="32">
        <v>28391</v>
      </c>
      <c r="AU134" s="32">
        <v>31823</v>
      </c>
      <c r="AV134" s="32">
        <v>5352</v>
      </c>
      <c r="AW134" s="32">
        <v>17320</v>
      </c>
      <c r="AX134" s="32">
        <v>635</v>
      </c>
      <c r="AY134" s="32">
        <v>1362</v>
      </c>
      <c r="AZ134" s="32">
        <v>0</v>
      </c>
      <c r="BA134" s="32">
        <v>0</v>
      </c>
      <c r="BB134" s="32">
        <v>24</v>
      </c>
      <c r="BC134" s="32">
        <v>39655</v>
      </c>
      <c r="BD134" s="34">
        <f>IFERROR(SUM(Cons_Metrics[[#This Row],[Operating surplus/(deficit) (social housing lettings)]])/SUM(Cons_Metrics[[#This Row],[Turnover from social housing lettings]]),"")</f>
        <v>0.301826049847642</v>
      </c>
      <c r="BE134" s="32">
        <v>80628</v>
      </c>
      <c r="BF134" s="32">
        <v>267134</v>
      </c>
      <c r="BG134" s="34">
        <f>IFERROR(SUM(Cons_Metrics[[#This Row],[Operating surplus/(deficit) (overall)2]],-Cons_Metrics[[#This Row],[Gain/(loss) on disposal of fixed assets (housing properties)2]])/SUM(Cons_Metrics[[#This Row],[Turnover (overall)]]),"")</f>
        <v>0.30540810443844491</v>
      </c>
      <c r="BH134" s="32">
        <v>117415</v>
      </c>
      <c r="BI134" s="32">
        <v>20469</v>
      </c>
      <c r="BJ134" s="32">
        <v>317431</v>
      </c>
      <c r="BK134" s="34">
        <f>IFERROR(SUM(Cons_Metrics[[#This Row],[Operating surplus/(deficit) (overall)3]],Cons_Metrics[[#This Row],[Share of operating surplus/(deficit) in joint ventures or associates]])/SUM(Cons_Metrics[[#This Row],[Total assets less current liabilities]]),"")</f>
        <v>4.3227114001549938E-2</v>
      </c>
      <c r="BL134" s="32">
        <v>117415</v>
      </c>
      <c r="BM134" s="32">
        <v>0</v>
      </c>
      <c r="BN134" s="32">
        <v>2716235</v>
      </c>
      <c r="BO134" s="34">
        <v>2.4884582212977527E-2</v>
      </c>
      <c r="BP134" s="34">
        <v>8.5256963117041243E-2</v>
      </c>
      <c r="BQ134" s="6" t="s">
        <v>82</v>
      </c>
      <c r="BR134" s="6" t="s">
        <v>83</v>
      </c>
      <c r="BS134" s="6" t="s">
        <v>83</v>
      </c>
      <c r="BT134" s="6" t="s">
        <v>87</v>
      </c>
      <c r="BU134" s="8">
        <v>1.1153534832151017</v>
      </c>
    </row>
    <row r="135" spans="1:73" x14ac:dyDescent="0.25">
      <c r="A135" s="33" t="s">
        <v>359</v>
      </c>
      <c r="B135" s="7" t="s">
        <v>360</v>
      </c>
      <c r="C135" s="7" t="s">
        <v>81</v>
      </c>
      <c r="D13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8.6581711818243215E-2</v>
      </c>
      <c r="E135" s="32">
        <v>172501</v>
      </c>
      <c r="F135" s="32">
        <v>0</v>
      </c>
      <c r="G135" s="32">
        <v>22525</v>
      </c>
      <c r="H135" s="32">
        <v>11379</v>
      </c>
      <c r="I135" s="32">
        <v>0</v>
      </c>
      <c r="J135" s="32">
        <v>2383933</v>
      </c>
      <c r="K135" s="32">
        <v>0</v>
      </c>
      <c r="L13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4.9035556588426676E-2</v>
      </c>
      <c r="M135" s="32">
        <v>1899</v>
      </c>
      <c r="N135" s="32">
        <v>0</v>
      </c>
      <c r="O135" s="32">
        <v>37887</v>
      </c>
      <c r="P135" s="32">
        <v>840</v>
      </c>
      <c r="Q13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7.2385368366821223E-3</v>
      </c>
      <c r="R135" s="32">
        <v>82</v>
      </c>
      <c r="S135" s="32">
        <v>0</v>
      </c>
      <c r="T135" s="32">
        <v>199</v>
      </c>
      <c r="U135" s="32">
        <v>37887</v>
      </c>
      <c r="V135" s="32">
        <v>93</v>
      </c>
      <c r="W135" s="32">
        <v>840</v>
      </c>
      <c r="X135" s="32">
        <v>0</v>
      </c>
      <c r="Y13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0.4844850924921128</v>
      </c>
      <c r="Z135" s="32">
        <v>59483</v>
      </c>
      <c r="AA135" s="32">
        <v>1145123</v>
      </c>
      <c r="AB135" s="32">
        <v>49626</v>
      </c>
      <c r="AC135" s="32">
        <v>0</v>
      </c>
      <c r="AD135" s="32">
        <v>0</v>
      </c>
      <c r="AE135" s="32">
        <v>2383933</v>
      </c>
      <c r="AF135" s="32">
        <v>0</v>
      </c>
      <c r="AG13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1.8396599678771497</v>
      </c>
      <c r="AH135" s="32">
        <v>115761</v>
      </c>
      <c r="AI135" s="32">
        <v>24932</v>
      </c>
      <c r="AJ135" s="32">
        <v>8602</v>
      </c>
      <c r="AK135" s="32">
        <v>0</v>
      </c>
      <c r="AL135" s="32">
        <v>861</v>
      </c>
      <c r="AM135" s="32">
        <v>22525</v>
      </c>
      <c r="AN135" s="32">
        <v>33359</v>
      </c>
      <c r="AO135" s="32">
        <v>-11379</v>
      </c>
      <c r="AP135" s="32">
        <v>-39675</v>
      </c>
      <c r="AQ13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3.7635336659012326</v>
      </c>
      <c r="AR135" s="32">
        <v>26519</v>
      </c>
      <c r="AS135" s="32">
        <v>18706</v>
      </c>
      <c r="AT135" s="32">
        <v>27788</v>
      </c>
      <c r="AU135" s="32">
        <v>24112</v>
      </c>
      <c r="AV135" s="32">
        <v>0</v>
      </c>
      <c r="AW135" s="32">
        <v>22525</v>
      </c>
      <c r="AX135" s="32">
        <v>215</v>
      </c>
      <c r="AY135" s="32">
        <v>0</v>
      </c>
      <c r="AZ135" s="32">
        <v>0</v>
      </c>
      <c r="BA135" s="32">
        <v>20732</v>
      </c>
      <c r="BB135" s="32">
        <v>1992</v>
      </c>
      <c r="BC135" s="32">
        <v>37887</v>
      </c>
      <c r="BD135" s="34">
        <f>IFERROR(SUM(Cons_Metrics[[#This Row],[Operating surplus/(deficit) (social housing lettings)]])/SUM(Cons_Metrics[[#This Row],[Turnover from social housing lettings]]),"")</f>
        <v>0.37794367217741165</v>
      </c>
      <c r="BE135" s="32">
        <v>79282</v>
      </c>
      <c r="BF135" s="32">
        <v>209772</v>
      </c>
      <c r="BG135" s="34">
        <f>IFERROR(SUM(Cons_Metrics[[#This Row],[Operating surplus/(deficit) (overall)2]],-Cons_Metrics[[#This Row],[Gain/(loss) on disposal of fixed assets (housing properties)2]])/SUM(Cons_Metrics[[#This Row],[Turnover (overall)]]),"")</f>
        <v>0.25411333529173136</v>
      </c>
      <c r="BH135" s="32">
        <v>115761</v>
      </c>
      <c r="BI135" s="32">
        <v>24932</v>
      </c>
      <c r="BJ135" s="32">
        <v>357435</v>
      </c>
      <c r="BK135" s="34">
        <f>IFERROR(SUM(Cons_Metrics[[#This Row],[Operating surplus/(deficit) (overall)3]],Cons_Metrics[[#This Row],[Share of operating surplus/(deficit) in joint ventures or associates]])/SUM(Cons_Metrics[[#This Row],[Total assets less current liabilities]]),"")</f>
        <v>4.6698648671544649E-2</v>
      </c>
      <c r="BL135" s="32">
        <v>115761</v>
      </c>
      <c r="BM135" s="32">
        <v>0</v>
      </c>
      <c r="BN135" s="32">
        <v>2478894</v>
      </c>
      <c r="BO135" s="34">
        <v>1.8556538218572331E-2</v>
      </c>
      <c r="BP135" s="34">
        <v>7.2094125078963997E-2</v>
      </c>
      <c r="BQ135" s="6" t="s">
        <v>82</v>
      </c>
      <c r="BR135" s="6" t="s">
        <v>83</v>
      </c>
      <c r="BS135" s="6" t="s">
        <v>83</v>
      </c>
      <c r="BT135" s="6" t="s">
        <v>87</v>
      </c>
      <c r="BU135" s="8">
        <v>0.99762032388419208</v>
      </c>
    </row>
    <row r="136" spans="1:73" x14ac:dyDescent="0.25">
      <c r="A136" s="33" t="s">
        <v>361</v>
      </c>
      <c r="B136" s="7" t="s">
        <v>362</v>
      </c>
      <c r="C136" s="7" t="s">
        <v>81</v>
      </c>
      <c r="D13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5.238923971955646E-2</v>
      </c>
      <c r="E136" s="32">
        <v>19561</v>
      </c>
      <c r="F136" s="32">
        <v>1094</v>
      </c>
      <c r="G136" s="32">
        <v>15673</v>
      </c>
      <c r="H136" s="32">
        <v>548</v>
      </c>
      <c r="I136" s="32">
        <v>0</v>
      </c>
      <c r="J136" s="32">
        <v>703885</v>
      </c>
      <c r="K136" s="32">
        <v>0</v>
      </c>
      <c r="L13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9.4447158443250277E-3</v>
      </c>
      <c r="M136" s="32">
        <v>58</v>
      </c>
      <c r="N136" s="32">
        <v>0</v>
      </c>
      <c r="O136" s="32">
        <v>5912</v>
      </c>
      <c r="P136" s="32">
        <v>229</v>
      </c>
      <c r="Q13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4.8250904704463205E-3</v>
      </c>
      <c r="R136" s="32">
        <v>32</v>
      </c>
      <c r="S136" s="32">
        <v>0</v>
      </c>
      <c r="T136" s="32">
        <v>0</v>
      </c>
      <c r="U136" s="32">
        <v>5912</v>
      </c>
      <c r="V136" s="32">
        <v>190</v>
      </c>
      <c r="W136" s="32">
        <v>229</v>
      </c>
      <c r="X136" s="32">
        <v>301</v>
      </c>
      <c r="Y13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0.43613374343820366</v>
      </c>
      <c r="Z136" s="32">
        <v>11342</v>
      </c>
      <c r="AA136" s="32">
        <v>313737</v>
      </c>
      <c r="AB136" s="32">
        <v>18091</v>
      </c>
      <c r="AC136" s="32">
        <v>0</v>
      </c>
      <c r="AD136" s="32">
        <v>0</v>
      </c>
      <c r="AE136" s="32">
        <v>703885</v>
      </c>
      <c r="AF136" s="32">
        <v>0</v>
      </c>
      <c r="AG13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0.31305926598365968</v>
      </c>
      <c r="AH136" s="32">
        <v>19972</v>
      </c>
      <c r="AI136" s="32">
        <v>3558</v>
      </c>
      <c r="AJ136" s="32">
        <v>1858</v>
      </c>
      <c r="AK136" s="32">
        <v>0</v>
      </c>
      <c r="AL136" s="32">
        <v>110</v>
      </c>
      <c r="AM136" s="32">
        <v>15673</v>
      </c>
      <c r="AN136" s="32">
        <v>5835</v>
      </c>
      <c r="AO136" s="32">
        <v>-1944</v>
      </c>
      <c r="AP136" s="32">
        <v>-13478</v>
      </c>
      <c r="AQ13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7.4267881241565448</v>
      </c>
      <c r="AR136" s="32">
        <v>5527</v>
      </c>
      <c r="AS136" s="32">
        <v>5432</v>
      </c>
      <c r="AT136" s="32">
        <v>4558</v>
      </c>
      <c r="AU136" s="32">
        <v>4826</v>
      </c>
      <c r="AV136" s="32">
        <v>0</v>
      </c>
      <c r="AW136" s="32">
        <v>15673</v>
      </c>
      <c r="AX136" s="32">
        <v>5857</v>
      </c>
      <c r="AY136" s="32">
        <v>342</v>
      </c>
      <c r="AZ136" s="32">
        <v>334</v>
      </c>
      <c r="BA136" s="32">
        <v>0</v>
      </c>
      <c r="BB136" s="32">
        <v>1477</v>
      </c>
      <c r="BC136" s="32">
        <v>5928</v>
      </c>
      <c r="BD136" s="34">
        <f>IFERROR(SUM(Cons_Metrics[[#This Row],[Operating surplus/(deficit) (social housing lettings)]])/SUM(Cons_Metrics[[#This Row],[Turnover from social housing lettings]]),"")</f>
        <v>0.30664949353824661</v>
      </c>
      <c r="BE136" s="32">
        <v>14047</v>
      </c>
      <c r="BF136" s="32">
        <v>45808</v>
      </c>
      <c r="BG136" s="34">
        <f>IFERROR(SUM(Cons_Metrics[[#This Row],[Operating surplus/(deficit) (overall)2]],-Cons_Metrics[[#This Row],[Gain/(loss) on disposal of fixed assets (housing properties)2]])/SUM(Cons_Metrics[[#This Row],[Turnover (overall)]]),"")</f>
        <v>0.29279343560470922</v>
      </c>
      <c r="BH136" s="32">
        <v>19972</v>
      </c>
      <c r="BI136" s="32">
        <v>3558</v>
      </c>
      <c r="BJ136" s="32">
        <v>56060</v>
      </c>
      <c r="BK136" s="34">
        <f>IFERROR(SUM(Cons_Metrics[[#This Row],[Operating surplus/(deficit) (overall)3]],Cons_Metrics[[#This Row],[Share of operating surplus/(deficit) in joint ventures or associates]])/SUM(Cons_Metrics[[#This Row],[Total assets less current liabilities]]),"")</f>
        <v>2.4307305092460742E-2</v>
      </c>
      <c r="BL136" s="32">
        <v>19972</v>
      </c>
      <c r="BM136" s="32">
        <v>0</v>
      </c>
      <c r="BN136" s="32">
        <v>821646</v>
      </c>
      <c r="BO136" s="34">
        <v>5.0453514739229023E-2</v>
      </c>
      <c r="BP136" s="34">
        <v>7.1806500377928947E-2</v>
      </c>
      <c r="BQ136" s="6" t="s">
        <v>82</v>
      </c>
      <c r="BR136" s="6" t="s">
        <v>83</v>
      </c>
      <c r="BS136" s="6" t="s">
        <v>83</v>
      </c>
      <c r="BT136" s="6" t="s">
        <v>156</v>
      </c>
      <c r="BU136" s="8">
        <v>1.1979362904416639</v>
      </c>
    </row>
    <row r="137" spans="1:73" x14ac:dyDescent="0.25">
      <c r="A137" s="33" t="s">
        <v>363</v>
      </c>
      <c r="B137" s="7" t="s">
        <v>364</v>
      </c>
      <c r="C137" s="7" t="s">
        <v>134</v>
      </c>
      <c r="D13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3.2329429528437571E-2</v>
      </c>
      <c r="E137" s="32">
        <v>5872</v>
      </c>
      <c r="F137" s="32">
        <v>894</v>
      </c>
      <c r="G137" s="32">
        <v>0</v>
      </c>
      <c r="H137" s="32">
        <v>0</v>
      </c>
      <c r="I137" s="32">
        <v>0</v>
      </c>
      <c r="J137" s="32">
        <v>209283</v>
      </c>
      <c r="K137" s="32">
        <v>0</v>
      </c>
      <c r="L13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1.4008004574042309E-2</v>
      </c>
      <c r="M137" s="32">
        <v>49</v>
      </c>
      <c r="N137" s="32">
        <v>0</v>
      </c>
      <c r="O137" s="32">
        <v>3498</v>
      </c>
      <c r="P137" s="32">
        <v>0</v>
      </c>
      <c r="Q13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7" s="32">
        <v>0</v>
      </c>
      <c r="S137" s="32">
        <v>0</v>
      </c>
      <c r="T137" s="32">
        <v>0</v>
      </c>
      <c r="U137" s="32">
        <v>3498</v>
      </c>
      <c r="V137" s="32">
        <v>12</v>
      </c>
      <c r="W137" s="32">
        <v>0</v>
      </c>
      <c r="X137" s="32">
        <v>0</v>
      </c>
      <c r="Y13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0.38994089343138238</v>
      </c>
      <c r="Z137" s="32">
        <v>2732</v>
      </c>
      <c r="AA137" s="32">
        <v>87911</v>
      </c>
      <c r="AB137" s="32">
        <v>9035</v>
      </c>
      <c r="AC137" s="32">
        <v>0</v>
      </c>
      <c r="AD137" s="32">
        <v>0</v>
      </c>
      <c r="AE137" s="32">
        <v>209283</v>
      </c>
      <c r="AF137" s="32">
        <v>0</v>
      </c>
      <c r="AG13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2.3387507966857872</v>
      </c>
      <c r="AH137" s="32">
        <v>8047</v>
      </c>
      <c r="AI137" s="32">
        <v>0</v>
      </c>
      <c r="AJ137" s="32">
        <v>943</v>
      </c>
      <c r="AK137" s="32">
        <v>0</v>
      </c>
      <c r="AL137" s="32">
        <v>15</v>
      </c>
      <c r="AM137" s="32">
        <v>1593</v>
      </c>
      <c r="AN137" s="32">
        <v>1813</v>
      </c>
      <c r="AO137" s="32">
        <v>0</v>
      </c>
      <c r="AP137" s="32">
        <v>-3138</v>
      </c>
      <c r="AQ13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9.5798611111111107</v>
      </c>
      <c r="AR137" s="32">
        <v>4384</v>
      </c>
      <c r="AS137" s="32">
        <v>1947</v>
      </c>
      <c r="AT137" s="32">
        <v>2293</v>
      </c>
      <c r="AU137" s="32">
        <v>1457</v>
      </c>
      <c r="AV137" s="32">
        <v>0</v>
      </c>
      <c r="AW137" s="32">
        <v>1593</v>
      </c>
      <c r="AX137" s="32">
        <v>314</v>
      </c>
      <c r="AY137" s="32">
        <v>16357</v>
      </c>
      <c r="AZ137" s="32">
        <v>0</v>
      </c>
      <c r="BA137" s="32">
        <v>3990</v>
      </c>
      <c r="BB137" s="32">
        <v>3532</v>
      </c>
      <c r="BC137" s="32">
        <v>3744</v>
      </c>
      <c r="BD137" s="34">
        <f>IFERROR(SUM(Cons_Metrics[[#This Row],[Operating surplus/(deficit) (social housing lettings)]])/SUM(Cons_Metrics[[#This Row],[Turnover from social housing lettings]]),"")</f>
        <v>0.39242530228839811</v>
      </c>
      <c r="BE137" s="32">
        <v>7854</v>
      </c>
      <c r="BF137" s="32">
        <v>20014</v>
      </c>
      <c r="BG137" s="34">
        <f>IFERROR(SUM(Cons_Metrics[[#This Row],[Operating surplus/(deficit) (overall)2]],-Cons_Metrics[[#This Row],[Gain/(loss) on disposal of fixed assets (housing properties)2]])/SUM(Cons_Metrics[[#This Row],[Turnover (overall)]]),"")</f>
        <v>0.1808436523810594</v>
      </c>
      <c r="BH137" s="32">
        <v>8047</v>
      </c>
      <c r="BI137" s="32">
        <v>0</v>
      </c>
      <c r="BJ137" s="32">
        <v>44497</v>
      </c>
      <c r="BK137" s="34">
        <f>IFERROR(SUM(Cons_Metrics[[#This Row],[Operating surplus/(deficit) (overall)3]],Cons_Metrics[[#This Row],[Share of operating surplus/(deficit) in joint ventures or associates]])/SUM(Cons_Metrics[[#This Row],[Total assets less current liabilities]]),"")</f>
        <v>3.643418574326282E-2</v>
      </c>
      <c r="BL137" s="32">
        <v>8047</v>
      </c>
      <c r="BM137" s="32">
        <v>0</v>
      </c>
      <c r="BN137" s="32">
        <v>220864</v>
      </c>
      <c r="BO137" s="34">
        <v>9.7445863409217098E-2</v>
      </c>
      <c r="BP137" s="34">
        <v>0.11882287617990006</v>
      </c>
      <c r="BQ137" s="6" t="s">
        <v>82</v>
      </c>
      <c r="BR137" s="6" t="s">
        <v>83</v>
      </c>
      <c r="BS137" s="6" t="s">
        <v>83</v>
      </c>
      <c r="BT137" s="6" t="s">
        <v>100</v>
      </c>
      <c r="BU137" s="8">
        <v>1.0022399874355168</v>
      </c>
    </row>
    <row r="138" spans="1:73" x14ac:dyDescent="0.25">
      <c r="A138" s="33" t="s">
        <v>365</v>
      </c>
      <c r="B138" s="7" t="s">
        <v>366</v>
      </c>
      <c r="C138" s="7" t="s">
        <v>81</v>
      </c>
      <c r="D13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4.8106221298134855E-2</v>
      </c>
      <c r="E138" s="32">
        <v>0</v>
      </c>
      <c r="F138" s="32">
        <v>54027</v>
      </c>
      <c r="G138" s="32">
        <v>3362</v>
      </c>
      <c r="H138" s="32">
        <v>2258</v>
      </c>
      <c r="I138" s="32">
        <v>0</v>
      </c>
      <c r="J138" s="32">
        <v>1239902</v>
      </c>
      <c r="K138" s="32">
        <v>0</v>
      </c>
      <c r="L13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3.6510230470829845E-2</v>
      </c>
      <c r="M138" s="32">
        <v>480</v>
      </c>
      <c r="N138" s="32">
        <v>0</v>
      </c>
      <c r="O138" s="32">
        <v>13147</v>
      </c>
      <c r="P138" s="32">
        <v>0</v>
      </c>
      <c r="Q13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1.3001695873374788E-2</v>
      </c>
      <c r="R138" s="32">
        <v>106</v>
      </c>
      <c r="S138" s="32">
        <v>70</v>
      </c>
      <c r="T138" s="32">
        <v>8</v>
      </c>
      <c r="U138" s="32">
        <v>13147</v>
      </c>
      <c r="V138" s="32">
        <v>249</v>
      </c>
      <c r="W138" s="32">
        <v>0</v>
      </c>
      <c r="X138" s="32">
        <v>756</v>
      </c>
      <c r="Y13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0.56460349285669353</v>
      </c>
      <c r="Z138" s="32">
        <v>4596</v>
      </c>
      <c r="AA138" s="32">
        <v>706648</v>
      </c>
      <c r="AB138" s="32">
        <v>11191</v>
      </c>
      <c r="AC138" s="32">
        <v>0</v>
      </c>
      <c r="AD138" s="32">
        <v>0</v>
      </c>
      <c r="AE138" s="32">
        <v>1239902</v>
      </c>
      <c r="AF138" s="32">
        <v>0</v>
      </c>
      <c r="AG13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1.7183996960073826</v>
      </c>
      <c r="AH138" s="32">
        <v>60362</v>
      </c>
      <c r="AI138" s="32">
        <v>6370</v>
      </c>
      <c r="AJ138" s="32">
        <v>147</v>
      </c>
      <c r="AK138" s="32">
        <v>0</v>
      </c>
      <c r="AL138" s="32">
        <v>325</v>
      </c>
      <c r="AM138" s="32">
        <v>2604</v>
      </c>
      <c r="AN138" s="32">
        <v>11745</v>
      </c>
      <c r="AO138" s="32">
        <v>-2870</v>
      </c>
      <c r="AP138" s="32">
        <v>-33973</v>
      </c>
      <c r="AQ13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2.7396606185264085</v>
      </c>
      <c r="AR138" s="32">
        <v>6829</v>
      </c>
      <c r="AS138" s="32">
        <v>4385</v>
      </c>
      <c r="AT138" s="32">
        <v>6560</v>
      </c>
      <c r="AU138" s="32">
        <v>8569</v>
      </c>
      <c r="AV138" s="32">
        <v>0</v>
      </c>
      <c r="AW138" s="32">
        <v>2604</v>
      </c>
      <c r="AX138" s="32">
        <v>6915</v>
      </c>
      <c r="AY138" s="32">
        <v>-28</v>
      </c>
      <c r="AZ138" s="32">
        <v>0</v>
      </c>
      <c r="BA138" s="32">
        <v>1325</v>
      </c>
      <c r="BB138" s="32">
        <v>136</v>
      </c>
      <c r="BC138" s="32">
        <v>13613</v>
      </c>
      <c r="BD138" s="34">
        <f>IFERROR(SUM(Cons_Metrics[[#This Row],[Operating surplus/(deficit) (social housing lettings)]])/SUM(Cons_Metrics[[#This Row],[Turnover from social housing lettings]]),"")</f>
        <v>0.48470346949239446</v>
      </c>
      <c r="BE138" s="32">
        <v>42540</v>
      </c>
      <c r="BF138" s="32">
        <v>87765</v>
      </c>
      <c r="BG138" s="34">
        <f>IFERROR(SUM(Cons_Metrics[[#This Row],[Operating surplus/(deficit) (overall)2]],-Cons_Metrics[[#This Row],[Gain/(loss) on disposal of fixed assets (housing properties)2]])/SUM(Cons_Metrics[[#This Row],[Turnover (overall)]]),"")</f>
        <v>0.43562311403721093</v>
      </c>
      <c r="BH138" s="32">
        <v>60362</v>
      </c>
      <c r="BI138" s="32">
        <v>6370</v>
      </c>
      <c r="BJ138" s="32">
        <v>123942</v>
      </c>
      <c r="BK138" s="34">
        <f>IFERROR(SUM(Cons_Metrics[[#This Row],[Operating surplus/(deficit) (overall)3]],Cons_Metrics[[#This Row],[Share of operating surplus/(deficit) in joint ventures or associates]])/SUM(Cons_Metrics[[#This Row],[Total assets less current liabilities]]),"")</f>
        <v>4.556159064765361E-2</v>
      </c>
      <c r="BL138" s="32">
        <v>60362</v>
      </c>
      <c r="BM138" s="32">
        <v>0</v>
      </c>
      <c r="BN138" s="32">
        <v>1324844</v>
      </c>
      <c r="BO138" s="34">
        <v>1.3007881245695921E-2</v>
      </c>
      <c r="BP138" s="34">
        <v>3.6728135281964957E-3</v>
      </c>
      <c r="BQ138" s="6" t="s">
        <v>82</v>
      </c>
      <c r="BR138" s="6" t="s">
        <v>83</v>
      </c>
      <c r="BS138" s="6" t="s">
        <v>83</v>
      </c>
      <c r="BT138" s="6" t="s">
        <v>84</v>
      </c>
      <c r="BU138" s="8">
        <v>1.0427278081457325</v>
      </c>
    </row>
    <row r="139" spans="1:73" x14ac:dyDescent="0.25">
      <c r="A139" s="33" t="s">
        <v>367</v>
      </c>
      <c r="B139" s="7" t="s">
        <v>368</v>
      </c>
      <c r="C139" s="7" t="s">
        <v>81</v>
      </c>
      <c r="D13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4.744647731410321E-2</v>
      </c>
      <c r="E139" s="32">
        <v>65251</v>
      </c>
      <c r="F139" s="32">
        <v>0</v>
      </c>
      <c r="G139" s="32">
        <v>12413</v>
      </c>
      <c r="H139" s="32">
        <v>0</v>
      </c>
      <c r="I139" s="32">
        <v>0</v>
      </c>
      <c r="J139" s="32">
        <v>1636876</v>
      </c>
      <c r="K139" s="32">
        <v>0</v>
      </c>
      <c r="L13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1.7549700370969278E-2</v>
      </c>
      <c r="M139" s="32">
        <v>369</v>
      </c>
      <c r="N139" s="32">
        <v>0</v>
      </c>
      <c r="O139" s="32">
        <v>21026</v>
      </c>
      <c r="P139" s="32">
        <v>0</v>
      </c>
      <c r="Q13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39" s="32">
        <v>0</v>
      </c>
      <c r="S139" s="32">
        <v>0</v>
      </c>
      <c r="T139" s="32">
        <v>0</v>
      </c>
      <c r="U139" s="32">
        <v>21026</v>
      </c>
      <c r="V139" s="32">
        <v>11</v>
      </c>
      <c r="W139" s="32">
        <v>0</v>
      </c>
      <c r="X139" s="32">
        <v>0</v>
      </c>
      <c r="Y13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0.40687260366698513</v>
      </c>
      <c r="Z139" s="32">
        <v>21318</v>
      </c>
      <c r="AA139" s="32">
        <v>667318</v>
      </c>
      <c r="AB139" s="32">
        <v>22636</v>
      </c>
      <c r="AC139" s="32">
        <v>0</v>
      </c>
      <c r="AD139" s="32">
        <v>0</v>
      </c>
      <c r="AE139" s="32">
        <v>1636876</v>
      </c>
      <c r="AF139" s="32">
        <v>0</v>
      </c>
      <c r="AG13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1.6765625424788626</v>
      </c>
      <c r="AH139" s="32">
        <v>65083</v>
      </c>
      <c r="AI139" s="32">
        <v>8146</v>
      </c>
      <c r="AJ139" s="32">
        <v>5184</v>
      </c>
      <c r="AK139" s="32">
        <v>0</v>
      </c>
      <c r="AL139" s="32">
        <v>109</v>
      </c>
      <c r="AM139" s="32">
        <v>12413</v>
      </c>
      <c r="AN139" s="32">
        <v>22220</v>
      </c>
      <c r="AO139" s="32">
        <v>-3268</v>
      </c>
      <c r="AP139" s="32">
        <v>-33515</v>
      </c>
      <c r="AQ13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3.9003841807909603</v>
      </c>
      <c r="AR139" s="32">
        <v>26243</v>
      </c>
      <c r="AS139" s="32">
        <v>12274</v>
      </c>
      <c r="AT139" s="32">
        <v>15383</v>
      </c>
      <c r="AU139" s="32">
        <v>10399</v>
      </c>
      <c r="AV139" s="32">
        <v>0</v>
      </c>
      <c r="AW139" s="32">
        <v>12413</v>
      </c>
      <c r="AX139" s="32">
        <v>2831</v>
      </c>
      <c r="AY139" s="32">
        <v>0</v>
      </c>
      <c r="AZ139" s="32">
        <v>0</v>
      </c>
      <c r="BA139" s="32">
        <v>6582</v>
      </c>
      <c r="BB139" s="32">
        <v>171</v>
      </c>
      <c r="BC139" s="32">
        <v>22125</v>
      </c>
      <c r="BD139" s="34">
        <f>IFERROR(SUM(Cons_Metrics[[#This Row],[Operating surplus/(deficit) (social housing lettings)]])/SUM(Cons_Metrics[[#This Row],[Turnover from social housing lettings]]),"")</f>
        <v>0.36292846173905485</v>
      </c>
      <c r="BE139" s="32">
        <v>50103</v>
      </c>
      <c r="BF139" s="32">
        <v>138052</v>
      </c>
      <c r="BG139" s="34">
        <f>IFERROR(SUM(Cons_Metrics[[#This Row],[Operating surplus/(deficit) (overall)2]],-Cons_Metrics[[#This Row],[Gain/(loss) on disposal of fixed assets (housing properties)2]])/SUM(Cons_Metrics[[#This Row],[Turnover (overall)]]),"")</f>
        <v>0.34577265495002002</v>
      </c>
      <c r="BH139" s="32">
        <v>65083</v>
      </c>
      <c r="BI139" s="32">
        <v>8146</v>
      </c>
      <c r="BJ139" s="32">
        <v>164666</v>
      </c>
      <c r="BK139" s="34">
        <f>IFERROR(SUM(Cons_Metrics[[#This Row],[Operating surplus/(deficit) (overall)3]],Cons_Metrics[[#This Row],[Share of operating surplus/(deficit) in joint ventures or associates]])/SUM(Cons_Metrics[[#This Row],[Total assets less current liabilities]]),"")</f>
        <v>3.8956017283990521E-2</v>
      </c>
      <c r="BL139" s="32">
        <v>65083</v>
      </c>
      <c r="BM139" s="32">
        <v>0</v>
      </c>
      <c r="BN139" s="32">
        <v>1670679</v>
      </c>
      <c r="BO139" s="34">
        <v>2.6052200712703456E-2</v>
      </c>
      <c r="BP139" s="34">
        <v>0.11677742463642493</v>
      </c>
      <c r="BQ139" s="6" t="s">
        <v>82</v>
      </c>
      <c r="BR139" s="6" t="s">
        <v>83</v>
      </c>
      <c r="BS139" s="6" t="s">
        <v>83</v>
      </c>
      <c r="BT139" s="6" t="s">
        <v>87</v>
      </c>
      <c r="BU139" s="8">
        <v>1.0507642504352079</v>
      </c>
    </row>
    <row r="140" spans="1:73" x14ac:dyDescent="0.25">
      <c r="A140" s="33" t="s">
        <v>369</v>
      </c>
      <c r="B140" s="7" t="s">
        <v>370</v>
      </c>
      <c r="C140" s="7" t="s">
        <v>81</v>
      </c>
      <c r="D14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4.6151623611206553E-2</v>
      </c>
      <c r="E140" s="32">
        <v>175512</v>
      </c>
      <c r="F140" s="32">
        <v>0</v>
      </c>
      <c r="G140" s="32">
        <v>67712</v>
      </c>
      <c r="H140" s="32">
        <v>0</v>
      </c>
      <c r="I140" s="32">
        <v>-111</v>
      </c>
      <c r="J140" s="32">
        <v>5267702</v>
      </c>
      <c r="K140" s="32">
        <v>0</v>
      </c>
      <c r="L14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1.6373049411850794E-2</v>
      </c>
      <c r="M140" s="32">
        <v>651</v>
      </c>
      <c r="N140" s="32">
        <v>244</v>
      </c>
      <c r="O140" s="32">
        <v>49753</v>
      </c>
      <c r="P140" s="32">
        <v>4910</v>
      </c>
      <c r="Q14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6.2391493055555559E-3</v>
      </c>
      <c r="R140" s="32">
        <v>87</v>
      </c>
      <c r="S140" s="32">
        <v>0</v>
      </c>
      <c r="T140" s="32">
        <v>258</v>
      </c>
      <c r="U140" s="32">
        <v>49753</v>
      </c>
      <c r="V140" s="32">
        <v>633</v>
      </c>
      <c r="W140" s="32">
        <v>4910</v>
      </c>
      <c r="X140" s="32">
        <v>0</v>
      </c>
      <c r="Y14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0.34411741590545553</v>
      </c>
      <c r="Z140" s="32">
        <v>5396</v>
      </c>
      <c r="AA140" s="32">
        <v>1924351</v>
      </c>
      <c r="AB140" s="32">
        <v>117039</v>
      </c>
      <c r="AC140" s="32">
        <v>0</v>
      </c>
      <c r="AD140" s="32">
        <v>0</v>
      </c>
      <c r="AE140" s="32">
        <v>5267702</v>
      </c>
      <c r="AF140" s="32">
        <v>0</v>
      </c>
      <c r="AG14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1.9223161906659858</v>
      </c>
      <c r="AH140" s="32">
        <v>212305</v>
      </c>
      <c r="AI140" s="32">
        <v>42171</v>
      </c>
      <c r="AJ140" s="32">
        <v>10566</v>
      </c>
      <c r="AK140" s="32">
        <v>0</v>
      </c>
      <c r="AL140" s="32">
        <v>284</v>
      </c>
      <c r="AM140" s="32">
        <v>67712</v>
      </c>
      <c r="AN140" s="32">
        <v>62197</v>
      </c>
      <c r="AO140" s="32">
        <v>-21714</v>
      </c>
      <c r="AP140" s="32">
        <v>-58573</v>
      </c>
      <c r="AQ14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5.7412205524773787</v>
      </c>
      <c r="AR140" s="32">
        <v>90979</v>
      </c>
      <c r="AS140" s="32">
        <v>27895</v>
      </c>
      <c r="AT140" s="32">
        <v>44344</v>
      </c>
      <c r="AU140" s="32">
        <v>29042</v>
      </c>
      <c r="AV140" s="32">
        <v>0</v>
      </c>
      <c r="AW140" s="32">
        <v>67712</v>
      </c>
      <c r="AX140" s="32">
        <v>0</v>
      </c>
      <c r="AY140" s="32">
        <v>0</v>
      </c>
      <c r="AZ140" s="32">
        <v>0</v>
      </c>
      <c r="BA140" s="32">
        <v>0</v>
      </c>
      <c r="BB140" s="32">
        <v>28088</v>
      </c>
      <c r="BC140" s="32">
        <v>50174</v>
      </c>
      <c r="BD140" s="34">
        <f>IFERROR(SUM(Cons_Metrics[[#This Row],[Operating surplus/(deficit) (social housing lettings)]])/SUM(Cons_Metrics[[#This Row],[Turnover from social housing lettings]]),"")</f>
        <v>0.31629118967114023</v>
      </c>
      <c r="BE140" s="32">
        <v>115433</v>
      </c>
      <c r="BF140" s="32">
        <v>364958</v>
      </c>
      <c r="BG140" s="34">
        <f>IFERROR(SUM(Cons_Metrics[[#This Row],[Operating surplus/(deficit) (overall)2]],-Cons_Metrics[[#This Row],[Gain/(loss) on disposal of fixed assets (housing properties)2]])/SUM(Cons_Metrics[[#This Row],[Turnover (overall)]]),"")</f>
        <v>0.27939507699482868</v>
      </c>
      <c r="BH140" s="32">
        <v>212305</v>
      </c>
      <c r="BI140" s="32">
        <v>42171</v>
      </c>
      <c r="BJ140" s="32">
        <v>608937</v>
      </c>
      <c r="BK140" s="34">
        <f>IFERROR(SUM(Cons_Metrics[[#This Row],[Operating surplus/(deficit) (overall)3]],Cons_Metrics[[#This Row],[Share of operating surplus/(deficit) in joint ventures or associates]])/SUM(Cons_Metrics[[#This Row],[Total assets less current liabilities]]),"")</f>
        <v>3.4730407268642946E-2</v>
      </c>
      <c r="BL140" s="32">
        <v>212305</v>
      </c>
      <c r="BM140" s="32">
        <v>0</v>
      </c>
      <c r="BN140" s="32">
        <v>6112943</v>
      </c>
      <c r="BO140" s="34">
        <v>5.239240844693932E-2</v>
      </c>
      <c r="BP140" s="34">
        <v>2.1035099623712295E-2</v>
      </c>
      <c r="BQ140" s="6" t="s">
        <v>82</v>
      </c>
      <c r="BR140" s="6" t="s">
        <v>83</v>
      </c>
      <c r="BS140" s="6" t="s">
        <v>83</v>
      </c>
      <c r="BT140" s="6" t="s">
        <v>156</v>
      </c>
      <c r="BU140" s="8">
        <v>1.2394262793253663</v>
      </c>
    </row>
    <row r="141" spans="1:73" x14ac:dyDescent="0.25">
      <c r="A141" s="33" t="s">
        <v>371</v>
      </c>
      <c r="B141" s="7" t="s">
        <v>372</v>
      </c>
      <c r="C141" s="7" t="s">
        <v>81</v>
      </c>
      <c r="D14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4.8557501202954038E-2</v>
      </c>
      <c r="E141" s="32">
        <v>5205</v>
      </c>
      <c r="F141" s="32">
        <v>381</v>
      </c>
      <c r="G141" s="32">
        <v>3698</v>
      </c>
      <c r="H141" s="32">
        <v>0</v>
      </c>
      <c r="I141" s="32">
        <v>0</v>
      </c>
      <c r="J141" s="32">
        <v>191196</v>
      </c>
      <c r="K141" s="32">
        <v>0</v>
      </c>
      <c r="L14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1.0218745010378413E-2</v>
      </c>
      <c r="M141" s="32">
        <v>64</v>
      </c>
      <c r="N141" s="32">
        <v>0</v>
      </c>
      <c r="O141" s="32">
        <v>5395</v>
      </c>
      <c r="P141" s="32">
        <v>868</v>
      </c>
      <c r="Q14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1" s="32">
        <v>0</v>
      </c>
      <c r="S141" s="32">
        <v>0</v>
      </c>
      <c r="T141" s="32">
        <v>0</v>
      </c>
      <c r="U141" s="32">
        <v>5395</v>
      </c>
      <c r="V141" s="32">
        <v>0</v>
      </c>
      <c r="W141" s="32">
        <v>868</v>
      </c>
      <c r="X141" s="32">
        <v>0</v>
      </c>
      <c r="Y14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0.29790895207012696</v>
      </c>
      <c r="Z141" s="32">
        <v>0</v>
      </c>
      <c r="AA141" s="32">
        <v>64763</v>
      </c>
      <c r="AB141" s="32">
        <v>7804</v>
      </c>
      <c r="AC141" s="32">
        <v>0</v>
      </c>
      <c r="AD141" s="32">
        <v>0</v>
      </c>
      <c r="AE141" s="32">
        <v>191196</v>
      </c>
      <c r="AF141" s="32">
        <v>0</v>
      </c>
      <c r="AG14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0.70108786610878659</v>
      </c>
      <c r="AH141" s="32">
        <v>10943</v>
      </c>
      <c r="AI141" s="32">
        <v>3020</v>
      </c>
      <c r="AJ141" s="32">
        <v>42</v>
      </c>
      <c r="AK141" s="32">
        <v>0</v>
      </c>
      <c r="AL141" s="32">
        <v>29</v>
      </c>
      <c r="AM141" s="32">
        <v>3698</v>
      </c>
      <c r="AN141" s="32">
        <v>4166</v>
      </c>
      <c r="AO141" s="32">
        <v>-83</v>
      </c>
      <c r="AP141" s="32">
        <v>-11867</v>
      </c>
      <c r="AQ14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4.4950880444856347</v>
      </c>
      <c r="AR141" s="32">
        <v>5016</v>
      </c>
      <c r="AS141" s="32">
        <v>4165</v>
      </c>
      <c r="AT141" s="32">
        <v>5530</v>
      </c>
      <c r="AU141" s="32">
        <v>2989</v>
      </c>
      <c r="AV141" s="32">
        <v>1155</v>
      </c>
      <c r="AW141" s="32">
        <v>3698</v>
      </c>
      <c r="AX141" s="32">
        <v>896</v>
      </c>
      <c r="AY141" s="32">
        <v>336</v>
      </c>
      <c r="AZ141" s="32">
        <v>0</v>
      </c>
      <c r="BA141" s="32">
        <v>466</v>
      </c>
      <c r="BB141" s="32">
        <v>0</v>
      </c>
      <c r="BC141" s="32">
        <v>5395</v>
      </c>
      <c r="BD141" s="34">
        <f>IFERROR(SUM(Cons_Metrics[[#This Row],[Operating surplus/(deficit) (social housing lettings)]])/SUM(Cons_Metrics[[#This Row],[Turnover from social housing lettings]]),"")</f>
        <v>0.25465720441008743</v>
      </c>
      <c r="BE141" s="32">
        <v>8038</v>
      </c>
      <c r="BF141" s="32">
        <v>31564</v>
      </c>
      <c r="BG141" s="34">
        <f>IFERROR(SUM(Cons_Metrics[[#This Row],[Operating surplus/(deficit) (overall)2]],-Cons_Metrics[[#This Row],[Gain/(loss) on disposal of fixed assets (housing properties)2]])/SUM(Cons_Metrics[[#This Row],[Turnover (overall)]]),"")</f>
        <v>0.2384363056366427</v>
      </c>
      <c r="BH141" s="32">
        <v>10943</v>
      </c>
      <c r="BI141" s="32">
        <v>3020</v>
      </c>
      <c r="BJ141" s="32">
        <v>33229</v>
      </c>
      <c r="BK141" s="34">
        <f>IFERROR(SUM(Cons_Metrics[[#This Row],[Operating surplus/(deficit) (overall)3]],Cons_Metrics[[#This Row],[Share of operating surplus/(deficit) in joint ventures or associates]])/SUM(Cons_Metrics[[#This Row],[Total assets less current liabilities]]),"")</f>
        <v>5.3271605839771391E-2</v>
      </c>
      <c r="BL141" s="32">
        <v>10943</v>
      </c>
      <c r="BM141" s="32">
        <v>0</v>
      </c>
      <c r="BN141" s="32">
        <v>205419</v>
      </c>
      <c r="BO141" s="34">
        <v>0</v>
      </c>
      <c r="BP141" s="34">
        <v>0</v>
      </c>
      <c r="BQ141" s="6" t="s">
        <v>93</v>
      </c>
      <c r="BR141" s="6">
        <v>2007</v>
      </c>
      <c r="BS141" s="6" t="s">
        <v>120</v>
      </c>
      <c r="BT141" s="6" t="s">
        <v>156</v>
      </c>
      <c r="BU141" s="8">
        <v>1.2488627787394371</v>
      </c>
    </row>
    <row r="142" spans="1:73" x14ac:dyDescent="0.25">
      <c r="A142" s="33" t="s">
        <v>373</v>
      </c>
      <c r="B142" s="7" t="s">
        <v>374</v>
      </c>
      <c r="C142" s="7" t="s">
        <v>81</v>
      </c>
      <c r="D14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0.12550589281743385</v>
      </c>
      <c r="E142" s="32">
        <v>7537</v>
      </c>
      <c r="F142" s="32">
        <v>0</v>
      </c>
      <c r="G142" s="32">
        <v>929</v>
      </c>
      <c r="H142" s="32">
        <v>0</v>
      </c>
      <c r="I142" s="32">
        <v>0</v>
      </c>
      <c r="J142" s="32">
        <v>67455</v>
      </c>
      <c r="K142" s="32">
        <v>0</v>
      </c>
      <c r="L14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3.0350194552529183E-2</v>
      </c>
      <c r="M142" s="32">
        <v>39</v>
      </c>
      <c r="N142" s="32">
        <v>0</v>
      </c>
      <c r="O142" s="32">
        <v>1285</v>
      </c>
      <c r="P142" s="32">
        <v>0</v>
      </c>
      <c r="Q14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2" s="32">
        <v>0</v>
      </c>
      <c r="S142" s="32">
        <v>0</v>
      </c>
      <c r="T142" s="32">
        <v>0</v>
      </c>
      <c r="U142" s="32">
        <v>1285</v>
      </c>
      <c r="V142" s="32">
        <v>0</v>
      </c>
      <c r="W142" s="32">
        <v>0</v>
      </c>
      <c r="X142" s="32">
        <v>0</v>
      </c>
      <c r="Y14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0.13265139722778149</v>
      </c>
      <c r="Z142" s="32">
        <v>585</v>
      </c>
      <c r="AA142" s="32">
        <v>15260</v>
      </c>
      <c r="AB142" s="32">
        <v>6897</v>
      </c>
      <c r="AC142" s="32">
        <v>0</v>
      </c>
      <c r="AD142" s="32">
        <v>0</v>
      </c>
      <c r="AE142" s="32">
        <v>67455</v>
      </c>
      <c r="AF142" s="32">
        <v>0</v>
      </c>
      <c r="AG14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4.502688172043011</v>
      </c>
      <c r="AH142" s="32">
        <v>1645</v>
      </c>
      <c r="AI142" s="32">
        <v>0</v>
      </c>
      <c r="AJ142" s="32">
        <v>322</v>
      </c>
      <c r="AK142" s="32">
        <v>0</v>
      </c>
      <c r="AL142" s="32">
        <v>60</v>
      </c>
      <c r="AM142" s="32">
        <v>930</v>
      </c>
      <c r="AN142" s="32">
        <v>1222</v>
      </c>
      <c r="AO142" s="32">
        <v>0</v>
      </c>
      <c r="AP142" s="32">
        <v>-372</v>
      </c>
      <c r="AQ14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4.1063829787234045</v>
      </c>
      <c r="AR142" s="32">
        <v>1695</v>
      </c>
      <c r="AS142" s="32">
        <v>1356</v>
      </c>
      <c r="AT142" s="32">
        <v>632</v>
      </c>
      <c r="AU142" s="32">
        <v>494</v>
      </c>
      <c r="AV142" s="32">
        <v>217</v>
      </c>
      <c r="AW142" s="32">
        <v>930</v>
      </c>
      <c r="AX142" s="32">
        <v>80</v>
      </c>
      <c r="AY142" s="32">
        <v>0</v>
      </c>
      <c r="AZ142" s="32">
        <v>0</v>
      </c>
      <c r="BA142" s="32">
        <v>0</v>
      </c>
      <c r="BB142" s="32">
        <v>0</v>
      </c>
      <c r="BC142" s="32">
        <v>1316</v>
      </c>
      <c r="BD142" s="34">
        <f>IFERROR(SUM(Cons_Metrics[[#This Row],[Operating surplus/(deficit) (social housing lettings)]])/SUM(Cons_Metrics[[#This Row],[Turnover from social housing lettings]]),"")</f>
        <v>0.20792211256335022</v>
      </c>
      <c r="BE142" s="32">
        <v>1559</v>
      </c>
      <c r="BF142" s="32">
        <v>7498</v>
      </c>
      <c r="BG142" s="34">
        <f>IFERROR(SUM(Cons_Metrics[[#This Row],[Operating surplus/(deficit) (overall)2]],-Cons_Metrics[[#This Row],[Gain/(loss) on disposal of fixed assets (housing properties)2]])/SUM(Cons_Metrics[[#This Row],[Turnover (overall)]]),"")</f>
        <v>0.21690400843881857</v>
      </c>
      <c r="BH142" s="32">
        <v>1645</v>
      </c>
      <c r="BI142" s="32">
        <v>0</v>
      </c>
      <c r="BJ142" s="32">
        <v>7584</v>
      </c>
      <c r="BK142" s="34">
        <f>IFERROR(SUM(Cons_Metrics[[#This Row],[Operating surplus/(deficit) (overall)3]],Cons_Metrics[[#This Row],[Share of operating surplus/(deficit) in joint ventures or associates]])/SUM(Cons_Metrics[[#This Row],[Total assets less current liabilities]]),"")</f>
        <v>2.2146530601254745E-2</v>
      </c>
      <c r="BL142" s="32">
        <v>1645</v>
      </c>
      <c r="BM142" s="32">
        <v>0</v>
      </c>
      <c r="BN142" s="32">
        <v>74278</v>
      </c>
      <c r="BO142" s="34">
        <v>0</v>
      </c>
      <c r="BP142" s="34">
        <v>0.14875389408099687</v>
      </c>
      <c r="BQ142" s="6" t="s">
        <v>82</v>
      </c>
      <c r="BR142" s="6" t="s">
        <v>83</v>
      </c>
      <c r="BS142" s="6" t="s">
        <v>83</v>
      </c>
      <c r="BT142" s="6" t="s">
        <v>108</v>
      </c>
      <c r="BU142" s="8">
        <v>0.94807909763407583</v>
      </c>
    </row>
    <row r="143" spans="1:73" x14ac:dyDescent="0.25">
      <c r="A143" s="33" t="s">
        <v>375</v>
      </c>
      <c r="B143" s="7" t="s">
        <v>376</v>
      </c>
      <c r="C143" s="7" t="s">
        <v>81</v>
      </c>
      <c r="D14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1.8810915033448158E-2</v>
      </c>
      <c r="E143" s="32">
        <v>0</v>
      </c>
      <c r="F143" s="32">
        <v>775</v>
      </c>
      <c r="G143" s="32">
        <v>825</v>
      </c>
      <c r="H143" s="32">
        <v>0</v>
      </c>
      <c r="I143" s="32">
        <v>0</v>
      </c>
      <c r="J143" s="32">
        <v>85057</v>
      </c>
      <c r="K143" s="32">
        <v>0</v>
      </c>
      <c r="L14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2.3952095808383233E-3</v>
      </c>
      <c r="M143" s="32">
        <v>6</v>
      </c>
      <c r="N143" s="32">
        <v>0</v>
      </c>
      <c r="O143" s="32">
        <v>2505</v>
      </c>
      <c r="P143" s="32">
        <v>0</v>
      </c>
      <c r="Q14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2.8839221341023791E-3</v>
      </c>
      <c r="R143" s="32">
        <v>8</v>
      </c>
      <c r="S143" s="32">
        <v>0</v>
      </c>
      <c r="T143" s="32">
        <v>0</v>
      </c>
      <c r="U143" s="32">
        <v>2505</v>
      </c>
      <c r="V143" s="32">
        <v>269</v>
      </c>
      <c r="W143" s="32">
        <v>0</v>
      </c>
      <c r="X143" s="32">
        <v>0</v>
      </c>
      <c r="Y14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0.15112218864996413</v>
      </c>
      <c r="Z143" s="32">
        <v>1336</v>
      </c>
      <c r="AA143" s="32">
        <v>15385</v>
      </c>
      <c r="AB143" s="32">
        <v>3867</v>
      </c>
      <c r="AC143" s="32">
        <v>0</v>
      </c>
      <c r="AD143" s="32">
        <v>0</v>
      </c>
      <c r="AE143" s="32">
        <v>85057</v>
      </c>
      <c r="AF143" s="32">
        <v>0</v>
      </c>
      <c r="AG14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6.7730496453900706</v>
      </c>
      <c r="AH143" s="32">
        <v>4654</v>
      </c>
      <c r="AI143" s="32">
        <v>0</v>
      </c>
      <c r="AJ143" s="32">
        <v>0</v>
      </c>
      <c r="AK143" s="32">
        <v>591</v>
      </c>
      <c r="AL143" s="32">
        <v>19</v>
      </c>
      <c r="AM143" s="32">
        <v>825</v>
      </c>
      <c r="AN143" s="32">
        <v>1518</v>
      </c>
      <c r="AO143" s="32">
        <v>-1</v>
      </c>
      <c r="AP143" s="32">
        <v>-704</v>
      </c>
      <c r="AQ14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3.1564870259481039</v>
      </c>
      <c r="AR143" s="32">
        <v>2524</v>
      </c>
      <c r="AS143" s="32">
        <v>600</v>
      </c>
      <c r="AT143" s="32">
        <v>2088</v>
      </c>
      <c r="AU143" s="32">
        <v>0</v>
      </c>
      <c r="AV143" s="32">
        <v>1507</v>
      </c>
      <c r="AW143" s="32">
        <v>825</v>
      </c>
      <c r="AX143" s="32">
        <v>102</v>
      </c>
      <c r="AY143" s="32">
        <v>0</v>
      </c>
      <c r="AZ143" s="32">
        <v>0</v>
      </c>
      <c r="BA143" s="32">
        <v>261</v>
      </c>
      <c r="BB143" s="32">
        <v>0</v>
      </c>
      <c r="BC143" s="32">
        <v>2505</v>
      </c>
      <c r="BD143" s="34">
        <f>IFERROR(SUM(Cons_Metrics[[#This Row],[Operating surplus/(deficit) (social housing lettings)]])/SUM(Cons_Metrics[[#This Row],[Turnover from social housing lettings]]),"")</f>
        <v>0.33993635640413683</v>
      </c>
      <c r="BE143" s="32">
        <v>4273</v>
      </c>
      <c r="BF143" s="32">
        <v>12570</v>
      </c>
      <c r="BG143" s="34">
        <f>IFERROR(SUM(Cons_Metrics[[#This Row],[Operating surplus/(deficit) (overall)2]],-Cons_Metrics[[#This Row],[Gain/(loss) on disposal of fixed assets (housing properties)2]])/SUM(Cons_Metrics[[#This Row],[Turnover (overall)]]),"")</f>
        <v>0.34296241709653646</v>
      </c>
      <c r="BH143" s="32">
        <v>4654</v>
      </c>
      <c r="BI143" s="32">
        <v>0</v>
      </c>
      <c r="BJ143" s="32">
        <v>13570</v>
      </c>
      <c r="BK143" s="34">
        <f>IFERROR(SUM(Cons_Metrics[[#This Row],[Operating surplus/(deficit) (overall)3]],Cons_Metrics[[#This Row],[Share of operating surplus/(deficit) in joint ventures or associates]])/SUM(Cons_Metrics[[#This Row],[Total assets less current liabilities]]),"")</f>
        <v>4.4319166563502869E-2</v>
      </c>
      <c r="BL143" s="32">
        <v>4654</v>
      </c>
      <c r="BM143" s="32">
        <v>0</v>
      </c>
      <c r="BN143" s="32">
        <v>105011</v>
      </c>
      <c r="BO143" s="34">
        <v>2.24E-2</v>
      </c>
      <c r="BP143" s="34">
        <v>8.2400000000000001E-2</v>
      </c>
      <c r="BQ143" s="6" t="s">
        <v>82</v>
      </c>
      <c r="BR143" s="6" t="s">
        <v>83</v>
      </c>
      <c r="BS143" s="6" t="s">
        <v>83</v>
      </c>
      <c r="BT143" s="6" t="s">
        <v>105</v>
      </c>
      <c r="BU143" s="8">
        <v>0.9156653862445665</v>
      </c>
    </row>
    <row r="144" spans="1:73" x14ac:dyDescent="0.25">
      <c r="A144" s="33" t="s">
        <v>377</v>
      </c>
      <c r="B144" s="7" t="s">
        <v>378</v>
      </c>
      <c r="C144" s="7" t="s">
        <v>81</v>
      </c>
      <c r="D14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0.10605087753221788</v>
      </c>
      <c r="E144" s="32">
        <v>52193</v>
      </c>
      <c r="F144" s="32">
        <v>250992</v>
      </c>
      <c r="G144" s="32">
        <v>69100</v>
      </c>
      <c r="H144" s="32">
        <v>662</v>
      </c>
      <c r="I144" s="32">
        <v>0</v>
      </c>
      <c r="J144" s="32">
        <v>3516680</v>
      </c>
      <c r="K144" s="32">
        <v>0</v>
      </c>
      <c r="L14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1.3848227780879369E-2</v>
      </c>
      <c r="M144" s="32">
        <v>1017</v>
      </c>
      <c r="N144" s="32">
        <v>0</v>
      </c>
      <c r="O144" s="32">
        <v>66588</v>
      </c>
      <c r="P144" s="32">
        <v>6851</v>
      </c>
      <c r="Q14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6.6854151234761652E-3</v>
      </c>
      <c r="R144" s="32">
        <v>555</v>
      </c>
      <c r="S144" s="32">
        <v>0</v>
      </c>
      <c r="T144" s="32">
        <v>510</v>
      </c>
      <c r="U144" s="32">
        <v>66588</v>
      </c>
      <c r="V144" s="32">
        <v>9877</v>
      </c>
      <c r="W144" s="32">
        <v>6851</v>
      </c>
      <c r="X144" s="32">
        <v>75986</v>
      </c>
      <c r="Y14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0.8028452972690151</v>
      </c>
      <c r="Z144" s="32">
        <v>128881</v>
      </c>
      <c r="AA144" s="32">
        <v>2540837</v>
      </c>
      <c r="AB144" s="32">
        <v>72436</v>
      </c>
      <c r="AC144" s="32">
        <v>0</v>
      </c>
      <c r="AD144" s="32">
        <v>226068</v>
      </c>
      <c r="AE144" s="32">
        <v>3516680</v>
      </c>
      <c r="AF144" s="32">
        <v>0</v>
      </c>
      <c r="AG14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1.2682721455035366</v>
      </c>
      <c r="AH144" s="32">
        <v>193520</v>
      </c>
      <c r="AI144" s="32">
        <v>8978</v>
      </c>
      <c r="AJ144" s="32">
        <v>15714</v>
      </c>
      <c r="AK144" s="32">
        <v>0</v>
      </c>
      <c r="AL144" s="32">
        <v>13010</v>
      </c>
      <c r="AM144" s="32">
        <v>69100</v>
      </c>
      <c r="AN144" s="32">
        <v>45413</v>
      </c>
      <c r="AO144" s="32">
        <v>-662</v>
      </c>
      <c r="AP144" s="32">
        <v>-124036</v>
      </c>
      <c r="AQ14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3.1476655011312551</v>
      </c>
      <c r="AR144" s="32">
        <v>44561</v>
      </c>
      <c r="AS144" s="32">
        <v>28545</v>
      </c>
      <c r="AT144" s="32">
        <v>36745</v>
      </c>
      <c r="AU144" s="32">
        <v>12415</v>
      </c>
      <c r="AV144" s="32">
        <v>4661</v>
      </c>
      <c r="AW144" s="32">
        <v>69100</v>
      </c>
      <c r="AX144" s="32">
        <v>5462</v>
      </c>
      <c r="AY144" s="32">
        <v>0</v>
      </c>
      <c r="AZ144" s="32">
        <v>0</v>
      </c>
      <c r="BA144" s="32">
        <v>1619</v>
      </c>
      <c r="BB144" s="32">
        <v>11141</v>
      </c>
      <c r="BC144" s="32">
        <v>68066</v>
      </c>
      <c r="BD144" s="34">
        <f>IFERROR(SUM(Cons_Metrics[[#This Row],[Operating surplus/(deficit) (social housing lettings)]])/SUM(Cons_Metrics[[#This Row],[Turnover from social housing lettings]]),"")</f>
        <v>0.48041075800816574</v>
      </c>
      <c r="BE144" s="32">
        <v>151670</v>
      </c>
      <c r="BF144" s="32">
        <v>315709</v>
      </c>
      <c r="BG144" s="34">
        <f>IFERROR(SUM(Cons_Metrics[[#This Row],[Operating surplus/(deficit) (overall)2]],-Cons_Metrics[[#This Row],[Gain/(loss) on disposal of fixed assets (housing properties)2]])/SUM(Cons_Metrics[[#This Row],[Turnover (overall)]]),"")</f>
        <v>0.24462413340579806</v>
      </c>
      <c r="BH144" s="32">
        <v>193520</v>
      </c>
      <c r="BI144" s="32">
        <v>8978</v>
      </c>
      <c r="BJ144" s="32">
        <v>754390</v>
      </c>
      <c r="BK144" s="34">
        <f>IFERROR(SUM(Cons_Metrics[[#This Row],[Operating surplus/(deficit) (overall)3]],Cons_Metrics[[#This Row],[Share of operating surplus/(deficit) in joint ventures or associates]])/SUM(Cons_Metrics[[#This Row],[Total assets less current liabilities]]),"")</f>
        <v>4.0933964407342149E-2</v>
      </c>
      <c r="BL144" s="32">
        <v>193520</v>
      </c>
      <c r="BM144" s="32">
        <v>1980</v>
      </c>
      <c r="BN144" s="32">
        <v>4775985</v>
      </c>
      <c r="BO144" s="34">
        <v>4.6339342452924849E-2</v>
      </c>
      <c r="BP144" s="34">
        <v>3.4248637078163148E-2</v>
      </c>
      <c r="BQ144" s="6" t="s">
        <v>82</v>
      </c>
      <c r="BR144" s="6" t="s">
        <v>83</v>
      </c>
      <c r="BS144" s="6" t="s">
        <v>83</v>
      </c>
      <c r="BT144" s="6" t="s">
        <v>87</v>
      </c>
      <c r="BU144" s="8">
        <v>0.96247142987233958</v>
      </c>
    </row>
    <row r="145" spans="1:73" x14ac:dyDescent="0.25">
      <c r="A145" s="33" t="s">
        <v>379</v>
      </c>
      <c r="B145" s="7" t="s">
        <v>380</v>
      </c>
      <c r="C145" s="7" t="s">
        <v>134</v>
      </c>
      <c r="D145" s="34" t="str">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
      </c>
      <c r="E145" s="32">
        <v>0</v>
      </c>
      <c r="F145" s="32">
        <v>0</v>
      </c>
      <c r="G145" s="32">
        <v>0</v>
      </c>
      <c r="H145" s="32">
        <v>0</v>
      </c>
      <c r="I145" s="32">
        <v>0</v>
      </c>
      <c r="J145" s="32">
        <v>0</v>
      </c>
      <c r="K145" s="32">
        <v>0</v>
      </c>
      <c r="L14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45" s="32">
        <v>0</v>
      </c>
      <c r="N145" s="32">
        <v>0</v>
      </c>
      <c r="O145" s="32">
        <v>1716</v>
      </c>
      <c r="P145" s="32">
        <v>0</v>
      </c>
      <c r="Q14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5" s="32">
        <v>0</v>
      </c>
      <c r="S145" s="32">
        <v>0</v>
      </c>
      <c r="T145" s="32">
        <v>0</v>
      </c>
      <c r="U145" s="32">
        <v>1716</v>
      </c>
      <c r="V145" s="32">
        <v>0</v>
      </c>
      <c r="W145" s="32">
        <v>0</v>
      </c>
      <c r="X145" s="32">
        <v>0</v>
      </c>
      <c r="Y145" s="34" t="str">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
      </c>
      <c r="Z145" s="32">
        <v>0</v>
      </c>
      <c r="AA145" s="32">
        <v>0</v>
      </c>
      <c r="AB145" s="32">
        <v>2510</v>
      </c>
      <c r="AC145" s="32">
        <v>6284</v>
      </c>
      <c r="AD145" s="32">
        <v>0</v>
      </c>
      <c r="AE145" s="32">
        <v>0</v>
      </c>
      <c r="AF145" s="32">
        <v>0</v>
      </c>
      <c r="AG14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-1.0807174887892377</v>
      </c>
      <c r="AH145" s="32">
        <v>-378</v>
      </c>
      <c r="AI145" s="32">
        <v>0</v>
      </c>
      <c r="AJ145" s="32">
        <v>0</v>
      </c>
      <c r="AK145" s="32">
        <v>0</v>
      </c>
      <c r="AL145" s="32">
        <v>126</v>
      </c>
      <c r="AM145" s="32">
        <v>0</v>
      </c>
      <c r="AN145" s="32">
        <v>11</v>
      </c>
      <c r="AO145" s="32">
        <v>0</v>
      </c>
      <c r="AP145" s="32">
        <v>-223</v>
      </c>
      <c r="AQ14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6.8531468531468533</v>
      </c>
      <c r="AR145" s="32">
        <v>290</v>
      </c>
      <c r="AS145" s="32">
        <v>0</v>
      </c>
      <c r="AT145" s="32">
        <v>1453</v>
      </c>
      <c r="AU145" s="32">
        <v>0</v>
      </c>
      <c r="AV145" s="32">
        <v>0</v>
      </c>
      <c r="AW145" s="32">
        <v>0</v>
      </c>
      <c r="AX145" s="32">
        <v>10017</v>
      </c>
      <c r="AY145" s="32">
        <v>0</v>
      </c>
      <c r="AZ145" s="32">
        <v>0</v>
      </c>
      <c r="BA145" s="32">
        <v>0</v>
      </c>
      <c r="BB145" s="32">
        <v>0</v>
      </c>
      <c r="BC145" s="32">
        <v>1716</v>
      </c>
      <c r="BD145" s="34">
        <f>IFERROR(SUM(Cons_Metrics[[#This Row],[Operating surplus/(deficit) (social housing lettings)]])/SUM(Cons_Metrics[[#This Row],[Turnover from social housing lettings]]),"")</f>
        <v>-1.0554531747361368E-2</v>
      </c>
      <c r="BE145" s="32">
        <v>-126</v>
      </c>
      <c r="BF145" s="32">
        <v>11938</v>
      </c>
      <c r="BG145" s="34">
        <f>IFERROR(SUM(Cons_Metrics[[#This Row],[Operating surplus/(deficit) (overall)2]],-Cons_Metrics[[#This Row],[Gain/(loss) on disposal of fixed assets (housing properties)2]])/SUM(Cons_Metrics[[#This Row],[Turnover (overall)]]),"")</f>
        <v>-3.1663595242084099E-2</v>
      </c>
      <c r="BH145" s="32">
        <v>-378</v>
      </c>
      <c r="BI145" s="32">
        <v>0</v>
      </c>
      <c r="BJ145" s="32">
        <v>11938</v>
      </c>
      <c r="BK145" s="34">
        <f>IFERROR(SUM(Cons_Metrics[[#This Row],[Operating surplus/(deficit) (overall)3]],Cons_Metrics[[#This Row],[Share of operating surplus/(deficit) in joint ventures or associates]])/SUM(Cons_Metrics[[#This Row],[Total assets less current liabilities]]),"")</f>
        <v>-0.23261538461538461</v>
      </c>
      <c r="BL145" s="32">
        <v>-378</v>
      </c>
      <c r="BM145" s="32">
        <v>0</v>
      </c>
      <c r="BN145" s="32">
        <v>1625</v>
      </c>
      <c r="BO145" s="34">
        <v>0</v>
      </c>
      <c r="BP145" s="34">
        <v>0</v>
      </c>
      <c r="BQ145" s="6" t="s">
        <v>82</v>
      </c>
      <c r="BR145" s="6" t="s">
        <v>83</v>
      </c>
      <c r="BS145" s="6" t="s">
        <v>83</v>
      </c>
      <c r="BT145" s="6" t="s">
        <v>87</v>
      </c>
      <c r="BU145" s="8">
        <v>1.0302716472882838</v>
      </c>
    </row>
    <row r="146" spans="1:73" x14ac:dyDescent="0.25">
      <c r="A146" s="33" t="s">
        <v>381</v>
      </c>
      <c r="B146" s="7" t="s">
        <v>382</v>
      </c>
      <c r="C146" s="7" t="s">
        <v>81</v>
      </c>
      <c r="D14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4.5452849009615451E-2</v>
      </c>
      <c r="E146" s="32">
        <v>18111</v>
      </c>
      <c r="F146" s="32">
        <v>0</v>
      </c>
      <c r="G146" s="32">
        <v>8682</v>
      </c>
      <c r="H146" s="32">
        <v>0</v>
      </c>
      <c r="I146" s="32">
        <v>0</v>
      </c>
      <c r="J146" s="32">
        <v>589468</v>
      </c>
      <c r="K146" s="32">
        <v>0</v>
      </c>
      <c r="L14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1.0280015343306482E-2</v>
      </c>
      <c r="M146" s="32">
        <v>134</v>
      </c>
      <c r="N146" s="32">
        <v>0</v>
      </c>
      <c r="O146" s="32">
        <v>13035</v>
      </c>
      <c r="P146" s="32">
        <v>0</v>
      </c>
      <c r="Q14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5.3292729349067381E-4</v>
      </c>
      <c r="R146" s="32">
        <v>7</v>
      </c>
      <c r="S146" s="32">
        <v>0</v>
      </c>
      <c r="T146" s="32">
        <v>0</v>
      </c>
      <c r="U146" s="32">
        <v>13035</v>
      </c>
      <c r="V146" s="32">
        <v>100</v>
      </c>
      <c r="W146" s="32">
        <v>0</v>
      </c>
      <c r="X146" s="32">
        <v>0</v>
      </c>
      <c r="Y14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0.48619263471469187</v>
      </c>
      <c r="Z146" s="32">
        <v>12871</v>
      </c>
      <c r="AA146" s="32">
        <v>278495</v>
      </c>
      <c r="AB146" s="32">
        <v>4771</v>
      </c>
      <c r="AC146" s="32">
        <v>0</v>
      </c>
      <c r="AD146" s="32">
        <v>0</v>
      </c>
      <c r="AE146" s="32">
        <v>589468</v>
      </c>
      <c r="AF146" s="32">
        <v>0</v>
      </c>
      <c r="AG14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1.3538941283845451</v>
      </c>
      <c r="AH146" s="32">
        <v>17887</v>
      </c>
      <c r="AI146" s="32">
        <v>1007</v>
      </c>
      <c r="AJ146" s="32">
        <v>3018</v>
      </c>
      <c r="AK146" s="32">
        <v>0</v>
      </c>
      <c r="AL146" s="32">
        <v>10</v>
      </c>
      <c r="AM146" s="32">
        <v>8686</v>
      </c>
      <c r="AN146" s="32">
        <v>12615</v>
      </c>
      <c r="AO146" s="32">
        <v>-136</v>
      </c>
      <c r="AP146" s="32">
        <v>-13012</v>
      </c>
      <c r="AQ14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3.3426927502876871</v>
      </c>
      <c r="AR146" s="32">
        <v>9695</v>
      </c>
      <c r="AS146" s="32">
        <v>4373</v>
      </c>
      <c r="AT146" s="32">
        <v>15437</v>
      </c>
      <c r="AU146" s="32">
        <v>0</v>
      </c>
      <c r="AV146" s="32">
        <v>1326</v>
      </c>
      <c r="AW146" s="32">
        <v>8686</v>
      </c>
      <c r="AX146" s="32">
        <v>75</v>
      </c>
      <c r="AY146" s="32">
        <v>0</v>
      </c>
      <c r="AZ146" s="32">
        <v>484</v>
      </c>
      <c r="BA146" s="32">
        <v>1477</v>
      </c>
      <c r="BB146" s="32">
        <v>2019</v>
      </c>
      <c r="BC146" s="32">
        <v>13035</v>
      </c>
      <c r="BD146" s="34">
        <f>IFERROR(SUM(Cons_Metrics[[#This Row],[Operating surplus/(deficit) (social housing lettings)]])/SUM(Cons_Metrics[[#This Row],[Turnover from social housing lettings]]),"")</f>
        <v>0.32868922812825702</v>
      </c>
      <c r="BE146" s="32">
        <v>21445</v>
      </c>
      <c r="BF146" s="32">
        <v>65244</v>
      </c>
      <c r="BG146" s="34">
        <f>IFERROR(SUM(Cons_Metrics[[#This Row],[Operating surplus/(deficit) (overall)2]],-Cons_Metrics[[#This Row],[Gain/(loss) on disposal of fixed assets (housing properties)2]])/SUM(Cons_Metrics[[#This Row],[Turnover (overall)]]),"")</f>
        <v>0.21516889738687062</v>
      </c>
      <c r="BH146" s="32">
        <v>17887</v>
      </c>
      <c r="BI146" s="32">
        <v>1007</v>
      </c>
      <c r="BJ146" s="32">
        <v>78450</v>
      </c>
      <c r="BK146" s="34">
        <f>IFERROR(SUM(Cons_Metrics[[#This Row],[Operating surplus/(deficit) (overall)3]],Cons_Metrics[[#This Row],[Share of operating surplus/(deficit) in joint ventures or associates]])/SUM(Cons_Metrics[[#This Row],[Total assets less current liabilities]]),"")</f>
        <v>3.0449325662901171E-2</v>
      </c>
      <c r="BL146" s="32">
        <v>17887</v>
      </c>
      <c r="BM146" s="32">
        <v>19</v>
      </c>
      <c r="BN146" s="32">
        <v>588059</v>
      </c>
      <c r="BO146" s="34">
        <v>3.1635802469135804E-2</v>
      </c>
      <c r="BP146" s="34">
        <v>0.12145061728395062</v>
      </c>
      <c r="BQ146" s="6" t="s">
        <v>82</v>
      </c>
      <c r="BR146" s="6" t="s">
        <v>83</v>
      </c>
      <c r="BS146" s="6" t="s">
        <v>83</v>
      </c>
      <c r="BT146" s="6" t="s">
        <v>105</v>
      </c>
      <c r="BU146" s="8">
        <v>0.91566545983357406</v>
      </c>
    </row>
    <row r="147" spans="1:73" x14ac:dyDescent="0.25">
      <c r="A147" s="33" t="s">
        <v>383</v>
      </c>
      <c r="B147" s="7" t="s">
        <v>384</v>
      </c>
      <c r="C147" s="7" t="s">
        <v>81</v>
      </c>
      <c r="D14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7.4580894610302637E-2</v>
      </c>
      <c r="E147" s="32">
        <v>26131</v>
      </c>
      <c r="F147" s="32">
        <v>0</v>
      </c>
      <c r="G147" s="32">
        <v>10287</v>
      </c>
      <c r="H147" s="32">
        <v>0</v>
      </c>
      <c r="I147" s="32">
        <v>0</v>
      </c>
      <c r="J147" s="32">
        <v>488302</v>
      </c>
      <c r="K147" s="32">
        <v>0</v>
      </c>
      <c r="L14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8.7158220285372887E-3</v>
      </c>
      <c r="M147" s="32">
        <v>124</v>
      </c>
      <c r="N147" s="32">
        <v>0</v>
      </c>
      <c r="O147" s="32">
        <v>14227</v>
      </c>
      <c r="P147" s="32">
        <v>0</v>
      </c>
      <c r="Q14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7" s="32">
        <v>0</v>
      </c>
      <c r="S147" s="32">
        <v>0</v>
      </c>
      <c r="T147" s="32">
        <v>0</v>
      </c>
      <c r="U147" s="32">
        <v>14227</v>
      </c>
      <c r="V147" s="32">
        <v>10</v>
      </c>
      <c r="W147" s="32">
        <v>0</v>
      </c>
      <c r="X147" s="32">
        <v>1621</v>
      </c>
      <c r="Y14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0.19223144693243116</v>
      </c>
      <c r="Z147" s="32">
        <v>0</v>
      </c>
      <c r="AA147" s="32">
        <v>109794</v>
      </c>
      <c r="AB147" s="32">
        <v>15927</v>
      </c>
      <c r="AC147" s="32">
        <v>0</v>
      </c>
      <c r="AD147" s="32">
        <v>0</v>
      </c>
      <c r="AE147" s="32">
        <v>488302</v>
      </c>
      <c r="AF147" s="32">
        <v>0</v>
      </c>
      <c r="AG14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0.33985341169529604</v>
      </c>
      <c r="AH147" s="32">
        <v>7810</v>
      </c>
      <c r="AI147" s="32">
        <v>-1363</v>
      </c>
      <c r="AJ147" s="32">
        <v>706</v>
      </c>
      <c r="AK147" s="32">
        <v>0</v>
      </c>
      <c r="AL147" s="32">
        <v>32</v>
      </c>
      <c r="AM147" s="32">
        <v>10287</v>
      </c>
      <c r="AN147" s="32">
        <v>16765</v>
      </c>
      <c r="AO147" s="32">
        <v>-427</v>
      </c>
      <c r="AP147" s="32">
        <v>-43642</v>
      </c>
      <c r="AQ14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3.5434736768116961</v>
      </c>
      <c r="AR147" s="32">
        <v>8844</v>
      </c>
      <c r="AS147" s="32">
        <v>4183</v>
      </c>
      <c r="AT147" s="32">
        <v>10384</v>
      </c>
      <c r="AU147" s="32">
        <v>4851</v>
      </c>
      <c r="AV147" s="32">
        <v>7053</v>
      </c>
      <c r="AW147" s="32">
        <v>10287</v>
      </c>
      <c r="AX147" s="32">
        <v>3086</v>
      </c>
      <c r="AY147" s="32">
        <v>526</v>
      </c>
      <c r="AZ147" s="32">
        <v>712</v>
      </c>
      <c r="BA147" s="32">
        <v>487</v>
      </c>
      <c r="BB147" s="32">
        <v>0</v>
      </c>
      <c r="BC147" s="32">
        <v>14227</v>
      </c>
      <c r="BD147" s="34">
        <f>IFERROR(SUM(Cons_Metrics[[#This Row],[Operating surplus/(deficit) (social housing lettings)]])/SUM(Cons_Metrics[[#This Row],[Turnover from social housing lettings]]),"")</f>
        <v>0.10301154425296971</v>
      </c>
      <c r="BE147" s="32">
        <v>6157</v>
      </c>
      <c r="BF147" s="32">
        <v>59770</v>
      </c>
      <c r="BG147" s="34">
        <f>IFERROR(SUM(Cons_Metrics[[#This Row],[Operating surplus/(deficit) (overall)2]],-Cons_Metrics[[#This Row],[Gain/(loss) on disposal of fixed assets (housing properties)2]])/SUM(Cons_Metrics[[#This Row],[Turnover (overall)]]),"")</f>
        <v>0.13235315336113235</v>
      </c>
      <c r="BH147" s="32">
        <v>7810</v>
      </c>
      <c r="BI147" s="32">
        <v>-1363</v>
      </c>
      <c r="BJ147" s="32">
        <v>69307</v>
      </c>
      <c r="BK147" s="34">
        <f>IFERROR(SUM(Cons_Metrics[[#This Row],[Operating surplus/(deficit) (overall)3]],Cons_Metrics[[#This Row],[Share of operating surplus/(deficit) in joint ventures or associates]])/SUM(Cons_Metrics[[#This Row],[Total assets less current liabilities]]),"")</f>
        <v>1.4519265447866355E-2</v>
      </c>
      <c r="BL147" s="32">
        <v>7810</v>
      </c>
      <c r="BM147" s="32">
        <v>0</v>
      </c>
      <c r="BN147" s="32">
        <v>537906</v>
      </c>
      <c r="BO147" s="34">
        <v>0.10697707131804754</v>
      </c>
      <c r="BP147" s="34">
        <v>0</v>
      </c>
      <c r="BQ147" s="6" t="s">
        <v>93</v>
      </c>
      <c r="BR147" s="6">
        <v>2009</v>
      </c>
      <c r="BS147" s="6" t="s">
        <v>120</v>
      </c>
      <c r="BT147" s="6" t="s">
        <v>115</v>
      </c>
      <c r="BU147" s="8">
        <v>0.96617455710897804</v>
      </c>
    </row>
    <row r="148" spans="1:73" x14ac:dyDescent="0.25">
      <c r="A148" s="33" t="s">
        <v>385</v>
      </c>
      <c r="B148" s="7" t="s">
        <v>386</v>
      </c>
      <c r="C148" s="7" t="s">
        <v>81</v>
      </c>
      <c r="D14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4.4337886896224268E-2</v>
      </c>
      <c r="E148" s="32">
        <v>9017</v>
      </c>
      <c r="F148" s="32">
        <v>8912</v>
      </c>
      <c r="G148" s="32">
        <v>0</v>
      </c>
      <c r="H148" s="32">
        <v>0</v>
      </c>
      <c r="I148" s="32">
        <v>0</v>
      </c>
      <c r="J148" s="32">
        <v>404372</v>
      </c>
      <c r="K148" s="32">
        <v>0</v>
      </c>
      <c r="L14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8.8417329796640146E-3</v>
      </c>
      <c r="M148" s="32">
        <v>50</v>
      </c>
      <c r="N148" s="32">
        <v>0</v>
      </c>
      <c r="O148" s="32">
        <v>5655</v>
      </c>
      <c r="P148" s="32">
        <v>0</v>
      </c>
      <c r="Q14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8" s="32">
        <v>0</v>
      </c>
      <c r="S148" s="32">
        <v>0</v>
      </c>
      <c r="T148" s="32">
        <v>0</v>
      </c>
      <c r="U148" s="32">
        <v>5655</v>
      </c>
      <c r="V148" s="32">
        <v>0</v>
      </c>
      <c r="W148" s="32">
        <v>0</v>
      </c>
      <c r="X148" s="32">
        <v>0</v>
      </c>
      <c r="Y14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0.65385090955852532</v>
      </c>
      <c r="Z148" s="32">
        <v>0</v>
      </c>
      <c r="AA148" s="32">
        <v>226845</v>
      </c>
      <c r="AB148" s="32">
        <v>14631</v>
      </c>
      <c r="AC148" s="32">
        <v>0</v>
      </c>
      <c r="AD148" s="32">
        <v>52185</v>
      </c>
      <c r="AE148" s="32">
        <v>404372</v>
      </c>
      <c r="AF148" s="32">
        <v>0</v>
      </c>
      <c r="AG14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1.4039623436841366</v>
      </c>
      <c r="AH148" s="32">
        <v>52141</v>
      </c>
      <c r="AI148" s="32">
        <v>39081</v>
      </c>
      <c r="AJ148" s="32">
        <v>2978</v>
      </c>
      <c r="AK148" s="32">
        <v>0</v>
      </c>
      <c r="AL148" s="32">
        <v>383</v>
      </c>
      <c r="AM148" s="32">
        <v>810</v>
      </c>
      <c r="AN148" s="32">
        <v>10329</v>
      </c>
      <c r="AO148" s="32">
        <v>-898</v>
      </c>
      <c r="AP148" s="32">
        <v>-13336</v>
      </c>
      <c r="AQ14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4.6185676392572947</v>
      </c>
      <c r="AR148" s="32">
        <v>9653</v>
      </c>
      <c r="AS148" s="32">
        <v>6503</v>
      </c>
      <c r="AT148" s="32">
        <v>6168</v>
      </c>
      <c r="AU148" s="32">
        <v>688</v>
      </c>
      <c r="AV148" s="32">
        <v>2296</v>
      </c>
      <c r="AW148" s="32">
        <v>810</v>
      </c>
      <c r="AX148" s="32">
        <v>0</v>
      </c>
      <c r="AY148" s="32">
        <v>0</v>
      </c>
      <c r="AZ148" s="32">
        <v>0</v>
      </c>
      <c r="BA148" s="32">
        <v>0</v>
      </c>
      <c r="BB148" s="32">
        <v>0</v>
      </c>
      <c r="BC148" s="32">
        <v>5655</v>
      </c>
      <c r="BD148" s="34">
        <f>IFERROR(SUM(Cons_Metrics[[#This Row],[Operating surplus/(deficit) (social housing lettings)]])/SUM(Cons_Metrics[[#This Row],[Turnover from social housing lettings]]),"")</f>
        <v>0.27601905770248808</v>
      </c>
      <c r="BE148" s="32">
        <v>13035</v>
      </c>
      <c r="BF148" s="32">
        <v>47225</v>
      </c>
      <c r="BG148" s="34">
        <f>IFERROR(SUM(Cons_Metrics[[#This Row],[Operating surplus/(deficit) (overall)2]],-Cons_Metrics[[#This Row],[Gain/(loss) on disposal of fixed assets (housing properties)2]])/SUM(Cons_Metrics[[#This Row],[Turnover (overall)]]),"")</f>
        <v>0.22085059609368393</v>
      </c>
      <c r="BH148" s="32">
        <v>52141</v>
      </c>
      <c r="BI148" s="32">
        <v>39081</v>
      </c>
      <c r="BJ148" s="32">
        <v>59135</v>
      </c>
      <c r="BK148" s="34">
        <f>IFERROR(SUM(Cons_Metrics[[#This Row],[Operating surplus/(deficit) (overall)3]],Cons_Metrics[[#This Row],[Share of operating surplus/(deficit) in joint ventures or associates]])/SUM(Cons_Metrics[[#This Row],[Total assets less current liabilities]]),"")</f>
        <v>0.10906049122368131</v>
      </c>
      <c r="BL148" s="32">
        <v>52141</v>
      </c>
      <c r="BM148" s="32">
        <v>3661</v>
      </c>
      <c r="BN148" s="32">
        <v>511661</v>
      </c>
      <c r="BO148" s="34">
        <v>0</v>
      </c>
      <c r="BP148" s="34">
        <v>0</v>
      </c>
      <c r="BQ148" s="6" t="s">
        <v>93</v>
      </c>
      <c r="BR148" s="6">
        <v>1998</v>
      </c>
      <c r="BS148" s="6" t="s">
        <v>94</v>
      </c>
      <c r="BT148" s="6" t="s">
        <v>156</v>
      </c>
      <c r="BU148" s="8">
        <v>1.2488627787394371</v>
      </c>
    </row>
    <row r="149" spans="1:73" x14ac:dyDescent="0.25">
      <c r="A149" s="33" t="s">
        <v>387</v>
      </c>
      <c r="B149" s="7" t="s">
        <v>388</v>
      </c>
      <c r="C149" s="7" t="s">
        <v>81</v>
      </c>
      <c r="D14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2.6123539893090478E-2</v>
      </c>
      <c r="E149" s="32">
        <v>8711</v>
      </c>
      <c r="F149" s="32">
        <v>0</v>
      </c>
      <c r="G149" s="32">
        <v>4327</v>
      </c>
      <c r="H149" s="32">
        <v>157</v>
      </c>
      <c r="I149" s="32">
        <v>0</v>
      </c>
      <c r="J149" s="32">
        <v>505100</v>
      </c>
      <c r="K149" s="32">
        <v>0</v>
      </c>
      <c r="L14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9.465363012273768E-3</v>
      </c>
      <c r="M149" s="32">
        <v>91</v>
      </c>
      <c r="N149" s="32">
        <v>0</v>
      </c>
      <c r="O149" s="32">
        <v>9423</v>
      </c>
      <c r="P149" s="32">
        <v>191</v>
      </c>
      <c r="Q14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49" s="32">
        <v>0</v>
      </c>
      <c r="S149" s="32">
        <v>0</v>
      </c>
      <c r="T149" s="32">
        <v>0</v>
      </c>
      <c r="U149" s="32">
        <v>9423</v>
      </c>
      <c r="V149" s="32">
        <v>660</v>
      </c>
      <c r="W149" s="32">
        <v>191</v>
      </c>
      <c r="X149" s="32">
        <v>0</v>
      </c>
      <c r="Y14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0.4685804791130469</v>
      </c>
      <c r="Z149" s="32">
        <v>2592</v>
      </c>
      <c r="AA149" s="32">
        <v>245957</v>
      </c>
      <c r="AB149" s="32">
        <v>11948</v>
      </c>
      <c r="AC149" s="32">
        <v>0</v>
      </c>
      <c r="AD149" s="32">
        <v>79</v>
      </c>
      <c r="AE149" s="32">
        <v>505100</v>
      </c>
      <c r="AF149" s="32">
        <v>0</v>
      </c>
      <c r="AG14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2.2848291218898247</v>
      </c>
      <c r="AH149" s="32">
        <v>18093</v>
      </c>
      <c r="AI149" s="32">
        <v>-383</v>
      </c>
      <c r="AJ149" s="32">
        <v>114</v>
      </c>
      <c r="AK149" s="32">
        <v>0</v>
      </c>
      <c r="AL149" s="32">
        <v>248</v>
      </c>
      <c r="AM149" s="32">
        <v>4365</v>
      </c>
      <c r="AN149" s="32">
        <v>9355</v>
      </c>
      <c r="AO149" s="32">
        <v>-157</v>
      </c>
      <c r="AP149" s="32">
        <v>-10172</v>
      </c>
      <c r="AQ14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4.7998728005087976</v>
      </c>
      <c r="AR149" s="32">
        <v>9188</v>
      </c>
      <c r="AS149" s="32">
        <v>9221</v>
      </c>
      <c r="AT149" s="32">
        <v>10390</v>
      </c>
      <c r="AU149" s="32">
        <v>2911</v>
      </c>
      <c r="AV149" s="32">
        <v>3457</v>
      </c>
      <c r="AW149" s="32">
        <v>4365</v>
      </c>
      <c r="AX149" s="32">
        <v>5557</v>
      </c>
      <c r="AY149" s="32">
        <v>0</v>
      </c>
      <c r="AZ149" s="32">
        <v>0</v>
      </c>
      <c r="BA149" s="32">
        <v>0</v>
      </c>
      <c r="BB149" s="32">
        <v>193</v>
      </c>
      <c r="BC149" s="32">
        <v>9434</v>
      </c>
      <c r="BD149" s="34">
        <f>IFERROR(SUM(Cons_Metrics[[#This Row],[Operating surplus/(deficit) (social housing lettings)]])/SUM(Cons_Metrics[[#This Row],[Turnover from social housing lettings]]),"")</f>
        <v>0.24869158303060157</v>
      </c>
      <c r="BE149" s="32">
        <v>16156</v>
      </c>
      <c r="BF149" s="32">
        <v>64964</v>
      </c>
      <c r="BG149" s="34">
        <f>IFERROR(SUM(Cons_Metrics[[#This Row],[Operating surplus/(deficit) (overall)2]],-Cons_Metrics[[#This Row],[Gain/(loss) on disposal of fixed assets (housing properties)2]])/SUM(Cons_Metrics[[#This Row],[Turnover (overall)]]),"")</f>
        <v>0.24943298412355547</v>
      </c>
      <c r="BH149" s="32">
        <v>18093</v>
      </c>
      <c r="BI149" s="32">
        <v>-383</v>
      </c>
      <c r="BJ149" s="32">
        <v>74072</v>
      </c>
      <c r="BK149" s="34">
        <f>IFERROR(SUM(Cons_Metrics[[#This Row],[Operating surplus/(deficit) (overall)3]],Cons_Metrics[[#This Row],[Share of operating surplus/(deficit) in joint ventures or associates]])/SUM(Cons_Metrics[[#This Row],[Total assets less current liabilities]]),"")</f>
        <v>3.5203235372582076E-2</v>
      </c>
      <c r="BL149" s="32">
        <v>18093</v>
      </c>
      <c r="BM149" s="32">
        <v>117</v>
      </c>
      <c r="BN149" s="32">
        <v>517282</v>
      </c>
      <c r="BO149" s="34">
        <v>0.34521914464607872</v>
      </c>
      <c r="BP149" s="34">
        <v>0.14103788602355938</v>
      </c>
      <c r="BQ149" s="6" t="s">
        <v>93</v>
      </c>
      <c r="BR149" s="6">
        <v>1994</v>
      </c>
      <c r="BS149" s="6" t="s">
        <v>94</v>
      </c>
      <c r="BT149" s="6" t="s">
        <v>105</v>
      </c>
      <c r="BU149" s="8">
        <v>0.92288213243962036</v>
      </c>
    </row>
    <row r="150" spans="1:73" x14ac:dyDescent="0.25">
      <c r="A150" s="33" t="s">
        <v>389</v>
      </c>
      <c r="B150" s="7" t="s">
        <v>390</v>
      </c>
      <c r="C150" s="7" t="s">
        <v>81</v>
      </c>
      <c r="D150" s="34" t="str">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
      </c>
      <c r="E150" s="32">
        <v>0</v>
      </c>
      <c r="F150" s="32">
        <v>0</v>
      </c>
      <c r="G150" s="32">
        <v>0</v>
      </c>
      <c r="H150" s="32">
        <v>0</v>
      </c>
      <c r="I150" s="32">
        <v>0</v>
      </c>
      <c r="J150" s="32">
        <v>0</v>
      </c>
      <c r="K150" s="32">
        <v>0</v>
      </c>
      <c r="L15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0.32806092560046868</v>
      </c>
      <c r="M150" s="32">
        <v>560</v>
      </c>
      <c r="N150" s="32">
        <v>0</v>
      </c>
      <c r="O150" s="32">
        <v>1707</v>
      </c>
      <c r="P150" s="32">
        <v>0</v>
      </c>
      <c r="Q15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0" s="32">
        <v>0</v>
      </c>
      <c r="S150" s="32">
        <v>0</v>
      </c>
      <c r="T150" s="32">
        <v>0</v>
      </c>
      <c r="U150" s="32">
        <v>1707</v>
      </c>
      <c r="V150" s="32">
        <v>0</v>
      </c>
      <c r="W150" s="32">
        <v>0</v>
      </c>
      <c r="X150" s="32">
        <v>0</v>
      </c>
      <c r="Y150" s="34" t="str">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
      </c>
      <c r="Z150" s="32">
        <v>0</v>
      </c>
      <c r="AA150" s="32">
        <v>0</v>
      </c>
      <c r="AB150" s="32">
        <v>807</v>
      </c>
      <c r="AC150" s="32">
        <v>0</v>
      </c>
      <c r="AD150" s="32">
        <v>0</v>
      </c>
      <c r="AE150" s="32">
        <v>0</v>
      </c>
      <c r="AF150" s="32">
        <v>0</v>
      </c>
      <c r="AG150" s="34" t="str">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
      </c>
      <c r="AH150" s="32">
        <v>468</v>
      </c>
      <c r="AI150" s="32">
        <v>0</v>
      </c>
      <c r="AJ150" s="32">
        <v>0</v>
      </c>
      <c r="AK150" s="32">
        <v>0</v>
      </c>
      <c r="AL150" s="32">
        <v>0</v>
      </c>
      <c r="AM150" s="32">
        <v>0</v>
      </c>
      <c r="AN150" s="32">
        <v>40</v>
      </c>
      <c r="AO150" s="32">
        <v>0</v>
      </c>
      <c r="AP150" s="32">
        <v>0</v>
      </c>
      <c r="AQ15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6.7469244288224957</v>
      </c>
      <c r="AR150" s="32">
        <v>1048</v>
      </c>
      <c r="AS150" s="32">
        <v>6352</v>
      </c>
      <c r="AT150" s="32">
        <v>0</v>
      </c>
      <c r="AU150" s="32">
        <v>0</v>
      </c>
      <c r="AV150" s="32">
        <v>0</v>
      </c>
      <c r="AW150" s="32">
        <v>0</v>
      </c>
      <c r="AX150" s="32">
        <v>4117</v>
      </c>
      <c r="AY150" s="32">
        <v>0</v>
      </c>
      <c r="AZ150" s="32">
        <v>0</v>
      </c>
      <c r="BA150" s="32">
        <v>0</v>
      </c>
      <c r="BB150" s="32">
        <v>0</v>
      </c>
      <c r="BC150" s="32">
        <v>1707</v>
      </c>
      <c r="BD150" s="34">
        <f>IFERROR(SUM(Cons_Metrics[[#This Row],[Operating surplus/(deficit) (social housing lettings)]])/SUM(Cons_Metrics[[#This Row],[Turnover from social housing lettings]]),"")</f>
        <v>3.9048811013767212E-2</v>
      </c>
      <c r="BE150" s="32">
        <v>468</v>
      </c>
      <c r="BF150" s="32">
        <v>11985</v>
      </c>
      <c r="BG150" s="34">
        <f>IFERROR(SUM(Cons_Metrics[[#This Row],[Operating surplus/(deficit) (overall)2]],-Cons_Metrics[[#This Row],[Gain/(loss) on disposal of fixed assets (housing properties)2]])/SUM(Cons_Metrics[[#This Row],[Turnover (overall)]]),"")</f>
        <v>3.9048811013767212E-2</v>
      </c>
      <c r="BH150" s="32">
        <v>468</v>
      </c>
      <c r="BI150" s="32">
        <v>0</v>
      </c>
      <c r="BJ150" s="32">
        <v>11985</v>
      </c>
      <c r="BK150" s="34">
        <f>IFERROR(SUM(Cons_Metrics[[#This Row],[Operating surplus/(deficit) (overall)3]],Cons_Metrics[[#This Row],[Share of operating surplus/(deficit) in joint ventures or associates]])/SUM(Cons_Metrics[[#This Row],[Total assets less current liabilities]]),"")</f>
        <v>0.5799256505576208</v>
      </c>
      <c r="BL150" s="32">
        <v>468</v>
      </c>
      <c r="BM150" s="32">
        <v>0</v>
      </c>
      <c r="BN150" s="32">
        <v>807</v>
      </c>
      <c r="BO150" s="34">
        <v>1</v>
      </c>
      <c r="BP150" s="34">
        <v>0</v>
      </c>
      <c r="BQ150" s="6" t="s">
        <v>82</v>
      </c>
      <c r="BR150" s="6" t="s">
        <v>83</v>
      </c>
      <c r="BS150" s="6" t="s">
        <v>83</v>
      </c>
      <c r="BT150" s="6" t="s">
        <v>90</v>
      </c>
      <c r="BU150" s="8">
        <v>0.91571558169387279</v>
      </c>
    </row>
    <row r="151" spans="1:73" x14ac:dyDescent="0.25">
      <c r="A151" s="33" t="s">
        <v>391</v>
      </c>
      <c r="B151" s="7" t="s">
        <v>392</v>
      </c>
      <c r="C151" s="7" t="s">
        <v>81</v>
      </c>
      <c r="D15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5.8631911226572166E-2</v>
      </c>
      <c r="E151" s="32">
        <v>16316</v>
      </c>
      <c r="F151" s="32">
        <v>51038</v>
      </c>
      <c r="G151" s="32">
        <v>4732</v>
      </c>
      <c r="H151" s="32">
        <v>0</v>
      </c>
      <c r="I151" s="32">
        <v>0</v>
      </c>
      <c r="J151" s="32">
        <v>1229467</v>
      </c>
      <c r="K151" s="32">
        <v>0</v>
      </c>
      <c r="L15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2.6140069361768208E-2</v>
      </c>
      <c r="M151" s="32">
        <v>505</v>
      </c>
      <c r="N151" s="32">
        <v>0</v>
      </c>
      <c r="O151" s="32">
        <v>19319</v>
      </c>
      <c r="P151" s="32">
        <v>0</v>
      </c>
      <c r="Q15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2.7504342790966993E-3</v>
      </c>
      <c r="R151" s="32">
        <v>0</v>
      </c>
      <c r="S151" s="32">
        <v>0</v>
      </c>
      <c r="T151" s="32">
        <v>57</v>
      </c>
      <c r="U151" s="32">
        <v>19319</v>
      </c>
      <c r="V151" s="32">
        <v>258</v>
      </c>
      <c r="W151" s="32">
        <v>0</v>
      </c>
      <c r="X151" s="32">
        <v>1147</v>
      </c>
      <c r="Y15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0.52082569113282418</v>
      </c>
      <c r="Z151" s="32">
        <v>7417</v>
      </c>
      <c r="AA151" s="32">
        <v>818402</v>
      </c>
      <c r="AB151" s="32">
        <v>185481</v>
      </c>
      <c r="AC151" s="32">
        <v>0</v>
      </c>
      <c r="AD151" s="32">
        <v>0</v>
      </c>
      <c r="AE151" s="32">
        <v>1229467</v>
      </c>
      <c r="AF151" s="32">
        <v>0</v>
      </c>
      <c r="AG15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2.138710084563928</v>
      </c>
      <c r="AH151" s="32">
        <v>63903</v>
      </c>
      <c r="AI151" s="32">
        <v>5539</v>
      </c>
      <c r="AJ151" s="32">
        <v>4554</v>
      </c>
      <c r="AK151" s="32">
        <v>0</v>
      </c>
      <c r="AL151" s="32">
        <v>2040</v>
      </c>
      <c r="AM151" s="32">
        <v>4732</v>
      </c>
      <c r="AN151" s="32">
        <v>16662</v>
      </c>
      <c r="AO151" s="32">
        <v>0</v>
      </c>
      <c r="AP151" s="32">
        <v>-31692</v>
      </c>
      <c r="AQ15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3.3109374191210725</v>
      </c>
      <c r="AR151" s="32">
        <v>27283</v>
      </c>
      <c r="AS151" s="32">
        <v>6414</v>
      </c>
      <c r="AT151" s="32">
        <v>11783</v>
      </c>
      <c r="AU151" s="32">
        <v>3932</v>
      </c>
      <c r="AV151" s="32">
        <v>8691</v>
      </c>
      <c r="AW151" s="32">
        <v>4732</v>
      </c>
      <c r="AX151" s="32">
        <v>-409</v>
      </c>
      <c r="AY151" s="32">
        <v>457</v>
      </c>
      <c r="AZ151" s="32">
        <v>0</v>
      </c>
      <c r="BA151" s="32">
        <v>1081</v>
      </c>
      <c r="BB151" s="32">
        <v>0</v>
      </c>
      <c r="BC151" s="32">
        <v>19319</v>
      </c>
      <c r="BD151" s="34">
        <f>IFERROR(SUM(Cons_Metrics[[#This Row],[Operating surplus/(deficit) (social housing lettings)]])/SUM(Cons_Metrics[[#This Row],[Turnover from social housing lettings]]),"")</f>
        <v>0.39277990351023123</v>
      </c>
      <c r="BE151" s="32">
        <v>47220</v>
      </c>
      <c r="BF151" s="32">
        <v>120220</v>
      </c>
      <c r="BG151" s="34">
        <f>IFERROR(SUM(Cons_Metrics[[#This Row],[Operating surplus/(deficit) (overall)2]],-Cons_Metrics[[#This Row],[Gain/(loss) on disposal of fixed assets (housing properties)2]])/SUM(Cons_Metrics[[#This Row],[Turnover (overall)]]),"")</f>
        <v>0.36099359212251664</v>
      </c>
      <c r="BH151" s="32">
        <v>63903</v>
      </c>
      <c r="BI151" s="32">
        <v>5539</v>
      </c>
      <c r="BJ151" s="32">
        <v>161676</v>
      </c>
      <c r="BK151" s="34">
        <f>IFERROR(SUM(Cons_Metrics[[#This Row],[Operating surplus/(deficit) (overall)3]],Cons_Metrics[[#This Row],[Share of operating surplus/(deficit) in joint ventures or associates]])/SUM(Cons_Metrics[[#This Row],[Total assets less current liabilities]]),"")</f>
        <v>4.1917603603167999E-2</v>
      </c>
      <c r="BL151" s="32">
        <v>63903</v>
      </c>
      <c r="BM151" s="32">
        <v>249</v>
      </c>
      <c r="BN151" s="32">
        <v>1530431</v>
      </c>
      <c r="BO151" s="34">
        <v>1.6273646022285565E-2</v>
      </c>
      <c r="BP151" s="34">
        <v>6.4213526820419795E-2</v>
      </c>
      <c r="BQ151" s="6" t="s">
        <v>82</v>
      </c>
      <c r="BR151" s="6" t="s">
        <v>83</v>
      </c>
      <c r="BS151" s="6" t="s">
        <v>83</v>
      </c>
      <c r="BT151" s="6" t="s">
        <v>84</v>
      </c>
      <c r="BU151" s="8">
        <v>1.0079972818871341</v>
      </c>
    </row>
    <row r="152" spans="1:73" x14ac:dyDescent="0.25">
      <c r="A152" s="33" t="s">
        <v>393</v>
      </c>
      <c r="B152" s="7" t="s">
        <v>394</v>
      </c>
      <c r="C152" s="7" t="s">
        <v>81</v>
      </c>
      <c r="D15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0.12716853756181803</v>
      </c>
      <c r="E152" s="32">
        <v>5371</v>
      </c>
      <c r="F152" s="32">
        <v>0</v>
      </c>
      <c r="G152" s="32">
        <v>1109</v>
      </c>
      <c r="H152" s="32">
        <v>0</v>
      </c>
      <c r="I152" s="32">
        <v>0</v>
      </c>
      <c r="J152" s="32">
        <v>50956</v>
      </c>
      <c r="K152" s="32">
        <v>0</v>
      </c>
      <c r="L15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52" s="32">
        <v>0</v>
      </c>
      <c r="N152" s="32">
        <v>0</v>
      </c>
      <c r="O152" s="32">
        <v>1431</v>
      </c>
      <c r="P152" s="32">
        <v>73</v>
      </c>
      <c r="Q15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2" s="32">
        <v>0</v>
      </c>
      <c r="S152" s="32">
        <v>0</v>
      </c>
      <c r="T152" s="32">
        <v>0</v>
      </c>
      <c r="U152" s="32">
        <v>1431</v>
      </c>
      <c r="V152" s="32">
        <v>0</v>
      </c>
      <c r="W152" s="32">
        <v>73</v>
      </c>
      <c r="X152" s="32">
        <v>0</v>
      </c>
      <c r="Y15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0.14357484888923777</v>
      </c>
      <c r="Z152" s="32">
        <v>42</v>
      </c>
      <c r="AA152" s="32">
        <v>10748</v>
      </c>
      <c r="AB152" s="32">
        <v>3474</v>
      </c>
      <c r="AC152" s="32">
        <v>0</v>
      </c>
      <c r="AD152" s="32">
        <v>0</v>
      </c>
      <c r="AE152" s="32">
        <v>50956</v>
      </c>
      <c r="AF152" s="32">
        <v>0</v>
      </c>
      <c r="AG15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2.9685714285714284</v>
      </c>
      <c r="AH152" s="32">
        <v>1217</v>
      </c>
      <c r="AI152" s="32">
        <v>0</v>
      </c>
      <c r="AJ152" s="32">
        <v>304</v>
      </c>
      <c r="AK152" s="32">
        <v>0</v>
      </c>
      <c r="AL152" s="32">
        <v>18</v>
      </c>
      <c r="AM152" s="32">
        <v>703</v>
      </c>
      <c r="AN152" s="32">
        <v>1850</v>
      </c>
      <c r="AO152" s="32">
        <v>0</v>
      </c>
      <c r="AP152" s="32">
        <v>-700</v>
      </c>
      <c r="AQ15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2.9014675052410901</v>
      </c>
      <c r="AR152" s="32">
        <v>916</v>
      </c>
      <c r="AS152" s="32">
        <v>841</v>
      </c>
      <c r="AT152" s="32">
        <v>1353</v>
      </c>
      <c r="AU152" s="32">
        <v>186</v>
      </c>
      <c r="AV152" s="32">
        <v>0</v>
      </c>
      <c r="AW152" s="32">
        <v>703</v>
      </c>
      <c r="AX152" s="32">
        <v>23</v>
      </c>
      <c r="AY152" s="32">
        <v>0</v>
      </c>
      <c r="AZ152" s="32">
        <v>0</v>
      </c>
      <c r="BA152" s="32">
        <v>130</v>
      </c>
      <c r="BB152" s="32">
        <v>0</v>
      </c>
      <c r="BC152" s="32">
        <v>1431</v>
      </c>
      <c r="BD152" s="34">
        <f>IFERROR(SUM(Cons_Metrics[[#This Row],[Operating surplus/(deficit) (social housing lettings)]])/SUM(Cons_Metrics[[#This Row],[Turnover from social housing lettings]]),"")</f>
        <v>0.17851873709058719</v>
      </c>
      <c r="BE152" s="32">
        <v>1210</v>
      </c>
      <c r="BF152" s="32">
        <v>6778</v>
      </c>
      <c r="BG152" s="34">
        <f>IFERROR(SUM(Cons_Metrics[[#This Row],[Operating surplus/(deficit) (overall)2]],-Cons_Metrics[[#This Row],[Gain/(loss) on disposal of fixed assets (housing properties)2]])/SUM(Cons_Metrics[[#This Row],[Turnover (overall)]]),"")</f>
        <v>0.17599421547360811</v>
      </c>
      <c r="BH152" s="32">
        <v>1217</v>
      </c>
      <c r="BI152" s="32">
        <v>0</v>
      </c>
      <c r="BJ152" s="32">
        <v>6915</v>
      </c>
      <c r="BK152" s="34">
        <f>IFERROR(SUM(Cons_Metrics[[#This Row],[Operating surplus/(deficit) (overall)3]],Cons_Metrics[[#This Row],[Share of operating surplus/(deficit) in joint ventures or associates]])/SUM(Cons_Metrics[[#This Row],[Total assets less current liabilities]]),"")</f>
        <v>2.2575917784332277E-2</v>
      </c>
      <c r="BL152" s="32">
        <v>1217</v>
      </c>
      <c r="BM152" s="32">
        <v>0</v>
      </c>
      <c r="BN152" s="32">
        <v>53907</v>
      </c>
      <c r="BO152" s="34">
        <v>0.32734530938123751</v>
      </c>
      <c r="BP152" s="34">
        <v>0.28542914171656686</v>
      </c>
      <c r="BQ152" s="6" t="s">
        <v>82</v>
      </c>
      <c r="BR152" s="6" t="s">
        <v>83</v>
      </c>
      <c r="BS152" s="6" t="s">
        <v>83</v>
      </c>
      <c r="BT152" s="6" t="s">
        <v>121</v>
      </c>
      <c r="BU152" s="8">
        <v>0.92237131291942376</v>
      </c>
    </row>
    <row r="153" spans="1:73" x14ac:dyDescent="0.25">
      <c r="A153" s="33" t="s">
        <v>395</v>
      </c>
      <c r="B153" s="7" t="s">
        <v>396</v>
      </c>
      <c r="C153" s="7" t="s">
        <v>81</v>
      </c>
      <c r="D15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0.13267941813498799</v>
      </c>
      <c r="E153" s="32">
        <v>54886</v>
      </c>
      <c r="F153" s="32">
        <v>2762</v>
      </c>
      <c r="G153" s="32">
        <v>1512</v>
      </c>
      <c r="H153" s="32">
        <v>875</v>
      </c>
      <c r="I153" s="32">
        <v>-23770</v>
      </c>
      <c r="J153" s="32">
        <v>273328</v>
      </c>
      <c r="K153" s="32">
        <v>0</v>
      </c>
      <c r="L15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2.4123568205484208E-2</v>
      </c>
      <c r="M153" s="32">
        <v>136</v>
      </c>
      <c r="N153" s="32">
        <v>3</v>
      </c>
      <c r="O153" s="32">
        <v>5754</v>
      </c>
      <c r="P153" s="32">
        <v>8</v>
      </c>
      <c r="Q15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1.215066828675577E-3</v>
      </c>
      <c r="R153" s="32">
        <v>0</v>
      </c>
      <c r="S153" s="32">
        <v>8</v>
      </c>
      <c r="T153" s="32">
        <v>0</v>
      </c>
      <c r="U153" s="32">
        <v>5754</v>
      </c>
      <c r="V153" s="32">
        <v>0</v>
      </c>
      <c r="W153" s="32">
        <v>8</v>
      </c>
      <c r="X153" s="32">
        <v>822</v>
      </c>
      <c r="Y15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0.64706506468418901</v>
      </c>
      <c r="Z153" s="32">
        <v>360</v>
      </c>
      <c r="AA153" s="32">
        <v>180696</v>
      </c>
      <c r="AB153" s="32">
        <v>4195</v>
      </c>
      <c r="AC153" s="32">
        <v>0</v>
      </c>
      <c r="AD153" s="32">
        <v>0</v>
      </c>
      <c r="AE153" s="32">
        <v>273328</v>
      </c>
      <c r="AF153" s="32">
        <v>0</v>
      </c>
      <c r="AG15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3.256646856427901</v>
      </c>
      <c r="AH153" s="32">
        <v>20577</v>
      </c>
      <c r="AI153" s="32">
        <v>1815</v>
      </c>
      <c r="AJ153" s="32">
        <v>333</v>
      </c>
      <c r="AK153" s="32">
        <v>0</v>
      </c>
      <c r="AL153" s="32">
        <v>16</v>
      </c>
      <c r="AM153" s="32">
        <v>1512</v>
      </c>
      <c r="AN153" s="32">
        <v>3890</v>
      </c>
      <c r="AO153" s="32">
        <v>-1045</v>
      </c>
      <c r="AP153" s="32">
        <v>-5349</v>
      </c>
      <c r="AQ15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3.3700206043956045</v>
      </c>
      <c r="AR153" s="32">
        <v>4727</v>
      </c>
      <c r="AS153" s="32">
        <v>2213</v>
      </c>
      <c r="AT153" s="32">
        <v>4000</v>
      </c>
      <c r="AU153" s="32">
        <v>2596</v>
      </c>
      <c r="AV153" s="32">
        <v>1838</v>
      </c>
      <c r="AW153" s="32">
        <v>1512</v>
      </c>
      <c r="AX153" s="32">
        <v>786</v>
      </c>
      <c r="AY153" s="32">
        <v>575</v>
      </c>
      <c r="AZ153" s="32">
        <v>844</v>
      </c>
      <c r="BA153" s="32">
        <v>110</v>
      </c>
      <c r="BB153" s="32">
        <v>426</v>
      </c>
      <c r="BC153" s="32">
        <v>5824</v>
      </c>
      <c r="BD153" s="34">
        <f>IFERROR(SUM(Cons_Metrics[[#This Row],[Operating surplus/(deficit) (social housing lettings)]])/SUM(Cons_Metrics[[#This Row],[Turnover from social housing lettings]]),"")</f>
        <v>0.46764472640761301</v>
      </c>
      <c r="BE153" s="32">
        <v>17691</v>
      </c>
      <c r="BF153" s="32">
        <v>37830</v>
      </c>
      <c r="BG153" s="34">
        <f>IFERROR(SUM(Cons_Metrics[[#This Row],[Operating surplus/(deficit) (overall)2]],-Cons_Metrics[[#This Row],[Gain/(loss) on disposal of fixed assets (housing properties)2]])/SUM(Cons_Metrics[[#This Row],[Turnover (overall)]]),"")</f>
        <v>0.37809842408609085</v>
      </c>
      <c r="BH153" s="32">
        <v>20577</v>
      </c>
      <c r="BI153" s="32">
        <v>1815</v>
      </c>
      <c r="BJ153" s="32">
        <v>49622</v>
      </c>
      <c r="BK153" s="34">
        <f>IFERROR(SUM(Cons_Metrics[[#This Row],[Operating surplus/(deficit) (overall)3]],Cons_Metrics[[#This Row],[Share of operating surplus/(deficit) in joint ventures or associates]])/SUM(Cons_Metrics[[#This Row],[Total assets less current liabilities]]),"")</f>
        <v>6.9475347511791935E-2</v>
      </c>
      <c r="BL153" s="32">
        <v>20577</v>
      </c>
      <c r="BM153" s="32">
        <v>0</v>
      </c>
      <c r="BN153" s="32">
        <v>296177</v>
      </c>
      <c r="BO153" s="34">
        <v>0</v>
      </c>
      <c r="BP153" s="34">
        <v>5.9610705596107053E-2</v>
      </c>
      <c r="BQ153" s="6" t="s">
        <v>93</v>
      </c>
      <c r="BR153" s="6">
        <v>2002</v>
      </c>
      <c r="BS153" s="6" t="s">
        <v>94</v>
      </c>
      <c r="BT153" s="6" t="s">
        <v>84</v>
      </c>
      <c r="BU153" s="8">
        <v>1.0130469416154961</v>
      </c>
    </row>
    <row r="154" spans="1:73" x14ac:dyDescent="0.25">
      <c r="A154" s="33" t="s">
        <v>397</v>
      </c>
      <c r="B154" s="7" t="s">
        <v>398</v>
      </c>
      <c r="C154" s="7" t="s">
        <v>81</v>
      </c>
      <c r="D15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2.3217927313271595E-2</v>
      </c>
      <c r="E154" s="32">
        <v>0</v>
      </c>
      <c r="F154" s="32">
        <v>0</v>
      </c>
      <c r="G154" s="32">
        <v>4019</v>
      </c>
      <c r="H154" s="32">
        <v>0</v>
      </c>
      <c r="I154" s="32">
        <v>0</v>
      </c>
      <c r="J154" s="32">
        <v>173099</v>
      </c>
      <c r="K154" s="32">
        <v>0</v>
      </c>
      <c r="L15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6.167129201356768E-4</v>
      </c>
      <c r="M154" s="32">
        <v>0</v>
      </c>
      <c r="N154" s="32">
        <v>4</v>
      </c>
      <c r="O154" s="32">
        <v>5838</v>
      </c>
      <c r="P154" s="32">
        <v>648</v>
      </c>
      <c r="Q15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4" s="32">
        <v>0</v>
      </c>
      <c r="S154" s="32">
        <v>0</v>
      </c>
      <c r="T154" s="32">
        <v>0</v>
      </c>
      <c r="U154" s="32">
        <v>5838</v>
      </c>
      <c r="V154" s="32">
        <v>0</v>
      </c>
      <c r="W154" s="32">
        <v>648</v>
      </c>
      <c r="X154" s="32">
        <v>0</v>
      </c>
      <c r="Y15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0.27817029561118206</v>
      </c>
      <c r="Z154" s="32">
        <v>0</v>
      </c>
      <c r="AA154" s="32">
        <v>61657</v>
      </c>
      <c r="AB154" s="32">
        <v>13506</v>
      </c>
      <c r="AC154" s="32">
        <v>0</v>
      </c>
      <c r="AD154" s="32">
        <v>0</v>
      </c>
      <c r="AE154" s="32">
        <v>173099</v>
      </c>
      <c r="AF154" s="32">
        <v>0</v>
      </c>
      <c r="AG15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2.288060644346178</v>
      </c>
      <c r="AH154" s="32">
        <v>10134</v>
      </c>
      <c r="AI154" s="32">
        <v>1145</v>
      </c>
      <c r="AJ154" s="32">
        <v>433</v>
      </c>
      <c r="AK154" s="32">
        <v>0</v>
      </c>
      <c r="AL154" s="32">
        <v>33</v>
      </c>
      <c r="AM154" s="32">
        <v>4019</v>
      </c>
      <c r="AN154" s="32">
        <v>2674</v>
      </c>
      <c r="AO154" s="32">
        <v>0</v>
      </c>
      <c r="AP154" s="32">
        <v>-3166</v>
      </c>
      <c r="AQ15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4.2194244604316546</v>
      </c>
      <c r="AR154" s="32">
        <v>5842</v>
      </c>
      <c r="AS154" s="32">
        <v>1819</v>
      </c>
      <c r="AT154" s="32">
        <v>3087</v>
      </c>
      <c r="AU154" s="32">
        <v>2189</v>
      </c>
      <c r="AV154" s="32">
        <v>9109</v>
      </c>
      <c r="AW154" s="32">
        <v>4019</v>
      </c>
      <c r="AX154" s="32">
        <v>-1432</v>
      </c>
      <c r="AY154" s="32">
        <v>0</v>
      </c>
      <c r="AZ154" s="32">
        <v>0</v>
      </c>
      <c r="BA154" s="32">
        <v>0</v>
      </c>
      <c r="BB154" s="32">
        <v>0</v>
      </c>
      <c r="BC154" s="32">
        <v>5838</v>
      </c>
      <c r="BD154" s="34">
        <f>IFERROR(SUM(Cons_Metrics[[#This Row],[Operating surplus/(deficit) (social housing lettings)]])/SUM(Cons_Metrics[[#This Row],[Turnover from social housing lettings]]),"")</f>
        <v>0.31487940411444787</v>
      </c>
      <c r="BE154" s="32">
        <v>10653</v>
      </c>
      <c r="BF154" s="32">
        <v>33832</v>
      </c>
      <c r="BG154" s="34">
        <f>IFERROR(SUM(Cons_Metrics[[#This Row],[Operating surplus/(deficit) (overall)2]],-Cons_Metrics[[#This Row],[Gain/(loss) on disposal of fixed assets (housing properties)2]])/SUM(Cons_Metrics[[#This Row],[Turnover (overall)]]),"")</f>
        <v>0.2557907916453247</v>
      </c>
      <c r="BH154" s="32">
        <v>10134</v>
      </c>
      <c r="BI154" s="32">
        <v>1145</v>
      </c>
      <c r="BJ154" s="32">
        <v>35142</v>
      </c>
      <c r="BK154" s="34">
        <f>IFERROR(SUM(Cons_Metrics[[#This Row],[Operating surplus/(deficit) (overall)3]],Cons_Metrics[[#This Row],[Share of operating surplus/(deficit) in joint ventures or associates]])/SUM(Cons_Metrics[[#This Row],[Total assets less current liabilities]]),"")</f>
        <v>6.8053615558182012E-2</v>
      </c>
      <c r="BL154" s="32">
        <v>10134</v>
      </c>
      <c r="BM154" s="32">
        <v>0</v>
      </c>
      <c r="BN154" s="32">
        <v>148912</v>
      </c>
      <c r="BO154" s="34">
        <v>0</v>
      </c>
      <c r="BP154" s="34">
        <v>0.30746831106543338</v>
      </c>
      <c r="BQ154" s="6" t="s">
        <v>93</v>
      </c>
      <c r="BR154" s="6">
        <v>2011</v>
      </c>
      <c r="BS154" s="6" t="s">
        <v>120</v>
      </c>
      <c r="BT154" s="6" t="s">
        <v>84</v>
      </c>
      <c r="BU154" s="8">
        <v>1.0118524159776632</v>
      </c>
    </row>
    <row r="155" spans="1:73" x14ac:dyDescent="0.25">
      <c r="A155" s="33" t="s">
        <v>399</v>
      </c>
      <c r="B155" s="7" t="s">
        <v>400</v>
      </c>
      <c r="C155" s="7" t="s">
        <v>81</v>
      </c>
      <c r="D15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4.9561565934583253E-2</v>
      </c>
      <c r="E155" s="32">
        <v>15209</v>
      </c>
      <c r="F155" s="32">
        <v>0</v>
      </c>
      <c r="G155" s="32">
        <v>8479</v>
      </c>
      <c r="H155" s="32">
        <v>0</v>
      </c>
      <c r="I155" s="32">
        <v>0</v>
      </c>
      <c r="J155" s="32">
        <v>477951</v>
      </c>
      <c r="K155" s="32">
        <v>0</v>
      </c>
      <c r="L15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1.13997673516867E-2</v>
      </c>
      <c r="M155" s="32">
        <v>147</v>
      </c>
      <c r="N155" s="32">
        <v>0</v>
      </c>
      <c r="O155" s="32">
        <v>12496</v>
      </c>
      <c r="P155" s="32">
        <v>399</v>
      </c>
      <c r="Q15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5" s="32">
        <v>0</v>
      </c>
      <c r="S155" s="32">
        <v>0</v>
      </c>
      <c r="T155" s="32">
        <v>0</v>
      </c>
      <c r="U155" s="32">
        <v>12496</v>
      </c>
      <c r="V155" s="32">
        <v>0</v>
      </c>
      <c r="W155" s="32">
        <v>399</v>
      </c>
      <c r="X155" s="32">
        <v>147</v>
      </c>
      <c r="Y15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0.38313969423643846</v>
      </c>
      <c r="Z155" s="32">
        <v>3618</v>
      </c>
      <c r="AA155" s="32">
        <v>189363</v>
      </c>
      <c r="AB155" s="32">
        <v>9859</v>
      </c>
      <c r="AC155" s="32">
        <v>0</v>
      </c>
      <c r="AD155" s="32">
        <v>0</v>
      </c>
      <c r="AE155" s="32">
        <v>477951</v>
      </c>
      <c r="AF155" s="32">
        <v>0</v>
      </c>
      <c r="AG15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1.8206730242244875</v>
      </c>
      <c r="AH155" s="32">
        <v>20498</v>
      </c>
      <c r="AI155" s="32">
        <v>1105</v>
      </c>
      <c r="AJ155" s="32">
        <v>2485</v>
      </c>
      <c r="AK155" s="32">
        <v>0</v>
      </c>
      <c r="AL155" s="32">
        <v>42</v>
      </c>
      <c r="AM155" s="32">
        <v>8479</v>
      </c>
      <c r="AN155" s="32">
        <v>8139</v>
      </c>
      <c r="AO155" s="32">
        <v>-333</v>
      </c>
      <c r="AP155" s="32">
        <v>-8790</v>
      </c>
      <c r="AQ15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3.1280395439687476</v>
      </c>
      <c r="AR155" s="32">
        <v>9468</v>
      </c>
      <c r="AS155" s="32">
        <v>4664</v>
      </c>
      <c r="AT155" s="32">
        <v>7845</v>
      </c>
      <c r="AU155" s="32">
        <v>5454</v>
      </c>
      <c r="AV155" s="32">
        <v>0</v>
      </c>
      <c r="AW155" s="32">
        <v>8479</v>
      </c>
      <c r="AX155" s="32">
        <v>763</v>
      </c>
      <c r="AY155" s="32">
        <v>54</v>
      </c>
      <c r="AZ155" s="32">
        <v>270</v>
      </c>
      <c r="BA155" s="32">
        <v>2071</v>
      </c>
      <c r="BB155" s="32">
        <v>167</v>
      </c>
      <c r="BC155" s="32">
        <v>12543</v>
      </c>
      <c r="BD155" s="34">
        <f>IFERROR(SUM(Cons_Metrics[[#This Row],[Operating surplus/(deficit) (social housing lettings)]])/SUM(Cons_Metrics[[#This Row],[Turnover from social housing lettings]]),"")</f>
        <v>0.35220360868531042</v>
      </c>
      <c r="BE155" s="32">
        <v>20730</v>
      </c>
      <c r="BF155" s="32">
        <v>58858</v>
      </c>
      <c r="BG155" s="34">
        <f>IFERROR(SUM(Cons_Metrics[[#This Row],[Operating surplus/(deficit) (overall)2]],-Cons_Metrics[[#This Row],[Gain/(loss) on disposal of fixed assets (housing properties)2]])/SUM(Cons_Metrics[[#This Row],[Turnover (overall)]]),"")</f>
        <v>0.28521214795205529</v>
      </c>
      <c r="BH155" s="32">
        <v>20498</v>
      </c>
      <c r="BI155" s="32">
        <v>1105</v>
      </c>
      <c r="BJ155" s="32">
        <v>67995</v>
      </c>
      <c r="BK155" s="34">
        <f>IFERROR(SUM(Cons_Metrics[[#This Row],[Operating surplus/(deficit) (overall)3]],Cons_Metrics[[#This Row],[Share of operating surplus/(deficit) in joint ventures or associates]])/SUM(Cons_Metrics[[#This Row],[Total assets less current liabilities]]),"")</f>
        <v>4.088878959368536E-2</v>
      </c>
      <c r="BL155" s="32">
        <v>20498</v>
      </c>
      <c r="BM155" s="32">
        <v>0</v>
      </c>
      <c r="BN155" s="32">
        <v>501311</v>
      </c>
      <c r="BO155" s="34">
        <v>6.5678303841861949E-2</v>
      </c>
      <c r="BP155" s="34">
        <v>7.5641638769328876E-2</v>
      </c>
      <c r="BQ155" s="6" t="s">
        <v>82</v>
      </c>
      <c r="BR155" s="6" t="s">
        <v>83</v>
      </c>
      <c r="BS155" s="6" t="s">
        <v>83</v>
      </c>
      <c r="BT155" s="6" t="s">
        <v>105</v>
      </c>
      <c r="BU155" s="8">
        <v>0.9156653862445665</v>
      </c>
    </row>
    <row r="156" spans="1:73" x14ac:dyDescent="0.25">
      <c r="A156" s="33" t="s">
        <v>401</v>
      </c>
      <c r="B156" s="7" t="s">
        <v>402</v>
      </c>
      <c r="C156" s="7" t="s">
        <v>81</v>
      </c>
      <c r="D15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5.6549393758696082E-2</v>
      </c>
      <c r="E156" s="32">
        <v>0</v>
      </c>
      <c r="F156" s="32">
        <v>0</v>
      </c>
      <c r="G156" s="32">
        <v>69</v>
      </c>
      <c r="H156" s="32">
        <v>0</v>
      </c>
      <c r="I156" s="32">
        <v>500</v>
      </c>
      <c r="J156" s="32">
        <v>1806</v>
      </c>
      <c r="K156" s="32">
        <v>8256</v>
      </c>
      <c r="L15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56" s="32">
        <v>0</v>
      </c>
      <c r="N156" s="32">
        <v>0</v>
      </c>
      <c r="O156" s="32">
        <v>1270</v>
      </c>
      <c r="P156" s="32">
        <v>0</v>
      </c>
      <c r="Q15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6" s="32">
        <v>0</v>
      </c>
      <c r="S156" s="32">
        <v>0</v>
      </c>
      <c r="T156" s="32">
        <v>0</v>
      </c>
      <c r="U156" s="32">
        <v>1270</v>
      </c>
      <c r="V156" s="32">
        <v>0</v>
      </c>
      <c r="W156" s="32">
        <v>0</v>
      </c>
      <c r="X156" s="32">
        <v>0</v>
      </c>
      <c r="Y15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0.26078314450407475</v>
      </c>
      <c r="Z156" s="32">
        <v>145</v>
      </c>
      <c r="AA156" s="32">
        <v>3054</v>
      </c>
      <c r="AB156" s="32">
        <v>575</v>
      </c>
      <c r="AC156" s="32">
        <v>0</v>
      </c>
      <c r="AD156" s="32">
        <v>0</v>
      </c>
      <c r="AE156" s="32">
        <v>1806</v>
      </c>
      <c r="AF156" s="32">
        <v>8256</v>
      </c>
      <c r="AG15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6.326732673267327</v>
      </c>
      <c r="AH156" s="32">
        <v>405</v>
      </c>
      <c r="AI156" s="32">
        <v>0</v>
      </c>
      <c r="AJ156" s="32">
        <v>0</v>
      </c>
      <c r="AK156" s="32">
        <v>0</v>
      </c>
      <c r="AL156" s="32">
        <v>1</v>
      </c>
      <c r="AM156" s="32">
        <v>70</v>
      </c>
      <c r="AN156" s="32">
        <v>303</v>
      </c>
      <c r="AO156" s="32">
        <v>0</v>
      </c>
      <c r="AP156" s="32">
        <v>-101</v>
      </c>
      <c r="AQ15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10.21023622047244</v>
      </c>
      <c r="AR156" s="32">
        <v>2365</v>
      </c>
      <c r="AS156" s="32">
        <v>1041</v>
      </c>
      <c r="AT156" s="32">
        <v>814</v>
      </c>
      <c r="AU156" s="32">
        <v>208</v>
      </c>
      <c r="AV156" s="32">
        <v>0</v>
      </c>
      <c r="AW156" s="32">
        <v>70</v>
      </c>
      <c r="AX156" s="32">
        <v>8106</v>
      </c>
      <c r="AY156" s="32">
        <v>0</v>
      </c>
      <c r="AZ156" s="32">
        <v>0</v>
      </c>
      <c r="BA156" s="32">
        <v>0</v>
      </c>
      <c r="BB156" s="32">
        <v>363</v>
      </c>
      <c r="BC156" s="32">
        <v>1270</v>
      </c>
      <c r="BD156" s="34">
        <f>IFERROR(SUM(Cons_Metrics[[#This Row],[Operating surplus/(deficit) (social housing lettings)]])/SUM(Cons_Metrics[[#This Row],[Turnover from social housing lettings]]),"")</f>
        <v>3.0039346246973367E-2</v>
      </c>
      <c r="BE156" s="32">
        <v>397</v>
      </c>
      <c r="BF156" s="32">
        <v>13216</v>
      </c>
      <c r="BG156" s="34">
        <f>IFERROR(SUM(Cons_Metrics[[#This Row],[Operating surplus/(deficit) (overall)2]],-Cons_Metrics[[#This Row],[Gain/(loss) on disposal of fixed assets (housing properties)2]])/SUM(Cons_Metrics[[#This Row],[Turnover (overall)]]),"")</f>
        <v>2.9810098630943617E-2</v>
      </c>
      <c r="BH156" s="32">
        <v>405</v>
      </c>
      <c r="BI156" s="32">
        <v>0</v>
      </c>
      <c r="BJ156" s="32">
        <v>13586</v>
      </c>
      <c r="BK156" s="34">
        <f>IFERROR(SUM(Cons_Metrics[[#This Row],[Operating surplus/(deficit) (overall)3]],Cons_Metrics[[#This Row],[Share of operating surplus/(deficit) in joint ventures or associates]])/SUM(Cons_Metrics[[#This Row],[Total assets less current liabilities]]),"")</f>
        <v>2.5886864813039309E-2</v>
      </c>
      <c r="BL156" s="32">
        <v>405</v>
      </c>
      <c r="BM156" s="32">
        <v>0</v>
      </c>
      <c r="BN156" s="32">
        <v>15645</v>
      </c>
      <c r="BO156" s="34">
        <v>0.99527559055118109</v>
      </c>
      <c r="BP156" s="34">
        <v>0</v>
      </c>
      <c r="BQ156" s="6" t="s">
        <v>82</v>
      </c>
      <c r="BR156" s="6" t="s">
        <v>83</v>
      </c>
      <c r="BS156" s="6" t="s">
        <v>83</v>
      </c>
      <c r="BT156" s="6" t="s">
        <v>87</v>
      </c>
      <c r="BU156" s="8">
        <v>0.99668364379804597</v>
      </c>
    </row>
    <row r="157" spans="1:73" x14ac:dyDescent="0.25">
      <c r="A157" s="33" t="s">
        <v>403</v>
      </c>
      <c r="B157" s="7" t="s">
        <v>404</v>
      </c>
      <c r="C157" s="7" t="s">
        <v>81</v>
      </c>
      <c r="D15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0.12014170967840454</v>
      </c>
      <c r="E157" s="32">
        <v>33538</v>
      </c>
      <c r="F157" s="32">
        <v>0</v>
      </c>
      <c r="G157" s="32">
        <v>4916</v>
      </c>
      <c r="H157" s="32">
        <v>884</v>
      </c>
      <c r="I157" s="32">
        <v>0</v>
      </c>
      <c r="J157" s="32">
        <v>327430</v>
      </c>
      <c r="K157" s="32">
        <v>0</v>
      </c>
      <c r="L15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1.4301604957889718E-2</v>
      </c>
      <c r="M157" s="32">
        <v>90</v>
      </c>
      <c r="N157" s="32">
        <v>0</v>
      </c>
      <c r="O157" s="32">
        <v>6293</v>
      </c>
      <c r="P157" s="32">
        <v>0</v>
      </c>
      <c r="Q15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7" s="32">
        <v>0</v>
      </c>
      <c r="S157" s="32">
        <v>0</v>
      </c>
      <c r="T157" s="32">
        <v>0</v>
      </c>
      <c r="U157" s="32">
        <v>6293</v>
      </c>
      <c r="V157" s="32">
        <v>0</v>
      </c>
      <c r="W157" s="32">
        <v>0</v>
      </c>
      <c r="X157" s="32">
        <v>0</v>
      </c>
      <c r="Y15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0.59740707937574444</v>
      </c>
      <c r="Z157" s="32">
        <v>0</v>
      </c>
      <c r="AA157" s="32">
        <v>216807</v>
      </c>
      <c r="AB157" s="32">
        <v>21198</v>
      </c>
      <c r="AC157" s="32">
        <v>0</v>
      </c>
      <c r="AD157" s="32">
        <v>0</v>
      </c>
      <c r="AE157" s="32">
        <v>327430</v>
      </c>
      <c r="AF157" s="32">
        <v>0</v>
      </c>
      <c r="AG15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2.2612169637369393</v>
      </c>
      <c r="AH157" s="32">
        <v>21163</v>
      </c>
      <c r="AI157" s="32">
        <v>257</v>
      </c>
      <c r="AJ157" s="32">
        <v>342</v>
      </c>
      <c r="AK157" s="32">
        <v>0</v>
      </c>
      <c r="AL157" s="32">
        <v>127</v>
      </c>
      <c r="AM157" s="32">
        <v>4916</v>
      </c>
      <c r="AN157" s="32">
        <v>6299</v>
      </c>
      <c r="AO157" s="32">
        <v>-1033</v>
      </c>
      <c r="AP157" s="32">
        <v>-8729</v>
      </c>
      <c r="AQ15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4.5986282578875173</v>
      </c>
      <c r="AR157" s="32">
        <v>11392</v>
      </c>
      <c r="AS157" s="32">
        <v>2249</v>
      </c>
      <c r="AT157" s="32">
        <v>3221</v>
      </c>
      <c r="AU157" s="32">
        <v>3291</v>
      </c>
      <c r="AV157" s="32">
        <v>2779</v>
      </c>
      <c r="AW157" s="32">
        <v>4916</v>
      </c>
      <c r="AX157" s="32">
        <v>174</v>
      </c>
      <c r="AY157" s="32">
        <v>2027</v>
      </c>
      <c r="AZ157" s="32">
        <v>0</v>
      </c>
      <c r="BA157" s="32">
        <v>3475</v>
      </c>
      <c r="BB157" s="32">
        <v>0</v>
      </c>
      <c r="BC157" s="32">
        <v>7290</v>
      </c>
      <c r="BD157" s="34">
        <f>IFERROR(SUM(Cons_Metrics[[#This Row],[Operating surplus/(deficit) (social housing lettings)]])/SUM(Cons_Metrics[[#This Row],[Turnover from social housing lettings]]),"")</f>
        <v>0.43037874750824007</v>
      </c>
      <c r="BE157" s="32">
        <v>21806</v>
      </c>
      <c r="BF157" s="32">
        <v>50667</v>
      </c>
      <c r="BG157" s="34">
        <f>IFERROR(SUM(Cons_Metrics[[#This Row],[Operating surplus/(deficit) (overall)2]],-Cons_Metrics[[#This Row],[Gain/(loss) on disposal of fixed assets (housing properties)2]])/SUM(Cons_Metrics[[#This Row],[Turnover (overall)]]),"")</f>
        <v>0.37392906329928993</v>
      </c>
      <c r="BH157" s="32">
        <v>21163</v>
      </c>
      <c r="BI157" s="32">
        <v>257</v>
      </c>
      <c r="BJ157" s="32">
        <v>55909</v>
      </c>
      <c r="BK157" s="34">
        <f>IFERROR(SUM(Cons_Metrics[[#This Row],[Operating surplus/(deficit) (overall)3]],Cons_Metrics[[#This Row],[Share of operating surplus/(deficit) in joint ventures or associates]])/SUM(Cons_Metrics[[#This Row],[Total assets less current liabilities]]),"")</f>
        <v>5.9067831853590595E-2</v>
      </c>
      <c r="BL157" s="32">
        <v>21163</v>
      </c>
      <c r="BM157" s="32">
        <v>0</v>
      </c>
      <c r="BN157" s="32">
        <v>358283</v>
      </c>
      <c r="BO157" s="34">
        <v>0</v>
      </c>
      <c r="BP157" s="34">
        <v>5.7750342935528123E-2</v>
      </c>
      <c r="BQ157" s="6" t="s">
        <v>93</v>
      </c>
      <c r="BR157" s="6">
        <v>2000</v>
      </c>
      <c r="BS157" s="6" t="s">
        <v>94</v>
      </c>
      <c r="BT157" s="6" t="s">
        <v>156</v>
      </c>
      <c r="BU157" s="8">
        <v>1.2455413100541326</v>
      </c>
    </row>
    <row r="158" spans="1:73" x14ac:dyDescent="0.25">
      <c r="A158" s="33" t="s">
        <v>405</v>
      </c>
      <c r="B158" s="7" t="s">
        <v>406</v>
      </c>
      <c r="C158" s="7" t="s">
        <v>81</v>
      </c>
      <c r="D15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9.4216566793865433E-2</v>
      </c>
      <c r="E158" s="32">
        <v>5085</v>
      </c>
      <c r="F158" s="32">
        <v>0</v>
      </c>
      <c r="G158" s="32">
        <v>7902</v>
      </c>
      <c r="H158" s="32">
        <v>0</v>
      </c>
      <c r="I158" s="32">
        <v>0</v>
      </c>
      <c r="J158" s="32">
        <v>137842</v>
      </c>
      <c r="K158" s="32">
        <v>0</v>
      </c>
      <c r="L15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1.846790278495974E-3</v>
      </c>
      <c r="M158" s="32">
        <v>18</v>
      </c>
      <c r="N158" s="32">
        <v>7</v>
      </c>
      <c r="O158" s="32">
        <v>12954</v>
      </c>
      <c r="P158" s="32">
        <v>583</v>
      </c>
      <c r="Q15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8" s="32">
        <v>0</v>
      </c>
      <c r="S158" s="32">
        <v>0</v>
      </c>
      <c r="T158" s="32">
        <v>0</v>
      </c>
      <c r="U158" s="32">
        <v>12954</v>
      </c>
      <c r="V158" s="32">
        <v>1</v>
      </c>
      <c r="W158" s="32">
        <v>583</v>
      </c>
      <c r="X158" s="32">
        <v>0</v>
      </c>
      <c r="Y15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0.26130642329623771</v>
      </c>
      <c r="Z158" s="32">
        <v>109</v>
      </c>
      <c r="AA158" s="32">
        <v>42152</v>
      </c>
      <c r="AB158" s="32">
        <v>6242</v>
      </c>
      <c r="AC158" s="32">
        <v>0</v>
      </c>
      <c r="AD158" s="32">
        <v>0</v>
      </c>
      <c r="AE158" s="32">
        <v>137842</v>
      </c>
      <c r="AF158" s="32">
        <v>0</v>
      </c>
      <c r="AG15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2.4655903128153382</v>
      </c>
      <c r="AH158" s="32">
        <v>20406</v>
      </c>
      <c r="AI158" s="32">
        <v>4106</v>
      </c>
      <c r="AJ158" s="32">
        <v>78</v>
      </c>
      <c r="AK158" s="32">
        <v>0</v>
      </c>
      <c r="AL158" s="32">
        <v>62</v>
      </c>
      <c r="AM158" s="32">
        <v>7902</v>
      </c>
      <c r="AN158" s="32">
        <v>3835</v>
      </c>
      <c r="AO158" s="32">
        <v>0</v>
      </c>
      <c r="AP158" s="32">
        <v>-4955</v>
      </c>
      <c r="AQ15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3.4856173363152618</v>
      </c>
      <c r="AR158" s="32">
        <v>15773</v>
      </c>
      <c r="AS158" s="32">
        <v>4412</v>
      </c>
      <c r="AT158" s="32">
        <v>9668</v>
      </c>
      <c r="AU158" s="32">
        <v>2588</v>
      </c>
      <c r="AV158" s="32">
        <v>2775</v>
      </c>
      <c r="AW158" s="32">
        <v>7902</v>
      </c>
      <c r="AX158" s="32">
        <v>0</v>
      </c>
      <c r="AY158" s="32">
        <v>0</v>
      </c>
      <c r="AZ158" s="32">
        <v>0</v>
      </c>
      <c r="BA158" s="32">
        <v>1111</v>
      </c>
      <c r="BB158" s="32">
        <v>969</v>
      </c>
      <c r="BC158" s="32">
        <v>12967</v>
      </c>
      <c r="BD158" s="34">
        <f>IFERROR(SUM(Cons_Metrics[[#This Row],[Operating surplus/(deficit) (social housing lettings)]])/SUM(Cons_Metrics[[#This Row],[Turnover from social housing lettings]]),"")</f>
        <v>0.26710110060808123</v>
      </c>
      <c r="BE158" s="32">
        <v>14100</v>
      </c>
      <c r="BF158" s="32">
        <v>52789</v>
      </c>
      <c r="BG158" s="34">
        <f>IFERROR(SUM(Cons_Metrics[[#This Row],[Operating surplus/(deficit) (overall)2]],-Cons_Metrics[[#This Row],[Gain/(loss) on disposal of fixed assets (housing properties)2]])/SUM(Cons_Metrics[[#This Row],[Turnover (overall)]]),"")</f>
        <v>0.2850547375048092</v>
      </c>
      <c r="BH158" s="32">
        <v>20406</v>
      </c>
      <c r="BI158" s="32">
        <v>4106</v>
      </c>
      <c r="BJ158" s="32">
        <v>57182</v>
      </c>
      <c r="BK158" s="34">
        <f>IFERROR(SUM(Cons_Metrics[[#This Row],[Operating surplus/(deficit) (overall)3]],Cons_Metrics[[#This Row],[Share of operating surplus/(deficit) in joint ventures or associates]])/SUM(Cons_Metrics[[#This Row],[Total assets less current liabilities]]),"")</f>
        <v>3.3761738681561584E-2</v>
      </c>
      <c r="BL158" s="32">
        <v>20406</v>
      </c>
      <c r="BM158" s="32">
        <v>0</v>
      </c>
      <c r="BN158" s="32">
        <v>604412</v>
      </c>
      <c r="BO158" s="34">
        <v>0</v>
      </c>
      <c r="BP158" s="34">
        <v>7.4803149606299218E-2</v>
      </c>
      <c r="BQ158" s="6" t="s">
        <v>93</v>
      </c>
      <c r="BR158" s="6">
        <v>2012</v>
      </c>
      <c r="BS158" s="6" t="s">
        <v>149</v>
      </c>
      <c r="BT158" s="6" t="s">
        <v>105</v>
      </c>
      <c r="BU158" s="8">
        <v>0.9156653862445665</v>
      </c>
    </row>
    <row r="159" spans="1:73" x14ac:dyDescent="0.25">
      <c r="A159" s="33" t="s">
        <v>407</v>
      </c>
      <c r="B159" s="7" t="s">
        <v>408</v>
      </c>
      <c r="C159" s="7" t="s">
        <v>81</v>
      </c>
      <c r="D15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6.1770823048282145E-2</v>
      </c>
      <c r="E159" s="32">
        <v>14771</v>
      </c>
      <c r="F159" s="32">
        <v>1631</v>
      </c>
      <c r="G159" s="32">
        <v>2419</v>
      </c>
      <c r="H159" s="32">
        <v>573</v>
      </c>
      <c r="I159" s="32">
        <v>0</v>
      </c>
      <c r="J159" s="32">
        <v>313967</v>
      </c>
      <c r="K159" s="32">
        <v>0</v>
      </c>
      <c r="L15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1.2324221835993047E-2</v>
      </c>
      <c r="M159" s="32">
        <v>78</v>
      </c>
      <c r="N159" s="32">
        <v>0</v>
      </c>
      <c r="O159" s="32">
        <v>6167</v>
      </c>
      <c r="P159" s="32">
        <v>162</v>
      </c>
      <c r="Q15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59" s="32">
        <v>0</v>
      </c>
      <c r="S159" s="32">
        <v>0</v>
      </c>
      <c r="T159" s="32">
        <v>0</v>
      </c>
      <c r="U159" s="32">
        <v>6167</v>
      </c>
      <c r="V159" s="32">
        <v>95</v>
      </c>
      <c r="W159" s="32">
        <v>162</v>
      </c>
      <c r="X159" s="32">
        <v>0</v>
      </c>
      <c r="Y15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0.62071173085069453</v>
      </c>
      <c r="Z159" s="32">
        <v>4286</v>
      </c>
      <c r="AA159" s="32">
        <v>211116</v>
      </c>
      <c r="AB159" s="32">
        <v>20519</v>
      </c>
      <c r="AC159" s="32">
        <v>0</v>
      </c>
      <c r="AD159" s="32">
        <v>0</v>
      </c>
      <c r="AE159" s="32">
        <v>313967</v>
      </c>
      <c r="AF159" s="32">
        <v>0</v>
      </c>
      <c r="AG15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1.771842132666875</v>
      </c>
      <c r="AH159" s="32">
        <v>16449</v>
      </c>
      <c r="AI159" s="32">
        <v>975</v>
      </c>
      <c r="AJ159" s="32">
        <v>622</v>
      </c>
      <c r="AK159" s="32">
        <v>0</v>
      </c>
      <c r="AL159" s="32">
        <v>61</v>
      </c>
      <c r="AM159" s="32">
        <v>2419</v>
      </c>
      <c r="AN159" s="32">
        <v>4521</v>
      </c>
      <c r="AO159" s="32">
        <v>-573</v>
      </c>
      <c r="AP159" s="32">
        <v>-9030</v>
      </c>
      <c r="AQ15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3.0004824702476682</v>
      </c>
      <c r="AR159" s="32">
        <v>4396</v>
      </c>
      <c r="AS159" s="32">
        <v>3368</v>
      </c>
      <c r="AT159" s="32">
        <v>4653</v>
      </c>
      <c r="AU159" s="32">
        <v>1646</v>
      </c>
      <c r="AV159" s="32">
        <v>0</v>
      </c>
      <c r="AW159" s="32">
        <v>2419</v>
      </c>
      <c r="AX159" s="32">
        <v>24</v>
      </c>
      <c r="AY159" s="32">
        <v>0</v>
      </c>
      <c r="AZ159" s="32">
        <v>0</v>
      </c>
      <c r="BA159" s="32">
        <v>879</v>
      </c>
      <c r="BB159" s="32">
        <v>1272</v>
      </c>
      <c r="BC159" s="32">
        <v>6218</v>
      </c>
      <c r="BD159" s="34">
        <f>IFERROR(SUM(Cons_Metrics[[#This Row],[Operating surplus/(deficit) (social housing lettings)]])/SUM(Cons_Metrics[[#This Row],[Turnover from social housing lettings]]),"")</f>
        <v>0.46666094813289871</v>
      </c>
      <c r="BE159" s="32">
        <v>16321</v>
      </c>
      <c r="BF159" s="32">
        <v>34974</v>
      </c>
      <c r="BG159" s="34">
        <f>IFERROR(SUM(Cons_Metrics[[#This Row],[Operating surplus/(deficit) (overall)2]],-Cons_Metrics[[#This Row],[Gain/(loss) on disposal of fixed assets (housing properties)2]])/SUM(Cons_Metrics[[#This Row],[Turnover (overall)]]),"")</f>
        <v>0.41114889998937187</v>
      </c>
      <c r="BH159" s="32">
        <v>16449</v>
      </c>
      <c r="BI159" s="32">
        <v>975</v>
      </c>
      <c r="BJ159" s="32">
        <v>37636</v>
      </c>
      <c r="BK159" s="34">
        <f>IFERROR(SUM(Cons_Metrics[[#This Row],[Operating surplus/(deficit) (overall)3]],Cons_Metrics[[#This Row],[Share of operating surplus/(deficit) in joint ventures or associates]])/SUM(Cons_Metrics[[#This Row],[Total assets less current liabilities]]),"")</f>
        <v>5.0289833804160397E-2</v>
      </c>
      <c r="BL159" s="32">
        <v>16449</v>
      </c>
      <c r="BM159" s="32">
        <v>0</v>
      </c>
      <c r="BN159" s="32">
        <v>327084</v>
      </c>
      <c r="BO159" s="34">
        <v>2.7412814274128144E-2</v>
      </c>
      <c r="BP159" s="34">
        <v>6.845093268450933E-2</v>
      </c>
      <c r="BQ159" s="6" t="s">
        <v>93</v>
      </c>
      <c r="BR159" s="6">
        <v>1994</v>
      </c>
      <c r="BS159" s="6" t="s">
        <v>94</v>
      </c>
      <c r="BT159" s="6" t="s">
        <v>90</v>
      </c>
      <c r="BU159" s="8">
        <v>0.92446005575070522</v>
      </c>
    </row>
    <row r="160" spans="1:73" x14ac:dyDescent="0.25">
      <c r="A160" s="33" t="s">
        <v>409</v>
      </c>
      <c r="B160" s="7" t="s">
        <v>410</v>
      </c>
      <c r="C160" s="7" t="s">
        <v>81</v>
      </c>
      <c r="D16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2.500057675892246E-2</v>
      </c>
      <c r="E160" s="32">
        <v>1425</v>
      </c>
      <c r="F160" s="32">
        <v>0</v>
      </c>
      <c r="G160" s="32">
        <v>1826</v>
      </c>
      <c r="H160" s="32">
        <v>0</v>
      </c>
      <c r="I160" s="32">
        <v>0</v>
      </c>
      <c r="J160" s="32">
        <v>130037</v>
      </c>
      <c r="K160" s="32">
        <v>0</v>
      </c>
      <c r="L16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60" s="32">
        <v>0</v>
      </c>
      <c r="N160" s="32">
        <v>0</v>
      </c>
      <c r="O160" s="32">
        <v>2244</v>
      </c>
      <c r="P160" s="32">
        <v>433</v>
      </c>
      <c r="Q16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0" s="32">
        <v>0</v>
      </c>
      <c r="S160" s="32">
        <v>0</v>
      </c>
      <c r="T160" s="32">
        <v>0</v>
      </c>
      <c r="U160" s="32">
        <v>2244</v>
      </c>
      <c r="V160" s="32">
        <v>16</v>
      </c>
      <c r="W160" s="32">
        <v>433</v>
      </c>
      <c r="X160" s="32">
        <v>0</v>
      </c>
      <c r="Y16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0.51816021593854056</v>
      </c>
      <c r="Z160" s="32">
        <v>0</v>
      </c>
      <c r="AA160" s="32">
        <v>76281</v>
      </c>
      <c r="AB160" s="32">
        <v>8901</v>
      </c>
      <c r="AC160" s="32">
        <v>0</v>
      </c>
      <c r="AD160" s="32">
        <v>0</v>
      </c>
      <c r="AE160" s="32">
        <v>130037</v>
      </c>
      <c r="AF160" s="32">
        <v>0</v>
      </c>
      <c r="AG16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1.474445275492396</v>
      </c>
      <c r="AH160" s="32">
        <v>6387</v>
      </c>
      <c r="AI160" s="32">
        <v>434</v>
      </c>
      <c r="AJ160" s="32">
        <v>320</v>
      </c>
      <c r="AK160" s="32">
        <v>0</v>
      </c>
      <c r="AL160" s="32">
        <v>12</v>
      </c>
      <c r="AM160" s="32">
        <v>1826</v>
      </c>
      <c r="AN160" s="32">
        <v>2095</v>
      </c>
      <c r="AO160" s="32">
        <v>0</v>
      </c>
      <c r="AP160" s="32">
        <v>-4011</v>
      </c>
      <c r="AQ16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4.7700999565406343</v>
      </c>
      <c r="AR160" s="32">
        <v>3993</v>
      </c>
      <c r="AS160" s="32">
        <v>1027</v>
      </c>
      <c r="AT160" s="32">
        <v>1342</v>
      </c>
      <c r="AU160" s="32">
        <v>1438</v>
      </c>
      <c r="AV160" s="32">
        <v>0</v>
      </c>
      <c r="AW160" s="32">
        <v>1826</v>
      </c>
      <c r="AX160" s="32">
        <v>390</v>
      </c>
      <c r="AY160" s="32">
        <v>0</v>
      </c>
      <c r="AZ160" s="32">
        <v>0</v>
      </c>
      <c r="BA160" s="32">
        <v>960</v>
      </c>
      <c r="BB160" s="32">
        <v>0</v>
      </c>
      <c r="BC160" s="32">
        <v>2301</v>
      </c>
      <c r="BD160" s="34">
        <f>IFERROR(SUM(Cons_Metrics[[#This Row],[Operating surplus/(deficit) (social housing lettings)]])/SUM(Cons_Metrics[[#This Row],[Turnover from social housing lettings]]),"")</f>
        <v>0.36981747475381044</v>
      </c>
      <c r="BE160" s="32">
        <v>5896</v>
      </c>
      <c r="BF160" s="32">
        <v>15943</v>
      </c>
      <c r="BG160" s="34">
        <f>IFERROR(SUM(Cons_Metrics[[#This Row],[Operating surplus/(deficit) (overall)2]],-Cons_Metrics[[#This Row],[Gain/(loss) on disposal of fixed assets (housing properties)2]])/SUM(Cons_Metrics[[#This Row],[Turnover (overall)]]),"")</f>
        <v>0.34220510462175213</v>
      </c>
      <c r="BH160" s="32">
        <v>6387</v>
      </c>
      <c r="BI160" s="32">
        <v>434</v>
      </c>
      <c r="BJ160" s="32">
        <v>17396</v>
      </c>
      <c r="BK160" s="34">
        <f>IFERROR(SUM(Cons_Metrics[[#This Row],[Operating surplus/(deficit) (overall)3]],Cons_Metrics[[#This Row],[Share of operating surplus/(deficit) in joint ventures or associates]])/SUM(Cons_Metrics[[#This Row],[Total assets less current liabilities]]),"")</f>
        <v>4.7119839466462067E-2</v>
      </c>
      <c r="BL160" s="32">
        <v>6387</v>
      </c>
      <c r="BM160" s="32">
        <v>0</v>
      </c>
      <c r="BN160" s="32">
        <v>135548</v>
      </c>
      <c r="BO160" s="34">
        <v>2.8248587570621469E-3</v>
      </c>
      <c r="BP160" s="34">
        <v>8.7099811676082869E-2</v>
      </c>
      <c r="BQ160" s="6" t="s">
        <v>93</v>
      </c>
      <c r="BR160" s="6">
        <v>1994</v>
      </c>
      <c r="BS160" s="6" t="s">
        <v>94</v>
      </c>
      <c r="BT160" s="6" t="s">
        <v>84</v>
      </c>
      <c r="BU160" s="8">
        <v>1.0118524159776632</v>
      </c>
    </row>
    <row r="161" spans="1:73" x14ac:dyDescent="0.25">
      <c r="A161" s="33" t="s">
        <v>411</v>
      </c>
      <c r="B161" s="7" t="s">
        <v>412</v>
      </c>
      <c r="C161" s="7" t="s">
        <v>81</v>
      </c>
      <c r="D16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9.2223545534636339E-2</v>
      </c>
      <c r="E161" s="32">
        <v>0</v>
      </c>
      <c r="F161" s="32">
        <v>22611</v>
      </c>
      <c r="G161" s="32">
        <v>4177</v>
      </c>
      <c r="H161" s="32">
        <v>0</v>
      </c>
      <c r="I161" s="32">
        <v>-4177</v>
      </c>
      <c r="J161" s="32">
        <v>245176</v>
      </c>
      <c r="K161" s="32">
        <v>0</v>
      </c>
      <c r="L16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4.2000641231163836E-2</v>
      </c>
      <c r="M161" s="32">
        <v>262</v>
      </c>
      <c r="N161" s="32">
        <v>0</v>
      </c>
      <c r="O161" s="32">
        <v>6238</v>
      </c>
      <c r="P161" s="32">
        <v>0</v>
      </c>
      <c r="Q16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2.0840012824623277E-3</v>
      </c>
      <c r="R161" s="32">
        <v>0</v>
      </c>
      <c r="S161" s="32">
        <v>0</v>
      </c>
      <c r="T161" s="32">
        <v>13</v>
      </c>
      <c r="U161" s="32">
        <v>6238</v>
      </c>
      <c r="V161" s="32">
        <v>0</v>
      </c>
      <c r="W161" s="32">
        <v>0</v>
      </c>
      <c r="X161" s="32">
        <v>0</v>
      </c>
      <c r="Y16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0.63285150259405487</v>
      </c>
      <c r="Z161" s="32">
        <v>0</v>
      </c>
      <c r="AA161" s="32">
        <v>166181</v>
      </c>
      <c r="AB161" s="32">
        <v>11021</v>
      </c>
      <c r="AC161" s="32">
        <v>0</v>
      </c>
      <c r="AD161" s="32">
        <v>0</v>
      </c>
      <c r="AE161" s="32">
        <v>245176</v>
      </c>
      <c r="AF161" s="32">
        <v>0</v>
      </c>
      <c r="AG16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1.3936451897616946</v>
      </c>
      <c r="AH161" s="32">
        <v>12456</v>
      </c>
      <c r="AI161" s="32">
        <v>0</v>
      </c>
      <c r="AJ161" s="32">
        <v>388</v>
      </c>
      <c r="AK161" s="32">
        <v>16</v>
      </c>
      <c r="AL161" s="32">
        <v>185</v>
      </c>
      <c r="AM161" s="32">
        <v>4177</v>
      </c>
      <c r="AN161" s="32">
        <v>4572</v>
      </c>
      <c r="AO161" s="32">
        <v>0</v>
      </c>
      <c r="AP161" s="32">
        <v>-9064</v>
      </c>
      <c r="AQ16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3.2167361333760822</v>
      </c>
      <c r="AR161" s="32">
        <v>5893</v>
      </c>
      <c r="AS161" s="32">
        <v>1466</v>
      </c>
      <c r="AT161" s="32">
        <v>6256</v>
      </c>
      <c r="AU161" s="32">
        <v>511</v>
      </c>
      <c r="AV161" s="32">
        <v>404</v>
      </c>
      <c r="AW161" s="32">
        <v>4177</v>
      </c>
      <c r="AX161" s="32">
        <v>624</v>
      </c>
      <c r="AY161" s="32">
        <v>0</v>
      </c>
      <c r="AZ161" s="32">
        <v>0</v>
      </c>
      <c r="BA161" s="32">
        <v>550</v>
      </c>
      <c r="BB161" s="32">
        <v>185</v>
      </c>
      <c r="BC161" s="32">
        <v>6238</v>
      </c>
      <c r="BD161" s="34">
        <f>IFERROR(SUM(Cons_Metrics[[#This Row],[Operating surplus/(deficit) (social housing lettings)]])/SUM(Cons_Metrics[[#This Row],[Turnover from social housing lettings]]),"")</f>
        <v>0.36133471825499869</v>
      </c>
      <c r="BE161" s="32">
        <v>11132</v>
      </c>
      <c r="BF161" s="32">
        <v>30808</v>
      </c>
      <c r="BG161" s="34">
        <f>IFERROR(SUM(Cons_Metrics[[#This Row],[Operating surplus/(deficit) (overall)2]],-Cons_Metrics[[#This Row],[Gain/(loss) on disposal of fixed assets (housing properties)2]])/SUM(Cons_Metrics[[#This Row],[Turnover (overall)]]),"")</f>
        <v>0.34943612186500589</v>
      </c>
      <c r="BH161" s="32">
        <v>12456</v>
      </c>
      <c r="BI161" s="32">
        <v>0</v>
      </c>
      <c r="BJ161" s="32">
        <v>35646</v>
      </c>
      <c r="BK161" s="34">
        <f>IFERROR(SUM(Cons_Metrics[[#This Row],[Operating surplus/(deficit) (overall)3]],Cons_Metrics[[#This Row],[Share of operating surplus/(deficit) in joint ventures or associates]])/SUM(Cons_Metrics[[#This Row],[Total assets less current liabilities]]),"")</f>
        <v>4.5498876773875402E-2</v>
      </c>
      <c r="BL161" s="32">
        <v>12456</v>
      </c>
      <c r="BM161" s="32">
        <v>0</v>
      </c>
      <c r="BN161" s="32">
        <v>273765</v>
      </c>
      <c r="BO161" s="34">
        <v>2.4685303253228708E-2</v>
      </c>
      <c r="BP161" s="34">
        <v>0.11116560405427497</v>
      </c>
      <c r="BQ161" s="6" t="s">
        <v>93</v>
      </c>
      <c r="BR161" s="6">
        <v>2004</v>
      </c>
      <c r="BS161" s="6" t="s">
        <v>94</v>
      </c>
      <c r="BT161" s="6" t="s">
        <v>100</v>
      </c>
      <c r="BU161" s="8">
        <v>1.0022399874355168</v>
      </c>
    </row>
    <row r="162" spans="1:73" x14ac:dyDescent="0.25">
      <c r="A162" s="33" t="s">
        <v>413</v>
      </c>
      <c r="B162" s="7" t="s">
        <v>414</v>
      </c>
      <c r="C162" s="7" t="s">
        <v>81</v>
      </c>
      <c r="D16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0.17023524591931347</v>
      </c>
      <c r="E162" s="32">
        <v>5647</v>
      </c>
      <c r="F162" s="32">
        <v>0</v>
      </c>
      <c r="G162" s="32">
        <v>10079</v>
      </c>
      <c r="H162" s="32">
        <v>64</v>
      </c>
      <c r="I162" s="32">
        <v>0</v>
      </c>
      <c r="J162" s="32">
        <v>92754</v>
      </c>
      <c r="K162" s="32">
        <v>0</v>
      </c>
      <c r="L16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2.6862026862026862E-3</v>
      </c>
      <c r="M162" s="32">
        <v>22</v>
      </c>
      <c r="N162" s="32">
        <v>0</v>
      </c>
      <c r="O162" s="32">
        <v>8190</v>
      </c>
      <c r="P162" s="32">
        <v>0</v>
      </c>
      <c r="Q16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2" s="32">
        <v>0</v>
      </c>
      <c r="S162" s="32">
        <v>0</v>
      </c>
      <c r="T162" s="32">
        <v>0</v>
      </c>
      <c r="U162" s="32">
        <v>8190</v>
      </c>
      <c r="V162" s="32">
        <v>0</v>
      </c>
      <c r="W162" s="32">
        <v>0</v>
      </c>
      <c r="X162" s="32">
        <v>0</v>
      </c>
      <c r="Y16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0.28775039351402637</v>
      </c>
      <c r="Z162" s="32">
        <v>0</v>
      </c>
      <c r="AA162" s="32">
        <v>29042</v>
      </c>
      <c r="AB162" s="32">
        <v>2352</v>
      </c>
      <c r="AC162" s="32">
        <v>0</v>
      </c>
      <c r="AD162" s="32">
        <v>0</v>
      </c>
      <c r="AE162" s="32">
        <v>92754</v>
      </c>
      <c r="AF162" s="32">
        <v>0</v>
      </c>
      <c r="AG16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-0.83648498331479426</v>
      </c>
      <c r="AH162" s="32">
        <v>10305</v>
      </c>
      <c r="AI162" s="32">
        <v>3266</v>
      </c>
      <c r="AJ162" s="32">
        <v>118</v>
      </c>
      <c r="AK162" s="32">
        <v>31</v>
      </c>
      <c r="AL162" s="32">
        <v>3</v>
      </c>
      <c r="AM162" s="32">
        <v>10079</v>
      </c>
      <c r="AN162" s="32">
        <v>1682</v>
      </c>
      <c r="AO162" s="32">
        <v>-64</v>
      </c>
      <c r="AP162" s="32">
        <v>-1734</v>
      </c>
      <c r="AQ16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4.8348268345846455</v>
      </c>
      <c r="AR162" s="32">
        <v>8381</v>
      </c>
      <c r="AS162" s="32">
        <v>1992</v>
      </c>
      <c r="AT162" s="32">
        <v>7749</v>
      </c>
      <c r="AU162" s="32">
        <v>2086</v>
      </c>
      <c r="AV162" s="32">
        <v>5074</v>
      </c>
      <c r="AW162" s="32">
        <v>10079</v>
      </c>
      <c r="AX162" s="32">
        <v>6</v>
      </c>
      <c r="AY162" s="32">
        <v>144</v>
      </c>
      <c r="AZ162" s="32">
        <v>0</v>
      </c>
      <c r="BA162" s="32">
        <v>4415</v>
      </c>
      <c r="BB162" s="32">
        <v>0</v>
      </c>
      <c r="BC162" s="32">
        <v>8258</v>
      </c>
      <c r="BD162" s="34">
        <f>IFERROR(SUM(Cons_Metrics[[#This Row],[Operating surplus/(deficit) (social housing lettings)]])/SUM(Cons_Metrics[[#This Row],[Turnover from social housing lettings]]),"")</f>
        <v>0.21048791875802497</v>
      </c>
      <c r="BE162" s="32">
        <v>7213</v>
      </c>
      <c r="BF162" s="32">
        <v>34268</v>
      </c>
      <c r="BG162" s="34">
        <f>IFERROR(SUM(Cons_Metrics[[#This Row],[Operating surplus/(deficit) (overall)2]],-Cons_Metrics[[#This Row],[Gain/(loss) on disposal of fixed assets (housing properties)2]])/SUM(Cons_Metrics[[#This Row],[Turnover (overall)]]),"")</f>
        <v>0.17192613941673587</v>
      </c>
      <c r="BH162" s="32">
        <v>10305</v>
      </c>
      <c r="BI162" s="32">
        <v>3266</v>
      </c>
      <c r="BJ162" s="32">
        <v>40942</v>
      </c>
      <c r="BK162" s="34">
        <f>IFERROR(SUM(Cons_Metrics[[#This Row],[Operating surplus/(deficit) (overall)3]],Cons_Metrics[[#This Row],[Share of operating surplus/(deficit) in joint ventures or associates]])/SUM(Cons_Metrics[[#This Row],[Total assets less current liabilities]]),"")</f>
        <v>5.0163316766376705E-2</v>
      </c>
      <c r="BL162" s="32">
        <v>10305</v>
      </c>
      <c r="BM162" s="32">
        <v>0</v>
      </c>
      <c r="BN162" s="32">
        <v>205429</v>
      </c>
      <c r="BO162" s="34">
        <v>5.8608058608058608E-3</v>
      </c>
      <c r="BP162" s="34">
        <v>4.0659340659340661E-2</v>
      </c>
      <c r="BQ162" s="6" t="s">
        <v>93</v>
      </c>
      <c r="BR162" s="6">
        <v>2015</v>
      </c>
      <c r="BS162" s="6" t="s">
        <v>149</v>
      </c>
      <c r="BT162" s="6" t="s">
        <v>105</v>
      </c>
      <c r="BU162" s="8">
        <v>0.9156653862445665</v>
      </c>
    </row>
    <row r="163" spans="1:73" x14ac:dyDescent="0.25">
      <c r="A163" s="33" t="s">
        <v>415</v>
      </c>
      <c r="B163" s="7" t="s">
        <v>416</v>
      </c>
      <c r="C163" s="7" t="s">
        <v>81</v>
      </c>
      <c r="D16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2.0437036629688696E-2</v>
      </c>
      <c r="E163" s="32">
        <v>2997</v>
      </c>
      <c r="F163" s="32">
        <v>0</v>
      </c>
      <c r="G163" s="32">
        <v>1091</v>
      </c>
      <c r="H163" s="32">
        <v>0</v>
      </c>
      <c r="I163" s="32">
        <v>0</v>
      </c>
      <c r="J163" s="32">
        <v>200029</v>
      </c>
      <c r="K163" s="32">
        <v>0</v>
      </c>
      <c r="L16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63" s="32">
        <v>0</v>
      </c>
      <c r="N163" s="32">
        <v>0</v>
      </c>
      <c r="O163" s="32">
        <v>3985</v>
      </c>
      <c r="P163" s="32">
        <v>0</v>
      </c>
      <c r="Q16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3" s="32">
        <v>0</v>
      </c>
      <c r="S163" s="32">
        <v>0</v>
      </c>
      <c r="T163" s="32">
        <v>0</v>
      </c>
      <c r="U163" s="32">
        <v>3985</v>
      </c>
      <c r="V163" s="32">
        <v>0</v>
      </c>
      <c r="W163" s="32">
        <v>0</v>
      </c>
      <c r="X163" s="32">
        <v>0</v>
      </c>
      <c r="Y16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9.5401166830809528E-2</v>
      </c>
      <c r="Z163" s="32">
        <v>11239</v>
      </c>
      <c r="AA163" s="32">
        <v>26120</v>
      </c>
      <c r="AB163" s="32">
        <v>18276</v>
      </c>
      <c r="AC163" s="32">
        <v>0</v>
      </c>
      <c r="AD163" s="32">
        <v>0</v>
      </c>
      <c r="AE163" s="32">
        <v>200029</v>
      </c>
      <c r="AF163" s="32">
        <v>0</v>
      </c>
      <c r="AG16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1.8258774948382657</v>
      </c>
      <c r="AH163" s="32">
        <v>2656</v>
      </c>
      <c r="AI163" s="32">
        <v>162</v>
      </c>
      <c r="AJ163" s="32">
        <v>2708</v>
      </c>
      <c r="AK163" s="32">
        <v>0</v>
      </c>
      <c r="AL163" s="32">
        <v>47</v>
      </c>
      <c r="AM163" s="32">
        <v>1796</v>
      </c>
      <c r="AN163" s="32">
        <v>4616</v>
      </c>
      <c r="AO163" s="32">
        <v>0</v>
      </c>
      <c r="AP163" s="32">
        <v>-1453</v>
      </c>
      <c r="AQ16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9.6401401401401401</v>
      </c>
      <c r="AR163" s="32">
        <v>5730</v>
      </c>
      <c r="AS163" s="32">
        <v>11907</v>
      </c>
      <c r="AT163" s="32">
        <v>2662</v>
      </c>
      <c r="AU163" s="32">
        <v>469</v>
      </c>
      <c r="AV163" s="32">
        <v>920</v>
      </c>
      <c r="AW163" s="32">
        <v>1796</v>
      </c>
      <c r="AX163" s="32">
        <v>179</v>
      </c>
      <c r="AY163" s="32">
        <v>0</v>
      </c>
      <c r="AZ163" s="32">
        <v>0</v>
      </c>
      <c r="BA163" s="32">
        <v>2299</v>
      </c>
      <c r="BB163" s="32">
        <v>12560</v>
      </c>
      <c r="BC163" s="32">
        <v>3996</v>
      </c>
      <c r="BD163" s="34">
        <f>IFERROR(SUM(Cons_Metrics[[#This Row],[Operating surplus/(deficit) (social housing lettings)]])/SUM(Cons_Metrics[[#This Row],[Turnover from social housing lettings]]),"")</f>
        <v>0.17530281579361334</v>
      </c>
      <c r="BE163" s="32">
        <v>5572</v>
      </c>
      <c r="BF163" s="32">
        <v>31785</v>
      </c>
      <c r="BG163" s="34">
        <f>IFERROR(SUM(Cons_Metrics[[#This Row],[Operating surplus/(deficit) (overall)2]],-Cons_Metrics[[#This Row],[Gain/(loss) on disposal of fixed assets (housing properties)2]])/SUM(Cons_Metrics[[#This Row],[Turnover (overall)]]),"")</f>
        <v>5.421974868472542E-2</v>
      </c>
      <c r="BH163" s="32">
        <v>2656</v>
      </c>
      <c r="BI163" s="32">
        <v>162</v>
      </c>
      <c r="BJ163" s="32">
        <v>45998</v>
      </c>
      <c r="BK163" s="34">
        <f>IFERROR(SUM(Cons_Metrics[[#This Row],[Operating surplus/(deficit) (overall)3]],Cons_Metrics[[#This Row],[Share of operating surplus/(deficit) in joint ventures or associates]])/SUM(Cons_Metrics[[#This Row],[Total assets less current liabilities]]),"")</f>
        <v>1.3264811790499877E-2</v>
      </c>
      <c r="BL163" s="32">
        <v>2656</v>
      </c>
      <c r="BM163" s="32">
        <v>0</v>
      </c>
      <c r="BN163" s="32">
        <v>200229</v>
      </c>
      <c r="BO163" s="34">
        <v>0.58237145855194128</v>
      </c>
      <c r="BP163" s="34">
        <v>7.6075550891920252E-2</v>
      </c>
      <c r="BQ163" s="6" t="s">
        <v>82</v>
      </c>
      <c r="BR163" s="6" t="s">
        <v>83</v>
      </c>
      <c r="BS163" s="6" t="s">
        <v>83</v>
      </c>
      <c r="BT163" s="6" t="s">
        <v>87</v>
      </c>
      <c r="BU163" s="8">
        <v>1.0168919006961883</v>
      </c>
    </row>
    <row r="164" spans="1:73" x14ac:dyDescent="0.25">
      <c r="A164" s="33" t="s">
        <v>417</v>
      </c>
      <c r="B164" s="7" t="s">
        <v>418</v>
      </c>
      <c r="C164" s="7" t="s">
        <v>81</v>
      </c>
      <c r="D16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6.4143465768354307E-2</v>
      </c>
      <c r="E164" s="32">
        <v>172000</v>
      </c>
      <c r="F164" s="32">
        <v>67000</v>
      </c>
      <c r="G164" s="32">
        <v>81300</v>
      </c>
      <c r="H164" s="32">
        <v>3400</v>
      </c>
      <c r="I164" s="32">
        <v>0</v>
      </c>
      <c r="J164" s="32">
        <v>5046500</v>
      </c>
      <c r="K164" s="32">
        <v>0</v>
      </c>
      <c r="L16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6.983444840552815E-3</v>
      </c>
      <c r="M164" s="32">
        <v>572</v>
      </c>
      <c r="N164" s="32">
        <v>0</v>
      </c>
      <c r="O164" s="32">
        <v>77202</v>
      </c>
      <c r="P164" s="32">
        <v>4706</v>
      </c>
      <c r="Q16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6.3036466595925748E-4</v>
      </c>
      <c r="R164" s="32">
        <v>60</v>
      </c>
      <c r="S164" s="32">
        <v>0</v>
      </c>
      <c r="T164" s="32">
        <v>0</v>
      </c>
      <c r="U164" s="32">
        <v>77202</v>
      </c>
      <c r="V164" s="32">
        <v>13204</v>
      </c>
      <c r="W164" s="32">
        <v>4706</v>
      </c>
      <c r="X164" s="32">
        <v>71</v>
      </c>
      <c r="Y16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0.52149014168235408</v>
      </c>
      <c r="Z164" s="32">
        <v>103500</v>
      </c>
      <c r="AA164" s="32">
        <v>2478900</v>
      </c>
      <c r="AB164" s="32">
        <v>95700</v>
      </c>
      <c r="AC164" s="32">
        <v>0</v>
      </c>
      <c r="AD164" s="32">
        <v>145000</v>
      </c>
      <c r="AE164" s="32">
        <v>5046500</v>
      </c>
      <c r="AF164" s="32">
        <v>0</v>
      </c>
      <c r="AG16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1.2844239290989661</v>
      </c>
      <c r="AH164" s="32">
        <v>193700</v>
      </c>
      <c r="AI164" s="32">
        <v>5100</v>
      </c>
      <c r="AJ164" s="32">
        <v>0</v>
      </c>
      <c r="AK164" s="32">
        <v>0</v>
      </c>
      <c r="AL164" s="32">
        <v>4100</v>
      </c>
      <c r="AM164" s="32">
        <v>67189</v>
      </c>
      <c r="AN164" s="32">
        <v>48400</v>
      </c>
      <c r="AO164" s="32">
        <v>-3400</v>
      </c>
      <c r="AP164" s="32">
        <v>-132000</v>
      </c>
      <c r="AQ16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4.2082977124944954</v>
      </c>
      <c r="AR164" s="32">
        <v>52500</v>
      </c>
      <c r="AS164" s="32">
        <v>43300</v>
      </c>
      <c r="AT164" s="32">
        <v>75800</v>
      </c>
      <c r="AU164" s="32">
        <v>28900</v>
      </c>
      <c r="AV164" s="32">
        <v>0</v>
      </c>
      <c r="AW164" s="32">
        <v>67189</v>
      </c>
      <c r="AX164" s="32">
        <v>5700</v>
      </c>
      <c r="AY164" s="32">
        <v>7700</v>
      </c>
      <c r="AZ164" s="32">
        <v>0</v>
      </c>
      <c r="BA164" s="32">
        <v>10800</v>
      </c>
      <c r="BB164" s="32">
        <v>33000</v>
      </c>
      <c r="BC164" s="32">
        <v>77202</v>
      </c>
      <c r="BD164" s="34">
        <f>IFERROR(SUM(Cons_Metrics[[#This Row],[Operating surplus/(deficit) (social housing lettings)]])/SUM(Cons_Metrics[[#This Row],[Turnover from social housing lettings]]),"")</f>
        <v>0.40074719800747199</v>
      </c>
      <c r="BE164" s="32">
        <v>160900</v>
      </c>
      <c r="BF164" s="32">
        <v>401500</v>
      </c>
      <c r="BG164" s="34">
        <f>IFERROR(SUM(Cons_Metrics[[#This Row],[Operating surplus/(deficit) (overall)2]],-Cons_Metrics[[#This Row],[Gain/(loss) on disposal of fixed assets (housing properties)2]])/SUM(Cons_Metrics[[#This Row],[Turnover (overall)]]),"")</f>
        <v>0.26634656122016664</v>
      </c>
      <c r="BH164" s="32">
        <v>193700</v>
      </c>
      <c r="BI164" s="32">
        <v>5100</v>
      </c>
      <c r="BJ164" s="32">
        <v>708100</v>
      </c>
      <c r="BK164" s="34">
        <f>IFERROR(SUM(Cons_Metrics[[#This Row],[Operating surplus/(deficit) (overall)3]],Cons_Metrics[[#This Row],[Share of operating surplus/(deficit) in joint ventures or associates]])/SUM(Cons_Metrics[[#This Row],[Total assets less current liabilities]]),"")</f>
        <v>3.5317438667321364E-2</v>
      </c>
      <c r="BL164" s="32">
        <v>193700</v>
      </c>
      <c r="BM164" s="32">
        <v>500</v>
      </c>
      <c r="BN164" s="32">
        <v>5498700</v>
      </c>
      <c r="BO164" s="34">
        <v>5.1967831471069675E-2</v>
      </c>
      <c r="BP164" s="34">
        <v>0.14868692619742366</v>
      </c>
      <c r="BQ164" s="6" t="s">
        <v>82</v>
      </c>
      <c r="BR164" s="6" t="s">
        <v>83</v>
      </c>
      <c r="BS164" s="6" t="s">
        <v>83</v>
      </c>
      <c r="BT164" s="6" t="s">
        <v>87</v>
      </c>
      <c r="BU164" s="8">
        <v>0.99221278496090271</v>
      </c>
    </row>
    <row r="165" spans="1:73" x14ac:dyDescent="0.25">
      <c r="A165" s="33" t="s">
        <v>419</v>
      </c>
      <c r="B165" s="7" t="s">
        <v>420</v>
      </c>
      <c r="C165" s="7" t="s">
        <v>81</v>
      </c>
      <c r="D16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5.929470647156896E-2</v>
      </c>
      <c r="E165" s="32">
        <v>11360</v>
      </c>
      <c r="F165" s="32">
        <v>0</v>
      </c>
      <c r="G165" s="32">
        <v>5940</v>
      </c>
      <c r="H165" s="32">
        <v>518</v>
      </c>
      <c r="I165" s="32">
        <v>0</v>
      </c>
      <c r="J165" s="32">
        <v>300499</v>
      </c>
      <c r="K165" s="32">
        <v>0</v>
      </c>
      <c r="L16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9.2038656235618951E-3</v>
      </c>
      <c r="M165" s="32">
        <v>60</v>
      </c>
      <c r="N165" s="32">
        <v>0</v>
      </c>
      <c r="O165" s="32">
        <v>5997</v>
      </c>
      <c r="P165" s="32">
        <v>522</v>
      </c>
      <c r="Q16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5" s="32">
        <v>0</v>
      </c>
      <c r="S165" s="32">
        <v>0</v>
      </c>
      <c r="T165" s="32">
        <v>0</v>
      </c>
      <c r="U165" s="32">
        <v>5997</v>
      </c>
      <c r="V165" s="32">
        <v>81</v>
      </c>
      <c r="W165" s="32">
        <v>522</v>
      </c>
      <c r="X165" s="32">
        <v>0</v>
      </c>
      <c r="Y16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0.69802228959164592</v>
      </c>
      <c r="Z165" s="32">
        <v>0</v>
      </c>
      <c r="AA165" s="32">
        <v>220668</v>
      </c>
      <c r="AB165" s="32">
        <v>10913</v>
      </c>
      <c r="AC165" s="32">
        <v>0</v>
      </c>
      <c r="AD165" s="32">
        <v>0</v>
      </c>
      <c r="AE165" s="32">
        <v>300499</v>
      </c>
      <c r="AF165" s="32">
        <v>0</v>
      </c>
      <c r="AG16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1.3534503486415004</v>
      </c>
      <c r="AH165" s="32">
        <v>17415</v>
      </c>
      <c r="AI165" s="32">
        <v>246</v>
      </c>
      <c r="AJ165" s="32">
        <v>602</v>
      </c>
      <c r="AK165" s="32">
        <v>0</v>
      </c>
      <c r="AL165" s="32">
        <v>39</v>
      </c>
      <c r="AM165" s="32">
        <v>5940</v>
      </c>
      <c r="AN165" s="32">
        <v>6221</v>
      </c>
      <c r="AO165" s="32">
        <v>-518</v>
      </c>
      <c r="AP165" s="32">
        <v>-11959</v>
      </c>
      <c r="AQ16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4.1020510255127567</v>
      </c>
      <c r="AR165" s="32">
        <v>3413</v>
      </c>
      <c r="AS165" s="32">
        <v>5946</v>
      </c>
      <c r="AT165" s="32">
        <v>3328</v>
      </c>
      <c r="AU165" s="32">
        <v>2818</v>
      </c>
      <c r="AV165" s="32">
        <v>1291</v>
      </c>
      <c r="AW165" s="32">
        <v>5940</v>
      </c>
      <c r="AX165" s="32">
        <v>1864</v>
      </c>
      <c r="AY165" s="32">
        <v>0</v>
      </c>
      <c r="AZ165" s="32">
        <v>0</v>
      </c>
      <c r="BA165" s="32">
        <v>0</v>
      </c>
      <c r="BB165" s="32">
        <v>0</v>
      </c>
      <c r="BC165" s="32">
        <v>5997</v>
      </c>
      <c r="BD165" s="34">
        <f>IFERROR(SUM(Cons_Metrics[[#This Row],[Operating surplus/(deficit) (social housing lettings)]])/SUM(Cons_Metrics[[#This Row],[Turnover from social housing lettings]]),"")</f>
        <v>0.36845283018867925</v>
      </c>
      <c r="BE165" s="32">
        <v>14646</v>
      </c>
      <c r="BF165" s="32">
        <v>39750</v>
      </c>
      <c r="BG165" s="34">
        <f>IFERROR(SUM(Cons_Metrics[[#This Row],[Operating surplus/(deficit) (overall)2]],-Cons_Metrics[[#This Row],[Gain/(loss) on disposal of fixed assets (housing properties)2]])/SUM(Cons_Metrics[[#This Row],[Turnover (overall)]]),"")</f>
        <v>0.3536572805734649</v>
      </c>
      <c r="BH165" s="32">
        <v>17415</v>
      </c>
      <c r="BI165" s="32">
        <v>246</v>
      </c>
      <c r="BJ165" s="32">
        <v>48547</v>
      </c>
      <c r="BK165" s="34">
        <f>IFERROR(SUM(Cons_Metrics[[#This Row],[Operating surplus/(deficit) (overall)3]],Cons_Metrics[[#This Row],[Share of operating surplus/(deficit) in joint ventures or associates]])/SUM(Cons_Metrics[[#This Row],[Total assets less current liabilities]]),"")</f>
        <v>5.2342251904037705E-2</v>
      </c>
      <c r="BL165" s="32">
        <v>17415</v>
      </c>
      <c r="BM165" s="32">
        <v>0</v>
      </c>
      <c r="BN165" s="32">
        <v>332714</v>
      </c>
      <c r="BO165" s="34">
        <v>1.0958904109589041E-2</v>
      </c>
      <c r="BP165" s="34">
        <v>0.23047945205479453</v>
      </c>
      <c r="BQ165" s="6" t="s">
        <v>93</v>
      </c>
      <c r="BR165" s="6">
        <v>2000</v>
      </c>
      <c r="BS165" s="6" t="s">
        <v>94</v>
      </c>
      <c r="BT165" s="6" t="s">
        <v>84</v>
      </c>
      <c r="BU165" s="8">
        <v>1.0118524159776632</v>
      </c>
    </row>
    <row r="166" spans="1:73" x14ac:dyDescent="0.25">
      <c r="A166" s="33" t="s">
        <v>421</v>
      </c>
      <c r="B166" s="7" t="s">
        <v>422</v>
      </c>
      <c r="C166" s="7" t="s">
        <v>81</v>
      </c>
      <c r="D16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7.738378890737746E-2</v>
      </c>
      <c r="E166" s="32">
        <v>0</v>
      </c>
      <c r="F166" s="32">
        <v>27860</v>
      </c>
      <c r="G166" s="32">
        <v>1857</v>
      </c>
      <c r="H166" s="32">
        <v>0</v>
      </c>
      <c r="I166" s="32">
        <v>0</v>
      </c>
      <c r="J166" s="32">
        <v>384021</v>
      </c>
      <c r="K166" s="32">
        <v>0</v>
      </c>
      <c r="L16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4.0304665185655349E-2</v>
      </c>
      <c r="M166" s="32">
        <v>254</v>
      </c>
      <c r="N166" s="32">
        <v>0</v>
      </c>
      <c r="O166" s="32">
        <v>6302</v>
      </c>
      <c r="P166" s="32">
        <v>0</v>
      </c>
      <c r="Q16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6" s="32">
        <v>0</v>
      </c>
      <c r="S166" s="32">
        <v>0</v>
      </c>
      <c r="T166" s="32">
        <v>0</v>
      </c>
      <c r="U166" s="32">
        <v>6302</v>
      </c>
      <c r="V166" s="32">
        <v>0</v>
      </c>
      <c r="W166" s="32">
        <v>0</v>
      </c>
      <c r="X166" s="32">
        <v>0</v>
      </c>
      <c r="Y16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0.29978048075495872</v>
      </c>
      <c r="Z166" s="32">
        <v>0</v>
      </c>
      <c r="AA166" s="32">
        <v>144736</v>
      </c>
      <c r="AB166" s="32">
        <v>29614</v>
      </c>
      <c r="AC166" s="32">
        <v>0</v>
      </c>
      <c r="AD166" s="32">
        <v>0</v>
      </c>
      <c r="AE166" s="32">
        <v>384021</v>
      </c>
      <c r="AF166" s="32">
        <v>0</v>
      </c>
      <c r="AG16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5.165934755332497</v>
      </c>
      <c r="AH166" s="32">
        <v>13113</v>
      </c>
      <c r="AI166" s="32">
        <v>807</v>
      </c>
      <c r="AJ166" s="32">
        <v>347</v>
      </c>
      <c r="AK166" s="32">
        <v>0</v>
      </c>
      <c r="AL166" s="32">
        <v>109</v>
      </c>
      <c r="AM166" s="32">
        <v>1857</v>
      </c>
      <c r="AN166" s="32">
        <v>6258</v>
      </c>
      <c r="AO166" s="32">
        <v>-162</v>
      </c>
      <c r="AP166" s="32">
        <v>-3026</v>
      </c>
      <c r="AQ16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2.9641383687718186</v>
      </c>
      <c r="AR166" s="32">
        <v>4390</v>
      </c>
      <c r="AS166" s="32">
        <v>2008</v>
      </c>
      <c r="AT166" s="32">
        <v>4400</v>
      </c>
      <c r="AU166" s="32">
        <v>2786</v>
      </c>
      <c r="AV166" s="32">
        <v>2687</v>
      </c>
      <c r="AW166" s="32">
        <v>1857</v>
      </c>
      <c r="AX166" s="32">
        <v>0</v>
      </c>
      <c r="AY166" s="32">
        <v>493</v>
      </c>
      <c r="AZ166" s="32">
        <v>0</v>
      </c>
      <c r="BA166" s="32">
        <v>0</v>
      </c>
      <c r="BB166" s="32">
        <v>59</v>
      </c>
      <c r="BC166" s="32">
        <v>6302</v>
      </c>
      <c r="BD166" s="34">
        <f>IFERROR(SUM(Cons_Metrics[[#This Row],[Operating surplus/(deficit) (social housing lettings)]])/SUM(Cons_Metrics[[#This Row],[Turnover from social housing lettings]]),"")</f>
        <v>0.32814671581364435</v>
      </c>
      <c r="BE166" s="32">
        <v>10861</v>
      </c>
      <c r="BF166" s="32">
        <v>33098</v>
      </c>
      <c r="BG166" s="34">
        <f>IFERROR(SUM(Cons_Metrics[[#This Row],[Operating surplus/(deficit) (overall)2]],-Cons_Metrics[[#This Row],[Gain/(loss) on disposal of fixed assets (housing properties)2]])/SUM(Cons_Metrics[[#This Row],[Turnover (overall)]]),"")</f>
        <v>0.3188248095756257</v>
      </c>
      <c r="BH166" s="32">
        <v>13113</v>
      </c>
      <c r="BI166" s="32">
        <v>807</v>
      </c>
      <c r="BJ166" s="32">
        <v>38598</v>
      </c>
      <c r="BK166" s="34">
        <f>IFERROR(SUM(Cons_Metrics[[#This Row],[Operating surplus/(deficit) (overall)3]],Cons_Metrics[[#This Row],[Share of operating surplus/(deficit) in joint ventures or associates]])/SUM(Cons_Metrics[[#This Row],[Total assets less current liabilities]]),"")</f>
        <v>3.1489539507809347E-2</v>
      </c>
      <c r="BL166" s="32">
        <v>13113</v>
      </c>
      <c r="BM166" s="32">
        <v>0</v>
      </c>
      <c r="BN166" s="32">
        <v>416424</v>
      </c>
      <c r="BO166" s="34">
        <v>1.1734855692990803E-2</v>
      </c>
      <c r="BP166" s="34">
        <v>0.22660957817951158</v>
      </c>
      <c r="BQ166" s="6" t="s">
        <v>93</v>
      </c>
      <c r="BR166" s="6">
        <v>2001</v>
      </c>
      <c r="BS166" s="6" t="s">
        <v>94</v>
      </c>
      <c r="BT166" s="6" t="s">
        <v>115</v>
      </c>
      <c r="BU166" s="8">
        <v>0.96617455710897804</v>
      </c>
    </row>
    <row r="167" spans="1:73" x14ac:dyDescent="0.25">
      <c r="A167" s="33" t="s">
        <v>423</v>
      </c>
      <c r="B167" s="7" t="s">
        <v>424</v>
      </c>
      <c r="C167" s="7" t="s">
        <v>81</v>
      </c>
      <c r="D16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2.4433670584555419E-2</v>
      </c>
      <c r="E167" s="32">
        <v>1418</v>
      </c>
      <c r="F167" s="32">
        <v>0</v>
      </c>
      <c r="G167" s="32">
        <v>613</v>
      </c>
      <c r="H167" s="32">
        <v>0</v>
      </c>
      <c r="I167" s="32">
        <v>0</v>
      </c>
      <c r="J167" s="32">
        <v>83123</v>
      </c>
      <c r="K167" s="32">
        <v>0</v>
      </c>
      <c r="L16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3.9018952062430325E-3</v>
      </c>
      <c r="M167" s="32">
        <v>14</v>
      </c>
      <c r="N167" s="32">
        <v>0</v>
      </c>
      <c r="O167" s="32">
        <v>3454</v>
      </c>
      <c r="P167" s="32">
        <v>134</v>
      </c>
      <c r="Q16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7" s="32">
        <v>0</v>
      </c>
      <c r="S167" s="32">
        <v>0</v>
      </c>
      <c r="T167" s="32">
        <v>0</v>
      </c>
      <c r="U167" s="32">
        <v>3454</v>
      </c>
      <c r="V167" s="32">
        <v>367</v>
      </c>
      <c r="W167" s="32">
        <v>134</v>
      </c>
      <c r="X167" s="32">
        <v>0</v>
      </c>
      <c r="Y16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1.3056314136881488</v>
      </c>
      <c r="Z167" s="32">
        <v>0</v>
      </c>
      <c r="AA167" s="32">
        <v>118365</v>
      </c>
      <c r="AB167" s="32">
        <v>9837</v>
      </c>
      <c r="AC167" s="32">
        <v>0</v>
      </c>
      <c r="AD167" s="32">
        <v>0</v>
      </c>
      <c r="AE167" s="32">
        <v>83123</v>
      </c>
      <c r="AF167" s="32">
        <v>0</v>
      </c>
      <c r="AG16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1.4756577910824011</v>
      </c>
      <c r="AH167" s="32">
        <v>10025</v>
      </c>
      <c r="AI167" s="32">
        <v>1942</v>
      </c>
      <c r="AJ167" s="32">
        <v>155</v>
      </c>
      <c r="AK167" s="32">
        <v>0</v>
      </c>
      <c r="AL167" s="32">
        <v>0</v>
      </c>
      <c r="AM167" s="32">
        <v>613</v>
      </c>
      <c r="AN167" s="32">
        <v>2051</v>
      </c>
      <c r="AO167" s="32">
        <v>-1</v>
      </c>
      <c r="AP167" s="32">
        <v>-6346</v>
      </c>
      <c r="AQ16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2.6728430804863925</v>
      </c>
      <c r="AR167" s="32">
        <v>4075</v>
      </c>
      <c r="AS167" s="32">
        <v>934</v>
      </c>
      <c r="AT167" s="32">
        <v>2233</v>
      </c>
      <c r="AU167" s="32">
        <v>0</v>
      </c>
      <c r="AV167" s="32">
        <v>1327</v>
      </c>
      <c r="AW167" s="32">
        <v>613</v>
      </c>
      <c r="AX167" s="32">
        <v>0</v>
      </c>
      <c r="AY167" s="32">
        <v>0</v>
      </c>
      <c r="AZ167" s="32">
        <v>0</v>
      </c>
      <c r="BA167" s="32">
        <v>50</v>
      </c>
      <c r="BB167" s="32">
        <v>0</v>
      </c>
      <c r="BC167" s="32">
        <v>3454</v>
      </c>
      <c r="BD167" s="34">
        <f>IFERROR(SUM(Cons_Metrics[[#This Row],[Operating surplus/(deficit) (social housing lettings)]])/SUM(Cons_Metrics[[#This Row],[Turnover from social housing lettings]]),"")</f>
        <v>0.380552984729292</v>
      </c>
      <c r="BE167" s="32">
        <v>6579</v>
      </c>
      <c r="BF167" s="32">
        <v>17288</v>
      </c>
      <c r="BG167" s="34">
        <f>IFERROR(SUM(Cons_Metrics[[#This Row],[Operating surplus/(deficit) (overall)2]],-Cons_Metrics[[#This Row],[Gain/(loss) on disposal of fixed assets (housing properties)2]])/SUM(Cons_Metrics[[#This Row],[Turnover (overall)]]),"")</f>
        <v>0.40695801027086898</v>
      </c>
      <c r="BH167" s="32">
        <v>10025</v>
      </c>
      <c r="BI167" s="32">
        <v>1942</v>
      </c>
      <c r="BJ167" s="32">
        <v>19862</v>
      </c>
      <c r="BK167" s="34">
        <f>IFERROR(SUM(Cons_Metrics[[#This Row],[Operating surplus/(deficit) (overall)3]],Cons_Metrics[[#This Row],[Share of operating surplus/(deficit) in joint ventures or associates]])/SUM(Cons_Metrics[[#This Row],[Total assets less current liabilities]]),"")</f>
        <v>8.5401279528397517E-2</v>
      </c>
      <c r="BL167" s="32">
        <v>10025</v>
      </c>
      <c r="BM167" s="32">
        <v>0</v>
      </c>
      <c r="BN167" s="32">
        <v>117387</v>
      </c>
      <c r="BO167" s="34">
        <v>0</v>
      </c>
      <c r="BP167" s="34">
        <v>0.1184134337000579</v>
      </c>
      <c r="BQ167" s="6" t="s">
        <v>93</v>
      </c>
      <c r="BR167" s="6">
        <v>1998</v>
      </c>
      <c r="BS167" s="6" t="s">
        <v>94</v>
      </c>
      <c r="BT167" s="6" t="s">
        <v>115</v>
      </c>
      <c r="BU167" s="8">
        <v>0.96602846858722036</v>
      </c>
    </row>
    <row r="168" spans="1:73" x14ac:dyDescent="0.25">
      <c r="A168" s="33" t="s">
        <v>425</v>
      </c>
      <c r="B168" s="7" t="s">
        <v>426</v>
      </c>
      <c r="C168" s="7" t="s">
        <v>81</v>
      </c>
      <c r="D16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8.4805556527870155E-2</v>
      </c>
      <c r="E168" s="32">
        <v>29339</v>
      </c>
      <c r="F168" s="32">
        <v>0</v>
      </c>
      <c r="G168" s="32">
        <v>3720</v>
      </c>
      <c r="H168" s="32">
        <v>860</v>
      </c>
      <c r="I168" s="32">
        <v>0</v>
      </c>
      <c r="J168" s="32">
        <v>399962</v>
      </c>
      <c r="K168" s="32">
        <v>0</v>
      </c>
      <c r="L16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6.7100848628379711E-3</v>
      </c>
      <c r="M168" s="32">
        <v>34</v>
      </c>
      <c r="N168" s="32">
        <v>0</v>
      </c>
      <c r="O168" s="32">
        <v>5067</v>
      </c>
      <c r="P168" s="32">
        <v>0</v>
      </c>
      <c r="Q16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8" s="32">
        <v>0</v>
      </c>
      <c r="S168" s="32">
        <v>0</v>
      </c>
      <c r="T168" s="32">
        <v>0</v>
      </c>
      <c r="U168" s="32">
        <v>5067</v>
      </c>
      <c r="V168" s="32">
        <v>0</v>
      </c>
      <c r="W168" s="32">
        <v>0</v>
      </c>
      <c r="X168" s="32">
        <v>0</v>
      </c>
      <c r="Y16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0.37167030867932455</v>
      </c>
      <c r="Z168" s="32">
        <v>18484</v>
      </c>
      <c r="AA168" s="32">
        <v>138564</v>
      </c>
      <c r="AB168" s="32">
        <v>8394</v>
      </c>
      <c r="AC168" s="32">
        <v>0</v>
      </c>
      <c r="AD168" s="32">
        <v>0</v>
      </c>
      <c r="AE168" s="32">
        <v>399962</v>
      </c>
      <c r="AF168" s="32">
        <v>0</v>
      </c>
      <c r="AG16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1.6691367173027047</v>
      </c>
      <c r="AH168" s="32">
        <v>13408</v>
      </c>
      <c r="AI168" s="32">
        <v>3546</v>
      </c>
      <c r="AJ168" s="32">
        <v>1683</v>
      </c>
      <c r="AK168" s="32">
        <v>0</v>
      </c>
      <c r="AL168" s="32">
        <v>97</v>
      </c>
      <c r="AM168" s="32">
        <v>3720</v>
      </c>
      <c r="AN168" s="32">
        <v>4454</v>
      </c>
      <c r="AO168" s="32">
        <v>-860</v>
      </c>
      <c r="AP168" s="32">
        <v>-4538</v>
      </c>
      <c r="AQ16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6.5760805210183539</v>
      </c>
      <c r="AR168" s="32">
        <v>4281</v>
      </c>
      <c r="AS168" s="32">
        <v>2986</v>
      </c>
      <c r="AT168" s="32">
        <v>4223</v>
      </c>
      <c r="AU168" s="32">
        <v>7448</v>
      </c>
      <c r="AV168" s="32">
        <v>0</v>
      </c>
      <c r="AW168" s="32">
        <v>3720</v>
      </c>
      <c r="AX168" s="32">
        <v>6715</v>
      </c>
      <c r="AY168" s="32">
        <v>243</v>
      </c>
      <c r="AZ168" s="32">
        <v>3705</v>
      </c>
      <c r="BA168" s="32">
        <v>0</v>
      </c>
      <c r="BB168" s="32">
        <v>0</v>
      </c>
      <c r="BC168" s="32">
        <v>5067</v>
      </c>
      <c r="BD168" s="34">
        <f>IFERROR(SUM(Cons_Metrics[[#This Row],[Operating surplus/(deficit) (social housing lettings)]])/SUM(Cons_Metrics[[#This Row],[Turnover from social housing lettings]]),"")</f>
        <v>0.24186116397876389</v>
      </c>
      <c r="BE168" s="32">
        <v>9658</v>
      </c>
      <c r="BF168" s="32">
        <v>39932</v>
      </c>
      <c r="BG168" s="34">
        <f>IFERROR(SUM(Cons_Metrics[[#This Row],[Operating surplus/(deficit) (overall)2]],-Cons_Metrics[[#This Row],[Gain/(loss) on disposal of fixed assets (housing properties)2]])/SUM(Cons_Metrics[[#This Row],[Turnover (overall)]]),"")</f>
        <v>0.22250298941858629</v>
      </c>
      <c r="BH168" s="32">
        <v>13408</v>
      </c>
      <c r="BI168" s="32">
        <v>3546</v>
      </c>
      <c r="BJ168" s="32">
        <v>44323</v>
      </c>
      <c r="BK168" s="34">
        <f>IFERROR(SUM(Cons_Metrics[[#This Row],[Operating surplus/(deficit) (overall)3]],Cons_Metrics[[#This Row],[Share of operating surplus/(deficit) in joint ventures or associates]])/SUM(Cons_Metrics[[#This Row],[Total assets less current liabilities]]),"")</f>
        <v>3.1426153929089581E-2</v>
      </c>
      <c r="BL168" s="32">
        <v>13408</v>
      </c>
      <c r="BM168" s="32">
        <v>0</v>
      </c>
      <c r="BN168" s="32">
        <v>426651</v>
      </c>
      <c r="BO168" s="34">
        <v>5.5058499655884378E-2</v>
      </c>
      <c r="BP168" s="34">
        <v>1.6746960311998165E-2</v>
      </c>
      <c r="BQ168" s="6" t="s">
        <v>82</v>
      </c>
      <c r="BR168" s="6" t="s">
        <v>83</v>
      </c>
      <c r="BS168" s="6" t="s">
        <v>83</v>
      </c>
      <c r="BT168" s="6" t="s">
        <v>156</v>
      </c>
      <c r="BU168" s="8">
        <v>1.2476235785846892</v>
      </c>
    </row>
    <row r="169" spans="1:73" x14ac:dyDescent="0.25">
      <c r="A169" s="33" t="s">
        <v>427</v>
      </c>
      <c r="B169" s="7" t="s">
        <v>428</v>
      </c>
      <c r="C169" s="7" t="s">
        <v>81</v>
      </c>
      <c r="D16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8.2029045004361881E-2</v>
      </c>
      <c r="E169" s="32">
        <v>0</v>
      </c>
      <c r="F169" s="32">
        <v>2053</v>
      </c>
      <c r="G169" s="32">
        <v>7538</v>
      </c>
      <c r="H169" s="32">
        <v>0</v>
      </c>
      <c r="I169" s="32">
        <v>0</v>
      </c>
      <c r="J169" s="32">
        <v>116922</v>
      </c>
      <c r="K169" s="32">
        <v>0</v>
      </c>
      <c r="L16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3.7678975131876413E-3</v>
      </c>
      <c r="M169" s="32">
        <v>30</v>
      </c>
      <c r="N169" s="32">
        <v>0</v>
      </c>
      <c r="O169" s="32">
        <v>7962</v>
      </c>
      <c r="P169" s="32">
        <v>0</v>
      </c>
      <c r="Q16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69" s="32">
        <v>0</v>
      </c>
      <c r="S169" s="32">
        <v>0</v>
      </c>
      <c r="T169" s="32">
        <v>0</v>
      </c>
      <c r="U169" s="32">
        <v>7962</v>
      </c>
      <c r="V169" s="32">
        <v>13</v>
      </c>
      <c r="W169" s="32">
        <v>0</v>
      </c>
      <c r="X169" s="32">
        <v>216</v>
      </c>
      <c r="Y16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0.37425805237679821</v>
      </c>
      <c r="Z169" s="32">
        <v>0</v>
      </c>
      <c r="AA169" s="32">
        <v>69455</v>
      </c>
      <c r="AB169" s="32">
        <v>25696</v>
      </c>
      <c r="AC169" s="32">
        <v>0</v>
      </c>
      <c r="AD169" s="32">
        <v>0</v>
      </c>
      <c r="AE169" s="32">
        <v>116922</v>
      </c>
      <c r="AF169" s="32">
        <v>0</v>
      </c>
      <c r="AG16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1.3962319693847514</v>
      </c>
      <c r="AH169" s="32">
        <v>9175</v>
      </c>
      <c r="AI169" s="32">
        <v>527</v>
      </c>
      <c r="AJ169" s="32">
        <v>699</v>
      </c>
      <c r="AK169" s="32">
        <v>0</v>
      </c>
      <c r="AL169" s="32">
        <v>102</v>
      </c>
      <c r="AM169" s="32">
        <v>7538</v>
      </c>
      <c r="AN169" s="32">
        <v>4230</v>
      </c>
      <c r="AO169" s="32">
        <v>0</v>
      </c>
      <c r="AP169" s="32">
        <v>-3397</v>
      </c>
      <c r="AQ16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3.0364230092941473</v>
      </c>
      <c r="AR169" s="32">
        <v>9143</v>
      </c>
      <c r="AS169" s="32">
        <v>1294</v>
      </c>
      <c r="AT169" s="32">
        <v>4161</v>
      </c>
      <c r="AU169" s="32">
        <v>778</v>
      </c>
      <c r="AV169" s="32">
        <v>908</v>
      </c>
      <c r="AW169" s="32">
        <v>7538</v>
      </c>
      <c r="AX169" s="32">
        <v>354</v>
      </c>
      <c r="AY169" s="32">
        <v>0</v>
      </c>
      <c r="AZ169" s="32">
        <v>0</v>
      </c>
      <c r="BA169" s="32">
        <v>0</v>
      </c>
      <c r="BB169" s="32">
        <v>0</v>
      </c>
      <c r="BC169" s="32">
        <v>7962</v>
      </c>
      <c r="BD169" s="34">
        <f>IFERROR(SUM(Cons_Metrics[[#This Row],[Operating surplus/(deficit) (social housing lettings)]])/SUM(Cons_Metrics[[#This Row],[Turnover from social housing lettings]]),"")</f>
        <v>0.28844271975704405</v>
      </c>
      <c r="BE169" s="32">
        <v>8548</v>
      </c>
      <c r="BF169" s="32">
        <v>29635</v>
      </c>
      <c r="BG169" s="34">
        <f>IFERROR(SUM(Cons_Metrics[[#This Row],[Operating surplus/(deficit) (overall)2]],-Cons_Metrics[[#This Row],[Gain/(loss) on disposal of fixed assets (housing properties)2]])/SUM(Cons_Metrics[[#This Row],[Turnover (overall)]]),"")</f>
        <v>0.28957942673452985</v>
      </c>
      <c r="BH169" s="32">
        <v>9175</v>
      </c>
      <c r="BI169" s="32">
        <v>527</v>
      </c>
      <c r="BJ169" s="32">
        <v>29864</v>
      </c>
      <c r="BK169" s="34">
        <f>IFERROR(SUM(Cons_Metrics[[#This Row],[Operating surplus/(deficit) (overall)3]],Cons_Metrics[[#This Row],[Share of operating surplus/(deficit) in joint ventures or associates]])/SUM(Cons_Metrics[[#This Row],[Total assets less current liabilities]]),"")</f>
        <v>6.5651542364027968E-2</v>
      </c>
      <c r="BL169" s="32">
        <v>9175</v>
      </c>
      <c r="BM169" s="32">
        <v>0</v>
      </c>
      <c r="BN169" s="32">
        <v>139753</v>
      </c>
      <c r="BO169" s="34">
        <v>0</v>
      </c>
      <c r="BP169" s="34">
        <v>0.13576990705852801</v>
      </c>
      <c r="BQ169" s="6" t="s">
        <v>93</v>
      </c>
      <c r="BR169" s="6">
        <v>2005</v>
      </c>
      <c r="BS169" s="6" t="s">
        <v>94</v>
      </c>
      <c r="BT169" s="6" t="s">
        <v>108</v>
      </c>
      <c r="BU169" s="8">
        <v>0.94804779167421749</v>
      </c>
    </row>
    <row r="170" spans="1:73" x14ac:dyDescent="0.25">
      <c r="A170" s="33" t="s">
        <v>429</v>
      </c>
      <c r="B170" s="7" t="s">
        <v>430</v>
      </c>
      <c r="C170" s="7" t="s">
        <v>81</v>
      </c>
      <c r="D17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7.6018641960094557E-2</v>
      </c>
      <c r="E170" s="32">
        <v>22972</v>
      </c>
      <c r="F170" s="32">
        <v>0</v>
      </c>
      <c r="G170" s="32">
        <v>3091</v>
      </c>
      <c r="H170" s="32">
        <v>1079</v>
      </c>
      <c r="I170" s="32">
        <v>0</v>
      </c>
      <c r="J170" s="32">
        <v>357044</v>
      </c>
      <c r="K170" s="32">
        <v>0</v>
      </c>
      <c r="L17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3.0322173089071383E-2</v>
      </c>
      <c r="M170" s="32">
        <v>192</v>
      </c>
      <c r="N170" s="32">
        <v>0</v>
      </c>
      <c r="O170" s="32">
        <v>6332</v>
      </c>
      <c r="P170" s="32">
        <v>0</v>
      </c>
      <c r="Q17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0" s="32">
        <v>0</v>
      </c>
      <c r="S170" s="32">
        <v>0</v>
      </c>
      <c r="T170" s="32">
        <v>0</v>
      </c>
      <c r="U170" s="32">
        <v>6332</v>
      </c>
      <c r="V170" s="32">
        <v>0</v>
      </c>
      <c r="W170" s="32">
        <v>0</v>
      </c>
      <c r="X170" s="32">
        <v>1083</v>
      </c>
      <c r="Y17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0.38372861608093123</v>
      </c>
      <c r="Z170" s="32">
        <v>0</v>
      </c>
      <c r="AA170" s="32">
        <v>154260</v>
      </c>
      <c r="AB170" s="32">
        <v>17252</v>
      </c>
      <c r="AC170" s="32">
        <v>0</v>
      </c>
      <c r="AD170" s="32">
        <v>0</v>
      </c>
      <c r="AE170" s="32">
        <v>357044</v>
      </c>
      <c r="AF170" s="32">
        <v>0</v>
      </c>
      <c r="AG17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2.4886432465172623</v>
      </c>
      <c r="AH170" s="32">
        <v>13793</v>
      </c>
      <c r="AI170" s="32">
        <v>759</v>
      </c>
      <c r="AJ170" s="32">
        <v>69</v>
      </c>
      <c r="AK170" s="32">
        <v>0</v>
      </c>
      <c r="AL170" s="32">
        <v>148</v>
      </c>
      <c r="AM170" s="32">
        <v>3091</v>
      </c>
      <c r="AN170" s="32">
        <v>6413</v>
      </c>
      <c r="AO170" s="32">
        <v>-1079</v>
      </c>
      <c r="AP170" s="32">
        <v>-5525</v>
      </c>
      <c r="AQ17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3.2215729627289957</v>
      </c>
      <c r="AR170" s="32">
        <v>8160</v>
      </c>
      <c r="AS170" s="32">
        <v>2421</v>
      </c>
      <c r="AT170" s="32">
        <v>2998</v>
      </c>
      <c r="AU170" s="32">
        <v>748</v>
      </c>
      <c r="AV170" s="32">
        <v>2253</v>
      </c>
      <c r="AW170" s="32">
        <v>3091</v>
      </c>
      <c r="AX170" s="32">
        <v>0</v>
      </c>
      <c r="AY170" s="32">
        <v>0</v>
      </c>
      <c r="AZ170" s="32">
        <v>267</v>
      </c>
      <c r="BA170" s="32">
        <v>0</v>
      </c>
      <c r="BB170" s="32">
        <v>461</v>
      </c>
      <c r="BC170" s="32">
        <v>6332</v>
      </c>
      <c r="BD170" s="34">
        <f>IFERROR(SUM(Cons_Metrics[[#This Row],[Operating surplus/(deficit) (social housing lettings)]])/SUM(Cons_Metrics[[#This Row],[Turnover from social housing lettings]]),"")</f>
        <v>0.31450618937891861</v>
      </c>
      <c r="BE170" s="32">
        <v>11738</v>
      </c>
      <c r="BF170" s="32">
        <v>37322</v>
      </c>
      <c r="BG170" s="34">
        <f>IFERROR(SUM(Cons_Metrics[[#This Row],[Operating surplus/(deficit) (overall)2]],-Cons_Metrics[[#This Row],[Gain/(loss) on disposal of fixed assets (housing properties)2]])/SUM(Cons_Metrics[[#This Row],[Turnover (overall)]]),"")</f>
        <v>0.30378743736161284</v>
      </c>
      <c r="BH170" s="32">
        <v>13793</v>
      </c>
      <c r="BI170" s="32">
        <v>759</v>
      </c>
      <c r="BJ170" s="32">
        <v>42905</v>
      </c>
      <c r="BK170" s="34">
        <f>IFERROR(SUM(Cons_Metrics[[#This Row],[Operating surplus/(deficit) (overall)3]],Cons_Metrics[[#This Row],[Share of operating surplus/(deficit) in joint ventures or associates]])/SUM(Cons_Metrics[[#This Row],[Total assets less current liabilities]]),"")</f>
        <v>3.1136353888488826E-2</v>
      </c>
      <c r="BL170" s="32">
        <v>13793</v>
      </c>
      <c r="BM170" s="32">
        <v>0</v>
      </c>
      <c r="BN170" s="32">
        <v>442987</v>
      </c>
      <c r="BO170" s="34">
        <v>7.4097430238057697E-3</v>
      </c>
      <c r="BP170" s="34">
        <v>6.7160649534920389E-2</v>
      </c>
      <c r="BQ170" s="6" t="s">
        <v>93</v>
      </c>
      <c r="BR170" s="6">
        <v>2008</v>
      </c>
      <c r="BS170" s="6" t="s">
        <v>120</v>
      </c>
      <c r="BT170" s="6" t="s">
        <v>84</v>
      </c>
      <c r="BU170" s="8">
        <v>1.0118524159776632</v>
      </c>
    </row>
    <row r="171" spans="1:73" x14ac:dyDescent="0.25">
      <c r="A171" s="33" t="s">
        <v>431</v>
      </c>
      <c r="B171" s="7" t="s">
        <v>432</v>
      </c>
      <c r="C171" s="7" t="s">
        <v>81</v>
      </c>
      <c r="D17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6.0327467788871172E-2</v>
      </c>
      <c r="E171" s="32">
        <v>28081</v>
      </c>
      <c r="F171" s="32">
        <v>0</v>
      </c>
      <c r="G171" s="32">
        <v>3285</v>
      </c>
      <c r="H171" s="32">
        <v>0</v>
      </c>
      <c r="I171" s="32">
        <v>0</v>
      </c>
      <c r="J171" s="32">
        <v>0</v>
      </c>
      <c r="K171" s="32">
        <v>519929</v>
      </c>
      <c r="L17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2.882068858077582E-2</v>
      </c>
      <c r="M171" s="32">
        <v>185</v>
      </c>
      <c r="N171" s="32">
        <v>0</v>
      </c>
      <c r="O171" s="32">
        <v>6419</v>
      </c>
      <c r="P171" s="32">
        <v>0</v>
      </c>
      <c r="Q17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1" s="32">
        <v>0</v>
      </c>
      <c r="S171" s="32">
        <v>0</v>
      </c>
      <c r="T171" s="32">
        <v>0</v>
      </c>
      <c r="U171" s="32">
        <v>6419</v>
      </c>
      <c r="V171" s="32">
        <v>0</v>
      </c>
      <c r="W171" s="32">
        <v>0</v>
      </c>
      <c r="X171" s="32">
        <v>0</v>
      </c>
      <c r="Y17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0.36685585916538604</v>
      </c>
      <c r="Z171" s="32">
        <v>2234</v>
      </c>
      <c r="AA171" s="32">
        <v>217972</v>
      </c>
      <c r="AB171" s="32">
        <v>29467</v>
      </c>
      <c r="AC171" s="32">
        <v>0</v>
      </c>
      <c r="AD171" s="32">
        <v>0</v>
      </c>
      <c r="AE171" s="32">
        <v>0</v>
      </c>
      <c r="AF171" s="32">
        <v>519929</v>
      </c>
      <c r="AG17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2.16298231511254</v>
      </c>
      <c r="AH171" s="32">
        <v>20349</v>
      </c>
      <c r="AI171" s="32">
        <v>1814</v>
      </c>
      <c r="AJ171" s="32">
        <v>572</v>
      </c>
      <c r="AK171" s="32">
        <v>0</v>
      </c>
      <c r="AL171" s="32">
        <v>124</v>
      </c>
      <c r="AM171" s="32">
        <v>3285</v>
      </c>
      <c r="AN171" s="32">
        <v>6724</v>
      </c>
      <c r="AO171" s="32">
        <v>0</v>
      </c>
      <c r="AP171" s="32">
        <v>-9952</v>
      </c>
      <c r="AQ17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2.8859635457236328</v>
      </c>
      <c r="AR171" s="32">
        <v>2811</v>
      </c>
      <c r="AS171" s="32">
        <v>1712</v>
      </c>
      <c r="AT171" s="32">
        <v>5392</v>
      </c>
      <c r="AU171" s="32">
        <v>4629</v>
      </c>
      <c r="AV171" s="32">
        <v>0</v>
      </c>
      <c r="AW171" s="32">
        <v>3285</v>
      </c>
      <c r="AX171" s="32">
        <v>0</v>
      </c>
      <c r="AY171" s="32">
        <v>606</v>
      </c>
      <c r="AZ171" s="32">
        <v>0</v>
      </c>
      <c r="BA171" s="32">
        <v>90</v>
      </c>
      <c r="BB171" s="32">
        <v>0</v>
      </c>
      <c r="BC171" s="32">
        <v>6419</v>
      </c>
      <c r="BD171" s="34">
        <f>IFERROR(SUM(Cons_Metrics[[#This Row],[Operating surplus/(deficit) (social housing lettings)]])/SUM(Cons_Metrics[[#This Row],[Turnover from social housing lettings]]),"")</f>
        <v>0.42092608601685755</v>
      </c>
      <c r="BE171" s="32">
        <v>15581</v>
      </c>
      <c r="BF171" s="32">
        <v>37016</v>
      </c>
      <c r="BG171" s="34">
        <f>IFERROR(SUM(Cons_Metrics[[#This Row],[Operating surplus/(deficit) (overall)2]],-Cons_Metrics[[#This Row],[Gain/(loss) on disposal of fixed assets (housing properties)2]])/SUM(Cons_Metrics[[#This Row],[Turnover (overall)]]),"")</f>
        <v>0.40854787515429375</v>
      </c>
      <c r="BH171" s="32">
        <v>20349</v>
      </c>
      <c r="BI171" s="32">
        <v>1814</v>
      </c>
      <c r="BJ171" s="32">
        <v>45368</v>
      </c>
      <c r="BK171" s="34">
        <f>IFERROR(SUM(Cons_Metrics[[#This Row],[Operating surplus/(deficit) (overall)3]],Cons_Metrics[[#This Row],[Share of operating surplus/(deficit) in joint ventures or associates]])/SUM(Cons_Metrics[[#This Row],[Total assets less current liabilities]]),"")</f>
        <v>3.7198988722759771E-2</v>
      </c>
      <c r="BL171" s="32">
        <v>20349</v>
      </c>
      <c r="BM171" s="32">
        <v>0</v>
      </c>
      <c r="BN171" s="32">
        <v>547031</v>
      </c>
      <c r="BO171" s="34">
        <v>3.5719832272091941E-3</v>
      </c>
      <c r="BP171" s="34">
        <v>9.4424600093182168E-2</v>
      </c>
      <c r="BQ171" s="6" t="s">
        <v>93</v>
      </c>
      <c r="BR171" s="6">
        <v>1997</v>
      </c>
      <c r="BS171" s="6" t="s">
        <v>94</v>
      </c>
      <c r="BT171" s="6" t="s">
        <v>84</v>
      </c>
      <c r="BU171" s="8">
        <v>1.0101073075319889</v>
      </c>
    </row>
    <row r="172" spans="1:73" x14ac:dyDescent="0.25">
      <c r="A172" s="33" t="s">
        <v>433</v>
      </c>
      <c r="B172" s="7" t="s">
        <v>434</v>
      </c>
      <c r="C172" s="7" t="s">
        <v>81</v>
      </c>
      <c r="D17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2.9178287921046986E-2</v>
      </c>
      <c r="E172" s="32">
        <v>1619</v>
      </c>
      <c r="F172" s="32">
        <v>0</v>
      </c>
      <c r="G172" s="32">
        <v>462</v>
      </c>
      <c r="H172" s="32">
        <v>0</v>
      </c>
      <c r="I172" s="32">
        <v>95</v>
      </c>
      <c r="J172" s="32">
        <v>74576</v>
      </c>
      <c r="K172" s="32">
        <v>0</v>
      </c>
      <c r="L17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1.6155088852988692E-2</v>
      </c>
      <c r="M172" s="32">
        <v>20</v>
      </c>
      <c r="N172" s="32">
        <v>0</v>
      </c>
      <c r="O172" s="32">
        <v>1238</v>
      </c>
      <c r="P172" s="32">
        <v>0</v>
      </c>
      <c r="Q17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2" s="32">
        <v>0</v>
      </c>
      <c r="S172" s="32">
        <v>0</v>
      </c>
      <c r="T172" s="32">
        <v>0</v>
      </c>
      <c r="U172" s="32">
        <v>1238</v>
      </c>
      <c r="V172" s="32">
        <v>0</v>
      </c>
      <c r="W172" s="32">
        <v>0</v>
      </c>
      <c r="X172" s="32">
        <v>0</v>
      </c>
      <c r="Y17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0.29022741900879639</v>
      </c>
      <c r="Z172" s="32">
        <v>535</v>
      </c>
      <c r="AA172" s="32">
        <v>26411</v>
      </c>
      <c r="AB172" s="32">
        <v>5302</v>
      </c>
      <c r="AC172" s="32">
        <v>0</v>
      </c>
      <c r="AD172" s="32">
        <v>0</v>
      </c>
      <c r="AE172" s="32">
        <v>74576</v>
      </c>
      <c r="AF172" s="32">
        <v>0</v>
      </c>
      <c r="AG17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2.0929648241206031</v>
      </c>
      <c r="AH172" s="32">
        <v>2267</v>
      </c>
      <c r="AI172" s="32">
        <v>0</v>
      </c>
      <c r="AJ172" s="32">
        <v>349</v>
      </c>
      <c r="AK172" s="32">
        <v>0</v>
      </c>
      <c r="AL172" s="32">
        <v>12</v>
      </c>
      <c r="AM172" s="32">
        <v>462</v>
      </c>
      <c r="AN172" s="32">
        <v>1031</v>
      </c>
      <c r="AO172" s="32">
        <v>-1</v>
      </c>
      <c r="AP172" s="32">
        <v>-1193</v>
      </c>
      <c r="AQ17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3.3583860759493671</v>
      </c>
      <c r="AR172" s="32">
        <v>1599</v>
      </c>
      <c r="AS172" s="32">
        <v>246</v>
      </c>
      <c r="AT172" s="32">
        <v>488</v>
      </c>
      <c r="AU172" s="32">
        <v>1178</v>
      </c>
      <c r="AV172" s="32">
        <v>91</v>
      </c>
      <c r="AW172" s="32">
        <v>462</v>
      </c>
      <c r="AX172" s="32">
        <v>39</v>
      </c>
      <c r="AY172" s="32">
        <v>0</v>
      </c>
      <c r="AZ172" s="32">
        <v>0</v>
      </c>
      <c r="BA172" s="32">
        <v>78</v>
      </c>
      <c r="BB172" s="32">
        <v>64</v>
      </c>
      <c r="BC172" s="32">
        <v>1264</v>
      </c>
      <c r="BD172" s="34">
        <f>IFERROR(SUM(Cons_Metrics[[#This Row],[Operating surplus/(deficit) (social housing lettings)]])/SUM(Cons_Metrics[[#This Row],[Turnover from social housing lettings]]),"")</f>
        <v>0.32718763295986386</v>
      </c>
      <c r="BE172" s="32">
        <v>2307</v>
      </c>
      <c r="BF172" s="32">
        <v>7051</v>
      </c>
      <c r="BG172" s="34">
        <f>IFERROR(SUM(Cons_Metrics[[#This Row],[Operating surplus/(deficit) (overall)2]],-Cons_Metrics[[#This Row],[Gain/(loss) on disposal of fixed assets (housing properties)2]])/SUM(Cons_Metrics[[#This Row],[Turnover (overall)]]),"")</f>
        <v>0.31692995945757024</v>
      </c>
      <c r="BH172" s="32">
        <v>2267</v>
      </c>
      <c r="BI172" s="32">
        <v>0</v>
      </c>
      <c r="BJ172" s="32">
        <v>7153</v>
      </c>
      <c r="BK172" s="34">
        <f>IFERROR(SUM(Cons_Metrics[[#This Row],[Operating surplus/(deficit) (overall)3]],Cons_Metrics[[#This Row],[Share of operating surplus/(deficit) in joint ventures or associates]])/SUM(Cons_Metrics[[#This Row],[Total assets less current liabilities]]),"")</f>
        <v>2.8701652212445403E-2</v>
      </c>
      <c r="BL172" s="32">
        <v>2267</v>
      </c>
      <c r="BM172" s="32">
        <v>0</v>
      </c>
      <c r="BN172" s="32">
        <v>78985</v>
      </c>
      <c r="BO172" s="34">
        <v>0.11270983213429256</v>
      </c>
      <c r="BP172" s="34">
        <v>0</v>
      </c>
      <c r="BQ172" s="6" t="s">
        <v>82</v>
      </c>
      <c r="BR172" s="6" t="s">
        <v>83</v>
      </c>
      <c r="BS172" s="6" t="s">
        <v>83</v>
      </c>
      <c r="BT172" s="6" t="s">
        <v>115</v>
      </c>
      <c r="BU172" s="8">
        <v>0.96617455710897804</v>
      </c>
    </row>
    <row r="173" spans="1:73" x14ac:dyDescent="0.25">
      <c r="A173" s="33" t="s">
        <v>435</v>
      </c>
      <c r="B173" s="7" t="s">
        <v>436</v>
      </c>
      <c r="C173" s="7" t="s">
        <v>81</v>
      </c>
      <c r="D17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9.8113889725821024E-2</v>
      </c>
      <c r="E173" s="32">
        <v>2897</v>
      </c>
      <c r="F173" s="32">
        <v>461</v>
      </c>
      <c r="G173" s="32">
        <v>4742</v>
      </c>
      <c r="H173" s="32">
        <v>41</v>
      </c>
      <c r="I173" s="32">
        <v>0</v>
      </c>
      <c r="J173" s="32">
        <v>82975</v>
      </c>
      <c r="K173" s="32">
        <v>0</v>
      </c>
      <c r="L17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7.7569489334195219E-3</v>
      </c>
      <c r="M173" s="32">
        <v>24</v>
      </c>
      <c r="N173" s="32">
        <v>0</v>
      </c>
      <c r="O173" s="32">
        <v>3094</v>
      </c>
      <c r="P173" s="32">
        <v>0</v>
      </c>
      <c r="Q17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3" s="32">
        <v>0</v>
      </c>
      <c r="S173" s="32">
        <v>0</v>
      </c>
      <c r="T173" s="32">
        <v>0</v>
      </c>
      <c r="U173" s="32">
        <v>3094</v>
      </c>
      <c r="V173" s="32">
        <v>0</v>
      </c>
      <c r="W173" s="32">
        <v>0</v>
      </c>
      <c r="X173" s="32">
        <v>0</v>
      </c>
      <c r="Y17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0.27564929195540827</v>
      </c>
      <c r="Z173" s="32">
        <v>0</v>
      </c>
      <c r="AA173" s="32">
        <v>24510</v>
      </c>
      <c r="AB173" s="32">
        <v>1638</v>
      </c>
      <c r="AC173" s="32">
        <v>0</v>
      </c>
      <c r="AD173" s="32">
        <v>0</v>
      </c>
      <c r="AE173" s="32">
        <v>82975</v>
      </c>
      <c r="AF173" s="32">
        <v>0</v>
      </c>
      <c r="AG17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0.98680042238648358</v>
      </c>
      <c r="AH173" s="32">
        <v>7814</v>
      </c>
      <c r="AI173" s="32">
        <v>500</v>
      </c>
      <c r="AJ173" s="32">
        <v>274</v>
      </c>
      <c r="AK173" s="32">
        <v>0</v>
      </c>
      <c r="AL173" s="32">
        <v>6</v>
      </c>
      <c r="AM173" s="32">
        <v>4742</v>
      </c>
      <c r="AN173" s="32">
        <v>1434</v>
      </c>
      <c r="AO173" s="32">
        <v>-41</v>
      </c>
      <c r="AP173" s="32">
        <v>-3747</v>
      </c>
      <c r="AQ17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3.9557636422344205</v>
      </c>
      <c r="AR173" s="32">
        <v>3650</v>
      </c>
      <c r="AS173" s="32">
        <v>512</v>
      </c>
      <c r="AT173" s="32">
        <v>1480</v>
      </c>
      <c r="AU173" s="32">
        <v>1416</v>
      </c>
      <c r="AV173" s="32">
        <v>0</v>
      </c>
      <c r="AW173" s="32">
        <v>4742</v>
      </c>
      <c r="AX173" s="32">
        <v>0</v>
      </c>
      <c r="AY173" s="32">
        <v>0</v>
      </c>
      <c r="AZ173" s="32">
        <v>0</v>
      </c>
      <c r="BA173" s="32">
        <v>451</v>
      </c>
      <c r="BB173" s="32">
        <v>0</v>
      </c>
      <c r="BC173" s="32">
        <v>3097</v>
      </c>
      <c r="BD173" s="34">
        <f>IFERROR(SUM(Cons_Metrics[[#This Row],[Operating surplus/(deficit) (social housing lettings)]])/SUM(Cons_Metrics[[#This Row],[Turnover from social housing lettings]]),"")</f>
        <v>0.45032584120228752</v>
      </c>
      <c r="BE173" s="32">
        <v>6772</v>
      </c>
      <c r="BF173" s="32">
        <v>15038</v>
      </c>
      <c r="BG173" s="34">
        <f>IFERROR(SUM(Cons_Metrics[[#This Row],[Operating surplus/(deficit) (overall)2]],-Cons_Metrics[[#This Row],[Gain/(loss) on disposal of fixed assets (housing properties)2]])/SUM(Cons_Metrics[[#This Row],[Turnover (overall)]]),"")</f>
        <v>0.45536047814717967</v>
      </c>
      <c r="BH173" s="32">
        <v>7814</v>
      </c>
      <c r="BI173" s="32">
        <v>500</v>
      </c>
      <c r="BJ173" s="32">
        <v>16062</v>
      </c>
      <c r="BK173" s="34">
        <f>IFERROR(SUM(Cons_Metrics[[#This Row],[Operating surplus/(deficit) (overall)3]],Cons_Metrics[[#This Row],[Share of operating surplus/(deficit) in joint ventures or associates]])/SUM(Cons_Metrics[[#This Row],[Total assets less current liabilities]]),"")</f>
        <v>5.4669735746619E-2</v>
      </c>
      <c r="BL173" s="32">
        <v>7814</v>
      </c>
      <c r="BM173" s="32">
        <v>0</v>
      </c>
      <c r="BN173" s="32">
        <v>142931</v>
      </c>
      <c r="BO173" s="34">
        <v>0</v>
      </c>
      <c r="BP173" s="34">
        <v>0.13930187459599225</v>
      </c>
      <c r="BQ173" s="6" t="s">
        <v>93</v>
      </c>
      <c r="BR173" s="6">
        <v>2012</v>
      </c>
      <c r="BS173" s="6" t="s">
        <v>149</v>
      </c>
      <c r="BT173" s="6" t="s">
        <v>105</v>
      </c>
      <c r="BU173" s="8">
        <v>0.9156653862445665</v>
      </c>
    </row>
    <row r="174" spans="1:73" x14ac:dyDescent="0.25">
      <c r="A174" s="33" t="s">
        <v>437</v>
      </c>
      <c r="B174" s="7" t="s">
        <v>438</v>
      </c>
      <c r="C174" s="7" t="s">
        <v>81</v>
      </c>
      <c r="D17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0.10364949065374345</v>
      </c>
      <c r="E174" s="32">
        <v>5935</v>
      </c>
      <c r="F174" s="32">
        <v>0</v>
      </c>
      <c r="G174" s="32">
        <v>2449</v>
      </c>
      <c r="H174" s="32">
        <v>0</v>
      </c>
      <c r="I174" s="32">
        <v>0</v>
      </c>
      <c r="J174" s="32">
        <v>80888</v>
      </c>
      <c r="K174" s="32">
        <v>0</v>
      </c>
      <c r="L17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1.1182108626198083E-2</v>
      </c>
      <c r="M174" s="32">
        <v>42</v>
      </c>
      <c r="N174" s="32">
        <v>0</v>
      </c>
      <c r="O174" s="32">
        <v>3756</v>
      </c>
      <c r="P174" s="32">
        <v>0</v>
      </c>
      <c r="Q17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4" s="32">
        <v>0</v>
      </c>
      <c r="S174" s="32">
        <v>0</v>
      </c>
      <c r="T174" s="32">
        <v>0</v>
      </c>
      <c r="U174" s="32">
        <v>3756</v>
      </c>
      <c r="V174" s="32">
        <v>0</v>
      </c>
      <c r="W174" s="32">
        <v>0</v>
      </c>
      <c r="X174" s="32">
        <v>0</v>
      </c>
      <c r="Y17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0.2193403224211255</v>
      </c>
      <c r="Z174" s="32">
        <v>0</v>
      </c>
      <c r="AA174" s="32">
        <v>21551</v>
      </c>
      <c r="AB174" s="32">
        <v>3809</v>
      </c>
      <c r="AC174" s="32">
        <v>0</v>
      </c>
      <c r="AD174" s="32">
        <v>0</v>
      </c>
      <c r="AE174" s="32">
        <v>80888</v>
      </c>
      <c r="AF174" s="32">
        <v>0</v>
      </c>
      <c r="AG17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4.8620320855614976</v>
      </c>
      <c r="AH174" s="32">
        <v>4923</v>
      </c>
      <c r="AI174" s="32">
        <v>811</v>
      </c>
      <c r="AJ174" s="32">
        <v>705</v>
      </c>
      <c r="AK174" s="32">
        <v>0</v>
      </c>
      <c r="AL174" s="32">
        <v>9</v>
      </c>
      <c r="AM174" s="32">
        <v>2449</v>
      </c>
      <c r="AN174" s="32">
        <v>3579</v>
      </c>
      <c r="AO174" s="32">
        <v>0</v>
      </c>
      <c r="AP174" s="32">
        <v>-935</v>
      </c>
      <c r="AQ17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3.6251331203407879</v>
      </c>
      <c r="AR174" s="32">
        <v>5274</v>
      </c>
      <c r="AS174" s="32">
        <v>722</v>
      </c>
      <c r="AT174" s="32">
        <v>2686</v>
      </c>
      <c r="AU174" s="32">
        <v>1707</v>
      </c>
      <c r="AV174" s="32">
        <v>768</v>
      </c>
      <c r="AW174" s="32">
        <v>2449</v>
      </c>
      <c r="AX174" s="32">
        <v>10</v>
      </c>
      <c r="AY174" s="32">
        <v>0</v>
      </c>
      <c r="AZ174" s="32">
        <v>0</v>
      </c>
      <c r="BA174" s="32">
        <v>0</v>
      </c>
      <c r="BB174" s="32">
        <v>0</v>
      </c>
      <c r="BC174" s="32">
        <v>3756</v>
      </c>
      <c r="BD174" s="34">
        <f>IFERROR(SUM(Cons_Metrics[[#This Row],[Operating surplus/(deficit) (social housing lettings)]])/SUM(Cons_Metrics[[#This Row],[Turnover from social housing lettings]]),"")</f>
        <v>0.21171097700212038</v>
      </c>
      <c r="BE174" s="32">
        <v>3894</v>
      </c>
      <c r="BF174" s="32">
        <v>18393</v>
      </c>
      <c r="BG174" s="34">
        <f>IFERROR(SUM(Cons_Metrics[[#This Row],[Operating surplus/(deficit) (overall)2]],-Cons_Metrics[[#This Row],[Gain/(loss) on disposal of fixed assets (housing properties)2]])/SUM(Cons_Metrics[[#This Row],[Turnover (overall)]]),"")</f>
        <v>0.20779220779220781</v>
      </c>
      <c r="BH174" s="32">
        <v>4923</v>
      </c>
      <c r="BI174" s="32">
        <v>811</v>
      </c>
      <c r="BJ174" s="32">
        <v>19789</v>
      </c>
      <c r="BK174" s="34">
        <f>IFERROR(SUM(Cons_Metrics[[#This Row],[Operating surplus/(deficit) (overall)3]],Cons_Metrics[[#This Row],[Share of operating surplus/(deficit) in joint ventures or associates]])/SUM(Cons_Metrics[[#This Row],[Total assets less current liabilities]]),"")</f>
        <v>5.7327510917030568E-2</v>
      </c>
      <c r="BL174" s="32">
        <v>4923</v>
      </c>
      <c r="BM174" s="32">
        <v>0</v>
      </c>
      <c r="BN174" s="32">
        <v>85875</v>
      </c>
      <c r="BO174" s="34">
        <v>7.9872204472843447E-4</v>
      </c>
      <c r="BP174" s="34">
        <v>3.1416400425985092E-2</v>
      </c>
      <c r="BQ174" s="6" t="s">
        <v>93</v>
      </c>
      <c r="BR174" s="6">
        <v>1999</v>
      </c>
      <c r="BS174" s="6" t="s">
        <v>94</v>
      </c>
      <c r="BT174" s="6" t="s">
        <v>105</v>
      </c>
      <c r="BU174" s="8">
        <v>0.9156653862445665</v>
      </c>
    </row>
    <row r="175" spans="1:73" x14ac:dyDescent="0.25">
      <c r="A175" s="33" t="s">
        <v>439</v>
      </c>
      <c r="B175" s="7" t="s">
        <v>440</v>
      </c>
      <c r="C175" s="7" t="s">
        <v>81</v>
      </c>
      <c r="D17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3.7597846317903624E-2</v>
      </c>
      <c r="E175" s="32">
        <v>11494</v>
      </c>
      <c r="F175" s="32">
        <v>0</v>
      </c>
      <c r="G175" s="32">
        <v>0</v>
      </c>
      <c r="H175" s="32">
        <v>0</v>
      </c>
      <c r="I175" s="32">
        <v>0</v>
      </c>
      <c r="J175" s="32">
        <v>305709</v>
      </c>
      <c r="K175" s="32">
        <v>0</v>
      </c>
      <c r="L17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1.1858407079646017E-2</v>
      </c>
      <c r="M175" s="32">
        <v>67</v>
      </c>
      <c r="N175" s="32">
        <v>0</v>
      </c>
      <c r="O175" s="32">
        <v>5650</v>
      </c>
      <c r="P175" s="32">
        <v>0</v>
      </c>
      <c r="Q17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5" s="32">
        <v>0</v>
      </c>
      <c r="S175" s="32">
        <v>0</v>
      </c>
      <c r="T175" s="32">
        <v>0</v>
      </c>
      <c r="U175" s="32">
        <v>5650</v>
      </c>
      <c r="V175" s="32">
        <v>40</v>
      </c>
      <c r="W175" s="32">
        <v>0</v>
      </c>
      <c r="X175" s="32">
        <v>0</v>
      </c>
      <c r="Y17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0.39174181983520273</v>
      </c>
      <c r="Z175" s="32">
        <v>4987</v>
      </c>
      <c r="AA175" s="32">
        <v>110037</v>
      </c>
      <c r="AB175" s="32">
        <v>6133</v>
      </c>
      <c r="AC175" s="32">
        <v>0</v>
      </c>
      <c r="AD175" s="32">
        <v>10868</v>
      </c>
      <c r="AE175" s="32">
        <v>305709</v>
      </c>
      <c r="AF175" s="32">
        <v>0</v>
      </c>
      <c r="AG17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1.697058209889422</v>
      </c>
      <c r="AH175" s="32">
        <v>7642</v>
      </c>
      <c r="AI175" s="32">
        <v>0</v>
      </c>
      <c r="AJ175" s="32">
        <v>1581</v>
      </c>
      <c r="AK175" s="32">
        <v>0</v>
      </c>
      <c r="AL175" s="32">
        <v>41</v>
      </c>
      <c r="AM175" s="32">
        <v>4134</v>
      </c>
      <c r="AN175" s="32">
        <v>6166</v>
      </c>
      <c r="AO175" s="32">
        <v>-103</v>
      </c>
      <c r="AP175" s="32">
        <v>-4690</v>
      </c>
      <c r="AQ17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5.105663716814159</v>
      </c>
      <c r="AR175" s="32">
        <v>4848</v>
      </c>
      <c r="AS175" s="32">
        <v>2259</v>
      </c>
      <c r="AT175" s="32">
        <v>5302</v>
      </c>
      <c r="AU175" s="32">
        <v>1032</v>
      </c>
      <c r="AV175" s="32">
        <v>0</v>
      </c>
      <c r="AW175" s="32">
        <v>4134</v>
      </c>
      <c r="AX175" s="32">
        <v>5810</v>
      </c>
      <c r="AY175" s="32">
        <v>105</v>
      </c>
      <c r="AZ175" s="32">
        <v>0</v>
      </c>
      <c r="BA175" s="32">
        <v>2172</v>
      </c>
      <c r="BB175" s="32">
        <v>3185</v>
      </c>
      <c r="BC175" s="32">
        <v>5650</v>
      </c>
      <c r="BD175" s="34">
        <f>IFERROR(SUM(Cons_Metrics[[#This Row],[Operating surplus/(deficit) (social housing lettings)]])/SUM(Cons_Metrics[[#This Row],[Turnover from social housing lettings]]),"")</f>
        <v>0.23435234599130086</v>
      </c>
      <c r="BE175" s="32">
        <v>7597</v>
      </c>
      <c r="BF175" s="32">
        <v>32417</v>
      </c>
      <c r="BG175" s="34">
        <f>IFERROR(SUM(Cons_Metrics[[#This Row],[Operating surplus/(deficit) (overall)2]],-Cons_Metrics[[#This Row],[Gain/(loss) on disposal of fixed assets (housing properties)2]])/SUM(Cons_Metrics[[#This Row],[Turnover (overall)]]),"")</f>
        <v>0.16716248140694723</v>
      </c>
      <c r="BH175" s="32">
        <v>7642</v>
      </c>
      <c r="BI175" s="32">
        <v>0</v>
      </c>
      <c r="BJ175" s="32">
        <v>45716</v>
      </c>
      <c r="BK175" s="34">
        <f>IFERROR(SUM(Cons_Metrics[[#This Row],[Operating surplus/(deficit) (overall)3]],Cons_Metrics[[#This Row],[Share of operating surplus/(deficit) in joint ventures or associates]])/SUM(Cons_Metrics[[#This Row],[Total assets less current liabilities]]),"")</f>
        <v>2.4862624402591023E-2</v>
      </c>
      <c r="BL175" s="32">
        <v>7642</v>
      </c>
      <c r="BM175" s="32">
        <v>0</v>
      </c>
      <c r="BN175" s="32">
        <v>307369</v>
      </c>
      <c r="BO175" s="34">
        <v>0.18630486250227646</v>
      </c>
      <c r="BP175" s="34">
        <v>5.7366599890730285E-2</v>
      </c>
      <c r="BQ175" s="6" t="s">
        <v>82</v>
      </c>
      <c r="BR175" s="6" t="s">
        <v>83</v>
      </c>
      <c r="BS175" s="6" t="s">
        <v>83</v>
      </c>
      <c r="BT175" s="6" t="s">
        <v>108</v>
      </c>
      <c r="BU175" s="8">
        <v>0.94483913072853998</v>
      </c>
    </row>
    <row r="176" spans="1:73" x14ac:dyDescent="0.25">
      <c r="A176" s="33" t="s">
        <v>441</v>
      </c>
      <c r="B176" s="7" t="s">
        <v>442</v>
      </c>
      <c r="C176" s="7" t="s">
        <v>81</v>
      </c>
      <c r="D17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6.4930852491472693E-2</v>
      </c>
      <c r="E176" s="32">
        <v>104374</v>
      </c>
      <c r="F176" s="32">
        <v>0</v>
      </c>
      <c r="G176" s="32">
        <v>15135</v>
      </c>
      <c r="H176" s="32">
        <v>0</v>
      </c>
      <c r="I176" s="32">
        <v>0</v>
      </c>
      <c r="J176" s="32">
        <v>1840558</v>
      </c>
      <c r="K176" s="32">
        <v>0</v>
      </c>
      <c r="L17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6.6364340227850899E-3</v>
      </c>
      <c r="M176" s="32">
        <v>180</v>
      </c>
      <c r="N176" s="32">
        <v>0</v>
      </c>
      <c r="O176" s="32">
        <v>24806</v>
      </c>
      <c r="P176" s="32">
        <v>2317</v>
      </c>
      <c r="Q17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6.1679123430810536E-4</v>
      </c>
      <c r="R176" s="32">
        <v>17</v>
      </c>
      <c r="S176" s="32">
        <v>0</v>
      </c>
      <c r="T176" s="32">
        <v>0</v>
      </c>
      <c r="U176" s="32">
        <v>24806</v>
      </c>
      <c r="V176" s="32">
        <v>124</v>
      </c>
      <c r="W176" s="32">
        <v>2317</v>
      </c>
      <c r="X176" s="32">
        <v>315</v>
      </c>
      <c r="Y17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0.35160804495158532</v>
      </c>
      <c r="Z176" s="32">
        <v>59709</v>
      </c>
      <c r="AA176" s="32">
        <v>659820</v>
      </c>
      <c r="AB176" s="32">
        <v>72374</v>
      </c>
      <c r="AC176" s="32">
        <v>0</v>
      </c>
      <c r="AD176" s="32">
        <v>0</v>
      </c>
      <c r="AE176" s="32">
        <v>1840558</v>
      </c>
      <c r="AF176" s="32">
        <v>0</v>
      </c>
      <c r="AG17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1.2757400165558188</v>
      </c>
      <c r="AH176" s="32">
        <v>49157</v>
      </c>
      <c r="AI176" s="32">
        <v>0</v>
      </c>
      <c r="AJ176" s="32">
        <v>9676</v>
      </c>
      <c r="AK176" s="32">
        <v>0</v>
      </c>
      <c r="AL176" s="32">
        <v>1300</v>
      </c>
      <c r="AM176" s="32">
        <v>19959</v>
      </c>
      <c r="AN176" s="32">
        <v>23871</v>
      </c>
      <c r="AO176" s="32">
        <v>-4407</v>
      </c>
      <c r="AP176" s="32">
        <v>-30626</v>
      </c>
      <c r="AQ17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4.7263809600385942</v>
      </c>
      <c r="AR176" s="32">
        <v>44534</v>
      </c>
      <c r="AS176" s="32">
        <v>16468</v>
      </c>
      <c r="AT176" s="32">
        <v>24713</v>
      </c>
      <c r="AU176" s="32">
        <v>7043</v>
      </c>
      <c r="AV176" s="32">
        <v>0</v>
      </c>
      <c r="AW176" s="32">
        <v>19959</v>
      </c>
      <c r="AX176" s="32">
        <v>88</v>
      </c>
      <c r="AY176" s="32">
        <v>0</v>
      </c>
      <c r="AZ176" s="32">
        <v>0</v>
      </c>
      <c r="BA176" s="32">
        <v>0</v>
      </c>
      <c r="BB176" s="32">
        <v>4759</v>
      </c>
      <c r="BC176" s="32">
        <v>24874</v>
      </c>
      <c r="BD176" s="34">
        <f>IFERROR(SUM(Cons_Metrics[[#This Row],[Operating surplus/(deficit) (social housing lettings)]])/SUM(Cons_Metrics[[#This Row],[Turnover from social housing lettings]]),"")</f>
        <v>0.2463043729978</v>
      </c>
      <c r="BE176" s="32">
        <v>38289</v>
      </c>
      <c r="BF176" s="32">
        <v>155454</v>
      </c>
      <c r="BG176" s="34">
        <f>IFERROR(SUM(Cons_Metrics[[#This Row],[Operating surplus/(deficit) (overall)2]],-Cons_Metrics[[#This Row],[Gain/(loss) on disposal of fixed assets (housing properties)2]])/SUM(Cons_Metrics[[#This Row],[Turnover (overall)]]),"")</f>
        <v>0.24612711669220216</v>
      </c>
      <c r="BH176" s="32">
        <v>49157</v>
      </c>
      <c r="BI176" s="32">
        <v>0</v>
      </c>
      <c r="BJ176" s="32">
        <v>199722</v>
      </c>
      <c r="BK176" s="34">
        <f>IFERROR(SUM(Cons_Metrics[[#This Row],[Operating surplus/(deficit) (overall)3]],Cons_Metrics[[#This Row],[Share of operating surplus/(deficit) in joint ventures or associates]])/SUM(Cons_Metrics[[#This Row],[Total assets less current liabilities]]),"")</f>
        <v>2.4141291717779526E-2</v>
      </c>
      <c r="BL176" s="32">
        <v>49157</v>
      </c>
      <c r="BM176" s="32">
        <v>62</v>
      </c>
      <c r="BN176" s="32">
        <v>2038789</v>
      </c>
      <c r="BO176" s="34">
        <v>3.3459827804300812E-3</v>
      </c>
      <c r="BP176" s="34">
        <v>0</v>
      </c>
      <c r="BQ176" s="6" t="s">
        <v>82</v>
      </c>
      <c r="BR176" s="6" t="s">
        <v>83</v>
      </c>
      <c r="BS176" s="6" t="s">
        <v>83</v>
      </c>
      <c r="BT176" s="6" t="s">
        <v>84</v>
      </c>
      <c r="BU176" s="8">
        <v>1.1026420242066326</v>
      </c>
    </row>
    <row r="177" spans="1:73" x14ac:dyDescent="0.25">
      <c r="A177" s="33" t="s">
        <v>443</v>
      </c>
      <c r="B177" s="7" t="s">
        <v>444</v>
      </c>
      <c r="C177" s="7" t="s">
        <v>81</v>
      </c>
      <c r="D17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7.4993444628966002E-3</v>
      </c>
      <c r="E177" s="32">
        <v>0</v>
      </c>
      <c r="F177" s="32">
        <v>0</v>
      </c>
      <c r="G177" s="32">
        <v>858</v>
      </c>
      <c r="H177" s="32">
        <v>0</v>
      </c>
      <c r="I177" s="32">
        <v>0</v>
      </c>
      <c r="J177" s="32">
        <v>114410</v>
      </c>
      <c r="K177" s="32">
        <v>0</v>
      </c>
      <c r="L17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77" s="32">
        <v>0</v>
      </c>
      <c r="N177" s="32">
        <v>0</v>
      </c>
      <c r="O177" s="32">
        <v>5862</v>
      </c>
      <c r="P177" s="32">
        <v>0</v>
      </c>
      <c r="Q17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7" s="32">
        <v>0</v>
      </c>
      <c r="S177" s="32">
        <v>0</v>
      </c>
      <c r="T177" s="32">
        <v>0</v>
      </c>
      <c r="U177" s="32">
        <v>5862</v>
      </c>
      <c r="V177" s="32">
        <v>0</v>
      </c>
      <c r="W177" s="32">
        <v>0</v>
      </c>
      <c r="X177" s="32">
        <v>0</v>
      </c>
      <c r="Y17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0.38813040818110306</v>
      </c>
      <c r="Z177" s="32">
        <v>3095</v>
      </c>
      <c r="AA177" s="32">
        <v>52909</v>
      </c>
      <c r="AB177" s="32">
        <v>11598</v>
      </c>
      <c r="AC177" s="32">
        <v>0</v>
      </c>
      <c r="AD177" s="32">
        <v>0</v>
      </c>
      <c r="AE177" s="32">
        <v>114410</v>
      </c>
      <c r="AF177" s="32">
        <v>0</v>
      </c>
      <c r="AG17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3.5875098399370242</v>
      </c>
      <c r="AH177" s="32">
        <v>10282</v>
      </c>
      <c r="AI177" s="32">
        <v>0</v>
      </c>
      <c r="AJ177" s="32">
        <v>1256</v>
      </c>
      <c r="AK177" s="32">
        <v>0</v>
      </c>
      <c r="AL177" s="32">
        <v>0</v>
      </c>
      <c r="AM177" s="32">
        <v>858</v>
      </c>
      <c r="AN177" s="32">
        <v>5504</v>
      </c>
      <c r="AO177" s="32">
        <v>-135</v>
      </c>
      <c r="AP177" s="32">
        <v>-3676</v>
      </c>
      <c r="AQ17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2.1282838621630842</v>
      </c>
      <c r="AR177" s="32">
        <v>5468</v>
      </c>
      <c r="AS177" s="32">
        <v>275</v>
      </c>
      <c r="AT177" s="32">
        <v>2716</v>
      </c>
      <c r="AU177" s="32">
        <v>1255</v>
      </c>
      <c r="AV177" s="32">
        <v>586</v>
      </c>
      <c r="AW177" s="32">
        <v>858</v>
      </c>
      <c r="AX177" s="32">
        <v>330</v>
      </c>
      <c r="AY177" s="32">
        <v>21</v>
      </c>
      <c r="AZ177" s="32">
        <v>967</v>
      </c>
      <c r="BA177" s="32">
        <v>0</v>
      </c>
      <c r="BB177" s="32">
        <v>0</v>
      </c>
      <c r="BC177" s="32">
        <v>5862</v>
      </c>
      <c r="BD177" s="34">
        <f>IFERROR(SUM(Cons_Metrics[[#This Row],[Operating surplus/(deficit) (social housing lettings)]])/SUM(Cons_Metrics[[#This Row],[Turnover from social housing lettings]]),"")</f>
        <v>0.40998603865089278</v>
      </c>
      <c r="BE177" s="32">
        <v>11159</v>
      </c>
      <c r="BF177" s="32">
        <v>27218</v>
      </c>
      <c r="BG177" s="34">
        <f>IFERROR(SUM(Cons_Metrics[[#This Row],[Operating surplus/(deficit) (overall)2]],-Cons_Metrics[[#This Row],[Gain/(loss) on disposal of fixed assets (housing properties)2]])/SUM(Cons_Metrics[[#This Row],[Turnover (overall)]]),"")</f>
        <v>0.37119133574007218</v>
      </c>
      <c r="BH177" s="32">
        <v>10282</v>
      </c>
      <c r="BI177" s="32">
        <v>0</v>
      </c>
      <c r="BJ177" s="32">
        <v>27700</v>
      </c>
      <c r="BK177" s="34">
        <f>IFERROR(SUM(Cons_Metrics[[#This Row],[Operating surplus/(deficit) (overall)3]],Cons_Metrics[[#This Row],[Share of operating surplus/(deficit) in joint ventures or associates]])/SUM(Cons_Metrics[[#This Row],[Total assets less current liabilities]]),"")</f>
        <v>7.3960521990194816E-2</v>
      </c>
      <c r="BL177" s="32">
        <v>10282</v>
      </c>
      <c r="BM177" s="32">
        <v>67</v>
      </c>
      <c r="BN177" s="32">
        <v>139926</v>
      </c>
      <c r="BO177" s="34">
        <v>1.4670760832480383E-2</v>
      </c>
      <c r="BP177" s="34">
        <v>0</v>
      </c>
      <c r="BQ177" s="6" t="s">
        <v>93</v>
      </c>
      <c r="BR177" s="6">
        <v>2007</v>
      </c>
      <c r="BS177" s="6" t="s">
        <v>120</v>
      </c>
      <c r="BT177" s="6" t="s">
        <v>105</v>
      </c>
      <c r="BU177" s="8">
        <v>0.9156653862445665</v>
      </c>
    </row>
    <row r="178" spans="1:73" x14ac:dyDescent="0.25">
      <c r="A178" s="33" t="s">
        <v>445</v>
      </c>
      <c r="B178" s="7" t="s">
        <v>446</v>
      </c>
      <c r="C178" s="7" t="s">
        <v>81</v>
      </c>
      <c r="D17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5.4104910678375501E-2</v>
      </c>
      <c r="E178" s="32">
        <v>174948</v>
      </c>
      <c r="F178" s="32">
        <v>0</v>
      </c>
      <c r="G178" s="32">
        <v>13386</v>
      </c>
      <c r="H178" s="32">
        <v>0</v>
      </c>
      <c r="I178" s="32">
        <v>0</v>
      </c>
      <c r="J178" s="32">
        <v>3480904</v>
      </c>
      <c r="K178" s="32">
        <v>0</v>
      </c>
      <c r="L17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2.2426790923210971E-2</v>
      </c>
      <c r="M178" s="32">
        <v>1184</v>
      </c>
      <c r="N178" s="32">
        <v>0</v>
      </c>
      <c r="O178" s="32">
        <v>51357</v>
      </c>
      <c r="P178" s="32">
        <v>1437</v>
      </c>
      <c r="Q17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1.2428625466073455E-3</v>
      </c>
      <c r="R178" s="32">
        <v>14</v>
      </c>
      <c r="S178" s="32">
        <v>0</v>
      </c>
      <c r="T178" s="32">
        <v>55</v>
      </c>
      <c r="U178" s="32">
        <v>51357</v>
      </c>
      <c r="V178" s="32">
        <v>688</v>
      </c>
      <c r="W178" s="32">
        <v>1437</v>
      </c>
      <c r="X178" s="32">
        <v>2035</v>
      </c>
      <c r="Y17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0.4516045257209047</v>
      </c>
      <c r="Z178" s="32">
        <v>41381</v>
      </c>
      <c r="AA178" s="32">
        <v>1551353</v>
      </c>
      <c r="AB178" s="32">
        <v>23202</v>
      </c>
      <c r="AC178" s="32">
        <v>0</v>
      </c>
      <c r="AD178" s="32">
        <v>2460</v>
      </c>
      <c r="AE178" s="32">
        <v>3480904</v>
      </c>
      <c r="AF178" s="32">
        <v>0</v>
      </c>
      <c r="AG17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2.5509489879563656</v>
      </c>
      <c r="AH178" s="32">
        <v>137323</v>
      </c>
      <c r="AI178" s="32">
        <v>0</v>
      </c>
      <c r="AJ178" s="32">
        <v>2591</v>
      </c>
      <c r="AK178" s="32">
        <v>0</v>
      </c>
      <c r="AL178" s="32">
        <v>1227</v>
      </c>
      <c r="AM178" s="32">
        <v>13386</v>
      </c>
      <c r="AN178" s="32">
        <v>39249</v>
      </c>
      <c r="AO178" s="32">
        <v>-5315</v>
      </c>
      <c r="AP178" s="32">
        <v>-58121</v>
      </c>
      <c r="AQ17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2.9099941781486511</v>
      </c>
      <c r="AR178" s="32">
        <v>48646</v>
      </c>
      <c r="AS178" s="32">
        <v>12788</v>
      </c>
      <c r="AT178" s="32">
        <v>35304</v>
      </c>
      <c r="AU178" s="32">
        <v>10098</v>
      </c>
      <c r="AV178" s="32">
        <v>23521</v>
      </c>
      <c r="AW178" s="32">
        <v>13386</v>
      </c>
      <c r="AX178" s="32">
        <v>2542</v>
      </c>
      <c r="AY178" s="32">
        <v>238</v>
      </c>
      <c r="AZ178" s="32">
        <v>1314</v>
      </c>
      <c r="BA178" s="32">
        <v>2115</v>
      </c>
      <c r="BB178" s="32">
        <v>0</v>
      </c>
      <c r="BC178" s="32">
        <v>51530</v>
      </c>
      <c r="BD178" s="34">
        <f>IFERROR(SUM(Cons_Metrics[[#This Row],[Operating surplus/(deficit) (social housing lettings)]])/SUM(Cons_Metrics[[#This Row],[Turnover from social housing lettings]]),"")</f>
        <v>0.42308906271442293</v>
      </c>
      <c r="BE178" s="32">
        <v>123322</v>
      </c>
      <c r="BF178" s="32">
        <v>291480</v>
      </c>
      <c r="BG178" s="34">
        <f>IFERROR(SUM(Cons_Metrics[[#This Row],[Operating surplus/(deficit) (overall)2]],-Cons_Metrics[[#This Row],[Gain/(loss) on disposal of fixed assets (housing properties)2]])/SUM(Cons_Metrics[[#This Row],[Turnover (overall)]]),"")</f>
        <v>0.36309816551118729</v>
      </c>
      <c r="BH178" s="32">
        <v>137323</v>
      </c>
      <c r="BI178" s="32">
        <v>0</v>
      </c>
      <c r="BJ178" s="32">
        <v>378198</v>
      </c>
      <c r="BK178" s="34">
        <f>IFERROR(SUM(Cons_Metrics[[#This Row],[Operating surplus/(deficit) (overall)3]],Cons_Metrics[[#This Row],[Share of operating surplus/(deficit) in joint ventures or associates]])/SUM(Cons_Metrics[[#This Row],[Total assets less current liabilities]]),"")</f>
        <v>3.7586051996335232E-2</v>
      </c>
      <c r="BL178" s="32">
        <v>137323</v>
      </c>
      <c r="BM178" s="32">
        <v>149</v>
      </c>
      <c r="BN178" s="32">
        <v>3657527</v>
      </c>
      <c r="BO178" s="34">
        <v>1.904002489400599E-2</v>
      </c>
      <c r="BP178" s="34">
        <v>5.9006573573456768E-2</v>
      </c>
      <c r="BQ178" s="6" t="s">
        <v>82</v>
      </c>
      <c r="BR178" s="6" t="s">
        <v>83</v>
      </c>
      <c r="BS178" s="6" t="s">
        <v>83</v>
      </c>
      <c r="BT178" s="6" t="s">
        <v>84</v>
      </c>
      <c r="BU178" s="8">
        <v>0.99272665556395157</v>
      </c>
    </row>
    <row r="179" spans="1:73" x14ac:dyDescent="0.25">
      <c r="A179" s="33" t="s">
        <v>447</v>
      </c>
      <c r="B179" s="7" t="s">
        <v>448</v>
      </c>
      <c r="C179" s="7" t="s">
        <v>81</v>
      </c>
      <c r="D17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4.2460941338311881E-2</v>
      </c>
      <c r="E179" s="32">
        <v>1747</v>
      </c>
      <c r="F179" s="32">
        <v>0</v>
      </c>
      <c r="G179" s="32">
        <v>1710</v>
      </c>
      <c r="H179" s="32">
        <v>0</v>
      </c>
      <c r="I179" s="32">
        <v>0</v>
      </c>
      <c r="J179" s="32">
        <v>81416</v>
      </c>
      <c r="K179" s="32">
        <v>0</v>
      </c>
      <c r="L17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1.4517506404782237E-2</v>
      </c>
      <c r="M179" s="32">
        <v>17</v>
      </c>
      <c r="N179" s="32">
        <v>0</v>
      </c>
      <c r="O179" s="32">
        <v>1171</v>
      </c>
      <c r="P179" s="32">
        <v>0</v>
      </c>
      <c r="Q17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79" s="32">
        <v>0</v>
      </c>
      <c r="S179" s="32">
        <v>0</v>
      </c>
      <c r="T179" s="32">
        <v>0</v>
      </c>
      <c r="U179" s="32">
        <v>1171</v>
      </c>
      <c r="V179" s="32">
        <v>0</v>
      </c>
      <c r="W179" s="32">
        <v>0</v>
      </c>
      <c r="X179" s="32">
        <v>0</v>
      </c>
      <c r="Y17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-0.27942910484425665</v>
      </c>
      <c r="Z179" s="32">
        <v>0</v>
      </c>
      <c r="AA179" s="32">
        <v>247</v>
      </c>
      <c r="AB179" s="32">
        <v>22997</v>
      </c>
      <c r="AC179" s="32">
        <v>0</v>
      </c>
      <c r="AD179" s="32">
        <v>0</v>
      </c>
      <c r="AE179" s="32">
        <v>81416</v>
      </c>
      <c r="AF179" s="32">
        <v>0</v>
      </c>
      <c r="AG17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37.30088495575221</v>
      </c>
      <c r="AH179" s="32">
        <v>4078</v>
      </c>
      <c r="AI179" s="32">
        <v>0</v>
      </c>
      <c r="AJ179" s="32">
        <v>1555</v>
      </c>
      <c r="AK179" s="32">
        <v>0</v>
      </c>
      <c r="AL179" s="32">
        <v>83</v>
      </c>
      <c r="AM179" s="32">
        <v>1710</v>
      </c>
      <c r="AN179" s="32">
        <v>3319</v>
      </c>
      <c r="AO179" s="32">
        <v>0</v>
      </c>
      <c r="AP179" s="32">
        <v>-113</v>
      </c>
      <c r="AQ17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23.008659793814434</v>
      </c>
      <c r="AR179" s="32">
        <v>20433</v>
      </c>
      <c r="AS179" s="32">
        <v>7845</v>
      </c>
      <c r="AT179" s="32">
        <v>1455</v>
      </c>
      <c r="AU179" s="32">
        <v>934</v>
      </c>
      <c r="AV179" s="32">
        <v>0</v>
      </c>
      <c r="AW179" s="32">
        <v>1710</v>
      </c>
      <c r="AX179" s="32">
        <v>408</v>
      </c>
      <c r="AY179" s="32">
        <v>0</v>
      </c>
      <c r="AZ179" s="32">
        <v>0</v>
      </c>
      <c r="BA179" s="32">
        <v>0</v>
      </c>
      <c r="BB179" s="32">
        <v>23011</v>
      </c>
      <c r="BC179" s="32">
        <v>2425</v>
      </c>
      <c r="BD179" s="34">
        <f>IFERROR(SUM(Cons_Metrics[[#This Row],[Operating surplus/(deficit) (social housing lettings)]])/SUM(Cons_Metrics[[#This Row],[Turnover from social housing lettings]]),"")</f>
        <v>1.0775376997524195E-2</v>
      </c>
      <c r="BE179" s="32">
        <v>383</v>
      </c>
      <c r="BF179" s="32">
        <v>35544</v>
      </c>
      <c r="BG179" s="34">
        <f>IFERROR(SUM(Cons_Metrics[[#This Row],[Operating surplus/(deficit) (overall)2]],-Cons_Metrics[[#This Row],[Gain/(loss) on disposal of fixed assets (housing properties)2]])/SUM(Cons_Metrics[[#This Row],[Turnover (overall)]]),"")</f>
        <v>4.5497143877186716E-2</v>
      </c>
      <c r="BH179" s="32">
        <v>4078</v>
      </c>
      <c r="BI179" s="32">
        <v>0</v>
      </c>
      <c r="BJ179" s="32">
        <v>89632</v>
      </c>
      <c r="BK179" s="34">
        <f>IFERROR(SUM(Cons_Metrics[[#This Row],[Operating surplus/(deficit) (overall)3]],Cons_Metrics[[#This Row],[Share of operating surplus/(deficit) in joint ventures or associates]])/SUM(Cons_Metrics[[#This Row],[Total assets less current liabilities]]),"")</f>
        <v>4.1399256019294443E-2</v>
      </c>
      <c r="BL179" s="32">
        <v>4078</v>
      </c>
      <c r="BM179" s="32">
        <v>-27</v>
      </c>
      <c r="BN179" s="32">
        <v>97852</v>
      </c>
      <c r="BO179" s="34">
        <v>0.95303159692570449</v>
      </c>
      <c r="BP179" s="34">
        <v>0</v>
      </c>
      <c r="BQ179" s="6" t="s">
        <v>82</v>
      </c>
      <c r="BR179" s="6" t="s">
        <v>83</v>
      </c>
      <c r="BS179" s="6" t="s">
        <v>83</v>
      </c>
      <c r="BT179" s="6" t="s">
        <v>156</v>
      </c>
      <c r="BU179" s="8">
        <v>1.2477578379181831</v>
      </c>
    </row>
    <row r="180" spans="1:73" x14ac:dyDescent="0.25">
      <c r="A180" s="33" t="s">
        <v>449</v>
      </c>
      <c r="B180" s="7" t="s">
        <v>450</v>
      </c>
      <c r="C180" s="7" t="s">
        <v>81</v>
      </c>
      <c r="D18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0.12352525562235879</v>
      </c>
      <c r="E180" s="32">
        <v>14056</v>
      </c>
      <c r="F180" s="32">
        <v>0</v>
      </c>
      <c r="G180" s="32">
        <v>4476</v>
      </c>
      <c r="H180" s="32">
        <v>0</v>
      </c>
      <c r="I180" s="32">
        <v>0</v>
      </c>
      <c r="J180" s="32">
        <v>150026</v>
      </c>
      <c r="K180" s="32">
        <v>0</v>
      </c>
      <c r="L18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2.0343293070565798E-2</v>
      </c>
      <c r="M180" s="32">
        <v>128</v>
      </c>
      <c r="N180" s="32">
        <v>0</v>
      </c>
      <c r="O180" s="32">
        <v>6292</v>
      </c>
      <c r="P180" s="32">
        <v>0</v>
      </c>
      <c r="Q18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80" s="32">
        <v>0</v>
      </c>
      <c r="S180" s="32">
        <v>0</v>
      </c>
      <c r="T180" s="32">
        <v>0</v>
      </c>
      <c r="U180" s="32">
        <v>6292</v>
      </c>
      <c r="V180" s="32">
        <v>0</v>
      </c>
      <c r="W180" s="32">
        <v>0</v>
      </c>
      <c r="X180" s="32">
        <v>0</v>
      </c>
      <c r="Y18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0.36998920187167555</v>
      </c>
      <c r="Z180" s="32">
        <v>0</v>
      </c>
      <c r="AA180" s="32">
        <v>80000</v>
      </c>
      <c r="AB180" s="32">
        <v>24492</v>
      </c>
      <c r="AC180" s="32">
        <v>0</v>
      </c>
      <c r="AD180" s="32">
        <v>0</v>
      </c>
      <c r="AE180" s="32">
        <v>150026</v>
      </c>
      <c r="AF180" s="32">
        <v>0</v>
      </c>
      <c r="AG18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2.735614702154626</v>
      </c>
      <c r="AH180" s="32">
        <v>11443</v>
      </c>
      <c r="AI180" s="32">
        <v>1221</v>
      </c>
      <c r="AJ180" s="32">
        <v>228</v>
      </c>
      <c r="AK180" s="32">
        <v>0</v>
      </c>
      <c r="AL180" s="32">
        <v>123</v>
      </c>
      <c r="AM180" s="32">
        <v>4476</v>
      </c>
      <c r="AN180" s="32">
        <v>5151</v>
      </c>
      <c r="AO180" s="32">
        <v>-277</v>
      </c>
      <c r="AP180" s="32">
        <v>-3668</v>
      </c>
      <c r="AQ18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2.8825492689129053</v>
      </c>
      <c r="AR180" s="32">
        <v>4982</v>
      </c>
      <c r="AS180" s="32">
        <v>932</v>
      </c>
      <c r="AT180" s="32">
        <v>3981</v>
      </c>
      <c r="AU180" s="32">
        <v>1896</v>
      </c>
      <c r="AV180" s="32">
        <v>0</v>
      </c>
      <c r="AW180" s="32">
        <v>4476</v>
      </c>
      <c r="AX180" s="32">
        <v>0</v>
      </c>
      <c r="AY180" s="32">
        <v>0</v>
      </c>
      <c r="AZ180" s="32">
        <v>0</v>
      </c>
      <c r="BA180" s="32">
        <v>1633</v>
      </c>
      <c r="BB180" s="32">
        <v>237</v>
      </c>
      <c r="BC180" s="32">
        <v>6292</v>
      </c>
      <c r="BD180" s="34">
        <f>IFERROR(SUM(Cons_Metrics[[#This Row],[Operating surplus/(deficit) (social housing lettings)]])/SUM(Cons_Metrics[[#This Row],[Turnover from social housing lettings]]),"")</f>
        <v>0.36648023862788964</v>
      </c>
      <c r="BE180" s="32">
        <v>9829</v>
      </c>
      <c r="BF180" s="32">
        <v>26820</v>
      </c>
      <c r="BG180" s="34">
        <f>IFERROR(SUM(Cons_Metrics[[#This Row],[Operating surplus/(deficit) (overall)2]],-Cons_Metrics[[#This Row],[Gain/(loss) on disposal of fixed assets (housing properties)2]])/SUM(Cons_Metrics[[#This Row],[Turnover (overall)]]),"")</f>
        <v>0.3233275343982287</v>
      </c>
      <c r="BH180" s="32">
        <v>11443</v>
      </c>
      <c r="BI180" s="32">
        <v>1221</v>
      </c>
      <c r="BJ180" s="32">
        <v>31615</v>
      </c>
      <c r="BK180" s="34">
        <f>IFERROR(SUM(Cons_Metrics[[#This Row],[Operating surplus/(deficit) (overall)3]],Cons_Metrics[[#This Row],[Share of operating surplus/(deficit) in joint ventures or associates]])/SUM(Cons_Metrics[[#This Row],[Total assets less current liabilities]]),"")</f>
        <v>6.2929640669167064E-2</v>
      </c>
      <c r="BL180" s="32">
        <v>11443</v>
      </c>
      <c r="BM180" s="32">
        <v>0</v>
      </c>
      <c r="BN180" s="32">
        <v>181838</v>
      </c>
      <c r="BO180" s="34">
        <v>1.2716579240184391E-3</v>
      </c>
      <c r="BP180" s="34">
        <v>0.22015577809569226</v>
      </c>
      <c r="BQ180" s="6" t="s">
        <v>93</v>
      </c>
      <c r="BR180" s="6">
        <v>2006</v>
      </c>
      <c r="BS180" s="6" t="s">
        <v>94</v>
      </c>
      <c r="BT180" s="6" t="s">
        <v>90</v>
      </c>
      <c r="BU180" s="8">
        <v>0.91571558169387279</v>
      </c>
    </row>
    <row r="181" spans="1:73" x14ac:dyDescent="0.25">
      <c r="A181" s="33" t="s">
        <v>451</v>
      </c>
      <c r="B181" s="7" t="s">
        <v>452</v>
      </c>
      <c r="C181" s="7" t="s">
        <v>81</v>
      </c>
      <c r="D18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5.3019287121989389E-2</v>
      </c>
      <c r="E181" s="32">
        <v>6101</v>
      </c>
      <c r="F181" s="32">
        <v>0</v>
      </c>
      <c r="G181" s="32">
        <v>1082</v>
      </c>
      <c r="H181" s="32">
        <v>0</v>
      </c>
      <c r="I181" s="32">
        <v>0</v>
      </c>
      <c r="J181" s="32">
        <v>135479</v>
      </c>
      <c r="K181" s="32">
        <v>0</v>
      </c>
      <c r="L18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5.3835800807537013E-2</v>
      </c>
      <c r="M181" s="32">
        <v>160</v>
      </c>
      <c r="N181" s="32">
        <v>0</v>
      </c>
      <c r="O181" s="32">
        <v>2938</v>
      </c>
      <c r="P181" s="32">
        <v>34</v>
      </c>
      <c r="Q18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9.6277278562259311E-4</v>
      </c>
      <c r="R181" s="32">
        <v>3</v>
      </c>
      <c r="S181" s="32">
        <v>0</v>
      </c>
      <c r="T181" s="32">
        <v>0</v>
      </c>
      <c r="U181" s="32">
        <v>2938</v>
      </c>
      <c r="V181" s="32">
        <v>144</v>
      </c>
      <c r="W181" s="32">
        <v>34</v>
      </c>
      <c r="X181" s="32">
        <v>0</v>
      </c>
      <c r="Y18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0.42532791059869057</v>
      </c>
      <c r="Z181" s="32">
        <v>374</v>
      </c>
      <c r="AA181" s="32">
        <v>63862</v>
      </c>
      <c r="AB181" s="32">
        <v>6613</v>
      </c>
      <c r="AC181" s="32">
        <v>0</v>
      </c>
      <c r="AD181" s="32">
        <v>0</v>
      </c>
      <c r="AE181" s="32">
        <v>135479</v>
      </c>
      <c r="AF181" s="32">
        <v>0</v>
      </c>
      <c r="AG18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1.8812961180622394</v>
      </c>
      <c r="AH181" s="32">
        <v>4946</v>
      </c>
      <c r="AI181" s="32">
        <v>185</v>
      </c>
      <c r="AJ181" s="32">
        <v>961</v>
      </c>
      <c r="AK181" s="32">
        <v>0</v>
      </c>
      <c r="AL181" s="32">
        <v>24</v>
      </c>
      <c r="AM181" s="32">
        <v>1082</v>
      </c>
      <c r="AN181" s="32">
        <v>3122</v>
      </c>
      <c r="AO181" s="32">
        <v>-90</v>
      </c>
      <c r="AP181" s="32">
        <v>-3027</v>
      </c>
      <c r="AQ18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4.1219925449000341</v>
      </c>
      <c r="AR181" s="32">
        <v>2803</v>
      </c>
      <c r="AS181" s="32">
        <v>1887</v>
      </c>
      <c r="AT181" s="32">
        <v>2359</v>
      </c>
      <c r="AU181" s="32">
        <v>335</v>
      </c>
      <c r="AV181" s="32">
        <v>0</v>
      </c>
      <c r="AW181" s="32">
        <v>1082</v>
      </c>
      <c r="AX181" s="32">
        <v>24</v>
      </c>
      <c r="AY181" s="32">
        <v>147</v>
      </c>
      <c r="AZ181" s="32">
        <v>0</v>
      </c>
      <c r="BA181" s="32">
        <v>103</v>
      </c>
      <c r="BB181" s="32">
        <v>3424</v>
      </c>
      <c r="BC181" s="32">
        <v>2951</v>
      </c>
      <c r="BD181" s="34">
        <f>IFERROR(SUM(Cons_Metrics[[#This Row],[Operating surplus/(deficit) (social housing lettings)]])/SUM(Cons_Metrics[[#This Row],[Turnover from social housing lettings]]),"")</f>
        <v>0.29322057396367668</v>
      </c>
      <c r="BE181" s="32">
        <v>4230</v>
      </c>
      <c r="BF181" s="32">
        <v>14426</v>
      </c>
      <c r="BG181" s="34">
        <f>IFERROR(SUM(Cons_Metrics[[#This Row],[Operating surplus/(deficit) (overall)2]],-Cons_Metrics[[#This Row],[Gain/(loss) on disposal of fixed assets (housing properties)2]])/SUM(Cons_Metrics[[#This Row],[Turnover (overall)]]),"")</f>
        <v>0.21752638552565451</v>
      </c>
      <c r="BH181" s="32">
        <v>4946</v>
      </c>
      <c r="BI181" s="32">
        <v>185</v>
      </c>
      <c r="BJ181" s="32">
        <v>21887</v>
      </c>
      <c r="BK181" s="34">
        <f>IFERROR(SUM(Cons_Metrics[[#This Row],[Operating surplus/(deficit) (overall)3]],Cons_Metrics[[#This Row],[Share of operating surplus/(deficit) in joint ventures or associates]])/SUM(Cons_Metrics[[#This Row],[Total assets less current liabilities]]),"")</f>
        <v>3.3603282876321437E-2</v>
      </c>
      <c r="BL181" s="32">
        <v>4946</v>
      </c>
      <c r="BM181" s="32">
        <v>0</v>
      </c>
      <c r="BN181" s="32">
        <v>147188</v>
      </c>
      <c r="BO181" s="34">
        <v>4.0154984149348365E-2</v>
      </c>
      <c r="BP181" s="34">
        <v>0.15040507220852412</v>
      </c>
      <c r="BQ181" s="6" t="s">
        <v>82</v>
      </c>
      <c r="BR181" s="6" t="s">
        <v>83</v>
      </c>
      <c r="BS181" s="6" t="s">
        <v>83</v>
      </c>
      <c r="BT181" s="6" t="s">
        <v>90</v>
      </c>
      <c r="BU181" s="8">
        <v>0.91571474691778165</v>
      </c>
    </row>
    <row r="182" spans="1:73" x14ac:dyDescent="0.25">
      <c r="A182" s="33" t="s">
        <v>453</v>
      </c>
      <c r="B182" s="7" t="s">
        <v>454</v>
      </c>
      <c r="C182" s="7" t="s">
        <v>81</v>
      </c>
      <c r="D18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5.4531715192983471E-2</v>
      </c>
      <c r="E182" s="32">
        <v>73879</v>
      </c>
      <c r="F182" s="32">
        <v>0</v>
      </c>
      <c r="G182" s="32">
        <v>13100</v>
      </c>
      <c r="H182" s="32">
        <v>0</v>
      </c>
      <c r="I182" s="32">
        <v>5463</v>
      </c>
      <c r="J182" s="32">
        <v>1695197</v>
      </c>
      <c r="K182" s="32">
        <v>0</v>
      </c>
      <c r="L18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2.0806808282516919E-2</v>
      </c>
      <c r="M182" s="32">
        <v>621</v>
      </c>
      <c r="N182" s="32">
        <v>0</v>
      </c>
      <c r="O182" s="32">
        <v>29846</v>
      </c>
      <c r="P182" s="32">
        <v>0</v>
      </c>
      <c r="Q18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82" s="32">
        <v>0</v>
      </c>
      <c r="S182" s="32">
        <v>0</v>
      </c>
      <c r="T182" s="32">
        <v>0</v>
      </c>
      <c r="U182" s="32">
        <v>29846</v>
      </c>
      <c r="V182" s="32">
        <v>0</v>
      </c>
      <c r="W182" s="32">
        <v>0</v>
      </c>
      <c r="X182" s="32">
        <v>0</v>
      </c>
      <c r="Y18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0.43638232016691864</v>
      </c>
      <c r="Z182" s="32">
        <v>30513</v>
      </c>
      <c r="AA182" s="32">
        <v>817068</v>
      </c>
      <c r="AB182" s="32">
        <v>107827</v>
      </c>
      <c r="AC182" s="32">
        <v>0</v>
      </c>
      <c r="AD182" s="32">
        <v>0</v>
      </c>
      <c r="AE182" s="32">
        <v>1695197</v>
      </c>
      <c r="AF182" s="32">
        <v>0</v>
      </c>
      <c r="AG18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1.7270127584689838</v>
      </c>
      <c r="AH182" s="32">
        <v>69679</v>
      </c>
      <c r="AI182" s="32">
        <v>15244</v>
      </c>
      <c r="AJ182" s="32">
        <v>7193</v>
      </c>
      <c r="AK182" s="32">
        <v>0</v>
      </c>
      <c r="AL182" s="32">
        <v>221</v>
      </c>
      <c r="AM182" s="32">
        <v>13100</v>
      </c>
      <c r="AN182" s="32">
        <v>28445</v>
      </c>
      <c r="AO182" s="32">
        <v>-2725</v>
      </c>
      <c r="AP182" s="32">
        <v>-33643</v>
      </c>
      <c r="AQ18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3.2341333504459988</v>
      </c>
      <c r="AR182" s="32">
        <v>31198</v>
      </c>
      <c r="AS182" s="32">
        <v>16984</v>
      </c>
      <c r="AT182" s="32">
        <v>23490</v>
      </c>
      <c r="AU182" s="32">
        <v>4739</v>
      </c>
      <c r="AV182" s="32">
        <v>9469</v>
      </c>
      <c r="AW182" s="32">
        <v>13100</v>
      </c>
      <c r="AX182" s="32">
        <v>0</v>
      </c>
      <c r="AY182" s="32">
        <v>815</v>
      </c>
      <c r="AZ182" s="32">
        <v>0</v>
      </c>
      <c r="BA182" s="32">
        <v>1000</v>
      </c>
      <c r="BB182" s="32">
        <v>0</v>
      </c>
      <c r="BC182" s="32">
        <v>31166</v>
      </c>
      <c r="BD182" s="34">
        <f>IFERROR(SUM(Cons_Metrics[[#This Row],[Operating surplus/(deficit) (social housing lettings)]])/SUM(Cons_Metrics[[#This Row],[Turnover from social housing lettings]]),"")</f>
        <v>0.30704034286331688</v>
      </c>
      <c r="BE182" s="32">
        <v>51152</v>
      </c>
      <c r="BF182" s="32">
        <v>166597</v>
      </c>
      <c r="BG182" s="34">
        <f>IFERROR(SUM(Cons_Metrics[[#This Row],[Operating surplus/(deficit) (overall)2]],-Cons_Metrics[[#This Row],[Gain/(loss) on disposal of fixed assets (housing properties)2]])/SUM(Cons_Metrics[[#This Row],[Turnover (overall)]]),"")</f>
        <v>0.29074642809453866</v>
      </c>
      <c r="BH182" s="32">
        <v>69679</v>
      </c>
      <c r="BI182" s="32">
        <v>15244</v>
      </c>
      <c r="BJ182" s="32">
        <v>187225</v>
      </c>
      <c r="BK182" s="34">
        <f>IFERROR(SUM(Cons_Metrics[[#This Row],[Operating surplus/(deficit) (overall)3]],Cons_Metrics[[#This Row],[Share of operating surplus/(deficit) in joint ventures or associates]])/SUM(Cons_Metrics[[#This Row],[Total assets less current liabilities]]),"")</f>
        <v>3.9440556432276515E-2</v>
      </c>
      <c r="BL182" s="32">
        <v>69679</v>
      </c>
      <c r="BM182" s="32">
        <v>0</v>
      </c>
      <c r="BN182" s="32">
        <v>1766684</v>
      </c>
      <c r="BO182" s="34">
        <v>1.9247717418126697E-2</v>
      </c>
      <c r="BP182" s="34">
        <v>8.53456481122431E-2</v>
      </c>
      <c r="BQ182" s="6" t="s">
        <v>82</v>
      </c>
      <c r="BR182" s="6" t="s">
        <v>83</v>
      </c>
      <c r="BS182" s="6" t="s">
        <v>83</v>
      </c>
      <c r="BT182" s="6" t="s">
        <v>87</v>
      </c>
      <c r="BU182" s="8">
        <v>0.96695649251343752</v>
      </c>
    </row>
    <row r="183" spans="1:73" x14ac:dyDescent="0.25">
      <c r="A183" s="33" t="s">
        <v>455</v>
      </c>
      <c r="B183" s="7" t="s">
        <v>456</v>
      </c>
      <c r="C183" s="7" t="s">
        <v>81</v>
      </c>
      <c r="D18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1.7970738773017407E-2</v>
      </c>
      <c r="E183" s="32">
        <v>2911</v>
      </c>
      <c r="F183" s="32">
        <v>0</v>
      </c>
      <c r="G183" s="32">
        <v>372</v>
      </c>
      <c r="H183" s="32">
        <v>42</v>
      </c>
      <c r="I183" s="32">
        <v>0</v>
      </c>
      <c r="J183" s="32">
        <v>185023</v>
      </c>
      <c r="K183" s="32">
        <v>0</v>
      </c>
      <c r="L18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5.6061667834618077E-3</v>
      </c>
      <c r="M183" s="32">
        <v>16</v>
      </c>
      <c r="N183" s="32">
        <v>0</v>
      </c>
      <c r="O183" s="32">
        <v>2778</v>
      </c>
      <c r="P183" s="32">
        <v>76</v>
      </c>
      <c r="Q18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83" s="32">
        <v>0</v>
      </c>
      <c r="S183" s="32">
        <v>0</v>
      </c>
      <c r="T183" s="32">
        <v>0</v>
      </c>
      <c r="U183" s="32">
        <v>2778</v>
      </c>
      <c r="V183" s="32">
        <v>68</v>
      </c>
      <c r="W183" s="32">
        <v>76</v>
      </c>
      <c r="X183" s="32">
        <v>0</v>
      </c>
      <c r="Y18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0.561065381060733</v>
      </c>
      <c r="Z183" s="32">
        <v>629</v>
      </c>
      <c r="AA183" s="32">
        <v>103573</v>
      </c>
      <c r="AB183" s="32">
        <v>392</v>
      </c>
      <c r="AC183" s="32">
        <v>0</v>
      </c>
      <c r="AD183" s="32">
        <v>0</v>
      </c>
      <c r="AE183" s="32">
        <v>185023</v>
      </c>
      <c r="AF183" s="32">
        <v>0</v>
      </c>
      <c r="AG18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1.7086755646817249</v>
      </c>
      <c r="AH183" s="32">
        <v>6724</v>
      </c>
      <c r="AI183" s="32">
        <v>-386</v>
      </c>
      <c r="AJ183" s="32">
        <v>1232</v>
      </c>
      <c r="AK183" s="32">
        <v>0</v>
      </c>
      <c r="AL183" s="32">
        <v>1</v>
      </c>
      <c r="AM183" s="32">
        <v>372</v>
      </c>
      <c r="AN183" s="32">
        <v>1150</v>
      </c>
      <c r="AO183" s="32">
        <v>-42</v>
      </c>
      <c r="AP183" s="32">
        <v>-3854</v>
      </c>
      <c r="AQ18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2.7667386609071274</v>
      </c>
      <c r="AR183" s="32">
        <v>3589</v>
      </c>
      <c r="AS183" s="32">
        <v>1390</v>
      </c>
      <c r="AT183" s="32">
        <v>2013</v>
      </c>
      <c r="AU183" s="32">
        <v>322</v>
      </c>
      <c r="AV183" s="32">
        <v>0</v>
      </c>
      <c r="AW183" s="32">
        <v>372</v>
      </c>
      <c r="AX183" s="32">
        <v>0</v>
      </c>
      <c r="AY183" s="32">
        <v>0</v>
      </c>
      <c r="AZ183" s="32">
        <v>0</v>
      </c>
      <c r="BA183" s="32">
        <v>0</v>
      </c>
      <c r="BB183" s="32">
        <v>0</v>
      </c>
      <c r="BC183" s="32">
        <v>2778</v>
      </c>
      <c r="BD183" s="34">
        <f>IFERROR(SUM(Cons_Metrics[[#This Row],[Operating surplus/(deficit) (social housing lettings)]])/SUM(Cons_Metrics[[#This Row],[Turnover from social housing lettings]]),"")</f>
        <v>0.43560478152225302</v>
      </c>
      <c r="BE183" s="32">
        <v>6450</v>
      </c>
      <c r="BF183" s="32">
        <v>14807</v>
      </c>
      <c r="BG183" s="34">
        <f>IFERROR(SUM(Cons_Metrics[[#This Row],[Operating surplus/(deficit) (overall)2]],-Cons_Metrics[[#This Row],[Gain/(loss) on disposal of fixed assets (housing properties)2]])/SUM(Cons_Metrics[[#This Row],[Turnover (overall)]]),"")</f>
        <v>0.43080465341735336</v>
      </c>
      <c r="BH183" s="32">
        <v>6724</v>
      </c>
      <c r="BI183" s="32">
        <v>-386</v>
      </c>
      <c r="BJ183" s="32">
        <v>16504</v>
      </c>
      <c r="BK183" s="34">
        <f>IFERROR(SUM(Cons_Metrics[[#This Row],[Operating surplus/(deficit) (overall)3]],Cons_Metrics[[#This Row],[Share of operating surplus/(deficit) in joint ventures or associates]])/SUM(Cons_Metrics[[#This Row],[Total assets less current liabilities]]),"")</f>
        <v>3.4268531967484646E-2</v>
      </c>
      <c r="BL183" s="32">
        <v>6724</v>
      </c>
      <c r="BM183" s="32">
        <v>0</v>
      </c>
      <c r="BN183" s="32">
        <v>196215</v>
      </c>
      <c r="BO183" s="34">
        <v>2.696871628910464E-2</v>
      </c>
      <c r="BP183" s="34">
        <v>0.14814814814814814</v>
      </c>
      <c r="BQ183" s="6" t="s">
        <v>82</v>
      </c>
      <c r="BR183" s="6" t="s">
        <v>83</v>
      </c>
      <c r="BS183" s="6" t="s">
        <v>83</v>
      </c>
      <c r="BT183" s="6" t="s">
        <v>100</v>
      </c>
      <c r="BU183" s="8">
        <v>1.0022399874355168</v>
      </c>
    </row>
    <row r="184" spans="1:73" x14ac:dyDescent="0.25">
      <c r="A184" s="33" t="s">
        <v>457</v>
      </c>
      <c r="B184" s="7" t="s">
        <v>458</v>
      </c>
      <c r="C184" s="7" t="s">
        <v>81</v>
      </c>
      <c r="D184" s="34" t="str">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
      </c>
      <c r="E184" s="32">
        <v>0</v>
      </c>
      <c r="F184" s="32">
        <v>0</v>
      </c>
      <c r="G184" s="32">
        <v>0</v>
      </c>
      <c r="H184" s="32">
        <v>0</v>
      </c>
      <c r="I184" s="32">
        <v>0</v>
      </c>
      <c r="J184" s="32">
        <v>0</v>
      </c>
      <c r="K184" s="32">
        <v>0</v>
      </c>
      <c r="L184" s="34" t="str">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
      </c>
      <c r="M184" s="32">
        <v>0</v>
      </c>
      <c r="N184" s="32">
        <v>0</v>
      </c>
      <c r="O184" s="32">
        <v>0</v>
      </c>
      <c r="P184" s="32">
        <v>0</v>
      </c>
      <c r="Q184" s="36" t="str">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
      </c>
      <c r="R184" s="32">
        <v>0</v>
      </c>
      <c r="S184" s="32">
        <v>0</v>
      </c>
      <c r="T184" s="32">
        <v>0</v>
      </c>
      <c r="U184" s="32">
        <v>0</v>
      </c>
      <c r="V184" s="32">
        <v>0</v>
      </c>
      <c r="W184" s="32">
        <v>0</v>
      </c>
      <c r="X184" s="32">
        <v>0</v>
      </c>
      <c r="Y184" s="34" t="str">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
      </c>
      <c r="Z184" s="32">
        <v>0</v>
      </c>
      <c r="AA184" s="32">
        <v>0</v>
      </c>
      <c r="AB184" s="32">
        <v>637</v>
      </c>
      <c r="AC184" s="32">
        <v>0</v>
      </c>
      <c r="AD184" s="32">
        <v>0</v>
      </c>
      <c r="AE184" s="32">
        <v>0</v>
      </c>
      <c r="AF184" s="32">
        <v>0</v>
      </c>
      <c r="AG184" s="34" t="str">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
      </c>
      <c r="AH184" s="32">
        <v>428</v>
      </c>
      <c r="AI184" s="32">
        <v>0</v>
      </c>
      <c r="AJ184" s="32">
        <v>0</v>
      </c>
      <c r="AK184" s="32">
        <v>0</v>
      </c>
      <c r="AL184" s="32">
        <v>1</v>
      </c>
      <c r="AM184" s="32">
        <v>0</v>
      </c>
      <c r="AN184" s="32">
        <v>11</v>
      </c>
      <c r="AO184" s="32">
        <v>0</v>
      </c>
      <c r="AP184" s="32">
        <v>0</v>
      </c>
      <c r="AQ18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8.0241014799154335</v>
      </c>
      <c r="AR184" s="32">
        <v>1735</v>
      </c>
      <c r="AS184" s="32">
        <v>17242</v>
      </c>
      <c r="AT184" s="32">
        <v>0</v>
      </c>
      <c r="AU184" s="32">
        <v>0</v>
      </c>
      <c r="AV184" s="32">
        <v>0</v>
      </c>
      <c r="AW184" s="32">
        <v>0</v>
      </c>
      <c r="AX184" s="32">
        <v>0</v>
      </c>
      <c r="AY184" s="32">
        <v>0</v>
      </c>
      <c r="AZ184" s="32">
        <v>0</v>
      </c>
      <c r="BA184" s="32">
        <v>0</v>
      </c>
      <c r="BB184" s="32">
        <v>0</v>
      </c>
      <c r="BC184" s="32">
        <v>2365</v>
      </c>
      <c r="BD184" s="34">
        <f>IFERROR(SUM(Cons_Metrics[[#This Row],[Operating surplus/(deficit) (social housing lettings)]])/SUM(Cons_Metrics[[#This Row],[Turnover from social housing lettings]]),"")</f>
        <v>2.2056171089925278E-2</v>
      </c>
      <c r="BE184" s="32">
        <v>428</v>
      </c>
      <c r="BF184" s="32">
        <v>19405</v>
      </c>
      <c r="BG184" s="34">
        <f>IFERROR(SUM(Cons_Metrics[[#This Row],[Operating surplus/(deficit) (overall)2]],-Cons_Metrics[[#This Row],[Gain/(loss) on disposal of fixed assets (housing properties)2]])/SUM(Cons_Metrics[[#This Row],[Turnover (overall)]]),"")</f>
        <v>2.2056171089925278E-2</v>
      </c>
      <c r="BH184" s="32">
        <v>428</v>
      </c>
      <c r="BI184" s="32">
        <v>0</v>
      </c>
      <c r="BJ184" s="32">
        <v>19405</v>
      </c>
      <c r="BK184" s="34">
        <f>IFERROR(SUM(Cons_Metrics[[#This Row],[Operating surplus/(deficit) (overall)3]],Cons_Metrics[[#This Row],[Share of operating surplus/(deficit) in joint ventures or associates]])/SUM(Cons_Metrics[[#This Row],[Total assets less current liabilities]]),"")</f>
        <v>0.8075471698113208</v>
      </c>
      <c r="BL184" s="32">
        <v>428</v>
      </c>
      <c r="BM184" s="32">
        <v>0</v>
      </c>
      <c r="BN184" s="32">
        <v>530</v>
      </c>
      <c r="BO184" s="34">
        <v>1</v>
      </c>
      <c r="BP184" s="34">
        <v>0</v>
      </c>
      <c r="BQ184" s="6" t="s">
        <v>82</v>
      </c>
      <c r="BR184" s="6" t="s">
        <v>83</v>
      </c>
      <c r="BS184" s="6" t="s">
        <v>83</v>
      </c>
      <c r="BT184" s="6" t="s">
        <v>90</v>
      </c>
      <c r="BU184" s="8">
        <v>0.91572545098940239</v>
      </c>
    </row>
    <row r="185" spans="1:73" x14ac:dyDescent="0.25">
      <c r="A185" s="33" t="s">
        <v>459</v>
      </c>
      <c r="B185" s="7" t="s">
        <v>460</v>
      </c>
      <c r="C185" s="7" t="s">
        <v>81</v>
      </c>
      <c r="D18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6.3287345860572497E-2</v>
      </c>
      <c r="E185" s="32">
        <v>39654</v>
      </c>
      <c r="F185" s="32">
        <v>0</v>
      </c>
      <c r="G185" s="32">
        <v>4661</v>
      </c>
      <c r="H185" s="32">
        <v>1301</v>
      </c>
      <c r="I185" s="32">
        <v>0</v>
      </c>
      <c r="J185" s="32">
        <v>720776</v>
      </c>
      <c r="K185" s="32">
        <v>0</v>
      </c>
      <c r="L18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2.0212765957446808E-3</v>
      </c>
      <c r="M185" s="32">
        <v>19</v>
      </c>
      <c r="N185" s="32">
        <v>0</v>
      </c>
      <c r="O185" s="32">
        <v>8637</v>
      </c>
      <c r="P185" s="32">
        <v>763</v>
      </c>
      <c r="Q18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5.2127659574468087E-3</v>
      </c>
      <c r="R185" s="32">
        <v>0</v>
      </c>
      <c r="S185" s="32">
        <v>0</v>
      </c>
      <c r="T185" s="32">
        <v>49</v>
      </c>
      <c r="U185" s="32">
        <v>8637</v>
      </c>
      <c r="V185" s="32">
        <v>0</v>
      </c>
      <c r="W185" s="32">
        <v>763</v>
      </c>
      <c r="X185" s="32">
        <v>0</v>
      </c>
      <c r="Y18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0.68405163323973051</v>
      </c>
      <c r="Z185" s="32">
        <v>0</v>
      </c>
      <c r="AA185" s="32">
        <v>503703</v>
      </c>
      <c r="AB185" s="32">
        <v>13678</v>
      </c>
      <c r="AC185" s="32">
        <v>0</v>
      </c>
      <c r="AD185" s="32">
        <v>3023</v>
      </c>
      <c r="AE185" s="32">
        <v>720776</v>
      </c>
      <c r="AF185" s="32">
        <v>0</v>
      </c>
      <c r="AG18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1.4625693160813309</v>
      </c>
      <c r="AH185" s="32">
        <v>25792</v>
      </c>
      <c r="AI185" s="32">
        <v>510</v>
      </c>
      <c r="AJ185" s="32">
        <v>515</v>
      </c>
      <c r="AK185" s="32">
        <v>0</v>
      </c>
      <c r="AL185" s="32">
        <v>587</v>
      </c>
      <c r="AM185" s="32">
        <v>4661</v>
      </c>
      <c r="AN185" s="32">
        <v>7792</v>
      </c>
      <c r="AO185" s="32">
        <v>-3469</v>
      </c>
      <c r="AP185" s="32">
        <v>-16007</v>
      </c>
      <c r="AQ18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4.7725203768392079</v>
      </c>
      <c r="AR185" s="32">
        <v>11589</v>
      </c>
      <c r="AS185" s="32">
        <v>3330</v>
      </c>
      <c r="AT185" s="32">
        <v>4241</v>
      </c>
      <c r="AU185" s="32">
        <v>6258</v>
      </c>
      <c r="AV185" s="32">
        <v>0</v>
      </c>
      <c r="AW185" s="32">
        <v>4661</v>
      </c>
      <c r="AX185" s="32">
        <v>0</v>
      </c>
      <c r="AY185" s="32">
        <v>0</v>
      </c>
      <c r="AZ185" s="32">
        <v>0</v>
      </c>
      <c r="BA185" s="32">
        <v>12949</v>
      </c>
      <c r="BB185" s="32">
        <v>2058</v>
      </c>
      <c r="BC185" s="32">
        <v>9447</v>
      </c>
      <c r="BD185" s="34">
        <f>IFERROR(SUM(Cons_Metrics[[#This Row],[Operating surplus/(deficit) (social housing lettings)]])/SUM(Cons_Metrics[[#This Row],[Turnover from social housing lettings]]),"")</f>
        <v>0.44379434412724034</v>
      </c>
      <c r="BE185" s="32">
        <v>26396</v>
      </c>
      <c r="BF185" s="32">
        <v>59478</v>
      </c>
      <c r="BG185" s="34">
        <f>IFERROR(SUM(Cons_Metrics[[#This Row],[Operating surplus/(deficit) (overall)2]],-Cons_Metrics[[#This Row],[Gain/(loss) on disposal of fixed assets (housing properties)2]])/SUM(Cons_Metrics[[#This Row],[Turnover (overall)]]),"")</f>
        <v>0.2774643868390439</v>
      </c>
      <c r="BH185" s="32">
        <v>25792</v>
      </c>
      <c r="BI185" s="32">
        <v>510</v>
      </c>
      <c r="BJ185" s="32">
        <v>91118</v>
      </c>
      <c r="BK185" s="34">
        <f>IFERROR(SUM(Cons_Metrics[[#This Row],[Operating surplus/(deficit) (overall)3]],Cons_Metrics[[#This Row],[Share of operating surplus/(deficit) in joint ventures or associates]])/SUM(Cons_Metrics[[#This Row],[Total assets less current liabilities]]),"")</f>
        <v>3.0146641963330743E-2</v>
      </c>
      <c r="BL185" s="32">
        <v>25792</v>
      </c>
      <c r="BM185" s="32">
        <v>-2</v>
      </c>
      <c r="BN185" s="32">
        <v>855485</v>
      </c>
      <c r="BO185" s="34">
        <v>3.05661688086141E-2</v>
      </c>
      <c r="BP185" s="34">
        <v>9.1466944540928557E-3</v>
      </c>
      <c r="BQ185" s="6" t="s">
        <v>82</v>
      </c>
      <c r="BR185" s="6" t="s">
        <v>83</v>
      </c>
      <c r="BS185" s="6" t="s">
        <v>83</v>
      </c>
      <c r="BT185" s="6" t="s">
        <v>100</v>
      </c>
      <c r="BU185" s="8">
        <v>1.0944701154790113</v>
      </c>
    </row>
    <row r="186" spans="1:73" x14ac:dyDescent="0.25">
      <c r="A186" s="33" t="s">
        <v>461</v>
      </c>
      <c r="B186" s="7" t="s">
        <v>462</v>
      </c>
      <c r="C186" s="7" t="s">
        <v>81</v>
      </c>
      <c r="D18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5.3816530068134687E-2</v>
      </c>
      <c r="E186" s="32">
        <v>3790</v>
      </c>
      <c r="F186" s="32">
        <v>0</v>
      </c>
      <c r="G186" s="32">
        <v>2750</v>
      </c>
      <c r="H186" s="32">
        <v>0</v>
      </c>
      <c r="I186" s="32">
        <v>0</v>
      </c>
      <c r="J186" s="32">
        <v>121524</v>
      </c>
      <c r="K186" s="32">
        <v>0</v>
      </c>
      <c r="L18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1.0767531750414136E-2</v>
      </c>
      <c r="M186" s="32">
        <v>39</v>
      </c>
      <c r="N186" s="32">
        <v>0</v>
      </c>
      <c r="O186" s="32">
        <v>3622</v>
      </c>
      <c r="P186" s="32">
        <v>0</v>
      </c>
      <c r="Q18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86" s="32">
        <v>0</v>
      </c>
      <c r="S186" s="32">
        <v>0</v>
      </c>
      <c r="T186" s="32">
        <v>0</v>
      </c>
      <c r="U186" s="32">
        <v>3622</v>
      </c>
      <c r="V186" s="32">
        <v>0</v>
      </c>
      <c r="W186" s="32">
        <v>0</v>
      </c>
      <c r="X186" s="32">
        <v>0</v>
      </c>
      <c r="Y18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0.25858266679832792</v>
      </c>
      <c r="Z186" s="32">
        <v>0</v>
      </c>
      <c r="AA186" s="32">
        <v>46849</v>
      </c>
      <c r="AB186" s="32">
        <v>15538</v>
      </c>
      <c r="AC186" s="32">
        <v>0</v>
      </c>
      <c r="AD186" s="32">
        <v>113</v>
      </c>
      <c r="AE186" s="32">
        <v>121524</v>
      </c>
      <c r="AF186" s="32">
        <v>0</v>
      </c>
      <c r="AG18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2.3368869936034113</v>
      </c>
      <c r="AH186" s="32">
        <v>7955</v>
      </c>
      <c r="AI186" s="32">
        <v>513</v>
      </c>
      <c r="AJ186" s="32">
        <v>66</v>
      </c>
      <c r="AK186" s="32">
        <v>0</v>
      </c>
      <c r="AL186" s="32">
        <v>54</v>
      </c>
      <c r="AM186" s="32">
        <v>2750</v>
      </c>
      <c r="AN186" s="32">
        <v>1896</v>
      </c>
      <c r="AO186" s="32">
        <v>-202</v>
      </c>
      <c r="AP186" s="32">
        <v>-2612</v>
      </c>
      <c r="AQ18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3.0932017543859649</v>
      </c>
      <c r="AR186" s="32">
        <v>3478</v>
      </c>
      <c r="AS186" s="32">
        <v>858</v>
      </c>
      <c r="AT186" s="32">
        <v>2007</v>
      </c>
      <c r="AU186" s="32">
        <v>601</v>
      </c>
      <c r="AV186" s="32">
        <v>1312</v>
      </c>
      <c r="AW186" s="32">
        <v>2750</v>
      </c>
      <c r="AX186" s="32">
        <v>24</v>
      </c>
      <c r="AY186" s="32">
        <v>0</v>
      </c>
      <c r="AZ186" s="32">
        <v>0</v>
      </c>
      <c r="BA186" s="32">
        <v>65</v>
      </c>
      <c r="BB186" s="32">
        <v>189</v>
      </c>
      <c r="BC186" s="32">
        <v>3648</v>
      </c>
      <c r="BD186" s="34">
        <f>IFERROR(SUM(Cons_Metrics[[#This Row],[Operating surplus/(deficit) (social housing lettings)]])/SUM(Cons_Metrics[[#This Row],[Turnover from social housing lettings]]),"")</f>
        <v>0.41178852383155945</v>
      </c>
      <c r="BE186" s="32">
        <v>7119</v>
      </c>
      <c r="BF186" s="32">
        <v>17288</v>
      </c>
      <c r="BG186" s="34">
        <f>IFERROR(SUM(Cons_Metrics[[#This Row],[Operating surplus/(deficit) (overall)2]],-Cons_Metrics[[#This Row],[Gain/(loss) on disposal of fixed assets (housing properties)2]])/SUM(Cons_Metrics[[#This Row],[Turnover (overall)]]),"")</f>
        <v>0.40159732340402571</v>
      </c>
      <c r="BH186" s="32">
        <v>7955</v>
      </c>
      <c r="BI186" s="32">
        <v>513</v>
      </c>
      <c r="BJ186" s="32">
        <v>18531</v>
      </c>
      <c r="BK186" s="34">
        <f>IFERROR(SUM(Cons_Metrics[[#This Row],[Operating surplus/(deficit) (overall)3]],Cons_Metrics[[#This Row],[Share of operating surplus/(deficit) in joint ventures or associates]])/SUM(Cons_Metrics[[#This Row],[Total assets less current liabilities]]),"")</f>
        <v>5.7554425287772125E-2</v>
      </c>
      <c r="BL186" s="32">
        <v>7955</v>
      </c>
      <c r="BM186" s="32">
        <v>0</v>
      </c>
      <c r="BN186" s="32">
        <v>138217</v>
      </c>
      <c r="BO186" s="34">
        <v>0</v>
      </c>
      <c r="BP186" s="34">
        <v>0.27679558011049726</v>
      </c>
      <c r="BQ186" s="6" t="s">
        <v>93</v>
      </c>
      <c r="BR186" s="6">
        <v>2004</v>
      </c>
      <c r="BS186" s="6" t="s">
        <v>94</v>
      </c>
      <c r="BT186" s="6" t="s">
        <v>115</v>
      </c>
      <c r="BU186" s="8">
        <v>0.96617455710897804</v>
      </c>
    </row>
    <row r="187" spans="1:73" x14ac:dyDescent="0.25">
      <c r="A187" s="33" t="s">
        <v>463</v>
      </c>
      <c r="B187" s="7" t="s">
        <v>464</v>
      </c>
      <c r="C187" s="7" t="s">
        <v>81</v>
      </c>
      <c r="D18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5.9469230123272904E-2</v>
      </c>
      <c r="E187" s="32">
        <v>67733</v>
      </c>
      <c r="F187" s="32">
        <v>0</v>
      </c>
      <c r="G187" s="32">
        <v>2377</v>
      </c>
      <c r="H187" s="32">
        <v>0</v>
      </c>
      <c r="I187" s="32">
        <v>0</v>
      </c>
      <c r="J187" s="32">
        <v>1178929</v>
      </c>
      <c r="K187" s="32">
        <v>0</v>
      </c>
      <c r="L18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2.6015592942141976E-2</v>
      </c>
      <c r="M187" s="32">
        <v>317</v>
      </c>
      <c r="N187" s="32">
        <v>0</v>
      </c>
      <c r="O187" s="32">
        <v>12183</v>
      </c>
      <c r="P187" s="32">
        <v>2</v>
      </c>
      <c r="Q18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1.570598397989634E-3</v>
      </c>
      <c r="R187" s="32">
        <v>0</v>
      </c>
      <c r="S187" s="32">
        <v>0</v>
      </c>
      <c r="T187" s="32">
        <v>20</v>
      </c>
      <c r="U187" s="32">
        <v>12183</v>
      </c>
      <c r="V187" s="32">
        <v>549</v>
      </c>
      <c r="W187" s="32">
        <v>2</v>
      </c>
      <c r="X187" s="32">
        <v>0</v>
      </c>
      <c r="Y18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0.48547961751725505</v>
      </c>
      <c r="Z187" s="32">
        <v>4781</v>
      </c>
      <c r="AA187" s="32">
        <v>612808</v>
      </c>
      <c r="AB187" s="32">
        <v>69907</v>
      </c>
      <c r="AC187" s="32">
        <v>0</v>
      </c>
      <c r="AD187" s="32">
        <v>24664</v>
      </c>
      <c r="AE187" s="32">
        <v>1178929</v>
      </c>
      <c r="AF187" s="32">
        <v>0</v>
      </c>
      <c r="AG18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2.2456180460295685</v>
      </c>
      <c r="AH187" s="32">
        <v>54191</v>
      </c>
      <c r="AI187" s="32">
        <v>9226</v>
      </c>
      <c r="AJ187" s="32">
        <v>113</v>
      </c>
      <c r="AK187" s="32">
        <v>92</v>
      </c>
      <c r="AL187" s="32">
        <v>2863</v>
      </c>
      <c r="AM187" s="32">
        <v>2377</v>
      </c>
      <c r="AN187" s="32">
        <v>13688</v>
      </c>
      <c r="AO187" s="32">
        <v>-802</v>
      </c>
      <c r="AP187" s="32">
        <v>-25442</v>
      </c>
      <c r="AQ18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3.399080686202085</v>
      </c>
      <c r="AR187" s="32">
        <v>4865</v>
      </c>
      <c r="AS187" s="32">
        <v>12437</v>
      </c>
      <c r="AT187" s="32">
        <v>9515</v>
      </c>
      <c r="AU187" s="32">
        <v>1193</v>
      </c>
      <c r="AV187" s="32">
        <v>2122</v>
      </c>
      <c r="AW187" s="32">
        <v>2377</v>
      </c>
      <c r="AX187" s="32">
        <v>534</v>
      </c>
      <c r="AY187" s="32">
        <v>0</v>
      </c>
      <c r="AZ187" s="32">
        <v>0</v>
      </c>
      <c r="BA187" s="32">
        <v>8368</v>
      </c>
      <c r="BB187" s="32">
        <v>0</v>
      </c>
      <c r="BC187" s="32">
        <v>12183</v>
      </c>
      <c r="BD187" s="34">
        <f>IFERROR(SUM(Cons_Metrics[[#This Row],[Operating surplus/(deficit) (social housing lettings)]])/SUM(Cons_Metrics[[#This Row],[Turnover from social housing lettings]]),"")</f>
        <v>0.45097507776099949</v>
      </c>
      <c r="BE187" s="32">
        <v>34942</v>
      </c>
      <c r="BF187" s="32">
        <v>77481</v>
      </c>
      <c r="BG187" s="34">
        <f>IFERROR(SUM(Cons_Metrics[[#This Row],[Operating surplus/(deficit) (overall)2]],-Cons_Metrics[[#This Row],[Gain/(loss) on disposal of fixed assets (housing properties)2]])/SUM(Cons_Metrics[[#This Row],[Turnover (overall)]]),"")</f>
        <v>0.35652270438705685</v>
      </c>
      <c r="BH187" s="32">
        <v>54191</v>
      </c>
      <c r="BI187" s="32">
        <v>9226</v>
      </c>
      <c r="BJ187" s="32">
        <v>126121</v>
      </c>
      <c r="BK187" s="34">
        <f>IFERROR(SUM(Cons_Metrics[[#This Row],[Operating surplus/(deficit) (overall)3]],Cons_Metrics[[#This Row],[Share of operating surplus/(deficit) in joint ventures or associates]])/SUM(Cons_Metrics[[#This Row],[Total assets less current liabilities]]),"")</f>
        <v>4.0706503844519258E-2</v>
      </c>
      <c r="BL187" s="32">
        <v>54191</v>
      </c>
      <c r="BM187" s="32">
        <v>1937</v>
      </c>
      <c r="BN187" s="32">
        <v>1378846</v>
      </c>
      <c r="BO187" s="34">
        <v>0</v>
      </c>
      <c r="BP187" s="34">
        <v>1.6039169339861557E-3</v>
      </c>
      <c r="BQ187" s="6" t="s">
        <v>82</v>
      </c>
      <c r="BR187" s="6" t="s">
        <v>83</v>
      </c>
      <c r="BS187" s="6" t="s">
        <v>83</v>
      </c>
      <c r="BT187" s="6" t="s">
        <v>84</v>
      </c>
      <c r="BU187" s="8">
        <v>1.0850733931018628</v>
      </c>
    </row>
    <row r="188" spans="1:73" x14ac:dyDescent="0.25">
      <c r="A188" s="33" t="s">
        <v>465</v>
      </c>
      <c r="B188" s="7" t="s">
        <v>466</v>
      </c>
      <c r="C188" s="7" t="s">
        <v>81</v>
      </c>
      <c r="D18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6.9868966394600635E-2</v>
      </c>
      <c r="E188" s="32">
        <v>7615</v>
      </c>
      <c r="F188" s="32">
        <v>0</v>
      </c>
      <c r="G188" s="32">
        <v>2820</v>
      </c>
      <c r="H188" s="32">
        <v>0</v>
      </c>
      <c r="I188" s="32">
        <v>0</v>
      </c>
      <c r="J188" s="32">
        <v>149351</v>
      </c>
      <c r="K188" s="32">
        <v>0</v>
      </c>
      <c r="L18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5.111524163568773E-2</v>
      </c>
      <c r="M188" s="32">
        <v>110</v>
      </c>
      <c r="N188" s="32">
        <v>0</v>
      </c>
      <c r="O188" s="32">
        <v>2152</v>
      </c>
      <c r="P188" s="32">
        <v>0</v>
      </c>
      <c r="Q18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88" s="32">
        <v>0</v>
      </c>
      <c r="S188" s="32">
        <v>0</v>
      </c>
      <c r="T188" s="32">
        <v>0</v>
      </c>
      <c r="U188" s="32">
        <v>2152</v>
      </c>
      <c r="V188" s="32">
        <v>0</v>
      </c>
      <c r="W188" s="32">
        <v>0</v>
      </c>
      <c r="X188" s="32">
        <v>0</v>
      </c>
      <c r="Y18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-8.9895615027686462E-2</v>
      </c>
      <c r="Z188" s="32">
        <v>0</v>
      </c>
      <c r="AA188" s="32">
        <v>0</v>
      </c>
      <c r="AB188" s="32">
        <v>13426</v>
      </c>
      <c r="AC188" s="32">
        <v>0</v>
      </c>
      <c r="AD188" s="32">
        <v>0</v>
      </c>
      <c r="AE188" s="32">
        <v>149351</v>
      </c>
      <c r="AF188" s="32">
        <v>0</v>
      </c>
      <c r="AG18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-6.4498327759197327</v>
      </c>
      <c r="AH188" s="32">
        <v>-6360</v>
      </c>
      <c r="AI188" s="32">
        <v>77</v>
      </c>
      <c r="AJ188" s="32">
        <v>94</v>
      </c>
      <c r="AK188" s="32">
        <v>0</v>
      </c>
      <c r="AL188" s="32">
        <v>139</v>
      </c>
      <c r="AM188" s="32">
        <v>445</v>
      </c>
      <c r="AN188" s="32">
        <v>2980</v>
      </c>
      <c r="AO188" s="32">
        <v>0</v>
      </c>
      <c r="AP188" s="32">
        <v>-598</v>
      </c>
      <c r="AQ18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21.960966542750928</v>
      </c>
      <c r="AR188" s="32">
        <v>9167</v>
      </c>
      <c r="AS188" s="32">
        <v>33530</v>
      </c>
      <c r="AT188" s="32">
        <v>2465</v>
      </c>
      <c r="AU188" s="32">
        <v>0</v>
      </c>
      <c r="AV188" s="32">
        <v>548</v>
      </c>
      <c r="AW188" s="32">
        <v>445</v>
      </c>
      <c r="AX188" s="32">
        <v>1105</v>
      </c>
      <c r="AY188" s="32">
        <v>0</v>
      </c>
      <c r="AZ188" s="32">
        <v>0</v>
      </c>
      <c r="BA188" s="32">
        <v>0</v>
      </c>
      <c r="BB188" s="32">
        <v>0</v>
      </c>
      <c r="BC188" s="32">
        <v>2152</v>
      </c>
      <c r="BD188" s="34">
        <f>IFERROR(SUM(Cons_Metrics[[#This Row],[Operating surplus/(deficit) (social housing lettings)]])/SUM(Cons_Metrics[[#This Row],[Turnover from social housing lettings]]),"")</f>
        <v>-0.29446037389608898</v>
      </c>
      <c r="BE188" s="32">
        <v>-12837</v>
      </c>
      <c r="BF188" s="32">
        <v>43595</v>
      </c>
      <c r="BG188" s="34">
        <f>IFERROR(SUM(Cons_Metrics[[#This Row],[Operating surplus/(deficit) (overall)2]],-Cons_Metrics[[#This Row],[Gain/(loss) on disposal of fixed assets (housing properties)2]])/SUM(Cons_Metrics[[#This Row],[Turnover (overall)]]),"")</f>
        <v>-0.11624799089809112</v>
      </c>
      <c r="BH188" s="32">
        <v>-6360</v>
      </c>
      <c r="BI188" s="32">
        <v>77</v>
      </c>
      <c r="BJ188" s="32">
        <v>55373</v>
      </c>
      <c r="BK188" s="34">
        <f>IFERROR(SUM(Cons_Metrics[[#This Row],[Operating surplus/(deficit) (overall)3]],Cons_Metrics[[#This Row],[Share of operating surplus/(deficit) in joint ventures or associates]])/SUM(Cons_Metrics[[#This Row],[Total assets less current liabilities]]),"")</f>
        <v>-3.7910623915881334E-2</v>
      </c>
      <c r="BL188" s="32">
        <v>-6360</v>
      </c>
      <c r="BM188" s="32">
        <v>0</v>
      </c>
      <c r="BN188" s="32">
        <v>167763</v>
      </c>
      <c r="BO188" s="34">
        <v>0</v>
      </c>
      <c r="BP188" s="34">
        <v>0.63045586808923371</v>
      </c>
      <c r="BQ188" s="6" t="s">
        <v>82</v>
      </c>
      <c r="BR188" s="6" t="s">
        <v>83</v>
      </c>
      <c r="BS188" s="6" t="s">
        <v>83</v>
      </c>
      <c r="BT188" s="6" t="s">
        <v>87</v>
      </c>
      <c r="BU188" s="8">
        <v>0.97490667488432636</v>
      </c>
    </row>
    <row r="189" spans="1:73" x14ac:dyDescent="0.25">
      <c r="A189" s="33" t="s">
        <v>467</v>
      </c>
      <c r="B189" s="7" t="s">
        <v>468</v>
      </c>
      <c r="C189" s="7" t="s">
        <v>81</v>
      </c>
      <c r="D18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8.1343748502420085E-2</v>
      </c>
      <c r="E189" s="32">
        <v>15572</v>
      </c>
      <c r="F189" s="32">
        <v>0</v>
      </c>
      <c r="G189" s="32">
        <v>1402</v>
      </c>
      <c r="H189" s="32">
        <v>0</v>
      </c>
      <c r="I189" s="32">
        <v>0</v>
      </c>
      <c r="J189" s="32">
        <v>208670</v>
      </c>
      <c r="K189" s="32">
        <v>0</v>
      </c>
      <c r="L18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1.003584229390681E-2</v>
      </c>
      <c r="M189" s="32">
        <v>28</v>
      </c>
      <c r="N189" s="32">
        <v>0</v>
      </c>
      <c r="O189" s="32">
        <v>2780</v>
      </c>
      <c r="P189" s="32">
        <v>10</v>
      </c>
      <c r="Q18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1.7882689556509299E-3</v>
      </c>
      <c r="R189" s="32">
        <v>0</v>
      </c>
      <c r="S189" s="32">
        <v>0</v>
      </c>
      <c r="T189" s="32">
        <v>5</v>
      </c>
      <c r="U189" s="32">
        <v>2780</v>
      </c>
      <c r="V189" s="32">
        <v>6</v>
      </c>
      <c r="W189" s="32">
        <v>10</v>
      </c>
      <c r="X189" s="32">
        <v>0</v>
      </c>
      <c r="Y18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0.53863516557243496</v>
      </c>
      <c r="Z189" s="32">
        <v>2813</v>
      </c>
      <c r="AA189" s="32">
        <v>110842</v>
      </c>
      <c r="AB189" s="32">
        <v>1258</v>
      </c>
      <c r="AC189" s="32">
        <v>0</v>
      </c>
      <c r="AD189" s="32">
        <v>0</v>
      </c>
      <c r="AE189" s="32">
        <v>208670</v>
      </c>
      <c r="AF189" s="32">
        <v>0</v>
      </c>
      <c r="AG18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1.3654538904899136</v>
      </c>
      <c r="AH189" s="32">
        <v>8764</v>
      </c>
      <c r="AI189" s="32">
        <v>1186</v>
      </c>
      <c r="AJ189" s="32">
        <v>850</v>
      </c>
      <c r="AK189" s="32">
        <v>0</v>
      </c>
      <c r="AL189" s="32">
        <v>31</v>
      </c>
      <c r="AM189" s="32">
        <v>1402</v>
      </c>
      <c r="AN189" s="32">
        <v>2224</v>
      </c>
      <c r="AO189" s="32">
        <v>-405</v>
      </c>
      <c r="AP189" s="32">
        <v>-5147</v>
      </c>
      <c r="AQ18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6.3007194244604321</v>
      </c>
      <c r="AR189" s="32">
        <v>2834</v>
      </c>
      <c r="AS189" s="32">
        <v>863</v>
      </c>
      <c r="AT189" s="32">
        <v>1731</v>
      </c>
      <c r="AU189" s="32">
        <v>872</v>
      </c>
      <c r="AV189" s="32">
        <v>0</v>
      </c>
      <c r="AW189" s="32">
        <v>1402</v>
      </c>
      <c r="AX189" s="32">
        <v>451</v>
      </c>
      <c r="AY189" s="32">
        <v>0</v>
      </c>
      <c r="AZ189" s="32">
        <v>663</v>
      </c>
      <c r="BA189" s="32">
        <v>7620</v>
      </c>
      <c r="BB189" s="32">
        <v>1080</v>
      </c>
      <c r="BC189" s="32">
        <v>2780</v>
      </c>
      <c r="BD189" s="34">
        <f>IFERROR(SUM(Cons_Metrics[[#This Row],[Operating surplus/(deficit) (social housing lettings)]])/SUM(Cons_Metrics[[#This Row],[Turnover from social housing lettings]]),"")</f>
        <v>0.43606814176620323</v>
      </c>
      <c r="BE189" s="32">
        <v>6681</v>
      </c>
      <c r="BF189" s="32">
        <v>15321</v>
      </c>
      <c r="BG189" s="34">
        <f>IFERROR(SUM(Cons_Metrics[[#This Row],[Operating surplus/(deficit) (overall)2]],-Cons_Metrics[[#This Row],[Gain/(loss) on disposal of fixed assets (housing properties)2]])/SUM(Cons_Metrics[[#This Row],[Turnover (overall)]]),"")</f>
        <v>0.24423888870983337</v>
      </c>
      <c r="BH189" s="32">
        <v>8764</v>
      </c>
      <c r="BI189" s="32">
        <v>1186</v>
      </c>
      <c r="BJ189" s="32">
        <v>31027</v>
      </c>
      <c r="BK189" s="34">
        <f>IFERROR(SUM(Cons_Metrics[[#This Row],[Operating surplus/(deficit) (overall)3]],Cons_Metrics[[#This Row],[Share of operating surplus/(deficit) in joint ventures or associates]])/SUM(Cons_Metrics[[#This Row],[Total assets less current liabilities]]),"")</f>
        <v>3.9262066679210457E-2</v>
      </c>
      <c r="BL189" s="32">
        <v>8764</v>
      </c>
      <c r="BM189" s="32">
        <v>0</v>
      </c>
      <c r="BN189" s="32">
        <v>223218</v>
      </c>
      <c r="BO189" s="34">
        <v>6.6133720930232565E-2</v>
      </c>
      <c r="BP189" s="34">
        <v>7.8125E-2</v>
      </c>
      <c r="BQ189" s="6" t="s">
        <v>82</v>
      </c>
      <c r="BR189" s="6" t="s">
        <v>83</v>
      </c>
      <c r="BS189" s="6" t="s">
        <v>83</v>
      </c>
      <c r="BT189" s="6" t="s">
        <v>100</v>
      </c>
      <c r="BU189" s="8">
        <v>1.0022399874355168</v>
      </c>
    </row>
    <row r="190" spans="1:73" x14ac:dyDescent="0.25">
      <c r="A190" s="33" t="s">
        <v>469</v>
      </c>
      <c r="B190" s="7" t="s">
        <v>470</v>
      </c>
      <c r="C190" s="7" t="s">
        <v>81</v>
      </c>
      <c r="D19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6.9585663759475433E-2</v>
      </c>
      <c r="E190" s="32">
        <v>9041</v>
      </c>
      <c r="F190" s="32">
        <v>0</v>
      </c>
      <c r="G190" s="32">
        <v>5004</v>
      </c>
      <c r="H190" s="32">
        <v>101</v>
      </c>
      <c r="I190" s="32">
        <v>0</v>
      </c>
      <c r="J190" s="32">
        <v>203289</v>
      </c>
      <c r="K190" s="32">
        <v>0</v>
      </c>
      <c r="L19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4.2108809162876874E-3</v>
      </c>
      <c r="M190" s="32">
        <v>25</v>
      </c>
      <c r="N190" s="32">
        <v>0</v>
      </c>
      <c r="O190" s="32">
        <v>5937</v>
      </c>
      <c r="P190" s="32">
        <v>0</v>
      </c>
      <c r="Q19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90" s="32">
        <v>0</v>
      </c>
      <c r="S190" s="32">
        <v>0</v>
      </c>
      <c r="T190" s="32">
        <v>0</v>
      </c>
      <c r="U190" s="32">
        <v>5937</v>
      </c>
      <c r="V190" s="32">
        <v>0</v>
      </c>
      <c r="W190" s="32">
        <v>0</v>
      </c>
      <c r="X190" s="32">
        <v>0</v>
      </c>
      <c r="Y19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0.71475092110246985</v>
      </c>
      <c r="Z190" s="32">
        <v>25004</v>
      </c>
      <c r="AA190" s="32">
        <v>124509</v>
      </c>
      <c r="AB190" s="32">
        <v>4212</v>
      </c>
      <c r="AC190" s="32">
        <v>0</v>
      </c>
      <c r="AD190" s="32">
        <v>0</v>
      </c>
      <c r="AE190" s="32">
        <v>203289</v>
      </c>
      <c r="AF190" s="32">
        <v>0</v>
      </c>
      <c r="AG19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1.1216088540963693</v>
      </c>
      <c r="AH190" s="32">
        <v>9520</v>
      </c>
      <c r="AI190" s="32">
        <v>380</v>
      </c>
      <c r="AJ190" s="32">
        <v>334</v>
      </c>
      <c r="AK190" s="32">
        <v>0</v>
      </c>
      <c r="AL190" s="32">
        <v>4</v>
      </c>
      <c r="AM190" s="32">
        <v>5004</v>
      </c>
      <c r="AN190" s="32">
        <v>4504</v>
      </c>
      <c r="AO190" s="32">
        <v>-101</v>
      </c>
      <c r="AP190" s="32">
        <v>-7308</v>
      </c>
      <c r="AQ19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3.5514569647970355</v>
      </c>
      <c r="AR190" s="32">
        <v>6737</v>
      </c>
      <c r="AS190" s="32">
        <v>2491</v>
      </c>
      <c r="AT190" s="32">
        <v>3504</v>
      </c>
      <c r="AU190" s="32">
        <v>2324</v>
      </c>
      <c r="AV190" s="32">
        <v>850</v>
      </c>
      <c r="AW190" s="32">
        <v>5004</v>
      </c>
      <c r="AX190" s="32">
        <v>0</v>
      </c>
      <c r="AY190" s="32">
        <v>0</v>
      </c>
      <c r="AZ190" s="32">
        <v>37</v>
      </c>
      <c r="BA190" s="32">
        <v>13</v>
      </c>
      <c r="BB190" s="32">
        <v>125</v>
      </c>
      <c r="BC190" s="32">
        <v>5937</v>
      </c>
      <c r="BD190" s="34">
        <f>IFERROR(SUM(Cons_Metrics[[#This Row],[Operating surplus/(deficit) (social housing lettings)]])/SUM(Cons_Metrics[[#This Row],[Turnover from social housing lettings]]),"")</f>
        <v>0.31726907630522089</v>
      </c>
      <c r="BE190" s="32">
        <v>9164</v>
      </c>
      <c r="BF190" s="32">
        <v>28884</v>
      </c>
      <c r="BG190" s="34">
        <f>IFERROR(SUM(Cons_Metrics[[#This Row],[Operating surplus/(deficit) (overall)2]],-Cons_Metrics[[#This Row],[Gain/(loss) on disposal of fixed assets (housing properties)2]])/SUM(Cons_Metrics[[#This Row],[Turnover (overall)]]),"")</f>
        <v>0.23395704814805335</v>
      </c>
      <c r="BH190" s="32">
        <v>9520</v>
      </c>
      <c r="BI190" s="32">
        <v>380</v>
      </c>
      <c r="BJ190" s="32">
        <v>39067</v>
      </c>
      <c r="BK190" s="34">
        <f>IFERROR(SUM(Cons_Metrics[[#This Row],[Operating surplus/(deficit) (overall)3]],Cons_Metrics[[#This Row],[Share of operating surplus/(deficit) in joint ventures or associates]])/SUM(Cons_Metrics[[#This Row],[Total assets less current liabilities]]),"")</f>
        <v>4.9856766537311401E-2</v>
      </c>
      <c r="BL190" s="32">
        <v>9520</v>
      </c>
      <c r="BM190" s="32">
        <v>0</v>
      </c>
      <c r="BN190" s="32">
        <v>190947</v>
      </c>
      <c r="BO190" s="34">
        <v>0.33636516759306045</v>
      </c>
      <c r="BP190" s="34">
        <v>0</v>
      </c>
      <c r="BQ190" s="6" t="s">
        <v>93</v>
      </c>
      <c r="BR190" s="6">
        <v>2000</v>
      </c>
      <c r="BS190" s="6" t="s">
        <v>94</v>
      </c>
      <c r="BT190" s="6" t="s">
        <v>90</v>
      </c>
      <c r="BU190" s="8">
        <v>0.91571558169387279</v>
      </c>
    </row>
    <row r="191" spans="1:73" x14ac:dyDescent="0.25">
      <c r="A191" s="33" t="s">
        <v>471</v>
      </c>
      <c r="B191" s="7" t="s">
        <v>472</v>
      </c>
      <c r="C191" s="7" t="s">
        <v>81</v>
      </c>
      <c r="D19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2.9718167270827212E-2</v>
      </c>
      <c r="E191" s="32">
        <v>59000</v>
      </c>
      <c r="F191" s="32">
        <v>0</v>
      </c>
      <c r="G191" s="32">
        <v>29000</v>
      </c>
      <c r="H191" s="32">
        <v>3000</v>
      </c>
      <c r="I191" s="32">
        <v>0</v>
      </c>
      <c r="J191" s="32">
        <v>3062100</v>
      </c>
      <c r="K191" s="32">
        <v>0</v>
      </c>
      <c r="L19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4.5937586132973997E-3</v>
      </c>
      <c r="M191" s="32">
        <v>300</v>
      </c>
      <c r="N191" s="32">
        <v>0</v>
      </c>
      <c r="O191" s="32">
        <v>61935</v>
      </c>
      <c r="P191" s="32">
        <v>3371</v>
      </c>
      <c r="Q19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1.52587890625E-4</v>
      </c>
      <c r="R191" s="32">
        <v>0</v>
      </c>
      <c r="S191" s="32">
        <v>0</v>
      </c>
      <c r="T191" s="32">
        <v>10</v>
      </c>
      <c r="U191" s="32">
        <v>61935</v>
      </c>
      <c r="V191" s="32">
        <v>107</v>
      </c>
      <c r="W191" s="32">
        <v>3371</v>
      </c>
      <c r="X191" s="32">
        <v>123</v>
      </c>
      <c r="Y19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0.36785212762483266</v>
      </c>
      <c r="Z191" s="32">
        <v>14800</v>
      </c>
      <c r="AA191" s="32">
        <v>1190500</v>
      </c>
      <c r="AB191" s="32">
        <v>78900</v>
      </c>
      <c r="AC191" s="32">
        <v>0</v>
      </c>
      <c r="AD191" s="32">
        <v>0</v>
      </c>
      <c r="AE191" s="32">
        <v>3062100</v>
      </c>
      <c r="AF191" s="32">
        <v>0</v>
      </c>
      <c r="AG19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1.9016897081413211</v>
      </c>
      <c r="AH191" s="32">
        <v>112500</v>
      </c>
      <c r="AI191" s="32">
        <v>5400</v>
      </c>
      <c r="AJ191" s="32">
        <v>14700</v>
      </c>
      <c r="AK191" s="32">
        <v>0</v>
      </c>
      <c r="AL191" s="32">
        <v>400</v>
      </c>
      <c r="AM191" s="32">
        <v>29000</v>
      </c>
      <c r="AN191" s="32">
        <v>60000</v>
      </c>
      <c r="AO191" s="32">
        <v>-3900</v>
      </c>
      <c r="AP191" s="32">
        <v>-61200</v>
      </c>
      <c r="AQ19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3.5335575329460793</v>
      </c>
      <c r="AR191" s="32">
        <v>90200</v>
      </c>
      <c r="AS191" s="32">
        <v>24000</v>
      </c>
      <c r="AT191" s="32">
        <v>32200</v>
      </c>
      <c r="AU191" s="32">
        <v>20100</v>
      </c>
      <c r="AV191" s="32">
        <v>7800</v>
      </c>
      <c r="AW191" s="32">
        <v>29000</v>
      </c>
      <c r="AX191" s="32">
        <v>0</v>
      </c>
      <c r="AY191" s="32">
        <v>900</v>
      </c>
      <c r="AZ191" s="32">
        <v>0</v>
      </c>
      <c r="BA191" s="32">
        <v>15300</v>
      </c>
      <c r="BB191" s="32">
        <v>100</v>
      </c>
      <c r="BC191" s="32">
        <v>62147</v>
      </c>
      <c r="BD191" s="34">
        <f>IFERROR(SUM(Cons_Metrics[[#This Row],[Operating surplus/(deficit) (social housing lettings)]])/SUM(Cons_Metrics[[#This Row],[Turnover from social housing lettings]]),"")</f>
        <v>0.32906872954477834</v>
      </c>
      <c r="BE191" s="32">
        <v>110600</v>
      </c>
      <c r="BF191" s="32">
        <v>336100</v>
      </c>
      <c r="BG191" s="34">
        <f>IFERROR(SUM(Cons_Metrics[[#This Row],[Operating surplus/(deficit) (overall)2]],-Cons_Metrics[[#This Row],[Gain/(loss) on disposal of fixed assets (housing properties)2]])/SUM(Cons_Metrics[[#This Row],[Turnover (overall)]]),"")</f>
        <v>0.28636363636363638</v>
      </c>
      <c r="BH191" s="32">
        <v>112500</v>
      </c>
      <c r="BI191" s="32">
        <v>5400</v>
      </c>
      <c r="BJ191" s="32">
        <v>374000</v>
      </c>
      <c r="BK191" s="34">
        <f>IFERROR(SUM(Cons_Metrics[[#This Row],[Operating surplus/(deficit) (overall)3]],Cons_Metrics[[#This Row],[Share of operating surplus/(deficit) in joint ventures or associates]])/SUM(Cons_Metrics[[#This Row],[Total assets less current liabilities]]),"")</f>
        <v>3.5314059704303603E-2</v>
      </c>
      <c r="BL191" s="32">
        <v>112500</v>
      </c>
      <c r="BM191" s="32">
        <v>0</v>
      </c>
      <c r="BN191" s="32">
        <v>3185700</v>
      </c>
      <c r="BO191" s="34">
        <v>1.2692213814986576E-2</v>
      </c>
      <c r="BP191" s="34">
        <v>0.12225205434871043</v>
      </c>
      <c r="BQ191" s="6" t="s">
        <v>82</v>
      </c>
      <c r="BR191" s="6" t="s">
        <v>83</v>
      </c>
      <c r="BS191" s="6" t="s">
        <v>83</v>
      </c>
      <c r="BT191" s="6" t="s">
        <v>87</v>
      </c>
      <c r="BU191" s="8">
        <v>0.98074183282351823</v>
      </c>
    </row>
    <row r="192" spans="1:73" x14ac:dyDescent="0.25">
      <c r="A192" s="33" t="s">
        <v>473</v>
      </c>
      <c r="B192" s="7" t="s">
        <v>474</v>
      </c>
      <c r="C192" s="7" t="s">
        <v>81</v>
      </c>
      <c r="D19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8.8750119834314592E-2</v>
      </c>
      <c r="E192" s="32">
        <v>23293</v>
      </c>
      <c r="F192" s="32">
        <v>0</v>
      </c>
      <c r="G192" s="32">
        <v>2869</v>
      </c>
      <c r="H192" s="32">
        <v>685</v>
      </c>
      <c r="I192" s="32">
        <v>0</v>
      </c>
      <c r="J192" s="32">
        <v>302501</v>
      </c>
      <c r="K192" s="32">
        <v>0</v>
      </c>
      <c r="L19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3.218784014927694E-2</v>
      </c>
      <c r="M192" s="32">
        <v>207</v>
      </c>
      <c r="N192" s="32">
        <v>0</v>
      </c>
      <c r="O192" s="32">
        <v>6431</v>
      </c>
      <c r="P192" s="32">
        <v>0</v>
      </c>
      <c r="Q19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92" s="32">
        <v>0</v>
      </c>
      <c r="S192" s="32">
        <v>0</v>
      </c>
      <c r="T192" s="32">
        <v>0</v>
      </c>
      <c r="U192" s="32">
        <v>6431</v>
      </c>
      <c r="V192" s="32">
        <v>0</v>
      </c>
      <c r="W192" s="32">
        <v>0</v>
      </c>
      <c r="X192" s="32">
        <v>0</v>
      </c>
      <c r="Y19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0.53065279123044218</v>
      </c>
      <c r="Z192" s="32">
        <v>0</v>
      </c>
      <c r="AA192" s="32">
        <v>169399</v>
      </c>
      <c r="AB192" s="32">
        <v>8876</v>
      </c>
      <c r="AC192" s="32">
        <v>0</v>
      </c>
      <c r="AD192" s="32">
        <v>0</v>
      </c>
      <c r="AE192" s="32">
        <v>302501</v>
      </c>
      <c r="AF192" s="32">
        <v>0</v>
      </c>
      <c r="AG19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2.0323835822768923</v>
      </c>
      <c r="AH192" s="32">
        <v>13976</v>
      </c>
      <c r="AI192" s="32">
        <v>985</v>
      </c>
      <c r="AJ192" s="32">
        <v>133</v>
      </c>
      <c r="AK192" s="32">
        <v>0</v>
      </c>
      <c r="AL192" s="32">
        <v>7</v>
      </c>
      <c r="AM192" s="32">
        <v>2869</v>
      </c>
      <c r="AN192" s="32">
        <v>6196</v>
      </c>
      <c r="AO192" s="32">
        <v>-797</v>
      </c>
      <c r="AP192" s="32">
        <v>-7170</v>
      </c>
      <c r="AQ19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2.9699891152231381</v>
      </c>
      <c r="AR192" s="32">
        <v>3848</v>
      </c>
      <c r="AS192" s="32">
        <v>2342</v>
      </c>
      <c r="AT192" s="32">
        <v>3760</v>
      </c>
      <c r="AU192" s="32">
        <v>2320</v>
      </c>
      <c r="AV192" s="32">
        <v>3550</v>
      </c>
      <c r="AW192" s="32">
        <v>2869</v>
      </c>
      <c r="AX192" s="32">
        <v>4</v>
      </c>
      <c r="AY192" s="32">
        <v>0</v>
      </c>
      <c r="AZ192" s="32">
        <v>0</v>
      </c>
      <c r="BA192" s="32">
        <v>185</v>
      </c>
      <c r="BB192" s="32">
        <v>222</v>
      </c>
      <c r="BC192" s="32">
        <v>6431</v>
      </c>
      <c r="BD192" s="34">
        <f>IFERROR(SUM(Cons_Metrics[[#This Row],[Operating surplus/(deficit) (social housing lettings)]])/SUM(Cons_Metrics[[#This Row],[Turnover from social housing lettings]]),"")</f>
        <v>0.36792967740082155</v>
      </c>
      <c r="BE192" s="32">
        <v>12808</v>
      </c>
      <c r="BF192" s="32">
        <v>34811</v>
      </c>
      <c r="BG192" s="34">
        <f>IFERROR(SUM(Cons_Metrics[[#This Row],[Operating surplus/(deficit) (overall)2]],-Cons_Metrics[[#This Row],[Gain/(loss) on disposal of fixed assets (housing properties)2]])/SUM(Cons_Metrics[[#This Row],[Turnover (overall)]]),"")</f>
        <v>0.35702311265012232</v>
      </c>
      <c r="BH192" s="32">
        <v>13976</v>
      </c>
      <c r="BI192" s="32">
        <v>985</v>
      </c>
      <c r="BJ192" s="32">
        <v>36387</v>
      </c>
      <c r="BK192" s="34">
        <f>IFERROR(SUM(Cons_Metrics[[#This Row],[Operating surplus/(deficit) (overall)3]],Cons_Metrics[[#This Row],[Share of operating surplus/(deficit) in joint ventures or associates]])/SUM(Cons_Metrics[[#This Row],[Total assets less current liabilities]]),"")</f>
        <v>4.4642058594299004E-2</v>
      </c>
      <c r="BL192" s="32">
        <v>13976</v>
      </c>
      <c r="BM192" s="32">
        <v>0</v>
      </c>
      <c r="BN192" s="32">
        <v>313068</v>
      </c>
      <c r="BO192" s="34">
        <v>1.4876801487680148E-2</v>
      </c>
      <c r="BP192" s="34">
        <v>5.4083372075003876E-2</v>
      </c>
      <c r="BQ192" s="6" t="s">
        <v>93</v>
      </c>
      <c r="BR192" s="6">
        <v>2002</v>
      </c>
      <c r="BS192" s="6" t="s">
        <v>94</v>
      </c>
      <c r="BT192" s="6" t="s">
        <v>100</v>
      </c>
      <c r="BU192" s="8">
        <v>1.0022399874355168</v>
      </c>
    </row>
    <row r="193" spans="1:73" x14ac:dyDescent="0.25">
      <c r="A193" s="33" t="s">
        <v>475</v>
      </c>
      <c r="B193" s="7" t="s">
        <v>476</v>
      </c>
      <c r="C193" s="7" t="s">
        <v>81</v>
      </c>
      <c r="D19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6.7099591977472561E-2</v>
      </c>
      <c r="E193" s="32">
        <v>19394</v>
      </c>
      <c r="F193" s="32">
        <v>0</v>
      </c>
      <c r="G193" s="32">
        <v>7588</v>
      </c>
      <c r="H193" s="32">
        <v>205</v>
      </c>
      <c r="I193" s="32">
        <v>-3835</v>
      </c>
      <c r="J193" s="32">
        <v>348020</v>
      </c>
      <c r="K193" s="32">
        <v>0</v>
      </c>
      <c r="L19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1.7325439665679957E-2</v>
      </c>
      <c r="M193" s="32">
        <v>199</v>
      </c>
      <c r="N193" s="32">
        <v>0</v>
      </c>
      <c r="O193" s="32">
        <v>11486</v>
      </c>
      <c r="P193" s="32">
        <v>0</v>
      </c>
      <c r="Q19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93" s="32">
        <v>0</v>
      </c>
      <c r="S193" s="32">
        <v>0</v>
      </c>
      <c r="T193" s="32">
        <v>0</v>
      </c>
      <c r="U193" s="32">
        <v>11486</v>
      </c>
      <c r="V193" s="32">
        <v>0</v>
      </c>
      <c r="W193" s="32">
        <v>0</v>
      </c>
      <c r="X193" s="32">
        <v>0</v>
      </c>
      <c r="Y19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0.74049767254755472</v>
      </c>
      <c r="Z193" s="32">
        <v>2100</v>
      </c>
      <c r="AA193" s="32">
        <v>267085</v>
      </c>
      <c r="AB193" s="32">
        <v>11477</v>
      </c>
      <c r="AC193" s="32">
        <v>0</v>
      </c>
      <c r="AD193" s="32">
        <v>0</v>
      </c>
      <c r="AE193" s="32">
        <v>348020</v>
      </c>
      <c r="AF193" s="32">
        <v>0</v>
      </c>
      <c r="AG19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1.5882392654604376</v>
      </c>
      <c r="AH193" s="32">
        <v>24431</v>
      </c>
      <c r="AI193" s="32">
        <v>1558</v>
      </c>
      <c r="AJ193" s="32">
        <v>647</v>
      </c>
      <c r="AK193" s="32">
        <v>0</v>
      </c>
      <c r="AL193" s="32">
        <v>7</v>
      </c>
      <c r="AM193" s="32">
        <v>7588</v>
      </c>
      <c r="AN193" s="32">
        <v>8880</v>
      </c>
      <c r="AO193" s="32">
        <v>-205</v>
      </c>
      <c r="AP193" s="32">
        <v>-14607</v>
      </c>
      <c r="AQ19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3.2038133379766673</v>
      </c>
      <c r="AR193" s="32">
        <v>13170</v>
      </c>
      <c r="AS193" s="32">
        <v>2474</v>
      </c>
      <c r="AT193" s="32">
        <v>2936</v>
      </c>
      <c r="AU193" s="32">
        <v>9500</v>
      </c>
      <c r="AV193" s="32">
        <v>0</v>
      </c>
      <c r="AW193" s="32">
        <v>7588</v>
      </c>
      <c r="AX193" s="32">
        <v>0</v>
      </c>
      <c r="AY193" s="32">
        <v>0</v>
      </c>
      <c r="AZ193" s="32">
        <v>0</v>
      </c>
      <c r="BA193" s="32">
        <v>1131</v>
      </c>
      <c r="BB193" s="32">
        <v>0</v>
      </c>
      <c r="BC193" s="32">
        <v>11486</v>
      </c>
      <c r="BD193" s="34">
        <f>IFERROR(SUM(Cons_Metrics[[#This Row],[Operating surplus/(deficit) (social housing lettings)]])/SUM(Cons_Metrics[[#This Row],[Turnover from social housing lettings]]),"")</f>
        <v>0.35054401229164062</v>
      </c>
      <c r="BE193" s="32">
        <v>19621</v>
      </c>
      <c r="BF193" s="32">
        <v>55973</v>
      </c>
      <c r="BG193" s="34">
        <f>IFERROR(SUM(Cons_Metrics[[#This Row],[Operating surplus/(deficit) (overall)2]],-Cons_Metrics[[#This Row],[Gain/(loss) on disposal of fixed assets (housing properties)2]])/SUM(Cons_Metrics[[#This Row],[Turnover (overall)]]),"")</f>
        <v>0.34503409159476256</v>
      </c>
      <c r="BH193" s="32">
        <v>24431</v>
      </c>
      <c r="BI193" s="32">
        <v>1558</v>
      </c>
      <c r="BJ193" s="32">
        <v>66292</v>
      </c>
      <c r="BK193" s="34">
        <f>IFERROR(SUM(Cons_Metrics[[#This Row],[Operating surplus/(deficit) (overall)3]],Cons_Metrics[[#This Row],[Share of operating surplus/(deficit) in joint ventures or associates]])/SUM(Cons_Metrics[[#This Row],[Total assets less current liabilities]]),"")</f>
        <v>6.481230932484415E-2</v>
      </c>
      <c r="BL193" s="32">
        <v>24431</v>
      </c>
      <c r="BM193" s="32">
        <v>0</v>
      </c>
      <c r="BN193" s="32">
        <v>376950</v>
      </c>
      <c r="BO193" s="34">
        <v>1.7936438833260775E-2</v>
      </c>
      <c r="BP193" s="34">
        <v>9.8563343491510663E-2</v>
      </c>
      <c r="BQ193" s="6" t="s">
        <v>93</v>
      </c>
      <c r="BR193" s="6">
        <v>2001</v>
      </c>
      <c r="BS193" s="6" t="s">
        <v>94</v>
      </c>
      <c r="BT193" s="6" t="s">
        <v>90</v>
      </c>
      <c r="BU193" s="8">
        <v>0.91571558169387279</v>
      </c>
    </row>
    <row r="194" spans="1:73" x14ac:dyDescent="0.25">
      <c r="A194" s="33" t="s">
        <v>477</v>
      </c>
      <c r="B194" s="7" t="s">
        <v>478</v>
      </c>
      <c r="C194" s="7" t="s">
        <v>81</v>
      </c>
      <c r="D19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5.0524975149105367E-2</v>
      </c>
      <c r="E194" s="32">
        <v>1782</v>
      </c>
      <c r="F194" s="32">
        <v>0</v>
      </c>
      <c r="G194" s="32">
        <v>1471</v>
      </c>
      <c r="H194" s="32">
        <v>0</v>
      </c>
      <c r="I194" s="32">
        <v>0</v>
      </c>
      <c r="J194" s="32">
        <v>64384</v>
      </c>
      <c r="K194" s="32">
        <v>0</v>
      </c>
      <c r="L19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2.8129395218002813E-3</v>
      </c>
      <c r="M194" s="32">
        <v>4</v>
      </c>
      <c r="N194" s="32">
        <v>0</v>
      </c>
      <c r="O194" s="32">
        <v>1422</v>
      </c>
      <c r="P194" s="32">
        <v>0</v>
      </c>
      <c r="Q19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94" s="32">
        <v>0</v>
      </c>
      <c r="S194" s="32">
        <v>0</v>
      </c>
      <c r="T194" s="32">
        <v>0</v>
      </c>
      <c r="U194" s="32">
        <v>1422</v>
      </c>
      <c r="V194" s="32">
        <v>0</v>
      </c>
      <c r="W194" s="32">
        <v>0</v>
      </c>
      <c r="X194" s="32">
        <v>0</v>
      </c>
      <c r="Y19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0.12526404075546721</v>
      </c>
      <c r="Z194" s="32">
        <v>165</v>
      </c>
      <c r="AA194" s="32">
        <v>9149</v>
      </c>
      <c r="AB194" s="32">
        <v>1249</v>
      </c>
      <c r="AC194" s="32">
        <v>0</v>
      </c>
      <c r="AD194" s="32">
        <v>0</v>
      </c>
      <c r="AE194" s="32">
        <v>64384</v>
      </c>
      <c r="AF194" s="32">
        <v>0</v>
      </c>
      <c r="AG19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2.8230383973288813</v>
      </c>
      <c r="AH194" s="32">
        <v>2442</v>
      </c>
      <c r="AI194" s="32">
        <v>30</v>
      </c>
      <c r="AJ194" s="32">
        <v>615</v>
      </c>
      <c r="AK194" s="32">
        <v>0</v>
      </c>
      <c r="AL194" s="32">
        <v>42</v>
      </c>
      <c r="AM194" s="32">
        <v>1471</v>
      </c>
      <c r="AN194" s="32">
        <v>1323</v>
      </c>
      <c r="AO194" s="32">
        <v>0</v>
      </c>
      <c r="AP194" s="32">
        <v>-599</v>
      </c>
      <c r="AQ19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5.2433687002652523</v>
      </c>
      <c r="AR194" s="32">
        <v>1657</v>
      </c>
      <c r="AS194" s="32">
        <v>1876</v>
      </c>
      <c r="AT194" s="32">
        <v>1762</v>
      </c>
      <c r="AU194" s="32">
        <v>363</v>
      </c>
      <c r="AV194" s="32">
        <v>426</v>
      </c>
      <c r="AW194" s="32">
        <v>1471</v>
      </c>
      <c r="AX194" s="32">
        <v>0</v>
      </c>
      <c r="AY194" s="32">
        <v>155</v>
      </c>
      <c r="AZ194" s="32">
        <v>197</v>
      </c>
      <c r="BA194" s="32">
        <v>0</v>
      </c>
      <c r="BB194" s="32">
        <v>0</v>
      </c>
      <c r="BC194" s="32">
        <v>1508</v>
      </c>
      <c r="BD194" s="34">
        <f>IFERROR(SUM(Cons_Metrics[[#This Row],[Operating surplus/(deficit) (social housing lettings)]])/SUM(Cons_Metrics[[#This Row],[Turnover from social housing lettings]]),"")</f>
        <v>0.25800874605918844</v>
      </c>
      <c r="BE194" s="32">
        <v>2537</v>
      </c>
      <c r="BF194" s="32">
        <v>9833</v>
      </c>
      <c r="BG194" s="34">
        <f>IFERROR(SUM(Cons_Metrics[[#This Row],[Operating surplus/(deficit) (overall)2]],-Cons_Metrics[[#This Row],[Gain/(loss) on disposal of fixed assets (housing properties)2]])/SUM(Cons_Metrics[[#This Row],[Turnover (overall)]]),"")</f>
        <v>0.22658525129168625</v>
      </c>
      <c r="BH194" s="32">
        <v>2442</v>
      </c>
      <c r="BI194" s="32">
        <v>30</v>
      </c>
      <c r="BJ194" s="32">
        <v>10645</v>
      </c>
      <c r="BK194" s="34">
        <f>IFERROR(SUM(Cons_Metrics[[#This Row],[Operating surplus/(deficit) (overall)3]],Cons_Metrics[[#This Row],[Share of operating surplus/(deficit) in joint ventures or associates]])/SUM(Cons_Metrics[[#This Row],[Total assets less current liabilities]]),"")</f>
        <v>3.5409265569491769E-2</v>
      </c>
      <c r="BL194" s="32">
        <v>2442</v>
      </c>
      <c r="BM194" s="32">
        <v>0</v>
      </c>
      <c r="BN194" s="32">
        <v>68965</v>
      </c>
      <c r="BO194" s="34">
        <v>2.1613832853025938E-3</v>
      </c>
      <c r="BP194" s="34">
        <v>0.13688760806916425</v>
      </c>
      <c r="BQ194" s="6" t="s">
        <v>82</v>
      </c>
      <c r="BR194" s="6" t="s">
        <v>83</v>
      </c>
      <c r="BS194" s="6" t="s">
        <v>83</v>
      </c>
      <c r="BT194" s="6" t="s">
        <v>156</v>
      </c>
      <c r="BU194" s="8">
        <v>1.246908275350141</v>
      </c>
    </row>
    <row r="195" spans="1:73" x14ac:dyDescent="0.25">
      <c r="A195" s="33" t="s">
        <v>479</v>
      </c>
      <c r="B195" s="7" t="s">
        <v>480</v>
      </c>
      <c r="C195" s="7" t="s">
        <v>134</v>
      </c>
      <c r="D19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3.8842745040218868E-2</v>
      </c>
      <c r="E195" s="32">
        <v>3135</v>
      </c>
      <c r="F195" s="32">
        <v>0</v>
      </c>
      <c r="G195" s="32">
        <v>1271</v>
      </c>
      <c r="H195" s="32">
        <v>336</v>
      </c>
      <c r="I195" s="32">
        <v>0</v>
      </c>
      <c r="J195" s="32">
        <v>122082</v>
      </c>
      <c r="K195" s="32">
        <v>0</v>
      </c>
      <c r="L19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9.6842105263157899E-3</v>
      </c>
      <c r="M195" s="32">
        <v>23</v>
      </c>
      <c r="N195" s="32">
        <v>0</v>
      </c>
      <c r="O195" s="32">
        <v>2121</v>
      </c>
      <c r="P195" s="32">
        <v>254</v>
      </c>
      <c r="Q19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195" s="32">
        <v>0</v>
      </c>
      <c r="S195" s="32">
        <v>0</v>
      </c>
      <c r="T195" s="32">
        <v>0</v>
      </c>
      <c r="U195" s="32">
        <v>2121</v>
      </c>
      <c r="V195" s="32">
        <v>0</v>
      </c>
      <c r="W195" s="32">
        <v>254</v>
      </c>
      <c r="X195" s="32">
        <v>211</v>
      </c>
      <c r="Y19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0.34249111253092185</v>
      </c>
      <c r="Z195" s="32">
        <v>422</v>
      </c>
      <c r="AA195" s="32">
        <v>48945</v>
      </c>
      <c r="AB195" s="32">
        <v>7555</v>
      </c>
      <c r="AC195" s="32">
        <v>0</v>
      </c>
      <c r="AD195" s="32">
        <v>0</v>
      </c>
      <c r="AE195" s="32">
        <v>122082</v>
      </c>
      <c r="AF195" s="32">
        <v>0</v>
      </c>
      <c r="AG19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0.45792811839323466</v>
      </c>
      <c r="AH195" s="32">
        <v>1055</v>
      </c>
      <c r="AI195" s="32">
        <v>863</v>
      </c>
      <c r="AJ195" s="32">
        <v>434</v>
      </c>
      <c r="AK195" s="32">
        <v>0</v>
      </c>
      <c r="AL195" s="32">
        <v>151</v>
      </c>
      <c r="AM195" s="32">
        <v>1271</v>
      </c>
      <c r="AN195" s="32">
        <v>2445</v>
      </c>
      <c r="AO195" s="32">
        <v>-336</v>
      </c>
      <c r="AP195" s="32">
        <v>-2029</v>
      </c>
      <c r="AQ19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8.4672324375294679</v>
      </c>
      <c r="AR195" s="32">
        <v>3407</v>
      </c>
      <c r="AS195" s="32">
        <v>8705</v>
      </c>
      <c r="AT195" s="32">
        <v>1687</v>
      </c>
      <c r="AU195" s="32">
        <v>350</v>
      </c>
      <c r="AV195" s="32">
        <v>382</v>
      </c>
      <c r="AW195" s="32">
        <v>1271</v>
      </c>
      <c r="AX195" s="32">
        <v>288</v>
      </c>
      <c r="AY195" s="32">
        <v>0</v>
      </c>
      <c r="AZ195" s="32">
        <v>1282</v>
      </c>
      <c r="BA195" s="32">
        <v>587</v>
      </c>
      <c r="BB195" s="32">
        <v>0</v>
      </c>
      <c r="BC195" s="32">
        <v>2121</v>
      </c>
      <c r="BD195" s="34">
        <f>IFERROR(SUM(Cons_Metrics[[#This Row],[Operating surplus/(deficit) (social housing lettings)]])/SUM(Cons_Metrics[[#This Row],[Turnover from social housing lettings]]),"")</f>
        <v>-8.7286978207944902E-3</v>
      </c>
      <c r="BE195" s="32">
        <v>-147</v>
      </c>
      <c r="BF195" s="32">
        <v>16841</v>
      </c>
      <c r="BG195" s="34">
        <f>IFERROR(SUM(Cons_Metrics[[#This Row],[Operating surplus/(deficit) (overall)2]],-Cons_Metrics[[#This Row],[Gain/(loss) on disposal of fixed assets (housing properties)2]])/SUM(Cons_Metrics[[#This Row],[Turnover (overall)]]),"")</f>
        <v>8.8162365690146027E-3</v>
      </c>
      <c r="BH195" s="32">
        <v>1055</v>
      </c>
      <c r="BI195" s="32">
        <v>863</v>
      </c>
      <c r="BJ195" s="32">
        <v>21778</v>
      </c>
      <c r="BK195" s="34">
        <f>IFERROR(SUM(Cons_Metrics[[#This Row],[Operating surplus/(deficit) (overall)3]],Cons_Metrics[[#This Row],[Share of operating surplus/(deficit) in joint ventures or associates]])/SUM(Cons_Metrics[[#This Row],[Total assets less current liabilities]]),"")</f>
        <v>6.0726414551315255E-3</v>
      </c>
      <c r="BL195" s="32">
        <v>1055</v>
      </c>
      <c r="BM195" s="32">
        <v>0</v>
      </c>
      <c r="BN195" s="32">
        <v>173730</v>
      </c>
      <c r="BO195" s="34">
        <v>3.1633616619452312E-2</v>
      </c>
      <c r="BP195" s="34">
        <v>0.12559017941454201</v>
      </c>
      <c r="BQ195" s="6" t="s">
        <v>82</v>
      </c>
      <c r="BR195" s="6" t="s">
        <v>83</v>
      </c>
      <c r="BS195" s="6" t="s">
        <v>83</v>
      </c>
      <c r="BT195" s="6" t="s">
        <v>108</v>
      </c>
      <c r="BU195" s="8">
        <v>0.94315959117664216</v>
      </c>
    </row>
    <row r="196" spans="1:73" x14ac:dyDescent="0.25">
      <c r="A196" s="33" t="s">
        <v>481</v>
      </c>
      <c r="B196" s="7" t="s">
        <v>482</v>
      </c>
      <c r="C196" s="7" t="s">
        <v>81</v>
      </c>
      <c r="D19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1.7590137679501499E-2</v>
      </c>
      <c r="E196" s="32">
        <v>0</v>
      </c>
      <c r="F196" s="32">
        <v>0</v>
      </c>
      <c r="G196" s="32">
        <v>1307</v>
      </c>
      <c r="H196" s="32">
        <v>0</v>
      </c>
      <c r="I196" s="32">
        <v>0</v>
      </c>
      <c r="J196" s="32">
        <v>74303</v>
      </c>
      <c r="K196" s="32">
        <v>0</v>
      </c>
      <c r="L19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196" s="32">
        <v>0</v>
      </c>
      <c r="N196" s="32">
        <v>0</v>
      </c>
      <c r="O196" s="32">
        <v>2365</v>
      </c>
      <c r="P196" s="32">
        <v>0</v>
      </c>
      <c r="Q19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5.4012345679012343E-3</v>
      </c>
      <c r="R196" s="32">
        <v>14</v>
      </c>
      <c r="S196" s="32">
        <v>0</v>
      </c>
      <c r="T196" s="32">
        <v>0</v>
      </c>
      <c r="U196" s="32">
        <v>2365</v>
      </c>
      <c r="V196" s="32">
        <v>96</v>
      </c>
      <c r="W196" s="32">
        <v>0</v>
      </c>
      <c r="X196" s="32">
        <v>131</v>
      </c>
      <c r="Y19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0.48376243220327575</v>
      </c>
      <c r="Z196" s="32">
        <v>945</v>
      </c>
      <c r="AA196" s="32">
        <v>40991</v>
      </c>
      <c r="AB196" s="32">
        <v>5991</v>
      </c>
      <c r="AC196" s="32">
        <v>0</v>
      </c>
      <c r="AD196" s="32">
        <v>0</v>
      </c>
      <c r="AE196" s="32">
        <v>74303</v>
      </c>
      <c r="AF196" s="32">
        <v>0</v>
      </c>
      <c r="AG19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2.7586387434554975</v>
      </c>
      <c r="AH196" s="32">
        <v>5645</v>
      </c>
      <c r="AI196" s="32">
        <v>407</v>
      </c>
      <c r="AJ196" s="32">
        <v>236</v>
      </c>
      <c r="AK196" s="32">
        <v>0</v>
      </c>
      <c r="AL196" s="32">
        <v>19</v>
      </c>
      <c r="AM196" s="32">
        <v>1307</v>
      </c>
      <c r="AN196" s="32">
        <v>1555</v>
      </c>
      <c r="AO196" s="32">
        <v>0</v>
      </c>
      <c r="AP196" s="32">
        <v>-1910</v>
      </c>
      <c r="AQ19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2.73276955602537</v>
      </c>
      <c r="AR196" s="32">
        <v>1534</v>
      </c>
      <c r="AS196" s="32">
        <v>752</v>
      </c>
      <c r="AT196" s="32">
        <v>1576</v>
      </c>
      <c r="AU196" s="32">
        <v>837</v>
      </c>
      <c r="AV196" s="32">
        <v>457</v>
      </c>
      <c r="AW196" s="32">
        <v>1307</v>
      </c>
      <c r="AX196" s="32">
        <v>0</v>
      </c>
      <c r="AY196" s="32">
        <v>0</v>
      </c>
      <c r="AZ196" s="32">
        <v>0</v>
      </c>
      <c r="BA196" s="32">
        <v>0</v>
      </c>
      <c r="BB196" s="32">
        <v>0</v>
      </c>
      <c r="BC196" s="32">
        <v>2365</v>
      </c>
      <c r="BD196" s="34">
        <f>IFERROR(SUM(Cons_Metrics[[#This Row],[Operating surplus/(deficit) (social housing lettings)]])/SUM(Cons_Metrics[[#This Row],[Turnover from social housing lettings]]),"")</f>
        <v>0.45927903871829107</v>
      </c>
      <c r="BE196" s="32">
        <v>5504</v>
      </c>
      <c r="BF196" s="32">
        <v>11984</v>
      </c>
      <c r="BG196" s="34">
        <f>IFERROR(SUM(Cons_Metrics[[#This Row],[Operating surplus/(deficit) (overall)2]],-Cons_Metrics[[#This Row],[Gain/(loss) on disposal of fixed assets (housing properties)2]])/SUM(Cons_Metrics[[#This Row],[Turnover (overall)]]),"")</f>
        <v>0.33594150846587995</v>
      </c>
      <c r="BH196" s="32">
        <v>5645</v>
      </c>
      <c r="BI196" s="32">
        <v>407</v>
      </c>
      <c r="BJ196" s="32">
        <v>15592</v>
      </c>
      <c r="BK196" s="34">
        <f>IFERROR(SUM(Cons_Metrics[[#This Row],[Operating surplus/(deficit) (overall)3]],Cons_Metrics[[#This Row],[Share of operating surplus/(deficit) in joint ventures or associates]])/SUM(Cons_Metrics[[#This Row],[Total assets less current liabilities]]),"")</f>
        <v>5.9022186905334478E-2</v>
      </c>
      <c r="BL196" s="32">
        <v>5645</v>
      </c>
      <c r="BM196" s="32">
        <v>0</v>
      </c>
      <c r="BN196" s="32">
        <v>95642</v>
      </c>
      <c r="BO196" s="34">
        <v>0</v>
      </c>
      <c r="BP196" s="34">
        <v>5.4168429961912824E-2</v>
      </c>
      <c r="BQ196" s="6" t="s">
        <v>82</v>
      </c>
      <c r="BR196" s="6" t="s">
        <v>83</v>
      </c>
      <c r="BS196" s="6" t="s">
        <v>83</v>
      </c>
      <c r="BT196" s="6" t="s">
        <v>90</v>
      </c>
      <c r="BU196" s="8">
        <v>0.91571558169387279</v>
      </c>
    </row>
    <row r="197" spans="1:73" x14ac:dyDescent="0.25">
      <c r="A197" s="33" t="s">
        <v>483</v>
      </c>
      <c r="B197" s="7" t="s">
        <v>484</v>
      </c>
      <c r="C197" s="7" t="s">
        <v>81</v>
      </c>
      <c r="D19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3.5590706325040064E-2</v>
      </c>
      <c r="E197" s="32">
        <v>31368</v>
      </c>
      <c r="F197" s="32">
        <v>0</v>
      </c>
      <c r="G197" s="32">
        <v>33082</v>
      </c>
      <c r="H197" s="32">
        <v>0</v>
      </c>
      <c r="I197" s="32">
        <v>0</v>
      </c>
      <c r="J197" s="32">
        <v>1810866</v>
      </c>
      <c r="K197" s="32">
        <v>0</v>
      </c>
      <c r="L19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3.4943014444467017E-3</v>
      </c>
      <c r="M197" s="32">
        <v>171</v>
      </c>
      <c r="N197" s="32">
        <v>1</v>
      </c>
      <c r="O197" s="32">
        <v>48167</v>
      </c>
      <c r="P197" s="32">
        <v>1056</v>
      </c>
      <c r="Q19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3.4234987360920364E-3</v>
      </c>
      <c r="R197" s="32">
        <v>0</v>
      </c>
      <c r="S197" s="32">
        <v>0</v>
      </c>
      <c r="T197" s="32">
        <v>172</v>
      </c>
      <c r="U197" s="32">
        <v>48167</v>
      </c>
      <c r="V197" s="32">
        <v>358</v>
      </c>
      <c r="W197" s="32">
        <v>1056</v>
      </c>
      <c r="X197" s="32">
        <v>660</v>
      </c>
      <c r="Y19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0.38904756066986734</v>
      </c>
      <c r="Z197" s="32">
        <v>18605</v>
      </c>
      <c r="AA197" s="32">
        <v>749595</v>
      </c>
      <c r="AB197" s="32">
        <v>63687</v>
      </c>
      <c r="AC197" s="32">
        <v>0</v>
      </c>
      <c r="AD197" s="32">
        <v>0</v>
      </c>
      <c r="AE197" s="32">
        <v>1810866</v>
      </c>
      <c r="AF197" s="32">
        <v>0</v>
      </c>
      <c r="AG19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1.7778875310116695</v>
      </c>
      <c r="AH197" s="32">
        <v>95431</v>
      </c>
      <c r="AI197" s="32">
        <v>15424</v>
      </c>
      <c r="AJ197" s="32">
        <v>10588</v>
      </c>
      <c r="AK197" s="32">
        <v>0</v>
      </c>
      <c r="AL197" s="32">
        <v>1295</v>
      </c>
      <c r="AM197" s="32">
        <v>33082</v>
      </c>
      <c r="AN197" s="32">
        <v>39763</v>
      </c>
      <c r="AO197" s="32">
        <v>0</v>
      </c>
      <c r="AP197" s="32">
        <v>-43532</v>
      </c>
      <c r="AQ19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4.3414683097178184</v>
      </c>
      <c r="AR197" s="32">
        <v>42727</v>
      </c>
      <c r="AS197" s="32">
        <v>69626</v>
      </c>
      <c r="AT197" s="32">
        <v>52109</v>
      </c>
      <c r="AU197" s="32">
        <v>0</v>
      </c>
      <c r="AV197" s="32">
        <v>6108</v>
      </c>
      <c r="AW197" s="32">
        <v>33082</v>
      </c>
      <c r="AX197" s="32">
        <v>239</v>
      </c>
      <c r="AY197" s="32">
        <v>0</v>
      </c>
      <c r="AZ197" s="32">
        <v>2230</v>
      </c>
      <c r="BA197" s="32">
        <v>10197</v>
      </c>
      <c r="BB197" s="32">
        <v>0</v>
      </c>
      <c r="BC197" s="32">
        <v>49826</v>
      </c>
      <c r="BD197" s="34">
        <f>IFERROR(SUM(Cons_Metrics[[#This Row],[Operating surplus/(deficit) (social housing lettings)]])/SUM(Cons_Metrics[[#This Row],[Turnover from social housing lettings]]),"")</f>
        <v>0.24850282263546147</v>
      </c>
      <c r="BE197" s="32">
        <v>69463</v>
      </c>
      <c r="BF197" s="32">
        <v>279526</v>
      </c>
      <c r="BG197" s="34">
        <f>IFERROR(SUM(Cons_Metrics[[#This Row],[Operating surplus/(deficit) (overall)2]],-Cons_Metrics[[#This Row],[Gain/(loss) on disposal of fixed assets (housing properties)2]])/SUM(Cons_Metrics[[#This Row],[Turnover (overall)]]),"")</f>
        <v>0.23112722440489947</v>
      </c>
      <c r="BH197" s="32">
        <v>95431</v>
      </c>
      <c r="BI197" s="32">
        <v>15424</v>
      </c>
      <c r="BJ197" s="32">
        <v>346160</v>
      </c>
      <c r="BK197" s="34">
        <f>IFERROR(SUM(Cons_Metrics[[#This Row],[Operating surplus/(deficit) (overall)3]],Cons_Metrics[[#This Row],[Share of operating surplus/(deficit) in joint ventures or associates]])/SUM(Cons_Metrics[[#This Row],[Total assets less current liabilities]]),"")</f>
        <v>4.7279291203255566E-2</v>
      </c>
      <c r="BL197" s="32">
        <v>95431</v>
      </c>
      <c r="BM197" s="32">
        <v>302</v>
      </c>
      <c r="BN197" s="32">
        <v>2024840</v>
      </c>
      <c r="BO197" s="34">
        <v>8.9024257587294681E-2</v>
      </c>
      <c r="BP197" s="34">
        <v>0.10109866202545414</v>
      </c>
      <c r="BQ197" s="6" t="s">
        <v>82</v>
      </c>
      <c r="BR197" s="6" t="s">
        <v>83</v>
      </c>
      <c r="BS197" s="6" t="s">
        <v>83</v>
      </c>
      <c r="BT197" s="6" t="s">
        <v>105</v>
      </c>
      <c r="BU197" s="8">
        <v>0.94222045318932479</v>
      </c>
    </row>
    <row r="198" spans="1:73" x14ac:dyDescent="0.25">
      <c r="A198" s="33" t="s">
        <v>485</v>
      </c>
      <c r="B198" s="7" t="s">
        <v>486</v>
      </c>
      <c r="C198" s="7" t="s">
        <v>81</v>
      </c>
      <c r="D19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8.4141669999555621E-2</v>
      </c>
      <c r="E198" s="32">
        <v>0</v>
      </c>
      <c r="F198" s="32">
        <v>41011</v>
      </c>
      <c r="G198" s="32">
        <v>6325</v>
      </c>
      <c r="H198" s="32">
        <v>0</v>
      </c>
      <c r="I198" s="32">
        <v>0</v>
      </c>
      <c r="J198" s="32">
        <v>562575</v>
      </c>
      <c r="K198" s="32">
        <v>0</v>
      </c>
      <c r="L19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4.4050071304072257E-2</v>
      </c>
      <c r="M198" s="32">
        <v>556</v>
      </c>
      <c r="N198" s="32">
        <v>0</v>
      </c>
      <c r="O198" s="32">
        <v>12622</v>
      </c>
      <c r="P198" s="32">
        <v>0</v>
      </c>
      <c r="Q19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7.3653973631877443E-4</v>
      </c>
      <c r="R198" s="32">
        <v>10</v>
      </c>
      <c r="S198" s="32">
        <v>0</v>
      </c>
      <c r="T198" s="32">
        <v>0</v>
      </c>
      <c r="U198" s="32">
        <v>12622</v>
      </c>
      <c r="V198" s="32">
        <v>127</v>
      </c>
      <c r="W198" s="32">
        <v>0</v>
      </c>
      <c r="X198" s="32">
        <v>828</v>
      </c>
      <c r="Y19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0.63764298093587524</v>
      </c>
      <c r="Z198" s="32">
        <v>0</v>
      </c>
      <c r="AA198" s="32">
        <v>369284</v>
      </c>
      <c r="AB198" s="32">
        <v>10562</v>
      </c>
      <c r="AC198" s="32">
        <v>0</v>
      </c>
      <c r="AD198" s="32">
        <v>0</v>
      </c>
      <c r="AE198" s="32">
        <v>562575</v>
      </c>
      <c r="AF198" s="32">
        <v>0</v>
      </c>
      <c r="AG19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1.3611707706907747</v>
      </c>
      <c r="AH198" s="32">
        <v>32763</v>
      </c>
      <c r="AI198" s="32">
        <v>9923</v>
      </c>
      <c r="AJ198" s="32">
        <v>818</v>
      </c>
      <c r="AK198" s="32">
        <v>0</v>
      </c>
      <c r="AL198" s="32">
        <v>25</v>
      </c>
      <c r="AM198" s="32">
        <v>6325</v>
      </c>
      <c r="AN198" s="32">
        <v>11530</v>
      </c>
      <c r="AO198" s="32">
        <v>0</v>
      </c>
      <c r="AP198" s="32">
        <v>-20021</v>
      </c>
      <c r="AQ19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3.2690681284259986</v>
      </c>
      <c r="AR198" s="32">
        <v>4016</v>
      </c>
      <c r="AS198" s="32">
        <v>13792</v>
      </c>
      <c r="AT198" s="32">
        <v>10954</v>
      </c>
      <c r="AU198" s="32">
        <v>0</v>
      </c>
      <c r="AV198" s="32">
        <v>5805</v>
      </c>
      <c r="AW198" s="32">
        <v>6325</v>
      </c>
      <c r="AX198" s="32">
        <v>0</v>
      </c>
      <c r="AY198" s="32">
        <v>0</v>
      </c>
      <c r="AZ198" s="32">
        <v>0</v>
      </c>
      <c r="BA198" s="32">
        <v>854</v>
      </c>
      <c r="BB198" s="32">
        <v>0</v>
      </c>
      <c r="BC198" s="32">
        <v>12770</v>
      </c>
      <c r="BD198" s="34">
        <f>IFERROR(SUM(Cons_Metrics[[#This Row],[Operating surplus/(deficit) (social housing lettings)]])/SUM(Cons_Metrics[[#This Row],[Turnover from social housing lettings]]),"")</f>
        <v>0.35677796280093704</v>
      </c>
      <c r="BE198" s="32">
        <v>25282</v>
      </c>
      <c r="BF198" s="32">
        <v>70862</v>
      </c>
      <c r="BG198" s="34">
        <f>IFERROR(SUM(Cons_Metrics[[#This Row],[Operating surplus/(deficit) (overall)2]],-Cons_Metrics[[#This Row],[Gain/(loss) on disposal of fixed assets (housing properties)2]])/SUM(Cons_Metrics[[#This Row],[Turnover (overall)]]),"")</f>
        <v>0.26174350511683342</v>
      </c>
      <c r="BH198" s="32">
        <v>32763</v>
      </c>
      <c r="BI198" s="32">
        <v>9923</v>
      </c>
      <c r="BJ198" s="32">
        <v>87261</v>
      </c>
      <c r="BK198" s="34">
        <f>IFERROR(SUM(Cons_Metrics[[#This Row],[Operating surplus/(deficit) (overall)3]],Cons_Metrics[[#This Row],[Share of operating surplus/(deficit) in joint ventures or associates]])/SUM(Cons_Metrics[[#This Row],[Total assets less current liabilities]]),"")</f>
        <v>5.5407016564775119E-2</v>
      </c>
      <c r="BL198" s="32">
        <v>32763</v>
      </c>
      <c r="BM198" s="32">
        <v>0</v>
      </c>
      <c r="BN198" s="32">
        <v>591315</v>
      </c>
      <c r="BO198" s="34">
        <v>6.9719537315797815E-3</v>
      </c>
      <c r="BP198" s="34">
        <v>0.1048962129614958</v>
      </c>
      <c r="BQ198" s="6" t="s">
        <v>93</v>
      </c>
      <c r="BR198" s="6">
        <v>1999</v>
      </c>
      <c r="BS198" s="6" t="s">
        <v>94</v>
      </c>
      <c r="BT198" s="6" t="s">
        <v>90</v>
      </c>
      <c r="BU198" s="8">
        <v>0.91571558169387279</v>
      </c>
    </row>
    <row r="199" spans="1:73" x14ac:dyDescent="0.25">
      <c r="A199" s="33" t="s">
        <v>487</v>
      </c>
      <c r="B199" s="7" t="s">
        <v>488</v>
      </c>
      <c r="C199" s="7" t="s">
        <v>81</v>
      </c>
      <c r="D19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4.4338322810338032E-2</v>
      </c>
      <c r="E199" s="32">
        <v>27455</v>
      </c>
      <c r="F199" s="32">
        <v>0</v>
      </c>
      <c r="G199" s="32">
        <v>13574</v>
      </c>
      <c r="H199" s="32">
        <v>1513</v>
      </c>
      <c r="I199" s="32">
        <v>0</v>
      </c>
      <c r="J199" s="32">
        <v>959486</v>
      </c>
      <c r="K199" s="32">
        <v>0</v>
      </c>
      <c r="L19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5.7235059518373063E-3</v>
      </c>
      <c r="M199" s="32">
        <v>188</v>
      </c>
      <c r="N199" s="32">
        <v>0</v>
      </c>
      <c r="O199" s="32">
        <v>32150</v>
      </c>
      <c r="P199" s="32">
        <v>697</v>
      </c>
      <c r="Q19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9.706970818418977E-4</v>
      </c>
      <c r="R199" s="32">
        <v>0</v>
      </c>
      <c r="S199" s="32">
        <v>4</v>
      </c>
      <c r="T199" s="32">
        <v>28</v>
      </c>
      <c r="U199" s="32">
        <v>32150</v>
      </c>
      <c r="V199" s="32">
        <v>115</v>
      </c>
      <c r="W199" s="32">
        <v>697</v>
      </c>
      <c r="X199" s="32">
        <v>4</v>
      </c>
      <c r="Y19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0.2480453075917731</v>
      </c>
      <c r="Z199" s="32">
        <v>5442</v>
      </c>
      <c r="AA199" s="32">
        <v>239968</v>
      </c>
      <c r="AB199" s="32">
        <v>7414</v>
      </c>
      <c r="AC199" s="32">
        <v>0</v>
      </c>
      <c r="AD199" s="32">
        <v>0</v>
      </c>
      <c r="AE199" s="32">
        <v>959486</v>
      </c>
      <c r="AF199" s="32">
        <v>0</v>
      </c>
      <c r="AG19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3.4175587216018481</v>
      </c>
      <c r="AH199" s="32">
        <v>40627</v>
      </c>
      <c r="AI199" s="32">
        <v>1671</v>
      </c>
      <c r="AJ199" s="32">
        <v>1103</v>
      </c>
      <c r="AK199" s="32">
        <v>0</v>
      </c>
      <c r="AL199" s="32">
        <v>34</v>
      </c>
      <c r="AM199" s="32">
        <v>14405</v>
      </c>
      <c r="AN199" s="32">
        <v>20895</v>
      </c>
      <c r="AO199" s="32">
        <v>-1513</v>
      </c>
      <c r="AP199" s="32">
        <v>-11472</v>
      </c>
      <c r="AQ19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3.0731737528256899</v>
      </c>
      <c r="AR199" s="32">
        <v>19364</v>
      </c>
      <c r="AS199" s="32">
        <v>9943</v>
      </c>
      <c r="AT199" s="32">
        <v>25541</v>
      </c>
      <c r="AU199" s="32">
        <v>3451</v>
      </c>
      <c r="AV199" s="32">
        <v>19401</v>
      </c>
      <c r="AW199" s="32">
        <v>14405</v>
      </c>
      <c r="AX199" s="32">
        <v>0</v>
      </c>
      <c r="AY199" s="32">
        <v>0</v>
      </c>
      <c r="AZ199" s="32">
        <v>916</v>
      </c>
      <c r="BA199" s="32">
        <v>4511</v>
      </c>
      <c r="BB199" s="32">
        <v>1710</v>
      </c>
      <c r="BC199" s="32">
        <v>32293</v>
      </c>
      <c r="BD199" s="34">
        <f>IFERROR(SUM(Cons_Metrics[[#This Row],[Operating surplus/(deficit) (social housing lettings)]])/SUM(Cons_Metrics[[#This Row],[Turnover from social housing lettings]]),"")</f>
        <v>0.29120412209827751</v>
      </c>
      <c r="BE199" s="32">
        <v>43178</v>
      </c>
      <c r="BF199" s="32">
        <v>148274</v>
      </c>
      <c r="BG199" s="34">
        <f>IFERROR(SUM(Cons_Metrics[[#This Row],[Operating surplus/(deficit) (overall)2]],-Cons_Metrics[[#This Row],[Gain/(loss) on disposal of fixed assets (housing properties)2]])/SUM(Cons_Metrics[[#This Row],[Turnover (overall)]]),"")</f>
        <v>0.24373854229886063</v>
      </c>
      <c r="BH199" s="32">
        <v>40627</v>
      </c>
      <c r="BI199" s="32">
        <v>1671</v>
      </c>
      <c r="BJ199" s="32">
        <v>159827</v>
      </c>
      <c r="BK199" s="34">
        <f>IFERROR(SUM(Cons_Metrics[[#This Row],[Operating surplus/(deficit) (overall)3]],Cons_Metrics[[#This Row],[Share of operating surplus/(deficit) in joint ventures or associates]])/SUM(Cons_Metrics[[#This Row],[Total assets less current liabilities]]),"")</f>
        <v>4.0393003331699463E-2</v>
      </c>
      <c r="BL199" s="32">
        <v>40627</v>
      </c>
      <c r="BM199" s="32">
        <v>0</v>
      </c>
      <c r="BN199" s="32">
        <v>1005793</v>
      </c>
      <c r="BO199" s="34">
        <v>7.7142069978877762E-3</v>
      </c>
      <c r="BP199" s="34">
        <v>7.3223742614871273E-2</v>
      </c>
      <c r="BQ199" s="6" t="s">
        <v>93</v>
      </c>
      <c r="BR199" s="6">
        <v>2004</v>
      </c>
      <c r="BS199" s="6" t="s">
        <v>94</v>
      </c>
      <c r="BT199" s="6" t="s">
        <v>121</v>
      </c>
      <c r="BU199" s="8">
        <v>0.90346997028720288</v>
      </c>
    </row>
    <row r="200" spans="1:73" x14ac:dyDescent="0.25">
      <c r="A200" s="33" t="s">
        <v>489</v>
      </c>
      <c r="B200" s="7" t="s">
        <v>490</v>
      </c>
      <c r="C200" s="7" t="s">
        <v>81</v>
      </c>
      <c r="D20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0.17058809006517875</v>
      </c>
      <c r="E200" s="32">
        <v>23279</v>
      </c>
      <c r="F200" s="32">
        <v>0</v>
      </c>
      <c r="G200" s="32">
        <v>4359</v>
      </c>
      <c r="H200" s="32">
        <v>0</v>
      </c>
      <c r="I200" s="32">
        <v>0</v>
      </c>
      <c r="J200" s="32">
        <v>162016</v>
      </c>
      <c r="K200" s="32">
        <v>0</v>
      </c>
      <c r="L20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1.160541586073501E-2</v>
      </c>
      <c r="M200" s="32">
        <v>54</v>
      </c>
      <c r="N200" s="32">
        <v>0</v>
      </c>
      <c r="O200" s="32">
        <v>4162</v>
      </c>
      <c r="P200" s="32">
        <v>491</v>
      </c>
      <c r="Q20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0" s="32">
        <v>0</v>
      </c>
      <c r="S200" s="32">
        <v>0</v>
      </c>
      <c r="T200" s="32">
        <v>0</v>
      </c>
      <c r="U200" s="32">
        <v>4162</v>
      </c>
      <c r="V200" s="32">
        <v>1</v>
      </c>
      <c r="W200" s="32">
        <v>491</v>
      </c>
      <c r="X200" s="32">
        <v>0</v>
      </c>
      <c r="Y20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0.59736692672328662</v>
      </c>
      <c r="Z200" s="32">
        <v>0</v>
      </c>
      <c r="AA200" s="32">
        <v>124148</v>
      </c>
      <c r="AB200" s="32">
        <v>27365</v>
      </c>
      <c r="AC200" s="32">
        <v>0</v>
      </c>
      <c r="AD200" s="32">
        <v>0</v>
      </c>
      <c r="AE200" s="32">
        <v>162016</v>
      </c>
      <c r="AF200" s="32">
        <v>0</v>
      </c>
      <c r="AG20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1.5281214848143982</v>
      </c>
      <c r="AH200" s="32">
        <v>12713</v>
      </c>
      <c r="AI200" s="32">
        <v>4464</v>
      </c>
      <c r="AJ200" s="32">
        <v>103</v>
      </c>
      <c r="AK200" s="32">
        <v>0</v>
      </c>
      <c r="AL200" s="32">
        <v>130</v>
      </c>
      <c r="AM200" s="32">
        <v>4359</v>
      </c>
      <c r="AN200" s="32">
        <v>4234</v>
      </c>
      <c r="AO200" s="32">
        <v>-205</v>
      </c>
      <c r="AP200" s="32">
        <v>-5129</v>
      </c>
      <c r="AQ20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4.3435848149927923</v>
      </c>
      <c r="AR200" s="32">
        <v>6399</v>
      </c>
      <c r="AS200" s="32">
        <v>2125</v>
      </c>
      <c r="AT200" s="32">
        <v>2843</v>
      </c>
      <c r="AU200" s="32">
        <v>1361</v>
      </c>
      <c r="AV200" s="32">
        <v>0</v>
      </c>
      <c r="AW200" s="32">
        <v>4359</v>
      </c>
      <c r="AX200" s="32">
        <v>0</v>
      </c>
      <c r="AY200" s="32">
        <v>301</v>
      </c>
      <c r="AZ200" s="32">
        <v>0</v>
      </c>
      <c r="BA200" s="32">
        <v>682</v>
      </c>
      <c r="BB200" s="32">
        <v>8</v>
      </c>
      <c r="BC200" s="32">
        <v>4162</v>
      </c>
      <c r="BD200" s="34">
        <f>IFERROR(SUM(Cons_Metrics[[#This Row],[Operating surplus/(deficit) (social housing lettings)]])/SUM(Cons_Metrics[[#This Row],[Turnover from social housing lettings]]),"")</f>
        <v>0.34526499385578946</v>
      </c>
      <c r="BE200" s="32">
        <v>8710</v>
      </c>
      <c r="BF200" s="32">
        <v>25227</v>
      </c>
      <c r="BG200" s="34">
        <f>IFERROR(SUM(Cons_Metrics[[#This Row],[Operating surplus/(deficit) (overall)2]],-Cons_Metrics[[#This Row],[Gain/(loss) on disposal of fixed assets (housing properties)2]])/SUM(Cons_Metrics[[#This Row],[Turnover (overall)]]),"")</f>
        <v>0.31202481370806068</v>
      </c>
      <c r="BH200" s="32">
        <v>12713</v>
      </c>
      <c r="BI200" s="32">
        <v>4464</v>
      </c>
      <c r="BJ200" s="32">
        <v>26437</v>
      </c>
      <c r="BK200" s="34">
        <f>IFERROR(SUM(Cons_Metrics[[#This Row],[Operating surplus/(deficit) (overall)3]],Cons_Metrics[[#This Row],[Share of operating surplus/(deficit) in joint ventures or associates]])/SUM(Cons_Metrics[[#This Row],[Total assets less current liabilities]]),"")</f>
        <v>6.0542996337798777E-2</v>
      </c>
      <c r="BL200" s="32">
        <v>12713</v>
      </c>
      <c r="BM200" s="32">
        <v>0</v>
      </c>
      <c r="BN200" s="32">
        <v>209983</v>
      </c>
      <c r="BO200" s="34">
        <v>0</v>
      </c>
      <c r="BP200" s="34">
        <v>0.13719365689572321</v>
      </c>
      <c r="BQ200" s="6" t="s">
        <v>93</v>
      </c>
      <c r="BR200" s="6">
        <v>2008</v>
      </c>
      <c r="BS200" s="6" t="s">
        <v>120</v>
      </c>
      <c r="BT200" s="6" t="s">
        <v>100</v>
      </c>
      <c r="BU200" s="8">
        <v>1.0024917305184322</v>
      </c>
    </row>
    <row r="201" spans="1:73" x14ac:dyDescent="0.25">
      <c r="A201" s="33" t="s">
        <v>491</v>
      </c>
      <c r="B201" s="7" t="s">
        <v>492</v>
      </c>
      <c r="C201" s="7" t="s">
        <v>81</v>
      </c>
      <c r="D20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5.6772576560582724E-2</v>
      </c>
      <c r="E201" s="32">
        <v>42892</v>
      </c>
      <c r="F201" s="32">
        <v>0</v>
      </c>
      <c r="G201" s="32">
        <v>11472</v>
      </c>
      <c r="H201" s="32">
        <v>0</v>
      </c>
      <c r="I201" s="32">
        <v>0</v>
      </c>
      <c r="J201" s="32">
        <v>957575</v>
      </c>
      <c r="K201" s="32">
        <v>0</v>
      </c>
      <c r="L20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9.2676872155564756E-3</v>
      </c>
      <c r="M201" s="32">
        <v>336</v>
      </c>
      <c r="N201" s="32">
        <v>0</v>
      </c>
      <c r="O201" s="32">
        <v>35073</v>
      </c>
      <c r="P201" s="32">
        <v>1182</v>
      </c>
      <c r="Q20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2.2767312643989699E-3</v>
      </c>
      <c r="R201" s="32">
        <v>0</v>
      </c>
      <c r="S201" s="32">
        <v>0</v>
      </c>
      <c r="T201" s="32">
        <v>84</v>
      </c>
      <c r="U201" s="32">
        <v>35073</v>
      </c>
      <c r="V201" s="32">
        <v>378</v>
      </c>
      <c r="W201" s="32">
        <v>1182</v>
      </c>
      <c r="X201" s="32">
        <v>262</v>
      </c>
      <c r="Y20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0.54795499047072027</v>
      </c>
      <c r="Z201" s="32">
        <v>0</v>
      </c>
      <c r="AA201" s="32">
        <v>622262</v>
      </c>
      <c r="AB201" s="32">
        <v>97989</v>
      </c>
      <c r="AC201" s="32">
        <v>0</v>
      </c>
      <c r="AD201" s="32">
        <v>435</v>
      </c>
      <c r="AE201" s="32">
        <v>957575</v>
      </c>
      <c r="AF201" s="32">
        <v>0</v>
      </c>
      <c r="AG20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1.201839137593588</v>
      </c>
      <c r="AH201" s="32">
        <v>29023</v>
      </c>
      <c r="AI201" s="32">
        <v>7065</v>
      </c>
      <c r="AJ201" s="32">
        <v>6083</v>
      </c>
      <c r="AK201" s="32">
        <v>0</v>
      </c>
      <c r="AL201" s="32">
        <v>309</v>
      </c>
      <c r="AM201" s="32">
        <v>11472</v>
      </c>
      <c r="AN201" s="32">
        <v>33974</v>
      </c>
      <c r="AO201" s="32">
        <v>-164</v>
      </c>
      <c r="AP201" s="32">
        <v>-32025</v>
      </c>
      <c r="AQ20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3.3825344352617082</v>
      </c>
      <c r="AR201" s="32">
        <v>31976</v>
      </c>
      <c r="AS201" s="32">
        <v>11676</v>
      </c>
      <c r="AT201" s="32">
        <v>25313</v>
      </c>
      <c r="AU201" s="32">
        <v>0</v>
      </c>
      <c r="AV201" s="32">
        <v>8447</v>
      </c>
      <c r="AW201" s="32">
        <v>11472</v>
      </c>
      <c r="AX201" s="32">
        <v>6278</v>
      </c>
      <c r="AY201" s="32">
        <v>-161</v>
      </c>
      <c r="AZ201" s="32">
        <v>163</v>
      </c>
      <c r="BA201" s="32">
        <v>26645</v>
      </c>
      <c r="BB201" s="32">
        <v>977</v>
      </c>
      <c r="BC201" s="32">
        <v>36300</v>
      </c>
      <c r="BD201" s="34">
        <f>IFERROR(SUM(Cons_Metrics[[#This Row],[Operating surplus/(deficit) (social housing lettings)]])/SUM(Cons_Metrics[[#This Row],[Turnover from social housing lettings]]),"")</f>
        <v>0.23741198599200602</v>
      </c>
      <c r="BE201" s="32">
        <v>38371</v>
      </c>
      <c r="BF201" s="32">
        <v>161622</v>
      </c>
      <c r="BG201" s="34">
        <f>IFERROR(SUM(Cons_Metrics[[#This Row],[Operating surplus/(deficit) (overall)2]],-Cons_Metrics[[#This Row],[Gain/(loss) on disposal of fixed assets (housing properties)2]])/SUM(Cons_Metrics[[#This Row],[Turnover (overall)]]),"")</f>
        <v>0.11923651272026282</v>
      </c>
      <c r="BH201" s="32">
        <v>29023</v>
      </c>
      <c r="BI201" s="32">
        <v>7065</v>
      </c>
      <c r="BJ201" s="32">
        <v>184155</v>
      </c>
      <c r="BK201" s="34">
        <f>IFERROR(SUM(Cons_Metrics[[#This Row],[Operating surplus/(deficit) (overall)3]],Cons_Metrics[[#This Row],[Share of operating surplus/(deficit) in joint ventures or associates]])/SUM(Cons_Metrics[[#This Row],[Total assets less current liabilities]]),"")</f>
        <v>2.5727717927061848E-2</v>
      </c>
      <c r="BL201" s="32">
        <v>29023</v>
      </c>
      <c r="BM201" s="32">
        <v>129</v>
      </c>
      <c r="BN201" s="32">
        <v>1133097</v>
      </c>
      <c r="BO201" s="34">
        <v>1.2488238816183389E-2</v>
      </c>
      <c r="BP201" s="34">
        <v>2.4634334103156273E-2</v>
      </c>
      <c r="BQ201" s="6" t="s">
        <v>93</v>
      </c>
      <c r="BR201" s="6">
        <v>2001</v>
      </c>
      <c r="BS201" s="6" t="s">
        <v>94</v>
      </c>
      <c r="BT201" s="6" t="s">
        <v>108</v>
      </c>
      <c r="BU201" s="8">
        <v>0.9341564271704772</v>
      </c>
    </row>
    <row r="202" spans="1:73" x14ac:dyDescent="0.25">
      <c r="A202" s="33" t="s">
        <v>493</v>
      </c>
      <c r="B202" s="7" t="s">
        <v>494</v>
      </c>
      <c r="C202" s="7" t="s">
        <v>81</v>
      </c>
      <c r="D20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0.12235957897779276</v>
      </c>
      <c r="E202" s="32">
        <v>23561</v>
      </c>
      <c r="F202" s="32">
        <v>11224</v>
      </c>
      <c r="G202" s="32">
        <v>5856</v>
      </c>
      <c r="H202" s="32">
        <v>0</v>
      </c>
      <c r="I202" s="32">
        <v>0</v>
      </c>
      <c r="J202" s="32">
        <v>332144</v>
      </c>
      <c r="K202" s="32">
        <v>0</v>
      </c>
      <c r="L20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5.8983868805576661E-3</v>
      </c>
      <c r="M202" s="32">
        <v>132</v>
      </c>
      <c r="N202" s="32">
        <v>0</v>
      </c>
      <c r="O202" s="32">
        <v>21732</v>
      </c>
      <c r="P202" s="32">
        <v>647</v>
      </c>
      <c r="Q20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4.4664790745455355E-4</v>
      </c>
      <c r="R202" s="32">
        <v>0</v>
      </c>
      <c r="S202" s="32">
        <v>0</v>
      </c>
      <c r="T202" s="32">
        <v>10</v>
      </c>
      <c r="U202" s="32">
        <v>21732</v>
      </c>
      <c r="V202" s="32">
        <v>10</v>
      </c>
      <c r="W202" s="32">
        <v>647</v>
      </c>
      <c r="X202" s="32">
        <v>0</v>
      </c>
      <c r="Y20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0.22508309648827016</v>
      </c>
      <c r="Z202" s="32">
        <v>423</v>
      </c>
      <c r="AA202" s="32">
        <v>120818</v>
      </c>
      <c r="AB202" s="32">
        <v>46481</v>
      </c>
      <c r="AC202" s="32">
        <v>0</v>
      </c>
      <c r="AD202" s="32">
        <v>0</v>
      </c>
      <c r="AE202" s="32">
        <v>332144</v>
      </c>
      <c r="AF202" s="32">
        <v>0</v>
      </c>
      <c r="AG20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5.3262147570485903</v>
      </c>
      <c r="AH202" s="32">
        <v>41881</v>
      </c>
      <c r="AI202" s="32">
        <v>3495</v>
      </c>
      <c r="AJ202" s="32">
        <v>216</v>
      </c>
      <c r="AK202" s="32">
        <v>0</v>
      </c>
      <c r="AL202" s="32">
        <v>38</v>
      </c>
      <c r="AM202" s="32">
        <v>5856</v>
      </c>
      <c r="AN202" s="32">
        <v>12042</v>
      </c>
      <c r="AO202" s="32">
        <v>0</v>
      </c>
      <c r="AP202" s="32">
        <v>-8335</v>
      </c>
      <c r="AQ20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2.6849754710925682</v>
      </c>
      <c r="AR202" s="32">
        <v>20940</v>
      </c>
      <c r="AS202" s="32">
        <v>4433</v>
      </c>
      <c r="AT202" s="32">
        <v>11868</v>
      </c>
      <c r="AU202" s="32">
        <v>5137</v>
      </c>
      <c r="AV202" s="32">
        <v>6093</v>
      </c>
      <c r="AW202" s="32">
        <v>5856</v>
      </c>
      <c r="AX202" s="32">
        <v>1554</v>
      </c>
      <c r="AY202" s="32">
        <v>0</v>
      </c>
      <c r="AZ202" s="32">
        <v>2402</v>
      </c>
      <c r="BA202" s="32">
        <v>0</v>
      </c>
      <c r="BB202" s="32">
        <v>279</v>
      </c>
      <c r="BC202" s="32">
        <v>21811</v>
      </c>
      <c r="BD202" s="34">
        <f>IFERROR(SUM(Cons_Metrics[[#This Row],[Operating surplus/(deficit) (social housing lettings)]])/SUM(Cons_Metrics[[#This Row],[Turnover from social housing lettings]]),"")</f>
        <v>0.37511760584526072</v>
      </c>
      <c r="BE202" s="32">
        <v>37478</v>
      </c>
      <c r="BF202" s="32">
        <v>99910</v>
      </c>
      <c r="BG202" s="34">
        <f>IFERROR(SUM(Cons_Metrics[[#This Row],[Operating surplus/(deficit) (overall)2]],-Cons_Metrics[[#This Row],[Gain/(loss) on disposal of fixed assets (housing properties)2]])/SUM(Cons_Metrics[[#This Row],[Turnover (overall)]]),"")</f>
        <v>0.34155499795348176</v>
      </c>
      <c r="BH202" s="32">
        <v>41881</v>
      </c>
      <c r="BI202" s="32">
        <v>3495</v>
      </c>
      <c r="BJ202" s="32">
        <v>112386</v>
      </c>
      <c r="BK202" s="34">
        <f>IFERROR(SUM(Cons_Metrics[[#This Row],[Operating surplus/(deficit) (overall)3]],Cons_Metrics[[#This Row],[Share of operating surplus/(deficit) in joint ventures or associates]])/SUM(Cons_Metrics[[#This Row],[Total assets less current liabilities]]),"")</f>
        <v>0.10378410324028894</v>
      </c>
      <c r="BL202" s="32">
        <v>41881</v>
      </c>
      <c r="BM202" s="32">
        <v>-86</v>
      </c>
      <c r="BN202" s="32">
        <v>402711</v>
      </c>
      <c r="BO202" s="34">
        <v>3.819252714890484E-3</v>
      </c>
      <c r="BP202" s="34">
        <v>0.12759985275170255</v>
      </c>
      <c r="BQ202" s="6" t="s">
        <v>93</v>
      </c>
      <c r="BR202" s="6">
        <v>2002</v>
      </c>
      <c r="BS202" s="6" t="s">
        <v>94</v>
      </c>
      <c r="BT202" s="6" t="s">
        <v>105</v>
      </c>
      <c r="BU202" s="8">
        <v>0.9156653862445665</v>
      </c>
    </row>
    <row r="203" spans="1:73" x14ac:dyDescent="0.25">
      <c r="A203" s="33" t="s">
        <v>495</v>
      </c>
      <c r="B203" s="7" t="s">
        <v>496</v>
      </c>
      <c r="C203" s="7" t="s">
        <v>81</v>
      </c>
      <c r="D20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1.0963431186765198E-2</v>
      </c>
      <c r="E203" s="32">
        <v>158</v>
      </c>
      <c r="F203" s="32">
        <v>0</v>
      </c>
      <c r="G203" s="32">
        <v>1514</v>
      </c>
      <c r="H203" s="32">
        <v>0</v>
      </c>
      <c r="I203" s="32">
        <v>0</v>
      </c>
      <c r="J203" s="32">
        <v>152507</v>
      </c>
      <c r="K203" s="32">
        <v>0</v>
      </c>
      <c r="L20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203" s="32">
        <v>0</v>
      </c>
      <c r="N203" s="32">
        <v>0</v>
      </c>
      <c r="O203" s="32">
        <v>2072</v>
      </c>
      <c r="P203" s="32">
        <v>1121</v>
      </c>
      <c r="Q20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3" s="32">
        <v>0</v>
      </c>
      <c r="S203" s="32">
        <v>0</v>
      </c>
      <c r="T203" s="32">
        <v>0</v>
      </c>
      <c r="U203" s="32">
        <v>2072</v>
      </c>
      <c r="V203" s="32">
        <v>0</v>
      </c>
      <c r="W203" s="32">
        <v>1121</v>
      </c>
      <c r="X203" s="32">
        <v>0</v>
      </c>
      <c r="Y20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0.2803740156189552</v>
      </c>
      <c r="Z203" s="32">
        <v>0</v>
      </c>
      <c r="AA203" s="32">
        <v>56624</v>
      </c>
      <c r="AB203" s="32">
        <v>13865</v>
      </c>
      <c r="AC203" s="32">
        <v>0</v>
      </c>
      <c r="AD203" s="32">
        <v>0</v>
      </c>
      <c r="AE203" s="32">
        <v>152507</v>
      </c>
      <c r="AF203" s="32">
        <v>0</v>
      </c>
      <c r="AG20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1.3379434756464221</v>
      </c>
      <c r="AH203" s="32">
        <v>4199</v>
      </c>
      <c r="AI203" s="32">
        <v>822</v>
      </c>
      <c r="AJ203" s="32">
        <v>60</v>
      </c>
      <c r="AK203" s="32">
        <v>0</v>
      </c>
      <c r="AL203" s="32">
        <v>21</v>
      </c>
      <c r="AM203" s="32">
        <v>1514</v>
      </c>
      <c r="AN203" s="32">
        <v>2626</v>
      </c>
      <c r="AO203" s="32">
        <v>0</v>
      </c>
      <c r="AP203" s="32">
        <v>-3326</v>
      </c>
      <c r="AQ20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6.6626447876447878</v>
      </c>
      <c r="AR203" s="32">
        <v>2463</v>
      </c>
      <c r="AS203" s="32">
        <v>3317</v>
      </c>
      <c r="AT203" s="32">
        <v>2371</v>
      </c>
      <c r="AU203" s="32">
        <v>3407</v>
      </c>
      <c r="AV203" s="32">
        <v>0</v>
      </c>
      <c r="AW203" s="32">
        <v>1514</v>
      </c>
      <c r="AX203" s="32">
        <v>0</v>
      </c>
      <c r="AY203" s="32">
        <v>266</v>
      </c>
      <c r="AZ203" s="32">
        <v>467</v>
      </c>
      <c r="BA203" s="32">
        <v>0</v>
      </c>
      <c r="BB203" s="32">
        <v>0</v>
      </c>
      <c r="BC203" s="32">
        <v>2072</v>
      </c>
      <c r="BD203" s="34">
        <f>IFERROR(SUM(Cons_Metrics[[#This Row],[Operating surplus/(deficit) (social housing lettings)]])/SUM(Cons_Metrics[[#This Row],[Turnover from social housing lettings]]),"")</f>
        <v>0.20258094518397954</v>
      </c>
      <c r="BE203" s="32">
        <v>3485</v>
      </c>
      <c r="BF203" s="32">
        <v>17203</v>
      </c>
      <c r="BG203" s="34">
        <f>IFERROR(SUM(Cons_Metrics[[#This Row],[Operating surplus/(deficit) (overall)2]],-Cons_Metrics[[#This Row],[Gain/(loss) on disposal of fixed assets (housing properties)2]])/SUM(Cons_Metrics[[#This Row],[Turnover (overall)]]),"")</f>
        <v>0.1836523819882532</v>
      </c>
      <c r="BH203" s="32">
        <v>4199</v>
      </c>
      <c r="BI203" s="32">
        <v>822</v>
      </c>
      <c r="BJ203" s="32">
        <v>18388</v>
      </c>
      <c r="BK203" s="34">
        <f>IFERROR(SUM(Cons_Metrics[[#This Row],[Operating surplus/(deficit) (overall)3]],Cons_Metrics[[#This Row],[Share of operating surplus/(deficit) in joint ventures or associates]])/SUM(Cons_Metrics[[#This Row],[Total assets less current liabilities]]),"")</f>
        <v>2.4085259178955942E-2</v>
      </c>
      <c r="BL203" s="32">
        <v>4199</v>
      </c>
      <c r="BM203" s="32">
        <v>0</v>
      </c>
      <c r="BN203" s="32">
        <v>174339</v>
      </c>
      <c r="BO203" s="34">
        <v>0</v>
      </c>
      <c r="BP203" s="34">
        <v>0</v>
      </c>
      <c r="BQ203" s="6" t="s">
        <v>93</v>
      </c>
      <c r="BR203" s="6">
        <v>2000</v>
      </c>
      <c r="BS203" s="6" t="s">
        <v>94</v>
      </c>
      <c r="BT203" s="6" t="s">
        <v>156</v>
      </c>
      <c r="BU203" s="8">
        <v>1.2488627787394371</v>
      </c>
    </row>
    <row r="204" spans="1:73" x14ac:dyDescent="0.25">
      <c r="A204" s="33" t="s">
        <v>497</v>
      </c>
      <c r="B204" s="7" t="s">
        <v>498</v>
      </c>
      <c r="C204" s="7" t="s">
        <v>81</v>
      </c>
      <c r="D20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2.0608393640945688E-2</v>
      </c>
      <c r="E204" s="32">
        <v>11254</v>
      </c>
      <c r="F204" s="32">
        <v>0</v>
      </c>
      <c r="G204" s="32">
        <v>4132</v>
      </c>
      <c r="H204" s="32">
        <v>0</v>
      </c>
      <c r="I204" s="32">
        <v>0</v>
      </c>
      <c r="J204" s="32">
        <v>746589</v>
      </c>
      <c r="K204" s="32">
        <v>0</v>
      </c>
      <c r="L20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5.473828258638385E-3</v>
      </c>
      <c r="M204" s="32">
        <v>48</v>
      </c>
      <c r="N204" s="32">
        <v>0</v>
      </c>
      <c r="O204" s="32">
        <v>8769</v>
      </c>
      <c r="P204" s="32">
        <v>0</v>
      </c>
      <c r="Q20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4" s="32">
        <v>0</v>
      </c>
      <c r="S204" s="32">
        <v>0</v>
      </c>
      <c r="T204" s="32">
        <v>0</v>
      </c>
      <c r="U204" s="32">
        <v>8769</v>
      </c>
      <c r="V204" s="32">
        <v>0</v>
      </c>
      <c r="W204" s="32">
        <v>0</v>
      </c>
      <c r="X204" s="32">
        <v>0</v>
      </c>
      <c r="Y20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0.49664139171619193</v>
      </c>
      <c r="Z204" s="32">
        <v>0</v>
      </c>
      <c r="AA204" s="32">
        <v>383272</v>
      </c>
      <c r="AB204" s="32">
        <v>12485</v>
      </c>
      <c r="AC204" s="32">
        <v>0</v>
      </c>
      <c r="AD204" s="32">
        <v>0</v>
      </c>
      <c r="AE204" s="32">
        <v>746589</v>
      </c>
      <c r="AF204" s="32">
        <v>0</v>
      </c>
      <c r="AG20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1.733646831856273</v>
      </c>
      <c r="AH204" s="32">
        <v>33392</v>
      </c>
      <c r="AI204" s="32">
        <v>6543</v>
      </c>
      <c r="AJ204" s="32">
        <v>86</v>
      </c>
      <c r="AK204" s="32">
        <v>0</v>
      </c>
      <c r="AL204" s="32">
        <v>42</v>
      </c>
      <c r="AM204" s="32">
        <v>4132</v>
      </c>
      <c r="AN204" s="32">
        <v>6083</v>
      </c>
      <c r="AO204" s="32">
        <v>-290</v>
      </c>
      <c r="AP204" s="32">
        <v>-16297</v>
      </c>
      <c r="AQ20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3.0368343026570876</v>
      </c>
      <c r="AR204" s="32">
        <v>9145</v>
      </c>
      <c r="AS204" s="32">
        <v>2786</v>
      </c>
      <c r="AT204" s="32">
        <v>4504</v>
      </c>
      <c r="AU204" s="32">
        <v>4365</v>
      </c>
      <c r="AV204" s="32">
        <v>1473</v>
      </c>
      <c r="AW204" s="32">
        <v>4132</v>
      </c>
      <c r="AX204" s="32">
        <v>225</v>
      </c>
      <c r="AY204" s="32">
        <v>0</v>
      </c>
      <c r="AZ204" s="32">
        <v>0</v>
      </c>
      <c r="BA204" s="32">
        <v>0</v>
      </c>
      <c r="BB204" s="32">
        <v>0</v>
      </c>
      <c r="BC204" s="32">
        <v>8769</v>
      </c>
      <c r="BD204" s="34">
        <f>IFERROR(SUM(Cons_Metrics[[#This Row],[Operating surplus/(deficit) (social housing lettings)]])/SUM(Cons_Metrics[[#This Row],[Turnover from social housing lettings]]),"")</f>
        <v>0.45618537104622869</v>
      </c>
      <c r="BE204" s="32">
        <v>23999</v>
      </c>
      <c r="BF204" s="32">
        <v>52608</v>
      </c>
      <c r="BG204" s="34">
        <f>IFERROR(SUM(Cons_Metrics[[#This Row],[Operating surplus/(deficit) (overall)2]],-Cons_Metrics[[#This Row],[Gain/(loss) on disposal of fixed assets (housing properties)2]])/SUM(Cons_Metrics[[#This Row],[Turnover (overall)]]),"")</f>
        <v>0.44989024615023709</v>
      </c>
      <c r="BH204" s="32">
        <v>33392</v>
      </c>
      <c r="BI204" s="32">
        <v>6543</v>
      </c>
      <c r="BJ204" s="32">
        <v>59679</v>
      </c>
      <c r="BK204" s="34">
        <f>IFERROR(SUM(Cons_Metrics[[#This Row],[Operating surplus/(deficit) (overall)3]],Cons_Metrics[[#This Row],[Share of operating surplus/(deficit) in joint ventures or associates]])/SUM(Cons_Metrics[[#This Row],[Total assets less current liabilities]]),"")</f>
        <v>4.20944882088286E-2</v>
      </c>
      <c r="BL204" s="32">
        <v>33392</v>
      </c>
      <c r="BM204" s="32">
        <v>0</v>
      </c>
      <c r="BN204" s="32">
        <v>793263</v>
      </c>
      <c r="BO204" s="34">
        <v>5.017675903751853E-3</v>
      </c>
      <c r="BP204" s="34">
        <v>4.2764283270612387E-2</v>
      </c>
      <c r="BQ204" s="6" t="s">
        <v>93</v>
      </c>
      <c r="BR204" s="6">
        <v>1992</v>
      </c>
      <c r="BS204" s="6" t="s">
        <v>94</v>
      </c>
      <c r="BT204" s="6" t="s">
        <v>84</v>
      </c>
      <c r="BU204" s="8">
        <v>1.0118524159776632</v>
      </c>
    </row>
    <row r="205" spans="1:73" x14ac:dyDescent="0.25">
      <c r="A205" s="33" t="s">
        <v>499</v>
      </c>
      <c r="B205" s="7" t="s">
        <v>500</v>
      </c>
      <c r="C205" s="7" t="s">
        <v>81</v>
      </c>
      <c r="D20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5.6247759998313412E-2</v>
      </c>
      <c r="E205" s="32">
        <v>5043</v>
      </c>
      <c r="F205" s="32">
        <v>0</v>
      </c>
      <c r="G205" s="32">
        <v>5516</v>
      </c>
      <c r="H205" s="32">
        <v>113</v>
      </c>
      <c r="I205" s="32">
        <v>0</v>
      </c>
      <c r="J205" s="32">
        <v>189732</v>
      </c>
      <c r="K205" s="32">
        <v>0</v>
      </c>
      <c r="L20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9.0090090090090089E-3</v>
      </c>
      <c r="M205" s="32">
        <v>84</v>
      </c>
      <c r="N205" s="32">
        <v>0</v>
      </c>
      <c r="O205" s="32">
        <v>8926</v>
      </c>
      <c r="P205" s="32">
        <v>398</v>
      </c>
      <c r="Q20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5.4697554697554695E-3</v>
      </c>
      <c r="R205" s="32">
        <v>0</v>
      </c>
      <c r="S205" s="32">
        <v>0</v>
      </c>
      <c r="T205" s="32">
        <v>51</v>
      </c>
      <c r="U205" s="32">
        <v>8926</v>
      </c>
      <c r="V205" s="32">
        <v>0</v>
      </c>
      <c r="W205" s="32">
        <v>398</v>
      </c>
      <c r="X205" s="32">
        <v>0</v>
      </c>
      <c r="Y20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0.82876372989269076</v>
      </c>
      <c r="Z205" s="32">
        <v>13000</v>
      </c>
      <c r="AA205" s="32">
        <v>149087</v>
      </c>
      <c r="AB205" s="32">
        <v>4844</v>
      </c>
      <c r="AC205" s="32">
        <v>0</v>
      </c>
      <c r="AD205" s="32">
        <v>0</v>
      </c>
      <c r="AE205" s="32">
        <v>189732</v>
      </c>
      <c r="AF205" s="32">
        <v>0</v>
      </c>
      <c r="AG20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2.1505484988452657</v>
      </c>
      <c r="AH205" s="32">
        <v>13171</v>
      </c>
      <c r="AI205" s="32">
        <v>3567</v>
      </c>
      <c r="AJ205" s="32">
        <v>235</v>
      </c>
      <c r="AK205" s="32">
        <v>0</v>
      </c>
      <c r="AL205" s="32">
        <v>401</v>
      </c>
      <c r="AM205" s="32">
        <v>5516</v>
      </c>
      <c r="AN205" s="32">
        <v>10645</v>
      </c>
      <c r="AO205" s="32">
        <v>-113</v>
      </c>
      <c r="AP205" s="32">
        <v>-6815</v>
      </c>
      <c r="AQ20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3.7795205019045484</v>
      </c>
      <c r="AR205" s="32">
        <v>11043</v>
      </c>
      <c r="AS205" s="32">
        <v>4127</v>
      </c>
      <c r="AT205" s="32">
        <v>4326</v>
      </c>
      <c r="AU205" s="32">
        <v>3240</v>
      </c>
      <c r="AV205" s="32">
        <v>126</v>
      </c>
      <c r="AW205" s="32">
        <v>5516</v>
      </c>
      <c r="AX205" s="32">
        <v>3569</v>
      </c>
      <c r="AY205" s="32">
        <v>0</v>
      </c>
      <c r="AZ205" s="32">
        <v>1074</v>
      </c>
      <c r="BA205" s="32">
        <v>65</v>
      </c>
      <c r="BB205" s="32">
        <v>650</v>
      </c>
      <c r="BC205" s="32">
        <v>8926</v>
      </c>
      <c r="BD205" s="34">
        <f>IFERROR(SUM(Cons_Metrics[[#This Row],[Operating surplus/(deficit) (social housing lettings)]])/SUM(Cons_Metrics[[#This Row],[Turnover from social housing lettings]]),"")</f>
        <v>0.19716327414465137</v>
      </c>
      <c r="BE205" s="32">
        <v>9105</v>
      </c>
      <c r="BF205" s="32">
        <v>46180</v>
      </c>
      <c r="BG205" s="34">
        <f>IFERROR(SUM(Cons_Metrics[[#This Row],[Operating surplus/(deficit) (overall)2]],-Cons_Metrics[[#This Row],[Gain/(loss) on disposal of fixed assets (housing properties)2]])/SUM(Cons_Metrics[[#This Row],[Turnover (overall)]]),"")</f>
        <v>0.15037264357737834</v>
      </c>
      <c r="BH205" s="32">
        <v>13171</v>
      </c>
      <c r="BI205" s="32">
        <v>3567</v>
      </c>
      <c r="BJ205" s="32">
        <v>63868</v>
      </c>
      <c r="BK205" s="34">
        <f>IFERROR(SUM(Cons_Metrics[[#This Row],[Operating surplus/(deficit) (overall)3]],Cons_Metrics[[#This Row],[Share of operating surplus/(deficit) in joint ventures or associates]])/SUM(Cons_Metrics[[#This Row],[Total assets less current liabilities]]),"")</f>
        <v>6.5013386699840442E-2</v>
      </c>
      <c r="BL205" s="32">
        <v>13171</v>
      </c>
      <c r="BM205" s="32">
        <v>1253</v>
      </c>
      <c r="BN205" s="32">
        <v>221862</v>
      </c>
      <c r="BO205" s="34">
        <v>2.2406453058480841E-3</v>
      </c>
      <c r="BP205" s="34">
        <v>0.28512211516916874</v>
      </c>
      <c r="BQ205" s="6" t="s">
        <v>93</v>
      </c>
      <c r="BR205" s="6">
        <v>2005</v>
      </c>
      <c r="BS205" s="6" t="s">
        <v>94</v>
      </c>
      <c r="BT205" s="6" t="s">
        <v>105</v>
      </c>
      <c r="BU205" s="8">
        <v>0.9156653862445665</v>
      </c>
    </row>
    <row r="206" spans="1:73" x14ac:dyDescent="0.25">
      <c r="A206" s="33" t="s">
        <v>501</v>
      </c>
      <c r="B206" s="7" t="s">
        <v>502</v>
      </c>
      <c r="C206" s="7" t="s">
        <v>81</v>
      </c>
      <c r="D20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0.13367937764720605</v>
      </c>
      <c r="E206" s="32">
        <v>16811</v>
      </c>
      <c r="F206" s="32">
        <v>0</v>
      </c>
      <c r="G206" s="32">
        <v>3483</v>
      </c>
      <c r="H206" s="32">
        <v>0</v>
      </c>
      <c r="I206" s="32">
        <v>0</v>
      </c>
      <c r="J206" s="32">
        <v>151811</v>
      </c>
      <c r="K206" s="32">
        <v>0</v>
      </c>
      <c r="L20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2.8580552450902123E-2</v>
      </c>
      <c r="M206" s="32">
        <v>179</v>
      </c>
      <c r="N206" s="32">
        <v>0</v>
      </c>
      <c r="O206" s="32">
        <v>5980</v>
      </c>
      <c r="P206" s="32">
        <v>283</v>
      </c>
      <c r="Q20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6" s="32">
        <v>0</v>
      </c>
      <c r="S206" s="32">
        <v>0</v>
      </c>
      <c r="T206" s="32">
        <v>0</v>
      </c>
      <c r="U206" s="32">
        <v>5980</v>
      </c>
      <c r="V206" s="32">
        <v>0</v>
      </c>
      <c r="W206" s="32">
        <v>283</v>
      </c>
      <c r="X206" s="32">
        <v>0</v>
      </c>
      <c r="Y20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0.79701075679627953</v>
      </c>
      <c r="Z206" s="32">
        <v>181</v>
      </c>
      <c r="AA206" s="32">
        <v>124851</v>
      </c>
      <c r="AB206" s="32">
        <v>4037</v>
      </c>
      <c r="AC206" s="32">
        <v>0</v>
      </c>
      <c r="AD206" s="32">
        <v>0</v>
      </c>
      <c r="AE206" s="32">
        <v>151811</v>
      </c>
      <c r="AF206" s="32">
        <v>0</v>
      </c>
      <c r="AG20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2.5857438016528924</v>
      </c>
      <c r="AH206" s="32">
        <v>10163</v>
      </c>
      <c r="AI206" s="32">
        <v>1068</v>
      </c>
      <c r="AJ206" s="32">
        <v>309</v>
      </c>
      <c r="AK206" s="32">
        <v>0</v>
      </c>
      <c r="AL206" s="32">
        <v>7</v>
      </c>
      <c r="AM206" s="32">
        <v>3483</v>
      </c>
      <c r="AN206" s="32">
        <v>4702</v>
      </c>
      <c r="AO206" s="32">
        <v>0</v>
      </c>
      <c r="AP206" s="32">
        <v>-3872</v>
      </c>
      <c r="AQ20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2.9262541806020068</v>
      </c>
      <c r="AR206" s="32">
        <v>4682</v>
      </c>
      <c r="AS206" s="32">
        <v>1354</v>
      </c>
      <c r="AT206" s="32">
        <v>1920</v>
      </c>
      <c r="AU206" s="32">
        <v>3990</v>
      </c>
      <c r="AV206" s="32">
        <v>856</v>
      </c>
      <c r="AW206" s="32">
        <v>3483</v>
      </c>
      <c r="AX206" s="32">
        <v>80</v>
      </c>
      <c r="AY206" s="32">
        <v>670</v>
      </c>
      <c r="AZ206" s="32">
        <v>0</v>
      </c>
      <c r="BA206" s="32">
        <v>0</v>
      </c>
      <c r="BB206" s="32">
        <v>464</v>
      </c>
      <c r="BC206" s="32">
        <v>5980</v>
      </c>
      <c r="BD206" s="34">
        <f>IFERROR(SUM(Cons_Metrics[[#This Row],[Operating surplus/(deficit) (social housing lettings)]])/SUM(Cons_Metrics[[#This Row],[Turnover from social housing lettings]]),"")</f>
        <v>0.33875014041262591</v>
      </c>
      <c r="BE206" s="32">
        <v>9047</v>
      </c>
      <c r="BF206" s="32">
        <v>26707</v>
      </c>
      <c r="BG206" s="34">
        <f>IFERROR(SUM(Cons_Metrics[[#This Row],[Operating surplus/(deficit) (overall)2]],-Cons_Metrics[[#This Row],[Gain/(loss) on disposal of fixed assets (housing properties)2]])/SUM(Cons_Metrics[[#This Row],[Turnover (overall)]]),"")</f>
        <v>0.31389128559102675</v>
      </c>
      <c r="BH206" s="32">
        <v>10163</v>
      </c>
      <c r="BI206" s="32">
        <v>1068</v>
      </c>
      <c r="BJ206" s="32">
        <v>28975</v>
      </c>
      <c r="BK206" s="34">
        <f>IFERROR(SUM(Cons_Metrics[[#This Row],[Operating surplus/(deficit) (overall)3]],Cons_Metrics[[#This Row],[Share of operating surplus/(deficit) in joint ventures or associates]])/SUM(Cons_Metrics[[#This Row],[Total assets less current liabilities]]),"")</f>
        <v>5.4890036294503973E-2</v>
      </c>
      <c r="BL206" s="32">
        <v>10163</v>
      </c>
      <c r="BM206" s="32">
        <v>0</v>
      </c>
      <c r="BN206" s="32">
        <v>185152</v>
      </c>
      <c r="BO206" s="34">
        <v>3.3444816053511704E-4</v>
      </c>
      <c r="BP206" s="34">
        <v>3.1438127090301006E-2</v>
      </c>
      <c r="BQ206" s="6" t="s">
        <v>93</v>
      </c>
      <c r="BR206" s="6">
        <v>2001</v>
      </c>
      <c r="BS206" s="6" t="s">
        <v>94</v>
      </c>
      <c r="BT206" s="6" t="s">
        <v>90</v>
      </c>
      <c r="BU206" s="8">
        <v>0.91596616442767542</v>
      </c>
    </row>
    <row r="207" spans="1:73" x14ac:dyDescent="0.25">
      <c r="A207" s="33" t="s">
        <v>503</v>
      </c>
      <c r="B207" s="7" t="s">
        <v>504</v>
      </c>
      <c r="C207" s="7" t="s">
        <v>81</v>
      </c>
      <c r="D20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4.3741223343457106E-2</v>
      </c>
      <c r="E207" s="32">
        <v>5770</v>
      </c>
      <c r="F207" s="32">
        <v>0</v>
      </c>
      <c r="G207" s="32">
        <v>927</v>
      </c>
      <c r="H207" s="32">
        <v>0</v>
      </c>
      <c r="I207" s="32">
        <v>0</v>
      </c>
      <c r="J207" s="32">
        <v>153105</v>
      </c>
      <c r="K207" s="32">
        <v>0</v>
      </c>
      <c r="L20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6.2073246430788334E-3</v>
      </c>
      <c r="M207" s="32">
        <v>20</v>
      </c>
      <c r="N207" s="32">
        <v>0</v>
      </c>
      <c r="O207" s="32">
        <v>3222</v>
      </c>
      <c r="P207" s="32">
        <v>0</v>
      </c>
      <c r="Q20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7" s="32">
        <v>0</v>
      </c>
      <c r="S207" s="32">
        <v>0</v>
      </c>
      <c r="T207" s="32">
        <v>0</v>
      </c>
      <c r="U207" s="32">
        <v>3222</v>
      </c>
      <c r="V207" s="32">
        <v>18</v>
      </c>
      <c r="W207" s="32">
        <v>0</v>
      </c>
      <c r="X207" s="32">
        <v>0</v>
      </c>
      <c r="Y20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0.48357009895169983</v>
      </c>
      <c r="Z207" s="32">
        <v>3205</v>
      </c>
      <c r="AA207" s="32">
        <v>78115</v>
      </c>
      <c r="AB207" s="32">
        <v>7283</v>
      </c>
      <c r="AC207" s="32">
        <v>0</v>
      </c>
      <c r="AD207" s="32">
        <v>0</v>
      </c>
      <c r="AE207" s="32">
        <v>153105</v>
      </c>
      <c r="AF207" s="32">
        <v>0</v>
      </c>
      <c r="AG20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2.3279421885753613</v>
      </c>
      <c r="AH207" s="32">
        <v>5420</v>
      </c>
      <c r="AI207" s="32">
        <v>120</v>
      </c>
      <c r="AJ207" s="32">
        <v>919</v>
      </c>
      <c r="AK207" s="32">
        <v>0</v>
      </c>
      <c r="AL207" s="32">
        <v>3</v>
      </c>
      <c r="AM207" s="32">
        <v>998</v>
      </c>
      <c r="AN207" s="32">
        <v>3379</v>
      </c>
      <c r="AO207" s="32">
        <v>-55</v>
      </c>
      <c r="AP207" s="32">
        <v>-2851</v>
      </c>
      <c r="AQ20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7.3199875853507139</v>
      </c>
      <c r="AR207" s="32">
        <v>2250</v>
      </c>
      <c r="AS207" s="32">
        <v>4126</v>
      </c>
      <c r="AT207" s="32">
        <v>2245</v>
      </c>
      <c r="AU207" s="32">
        <v>844</v>
      </c>
      <c r="AV207" s="32">
        <v>0</v>
      </c>
      <c r="AW207" s="32">
        <v>998</v>
      </c>
      <c r="AX207" s="32">
        <v>0</v>
      </c>
      <c r="AY207" s="32">
        <v>0</v>
      </c>
      <c r="AZ207" s="32">
        <v>0</v>
      </c>
      <c r="BA207" s="32">
        <v>13122</v>
      </c>
      <c r="BB207" s="32">
        <v>0</v>
      </c>
      <c r="BC207" s="32">
        <v>3222</v>
      </c>
      <c r="BD207" s="34">
        <f>IFERROR(SUM(Cons_Metrics[[#This Row],[Operating surplus/(deficit) (social housing lettings)]])/SUM(Cons_Metrics[[#This Row],[Turnover from social housing lettings]]),"")</f>
        <v>0.2905102210403856</v>
      </c>
      <c r="BE207" s="32">
        <v>5244</v>
      </c>
      <c r="BF207" s="32">
        <v>18051</v>
      </c>
      <c r="BG207" s="34">
        <f>IFERROR(SUM(Cons_Metrics[[#This Row],[Operating surplus/(deficit) (overall)2]],-Cons_Metrics[[#This Row],[Gain/(loss) on disposal of fixed assets (housing properties)2]])/SUM(Cons_Metrics[[#This Row],[Turnover (overall)]]),"")</f>
        <v>0.16223827598873516</v>
      </c>
      <c r="BH207" s="32">
        <v>5420</v>
      </c>
      <c r="BI207" s="32">
        <v>120</v>
      </c>
      <c r="BJ207" s="32">
        <v>32668</v>
      </c>
      <c r="BK207" s="34">
        <f>IFERROR(SUM(Cons_Metrics[[#This Row],[Operating surplus/(deficit) (overall)3]],Cons_Metrics[[#This Row],[Share of operating surplus/(deficit) in joint ventures or associates]])/SUM(Cons_Metrics[[#This Row],[Total assets less current liabilities]]),"")</f>
        <v>3.4014672749979602E-2</v>
      </c>
      <c r="BL207" s="32">
        <v>5420</v>
      </c>
      <c r="BM207" s="32">
        <v>0</v>
      </c>
      <c r="BN207" s="32">
        <v>159343</v>
      </c>
      <c r="BO207" s="34">
        <v>0.11509562841530055</v>
      </c>
      <c r="BP207" s="34">
        <v>0</v>
      </c>
      <c r="BQ207" s="6" t="s">
        <v>82</v>
      </c>
      <c r="BR207" s="6" t="s">
        <v>83</v>
      </c>
      <c r="BS207" s="6" t="s">
        <v>83</v>
      </c>
      <c r="BT207" s="6" t="s">
        <v>90</v>
      </c>
      <c r="BU207" s="8">
        <v>0.91628629923190974</v>
      </c>
    </row>
    <row r="208" spans="1:73" x14ac:dyDescent="0.25">
      <c r="A208" s="33" t="s">
        <v>505</v>
      </c>
      <c r="B208" s="7" t="s">
        <v>506</v>
      </c>
      <c r="C208" s="7" t="s">
        <v>81</v>
      </c>
      <c r="D20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4.1493829387061039E-2</v>
      </c>
      <c r="E208" s="32">
        <v>2585</v>
      </c>
      <c r="F208" s="32">
        <v>0</v>
      </c>
      <c r="G208" s="32">
        <v>636</v>
      </c>
      <c r="H208" s="32">
        <v>32</v>
      </c>
      <c r="I208" s="32">
        <v>-32</v>
      </c>
      <c r="J208" s="32">
        <v>77626</v>
      </c>
      <c r="K208" s="32">
        <v>0</v>
      </c>
      <c r="L20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2.2539444027047332E-2</v>
      </c>
      <c r="M208" s="32">
        <v>30</v>
      </c>
      <c r="N208" s="32">
        <v>0</v>
      </c>
      <c r="O208" s="32">
        <v>1331</v>
      </c>
      <c r="P208" s="32">
        <v>0</v>
      </c>
      <c r="Q20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08" s="32">
        <v>0</v>
      </c>
      <c r="S208" s="32">
        <v>0</v>
      </c>
      <c r="T208" s="32">
        <v>0</v>
      </c>
      <c r="U208" s="32">
        <v>1331</v>
      </c>
      <c r="V208" s="32">
        <v>0</v>
      </c>
      <c r="W208" s="32">
        <v>0</v>
      </c>
      <c r="X208" s="32">
        <v>1</v>
      </c>
      <c r="Y20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0.50606755468528586</v>
      </c>
      <c r="Z208" s="32">
        <v>493</v>
      </c>
      <c r="AA208" s="32">
        <v>41439</v>
      </c>
      <c r="AB208" s="32">
        <v>2648</v>
      </c>
      <c r="AC208" s="32">
        <v>0</v>
      </c>
      <c r="AD208" s="32">
        <v>0</v>
      </c>
      <c r="AE208" s="32">
        <v>77626</v>
      </c>
      <c r="AF208" s="32">
        <v>0</v>
      </c>
      <c r="AG20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1.6022788931090612</v>
      </c>
      <c r="AH208" s="32">
        <v>2559</v>
      </c>
      <c r="AI208" s="32">
        <v>0</v>
      </c>
      <c r="AJ208" s="32">
        <v>382</v>
      </c>
      <c r="AK208" s="32">
        <v>0</v>
      </c>
      <c r="AL208" s="32">
        <v>0</v>
      </c>
      <c r="AM208" s="32">
        <v>636</v>
      </c>
      <c r="AN208" s="32">
        <v>1412</v>
      </c>
      <c r="AO208" s="32">
        <v>-33</v>
      </c>
      <c r="AP208" s="32">
        <v>-1810</v>
      </c>
      <c r="AQ20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3.4867841409691631</v>
      </c>
      <c r="AR208" s="32">
        <v>1473</v>
      </c>
      <c r="AS208" s="32">
        <v>926</v>
      </c>
      <c r="AT208" s="32">
        <v>1055</v>
      </c>
      <c r="AU208" s="32">
        <v>286</v>
      </c>
      <c r="AV208" s="32">
        <v>0</v>
      </c>
      <c r="AW208" s="32">
        <v>636</v>
      </c>
      <c r="AX208" s="32">
        <v>106</v>
      </c>
      <c r="AY208" s="32">
        <v>0</v>
      </c>
      <c r="AZ208" s="32">
        <v>0</v>
      </c>
      <c r="BA208" s="32">
        <v>207</v>
      </c>
      <c r="BB208" s="32">
        <v>60</v>
      </c>
      <c r="BC208" s="32">
        <v>1362</v>
      </c>
      <c r="BD208" s="34">
        <f>IFERROR(SUM(Cons_Metrics[[#This Row],[Operating surplus/(deficit) (social housing lettings)]])/SUM(Cons_Metrics[[#This Row],[Turnover from social housing lettings]]),"")</f>
        <v>0.32058899509170757</v>
      </c>
      <c r="BE208" s="32">
        <v>2482</v>
      </c>
      <c r="BF208" s="32">
        <v>7742</v>
      </c>
      <c r="BG208" s="34">
        <f>IFERROR(SUM(Cons_Metrics[[#This Row],[Operating surplus/(deficit) (overall)2]],-Cons_Metrics[[#This Row],[Gain/(loss) on disposal of fixed assets (housing properties)2]])/SUM(Cons_Metrics[[#This Row],[Turnover (overall)]]),"")</f>
        <v>0.30500595947556614</v>
      </c>
      <c r="BH208" s="32">
        <v>2559</v>
      </c>
      <c r="BI208" s="32">
        <v>0</v>
      </c>
      <c r="BJ208" s="32">
        <v>8390</v>
      </c>
      <c r="BK208" s="34">
        <f>IFERROR(SUM(Cons_Metrics[[#This Row],[Operating surplus/(deficit) (overall)3]],Cons_Metrics[[#This Row],[Share of operating surplus/(deficit) in joint ventures or associates]])/SUM(Cons_Metrics[[#This Row],[Total assets less current liabilities]]),"")</f>
        <v>3.2748074019093444E-2</v>
      </c>
      <c r="BL208" s="32">
        <v>2559</v>
      </c>
      <c r="BM208" s="32">
        <v>0</v>
      </c>
      <c r="BN208" s="32">
        <v>78142</v>
      </c>
      <c r="BO208" s="34">
        <v>7.0623591284748308E-2</v>
      </c>
      <c r="BP208" s="34">
        <v>4.2824943651389932E-2</v>
      </c>
      <c r="BQ208" s="6" t="s">
        <v>82</v>
      </c>
      <c r="BR208" s="6" t="s">
        <v>83</v>
      </c>
      <c r="BS208" s="6" t="s">
        <v>83</v>
      </c>
      <c r="BT208" s="6" t="s">
        <v>95</v>
      </c>
      <c r="BU208" s="8">
        <v>0.92038375847935383</v>
      </c>
    </row>
    <row r="209" spans="1:73" x14ac:dyDescent="0.25">
      <c r="A209" s="33" t="s">
        <v>507</v>
      </c>
      <c r="B209" s="7" t="s">
        <v>508</v>
      </c>
      <c r="C209" s="7" t="s">
        <v>81</v>
      </c>
      <c r="D20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0.12666552210619034</v>
      </c>
      <c r="E209" s="32">
        <v>14835</v>
      </c>
      <c r="F209" s="32">
        <v>0</v>
      </c>
      <c r="G209" s="32">
        <v>2134</v>
      </c>
      <c r="H209" s="32">
        <v>0</v>
      </c>
      <c r="I209" s="32">
        <v>0</v>
      </c>
      <c r="J209" s="32">
        <v>133967</v>
      </c>
      <c r="K209" s="32">
        <v>0</v>
      </c>
      <c r="L20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2.5738077214231644E-2</v>
      </c>
      <c r="M209" s="32">
        <v>102</v>
      </c>
      <c r="N209" s="32">
        <v>0</v>
      </c>
      <c r="O209" s="32">
        <v>3963</v>
      </c>
      <c r="P209" s="32">
        <v>0</v>
      </c>
      <c r="Q20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3.0280090840272521E-3</v>
      </c>
      <c r="R209" s="32">
        <v>0</v>
      </c>
      <c r="S209" s="32">
        <v>0</v>
      </c>
      <c r="T209" s="32">
        <v>12</v>
      </c>
      <c r="U209" s="32">
        <v>3963</v>
      </c>
      <c r="V209" s="32">
        <v>0</v>
      </c>
      <c r="W209" s="32">
        <v>0</v>
      </c>
      <c r="X209" s="32">
        <v>0</v>
      </c>
      <c r="Y20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0.57977710928810822</v>
      </c>
      <c r="Z209" s="32">
        <v>1073</v>
      </c>
      <c r="AA209" s="32">
        <v>112217</v>
      </c>
      <c r="AB209" s="32">
        <v>35619</v>
      </c>
      <c r="AC209" s="32">
        <v>0</v>
      </c>
      <c r="AD209" s="32">
        <v>0</v>
      </c>
      <c r="AE209" s="32">
        <v>133967</v>
      </c>
      <c r="AF209" s="32">
        <v>0</v>
      </c>
      <c r="AG20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2.5394394683617452</v>
      </c>
      <c r="AH209" s="32">
        <v>7974</v>
      </c>
      <c r="AI209" s="32">
        <v>1409</v>
      </c>
      <c r="AJ209" s="32">
        <v>370</v>
      </c>
      <c r="AK209" s="32">
        <v>0</v>
      </c>
      <c r="AL209" s="32">
        <v>2</v>
      </c>
      <c r="AM209" s="32">
        <v>2134</v>
      </c>
      <c r="AN209" s="32">
        <v>4726</v>
      </c>
      <c r="AO209" s="32">
        <v>-273</v>
      </c>
      <c r="AP209" s="32">
        <v>-3188</v>
      </c>
      <c r="AQ20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3.0683825384809489</v>
      </c>
      <c r="AR209" s="32">
        <v>4513</v>
      </c>
      <c r="AS209" s="32">
        <v>499</v>
      </c>
      <c r="AT209" s="32">
        <v>2203</v>
      </c>
      <c r="AU209" s="32">
        <v>2712</v>
      </c>
      <c r="AV209" s="32">
        <v>0</v>
      </c>
      <c r="AW209" s="32">
        <v>2134</v>
      </c>
      <c r="AX209" s="32">
        <v>73</v>
      </c>
      <c r="AY209" s="32">
        <v>0</v>
      </c>
      <c r="AZ209" s="32">
        <v>0</v>
      </c>
      <c r="BA209" s="32">
        <v>26</v>
      </c>
      <c r="BB209" s="32">
        <v>0</v>
      </c>
      <c r="BC209" s="32">
        <v>3963</v>
      </c>
      <c r="BD209" s="34">
        <f>IFERROR(SUM(Cons_Metrics[[#This Row],[Operating surplus/(deficit) (social housing lettings)]])/SUM(Cons_Metrics[[#This Row],[Turnover from social housing lettings]]),"")</f>
        <v>0.28082665875605656</v>
      </c>
      <c r="BE209" s="32">
        <v>5680</v>
      </c>
      <c r="BF209" s="32">
        <v>20226</v>
      </c>
      <c r="BG209" s="34">
        <f>IFERROR(SUM(Cons_Metrics[[#This Row],[Operating surplus/(deficit) (overall)2]],-Cons_Metrics[[#This Row],[Gain/(loss) on disposal of fixed assets (housing properties)2]])/SUM(Cons_Metrics[[#This Row],[Turnover (overall)]]),"")</f>
        <v>0.2654133818475844</v>
      </c>
      <c r="BH209" s="32">
        <v>7974</v>
      </c>
      <c r="BI209" s="32">
        <v>1409</v>
      </c>
      <c r="BJ209" s="32">
        <v>24735</v>
      </c>
      <c r="BK209" s="34">
        <f>IFERROR(SUM(Cons_Metrics[[#This Row],[Operating surplus/(deficit) (overall)3]],Cons_Metrics[[#This Row],[Share of operating surplus/(deficit) in joint ventures or associates]])/SUM(Cons_Metrics[[#This Row],[Total assets less current liabilities]]),"")</f>
        <v>4.5935825796416842E-2</v>
      </c>
      <c r="BL209" s="32">
        <v>7974</v>
      </c>
      <c r="BM209" s="32">
        <v>0</v>
      </c>
      <c r="BN209" s="32">
        <v>173590</v>
      </c>
      <c r="BO209" s="34">
        <v>0</v>
      </c>
      <c r="BP209" s="34">
        <v>0.14988644965934897</v>
      </c>
      <c r="BQ209" s="6" t="s">
        <v>93</v>
      </c>
      <c r="BR209" s="6">
        <v>2003</v>
      </c>
      <c r="BS209" s="6" t="s">
        <v>94</v>
      </c>
      <c r="BT209" s="6" t="s">
        <v>115</v>
      </c>
      <c r="BU209" s="8">
        <v>0.96575438396017699</v>
      </c>
    </row>
    <row r="210" spans="1:73" x14ac:dyDescent="0.25">
      <c r="A210" s="33" t="s">
        <v>509</v>
      </c>
      <c r="B210" s="7" t="s">
        <v>510</v>
      </c>
      <c r="C210" s="7" t="s">
        <v>81</v>
      </c>
      <c r="D21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2.2793018764038071E-2</v>
      </c>
      <c r="E210" s="32">
        <v>2003</v>
      </c>
      <c r="F210" s="32">
        <v>0</v>
      </c>
      <c r="G210" s="32">
        <v>605</v>
      </c>
      <c r="H210" s="32">
        <v>0</v>
      </c>
      <c r="I210" s="32">
        <v>0</v>
      </c>
      <c r="J210" s="32">
        <v>114421</v>
      </c>
      <c r="K210" s="32">
        <v>0</v>
      </c>
      <c r="L21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9.9357101110461726E-3</v>
      </c>
      <c r="M210" s="32">
        <v>17</v>
      </c>
      <c r="N210" s="32">
        <v>0</v>
      </c>
      <c r="O210" s="32">
        <v>1711</v>
      </c>
      <c r="P210" s="32">
        <v>0</v>
      </c>
      <c r="Q21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0" s="32">
        <v>0</v>
      </c>
      <c r="S210" s="32">
        <v>0</v>
      </c>
      <c r="T210" s="32">
        <v>0</v>
      </c>
      <c r="U210" s="32">
        <v>1711</v>
      </c>
      <c r="V210" s="32">
        <v>0</v>
      </c>
      <c r="W210" s="32">
        <v>0</v>
      </c>
      <c r="X210" s="32">
        <v>0</v>
      </c>
      <c r="Y21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0.3877697275849713</v>
      </c>
      <c r="Z210" s="32">
        <v>132</v>
      </c>
      <c r="AA210" s="32">
        <v>53355</v>
      </c>
      <c r="AB210" s="32">
        <v>9118</v>
      </c>
      <c r="AC210" s="32">
        <v>0</v>
      </c>
      <c r="AD210" s="32">
        <v>0</v>
      </c>
      <c r="AE210" s="32">
        <v>114421</v>
      </c>
      <c r="AF210" s="32">
        <v>0</v>
      </c>
      <c r="AG21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2.7649140546006068</v>
      </c>
      <c r="AH210" s="32">
        <v>4353</v>
      </c>
      <c r="AI210" s="32">
        <v>240</v>
      </c>
      <c r="AJ210" s="32">
        <v>27</v>
      </c>
      <c r="AK210" s="32">
        <v>0</v>
      </c>
      <c r="AL210" s="32">
        <v>24</v>
      </c>
      <c r="AM210" s="32">
        <v>605</v>
      </c>
      <c r="AN210" s="32">
        <v>1964</v>
      </c>
      <c r="AO210" s="32">
        <v>-6</v>
      </c>
      <c r="AP210" s="32">
        <v>-1972</v>
      </c>
      <c r="AQ21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3.0795124782356353</v>
      </c>
      <c r="AR210" s="32">
        <v>1276</v>
      </c>
      <c r="AS210" s="32">
        <v>614</v>
      </c>
      <c r="AT210" s="32">
        <v>1771</v>
      </c>
      <c r="AU210" s="32">
        <v>561</v>
      </c>
      <c r="AV210" s="32">
        <v>0</v>
      </c>
      <c r="AW210" s="32">
        <v>605</v>
      </c>
      <c r="AX210" s="32">
        <v>394</v>
      </c>
      <c r="AY210" s="32">
        <v>0</v>
      </c>
      <c r="AZ210" s="32">
        <v>6</v>
      </c>
      <c r="BA210" s="32">
        <v>56</v>
      </c>
      <c r="BB210" s="32">
        <v>23</v>
      </c>
      <c r="BC210" s="32">
        <v>1723</v>
      </c>
      <c r="BD210" s="34">
        <f>IFERROR(SUM(Cons_Metrics[[#This Row],[Operating surplus/(deficit) (social housing lettings)]])/SUM(Cons_Metrics[[#This Row],[Turnover from social housing lettings]]),"")</f>
        <v>0.34604280736684917</v>
      </c>
      <c r="BE210" s="32">
        <v>3476</v>
      </c>
      <c r="BF210" s="32">
        <v>10045</v>
      </c>
      <c r="BG210" s="34">
        <f>IFERROR(SUM(Cons_Metrics[[#This Row],[Operating surplus/(deficit) (overall)2]],-Cons_Metrics[[#This Row],[Gain/(loss) on disposal of fixed assets (housing properties)2]])/SUM(Cons_Metrics[[#This Row],[Turnover (overall)]]),"")</f>
        <v>0.37248686832095634</v>
      </c>
      <c r="BH210" s="32">
        <v>4353</v>
      </c>
      <c r="BI210" s="32">
        <v>240</v>
      </c>
      <c r="BJ210" s="32">
        <v>11042</v>
      </c>
      <c r="BK210" s="34">
        <f>IFERROR(SUM(Cons_Metrics[[#This Row],[Operating surplus/(deficit) (overall)3]],Cons_Metrics[[#This Row],[Share of operating surplus/(deficit) in joint ventures or associates]])/SUM(Cons_Metrics[[#This Row],[Total assets less current liabilities]]),"")</f>
        <v>3.5277527898665242E-2</v>
      </c>
      <c r="BL210" s="32">
        <v>4353</v>
      </c>
      <c r="BM210" s="32">
        <v>0</v>
      </c>
      <c r="BN210" s="32">
        <v>123393</v>
      </c>
      <c r="BO210" s="34">
        <v>7.2423398328690805E-3</v>
      </c>
      <c r="BP210" s="34">
        <v>1.4484679665738161E-2</v>
      </c>
      <c r="BQ210" s="6" t="s">
        <v>82</v>
      </c>
      <c r="BR210" s="6" t="s">
        <v>83</v>
      </c>
      <c r="BS210" s="6" t="s">
        <v>83</v>
      </c>
      <c r="BT210" s="6" t="s">
        <v>115</v>
      </c>
      <c r="BU210" s="8">
        <v>0.96617455710897804</v>
      </c>
    </row>
    <row r="211" spans="1:73" x14ac:dyDescent="0.25">
      <c r="A211" s="33" t="s">
        <v>511</v>
      </c>
      <c r="B211" s="7" t="s">
        <v>512</v>
      </c>
      <c r="C211" s="7" t="s">
        <v>81</v>
      </c>
      <c r="D21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6.0281532826333341E-2</v>
      </c>
      <c r="E211" s="32">
        <v>3274</v>
      </c>
      <c r="F211" s="32">
        <v>0</v>
      </c>
      <c r="G211" s="32">
        <v>396</v>
      </c>
      <c r="H211" s="32">
        <v>0</v>
      </c>
      <c r="I211" s="32">
        <v>0</v>
      </c>
      <c r="J211" s="32">
        <v>60881</v>
      </c>
      <c r="K211" s="32">
        <v>0</v>
      </c>
      <c r="L21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1.8749999999999999E-2</v>
      </c>
      <c r="M211" s="32">
        <v>24</v>
      </c>
      <c r="N211" s="32">
        <v>0</v>
      </c>
      <c r="O211" s="32">
        <v>1280</v>
      </c>
      <c r="P211" s="32">
        <v>0</v>
      </c>
      <c r="Q21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1" s="32">
        <v>0</v>
      </c>
      <c r="S211" s="32">
        <v>0</v>
      </c>
      <c r="T211" s="32">
        <v>0</v>
      </c>
      <c r="U211" s="32">
        <v>1280</v>
      </c>
      <c r="V211" s="32">
        <v>0</v>
      </c>
      <c r="W211" s="32">
        <v>0</v>
      </c>
      <c r="X211" s="32">
        <v>0</v>
      </c>
      <c r="Y21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0.21717777303263744</v>
      </c>
      <c r="Z211" s="32">
        <v>1461</v>
      </c>
      <c r="AA211" s="32">
        <v>15595</v>
      </c>
      <c r="AB211" s="32">
        <v>3834</v>
      </c>
      <c r="AC211" s="32">
        <v>0</v>
      </c>
      <c r="AD211" s="32">
        <v>0</v>
      </c>
      <c r="AE211" s="32">
        <v>60881</v>
      </c>
      <c r="AF211" s="32">
        <v>0</v>
      </c>
      <c r="AG21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5.28</v>
      </c>
      <c r="AH211" s="32">
        <v>2407</v>
      </c>
      <c r="AI211" s="32">
        <v>215</v>
      </c>
      <c r="AJ211" s="32">
        <v>1032</v>
      </c>
      <c r="AK211" s="32">
        <v>0</v>
      </c>
      <c r="AL211" s="32">
        <v>13</v>
      </c>
      <c r="AM211" s="32">
        <v>396</v>
      </c>
      <c r="AN211" s="32">
        <v>1731</v>
      </c>
      <c r="AO211" s="32">
        <v>0</v>
      </c>
      <c r="AP211" s="32">
        <v>-475</v>
      </c>
      <c r="AQ21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2.7945312499999999</v>
      </c>
      <c r="AR211" s="32">
        <v>1978</v>
      </c>
      <c r="AS211" s="32">
        <v>253</v>
      </c>
      <c r="AT211" s="32">
        <v>587</v>
      </c>
      <c r="AU211" s="32">
        <v>289</v>
      </c>
      <c r="AV211" s="32">
        <v>0</v>
      </c>
      <c r="AW211" s="32">
        <v>396</v>
      </c>
      <c r="AX211" s="32">
        <v>74</v>
      </c>
      <c r="AY211" s="32">
        <v>0</v>
      </c>
      <c r="AZ211" s="32">
        <v>0</v>
      </c>
      <c r="BA211" s="32">
        <v>0</v>
      </c>
      <c r="BB211" s="32">
        <v>0</v>
      </c>
      <c r="BC211" s="32">
        <v>1280</v>
      </c>
      <c r="BD211" s="34">
        <f>IFERROR(SUM(Cons_Metrics[[#This Row],[Operating surplus/(deficit) (social housing lettings)]])/SUM(Cons_Metrics[[#This Row],[Turnover from social housing lettings]]),"")</f>
        <v>0.29668718850776898</v>
      </c>
      <c r="BE211" s="32">
        <v>2024</v>
      </c>
      <c r="BF211" s="32">
        <v>6822</v>
      </c>
      <c r="BG211" s="34">
        <f>IFERROR(SUM(Cons_Metrics[[#This Row],[Operating surplus/(deficit) (overall)2]],-Cons_Metrics[[#This Row],[Gain/(loss) on disposal of fixed assets (housing properties)2]])/SUM(Cons_Metrics[[#This Row],[Turnover (overall)]]),"")</f>
        <v>0.29462365591397849</v>
      </c>
      <c r="BH211" s="32">
        <v>2407</v>
      </c>
      <c r="BI211" s="32">
        <v>215</v>
      </c>
      <c r="BJ211" s="32">
        <v>7440</v>
      </c>
      <c r="BK211" s="34">
        <f>IFERROR(SUM(Cons_Metrics[[#This Row],[Operating surplus/(deficit) (overall)3]],Cons_Metrics[[#This Row],[Share of operating surplus/(deficit) in joint ventures or associates]])/SUM(Cons_Metrics[[#This Row],[Total assets less current liabilities]]),"")</f>
        <v>3.7421100090171328E-2</v>
      </c>
      <c r="BL211" s="32">
        <v>2407</v>
      </c>
      <c r="BM211" s="32">
        <v>0</v>
      </c>
      <c r="BN211" s="32">
        <v>64322</v>
      </c>
      <c r="BO211" s="34">
        <v>0</v>
      </c>
      <c r="BP211" s="34">
        <v>0</v>
      </c>
      <c r="BQ211" s="6" t="s">
        <v>82</v>
      </c>
      <c r="BR211" s="6" t="s">
        <v>83</v>
      </c>
      <c r="BS211" s="6" t="s">
        <v>83</v>
      </c>
      <c r="BT211" s="6" t="s">
        <v>108</v>
      </c>
      <c r="BU211" s="8">
        <v>0.94807909763407583</v>
      </c>
    </row>
    <row r="212" spans="1:73" x14ac:dyDescent="0.25">
      <c r="A212" s="33" t="s">
        <v>513</v>
      </c>
      <c r="B212" s="7" t="s">
        <v>514</v>
      </c>
      <c r="C212" s="7" t="s">
        <v>81</v>
      </c>
      <c r="D21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4.4935756772795647E-2</v>
      </c>
      <c r="E212" s="32">
        <v>0</v>
      </c>
      <c r="F212" s="32">
        <v>10863</v>
      </c>
      <c r="G212" s="32">
        <v>2161</v>
      </c>
      <c r="H212" s="32">
        <v>436</v>
      </c>
      <c r="I212" s="32">
        <v>-436</v>
      </c>
      <c r="J212" s="32">
        <v>289836</v>
      </c>
      <c r="K212" s="32">
        <v>0</v>
      </c>
      <c r="L21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1.4153439153439154E-2</v>
      </c>
      <c r="M212" s="32">
        <v>107</v>
      </c>
      <c r="N212" s="32">
        <v>0</v>
      </c>
      <c r="O212" s="32">
        <v>7560</v>
      </c>
      <c r="P212" s="32">
        <v>0</v>
      </c>
      <c r="Q21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2" s="32">
        <v>0</v>
      </c>
      <c r="S212" s="32">
        <v>0</v>
      </c>
      <c r="T212" s="32">
        <v>0</v>
      </c>
      <c r="U212" s="32">
        <v>7560</v>
      </c>
      <c r="V212" s="32">
        <v>8</v>
      </c>
      <c r="W212" s="32">
        <v>0</v>
      </c>
      <c r="X212" s="32">
        <v>0</v>
      </c>
      <c r="Y21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0.40671276169971982</v>
      </c>
      <c r="Z212" s="32">
        <v>0</v>
      </c>
      <c r="AA212" s="32">
        <v>122220</v>
      </c>
      <c r="AB212" s="32">
        <v>4340</v>
      </c>
      <c r="AC212" s="32">
        <v>0</v>
      </c>
      <c r="AD212" s="32">
        <v>0</v>
      </c>
      <c r="AE212" s="32">
        <v>289836</v>
      </c>
      <c r="AF212" s="32">
        <v>0</v>
      </c>
      <c r="AG21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3.1702008928571428</v>
      </c>
      <c r="AH212" s="32">
        <v>13844</v>
      </c>
      <c r="AI212" s="32">
        <v>991</v>
      </c>
      <c r="AJ212" s="32">
        <v>116</v>
      </c>
      <c r="AK212" s="32">
        <v>0</v>
      </c>
      <c r="AL212" s="32">
        <v>8</v>
      </c>
      <c r="AM212" s="32">
        <v>2204</v>
      </c>
      <c r="AN212" s="32">
        <v>6502</v>
      </c>
      <c r="AO212" s="32">
        <v>-436</v>
      </c>
      <c r="AP212" s="32">
        <v>-4940</v>
      </c>
      <c r="AQ21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3.5088624338624337</v>
      </c>
      <c r="AR212" s="32">
        <v>9296</v>
      </c>
      <c r="AS212" s="32">
        <v>1314</v>
      </c>
      <c r="AT212" s="32">
        <v>8134</v>
      </c>
      <c r="AU212" s="32">
        <v>1000</v>
      </c>
      <c r="AV212" s="32">
        <v>4579</v>
      </c>
      <c r="AW212" s="32">
        <v>2204</v>
      </c>
      <c r="AX212" s="32">
        <v>0</v>
      </c>
      <c r="AY212" s="32">
        <v>0</v>
      </c>
      <c r="AZ212" s="32">
        <v>0</v>
      </c>
      <c r="BA212" s="32">
        <v>0</v>
      </c>
      <c r="BB212" s="32">
        <v>0</v>
      </c>
      <c r="BC212" s="32">
        <v>7560</v>
      </c>
      <c r="BD212" s="34">
        <f>IFERROR(SUM(Cons_Metrics[[#This Row],[Operating surplus/(deficit) (social housing lettings)]])/SUM(Cons_Metrics[[#This Row],[Turnover from social housing lettings]]),"")</f>
        <v>0.28355409960594408</v>
      </c>
      <c r="BE212" s="32">
        <v>11945</v>
      </c>
      <c r="BF212" s="32">
        <v>42126</v>
      </c>
      <c r="BG212" s="34">
        <f>IFERROR(SUM(Cons_Metrics[[#This Row],[Operating surplus/(deficit) (overall)2]],-Cons_Metrics[[#This Row],[Gain/(loss) on disposal of fixed assets (housing properties)2]])/SUM(Cons_Metrics[[#This Row],[Turnover (overall)]]),"")</f>
        <v>0.28411954551483265</v>
      </c>
      <c r="BH212" s="32">
        <v>13844</v>
      </c>
      <c r="BI212" s="32">
        <v>991</v>
      </c>
      <c r="BJ212" s="32">
        <v>45238</v>
      </c>
      <c r="BK212" s="34">
        <f>IFERROR(SUM(Cons_Metrics[[#This Row],[Operating surplus/(deficit) (overall)3]],Cons_Metrics[[#This Row],[Share of operating surplus/(deficit) in joint ventures or associates]])/SUM(Cons_Metrics[[#This Row],[Total assets less current liabilities]]),"")</f>
        <v>4.5830891822012998E-2</v>
      </c>
      <c r="BL212" s="32">
        <v>13844</v>
      </c>
      <c r="BM212" s="32">
        <v>0</v>
      </c>
      <c r="BN212" s="32">
        <v>302067</v>
      </c>
      <c r="BO212" s="34">
        <v>1.455026455026455E-3</v>
      </c>
      <c r="BP212" s="34">
        <v>7.6719576719576715E-2</v>
      </c>
      <c r="BQ212" s="6" t="s">
        <v>93</v>
      </c>
      <c r="BR212" s="6">
        <v>2006</v>
      </c>
      <c r="BS212" s="6" t="s">
        <v>94</v>
      </c>
      <c r="BT212" s="6" t="s">
        <v>84</v>
      </c>
      <c r="BU212" s="8">
        <v>1.0111927109978194</v>
      </c>
    </row>
    <row r="213" spans="1:73" x14ac:dyDescent="0.25">
      <c r="A213" s="33" t="s">
        <v>515</v>
      </c>
      <c r="B213" s="7" t="s">
        <v>516</v>
      </c>
      <c r="C213" s="7" t="s">
        <v>81</v>
      </c>
      <c r="D21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0.12856019079251313</v>
      </c>
      <c r="E213" s="32">
        <v>17481</v>
      </c>
      <c r="F213" s="32">
        <v>0</v>
      </c>
      <c r="G213" s="32">
        <v>3111</v>
      </c>
      <c r="H213" s="32">
        <v>122</v>
      </c>
      <c r="I213" s="32">
        <v>-122</v>
      </c>
      <c r="J213" s="32">
        <v>160174</v>
      </c>
      <c r="K213" s="32">
        <v>0</v>
      </c>
      <c r="L21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3.8582060321190756E-2</v>
      </c>
      <c r="M213" s="32">
        <v>197</v>
      </c>
      <c r="N213" s="32">
        <v>0</v>
      </c>
      <c r="O213" s="32">
        <v>5106</v>
      </c>
      <c r="P213" s="32">
        <v>0</v>
      </c>
      <c r="Q21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3" s="32">
        <v>0</v>
      </c>
      <c r="S213" s="32">
        <v>0</v>
      </c>
      <c r="T213" s="32">
        <v>0</v>
      </c>
      <c r="U213" s="32">
        <v>5106</v>
      </c>
      <c r="V213" s="32">
        <v>0</v>
      </c>
      <c r="W213" s="32">
        <v>0</v>
      </c>
      <c r="X213" s="32">
        <v>48</v>
      </c>
      <c r="Y21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0.41021638967622709</v>
      </c>
      <c r="Z213" s="32">
        <v>2000</v>
      </c>
      <c r="AA213" s="32">
        <v>65000</v>
      </c>
      <c r="AB213" s="32">
        <v>1294</v>
      </c>
      <c r="AC213" s="32">
        <v>0</v>
      </c>
      <c r="AD213" s="32">
        <v>0</v>
      </c>
      <c r="AE213" s="32">
        <v>160174</v>
      </c>
      <c r="AF213" s="32">
        <v>0</v>
      </c>
      <c r="AG21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2.2154750244857984</v>
      </c>
      <c r="AH213" s="32">
        <v>13752</v>
      </c>
      <c r="AI213" s="32">
        <v>6931</v>
      </c>
      <c r="AJ213" s="32">
        <v>182</v>
      </c>
      <c r="AK213" s="32">
        <v>0</v>
      </c>
      <c r="AL213" s="32">
        <v>11</v>
      </c>
      <c r="AM213" s="32">
        <v>3111</v>
      </c>
      <c r="AN213" s="32">
        <v>3247</v>
      </c>
      <c r="AO213" s="32">
        <v>-122</v>
      </c>
      <c r="AP213" s="32">
        <v>-2941</v>
      </c>
      <c r="AQ21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3.4620054837446141</v>
      </c>
      <c r="AR213" s="32">
        <v>3395</v>
      </c>
      <c r="AS213" s="32">
        <v>1204</v>
      </c>
      <c r="AT213" s="32">
        <v>3745</v>
      </c>
      <c r="AU213" s="32">
        <v>816</v>
      </c>
      <c r="AV213" s="32">
        <v>2001</v>
      </c>
      <c r="AW213" s="32">
        <v>3111</v>
      </c>
      <c r="AX213" s="32">
        <v>2983</v>
      </c>
      <c r="AY213" s="32">
        <v>0</v>
      </c>
      <c r="AZ213" s="32">
        <v>0</v>
      </c>
      <c r="BA213" s="32">
        <v>422</v>
      </c>
      <c r="BB213" s="32">
        <v>0</v>
      </c>
      <c r="BC213" s="32">
        <v>5106</v>
      </c>
      <c r="BD213" s="34">
        <f>IFERROR(SUM(Cons_Metrics[[#This Row],[Operating surplus/(deficit) (social housing lettings)]])/SUM(Cons_Metrics[[#This Row],[Turnover from social housing lettings]]),"")</f>
        <v>0.27490462060194998</v>
      </c>
      <c r="BE213" s="32">
        <v>6485</v>
      </c>
      <c r="BF213" s="32">
        <v>23590</v>
      </c>
      <c r="BG213" s="34">
        <f>IFERROR(SUM(Cons_Metrics[[#This Row],[Operating surplus/(deficit) (overall)2]],-Cons_Metrics[[#This Row],[Gain/(loss) on disposal of fixed assets (housing properties)2]])/SUM(Cons_Metrics[[#This Row],[Turnover (overall)]]),"")</f>
        <v>0.2649755263771269</v>
      </c>
      <c r="BH213" s="32">
        <v>13752</v>
      </c>
      <c r="BI213" s="32">
        <v>6931</v>
      </c>
      <c r="BJ213" s="32">
        <v>25742</v>
      </c>
      <c r="BK213" s="34">
        <f>IFERROR(SUM(Cons_Metrics[[#This Row],[Operating surplus/(deficit) (overall)3]],Cons_Metrics[[#This Row],[Share of operating surplus/(deficit) in joint ventures or associates]])/SUM(Cons_Metrics[[#This Row],[Total assets less current liabilities]]),"")</f>
        <v>8.5578269392327086E-2</v>
      </c>
      <c r="BL213" s="32">
        <v>13752</v>
      </c>
      <c r="BM213" s="32">
        <v>0</v>
      </c>
      <c r="BN213" s="32">
        <v>160695</v>
      </c>
      <c r="BO213" s="34">
        <v>2.7602523659305996E-3</v>
      </c>
      <c r="BP213" s="34">
        <v>0</v>
      </c>
      <c r="BQ213" s="6" t="s">
        <v>93</v>
      </c>
      <c r="BR213" s="6">
        <v>2006</v>
      </c>
      <c r="BS213" s="6" t="s">
        <v>94</v>
      </c>
      <c r="BT213" s="6" t="s">
        <v>100</v>
      </c>
      <c r="BU213" s="8">
        <v>1.0022399874355168</v>
      </c>
    </row>
    <row r="214" spans="1:73" x14ac:dyDescent="0.25">
      <c r="A214" s="33" t="s">
        <v>517</v>
      </c>
      <c r="B214" s="7" t="s">
        <v>518</v>
      </c>
      <c r="C214" s="7" t="s">
        <v>81</v>
      </c>
      <c r="D21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7.6179650003048757E-2</v>
      </c>
      <c r="E214" s="32">
        <v>120558</v>
      </c>
      <c r="F214" s="32">
        <v>0</v>
      </c>
      <c r="G214" s="32">
        <v>12616</v>
      </c>
      <c r="H214" s="32">
        <v>6754</v>
      </c>
      <c r="I214" s="32">
        <v>0</v>
      </c>
      <c r="J214" s="32">
        <v>1836816</v>
      </c>
      <c r="K214" s="32">
        <v>0</v>
      </c>
      <c r="L21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1.9726122378228461E-2</v>
      </c>
      <c r="M214" s="32">
        <v>569</v>
      </c>
      <c r="N214" s="32">
        <v>0</v>
      </c>
      <c r="O214" s="32">
        <v>27160</v>
      </c>
      <c r="P214" s="32">
        <v>1685</v>
      </c>
      <c r="Q21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5.259431576818044E-3</v>
      </c>
      <c r="R214" s="32">
        <v>12</v>
      </c>
      <c r="S214" s="32">
        <v>0</v>
      </c>
      <c r="T214" s="32">
        <v>144</v>
      </c>
      <c r="U214" s="32">
        <v>27160</v>
      </c>
      <c r="V214" s="32">
        <v>493</v>
      </c>
      <c r="W214" s="32">
        <v>1685</v>
      </c>
      <c r="X214" s="32">
        <v>323</v>
      </c>
      <c r="Y21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0.52277800280485365</v>
      </c>
      <c r="Z214" s="32">
        <v>7989</v>
      </c>
      <c r="AA214" s="32">
        <v>990223</v>
      </c>
      <c r="AB214" s="32">
        <v>37965</v>
      </c>
      <c r="AC214" s="32">
        <v>0</v>
      </c>
      <c r="AD214" s="32">
        <v>0</v>
      </c>
      <c r="AE214" s="32">
        <v>1836816</v>
      </c>
      <c r="AF214" s="32">
        <v>0</v>
      </c>
      <c r="AG21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2.7701981287837092</v>
      </c>
      <c r="AH214" s="32">
        <v>94150</v>
      </c>
      <c r="AI214" s="32">
        <v>7796</v>
      </c>
      <c r="AJ214" s="32">
        <v>5419</v>
      </c>
      <c r="AK214" s="32">
        <v>0</v>
      </c>
      <c r="AL214" s="32">
        <v>377</v>
      </c>
      <c r="AM214" s="32">
        <v>12616</v>
      </c>
      <c r="AN214" s="32">
        <v>31973</v>
      </c>
      <c r="AO214" s="32">
        <v>-6754</v>
      </c>
      <c r="AP214" s="32">
        <v>-29586</v>
      </c>
      <c r="AQ21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2.7906772207563764</v>
      </c>
      <c r="AR214" s="32">
        <v>17559</v>
      </c>
      <c r="AS214" s="32">
        <v>10926</v>
      </c>
      <c r="AT214" s="32">
        <v>13724</v>
      </c>
      <c r="AU214" s="32">
        <v>5509</v>
      </c>
      <c r="AV214" s="32">
        <v>12458</v>
      </c>
      <c r="AW214" s="32">
        <v>12616</v>
      </c>
      <c r="AX214" s="32">
        <v>138</v>
      </c>
      <c r="AY214" s="32">
        <v>2073</v>
      </c>
      <c r="AZ214" s="32">
        <v>1149</v>
      </c>
      <c r="BA214" s="32">
        <v>0</v>
      </c>
      <c r="BB214" s="32">
        <v>0</v>
      </c>
      <c r="BC214" s="32">
        <v>27288</v>
      </c>
      <c r="BD214" s="34">
        <f>IFERROR(SUM(Cons_Metrics[[#This Row],[Operating surplus/(deficit) (social housing lettings)]])/SUM(Cons_Metrics[[#This Row],[Turnover from social housing lettings]]),"")</f>
        <v>0.45063136060940551</v>
      </c>
      <c r="BE214" s="32">
        <v>74301</v>
      </c>
      <c r="BF214" s="32">
        <v>164882</v>
      </c>
      <c r="BG214" s="34">
        <f>IFERROR(SUM(Cons_Metrics[[#This Row],[Operating surplus/(deficit) (overall)2]],-Cons_Metrics[[#This Row],[Gain/(loss) on disposal of fixed assets (housing properties)2]])/SUM(Cons_Metrics[[#This Row],[Turnover (overall)]]),"")</f>
        <v>0.37793669689436643</v>
      </c>
      <c r="BH214" s="32">
        <v>94150</v>
      </c>
      <c r="BI214" s="32">
        <v>7796</v>
      </c>
      <c r="BJ214" s="32">
        <v>228488</v>
      </c>
      <c r="BK214" s="34">
        <f>IFERROR(SUM(Cons_Metrics[[#This Row],[Operating surplus/(deficit) (overall)3]],Cons_Metrics[[#This Row],[Share of operating surplus/(deficit) in joint ventures or associates]])/SUM(Cons_Metrics[[#This Row],[Total assets less current liabilities]]),"")</f>
        <v>4.770586232336417E-2</v>
      </c>
      <c r="BL214" s="32">
        <v>94150</v>
      </c>
      <c r="BM214" s="32">
        <v>0</v>
      </c>
      <c r="BN214" s="32">
        <v>1973552</v>
      </c>
      <c r="BO214" s="34">
        <v>1.40279823269514E-2</v>
      </c>
      <c r="BP214" s="34">
        <v>5.8247422680412372E-2</v>
      </c>
      <c r="BQ214" s="6" t="s">
        <v>93</v>
      </c>
      <c r="BR214" s="6">
        <v>1995</v>
      </c>
      <c r="BS214" s="6" t="s">
        <v>94</v>
      </c>
      <c r="BT214" s="6" t="s">
        <v>84</v>
      </c>
      <c r="BU214" s="8">
        <v>1.0118524159776632</v>
      </c>
    </row>
    <row r="215" spans="1:73" x14ac:dyDescent="0.25">
      <c r="A215" s="33" t="s">
        <v>519</v>
      </c>
      <c r="B215" s="7" t="s">
        <v>520</v>
      </c>
      <c r="C215" s="7" t="s">
        <v>81</v>
      </c>
      <c r="D21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5.9224758850627369E-2</v>
      </c>
      <c r="E215" s="32">
        <v>7048</v>
      </c>
      <c r="F215" s="32">
        <v>14466</v>
      </c>
      <c r="G215" s="32">
        <v>18045</v>
      </c>
      <c r="H215" s="32">
        <v>0</v>
      </c>
      <c r="I215" s="32">
        <v>0</v>
      </c>
      <c r="J215" s="32">
        <v>6164</v>
      </c>
      <c r="K215" s="32">
        <v>661783</v>
      </c>
      <c r="L21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9.9222225778574404E-3</v>
      </c>
      <c r="M215" s="32">
        <v>310</v>
      </c>
      <c r="N215" s="32">
        <v>0</v>
      </c>
      <c r="O215" s="32">
        <v>31243</v>
      </c>
      <c r="P215" s="32">
        <v>0</v>
      </c>
      <c r="Q21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5" s="32">
        <v>0</v>
      </c>
      <c r="S215" s="32">
        <v>0</v>
      </c>
      <c r="T215" s="32">
        <v>0</v>
      </c>
      <c r="U215" s="32">
        <v>31243</v>
      </c>
      <c r="V215" s="32">
        <v>0</v>
      </c>
      <c r="W215" s="32">
        <v>0</v>
      </c>
      <c r="X215" s="32">
        <v>0</v>
      </c>
      <c r="Y21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0.49476829748468065</v>
      </c>
      <c r="Z215" s="32">
        <v>1100</v>
      </c>
      <c r="AA215" s="32">
        <v>409500</v>
      </c>
      <c r="AB215" s="32">
        <v>80121</v>
      </c>
      <c r="AC215" s="32">
        <v>0</v>
      </c>
      <c r="AD215" s="32">
        <v>0</v>
      </c>
      <c r="AE215" s="32">
        <v>6164</v>
      </c>
      <c r="AF215" s="32">
        <v>661783</v>
      </c>
      <c r="AG21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2.6382200866976548</v>
      </c>
      <c r="AH215" s="32">
        <v>49141</v>
      </c>
      <c r="AI215" s="32">
        <v>0</v>
      </c>
      <c r="AJ215" s="32">
        <v>0</v>
      </c>
      <c r="AK215" s="32">
        <v>2117</v>
      </c>
      <c r="AL215" s="32">
        <v>306</v>
      </c>
      <c r="AM215" s="32">
        <v>18045</v>
      </c>
      <c r="AN215" s="32">
        <v>21229</v>
      </c>
      <c r="AO215" s="32">
        <v>0</v>
      </c>
      <c r="AP215" s="32">
        <v>-19147</v>
      </c>
      <c r="AQ21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2.9283911167918197</v>
      </c>
      <c r="AR215" s="32">
        <v>34411</v>
      </c>
      <c r="AS215" s="32">
        <v>4889</v>
      </c>
      <c r="AT215" s="32">
        <v>15458</v>
      </c>
      <c r="AU215" s="32">
        <v>2421</v>
      </c>
      <c r="AV215" s="32">
        <v>7206</v>
      </c>
      <c r="AW215" s="32">
        <v>18045</v>
      </c>
      <c r="AX215" s="32">
        <v>1595</v>
      </c>
      <c r="AY215" s="32">
        <v>1576</v>
      </c>
      <c r="AZ215" s="32">
        <v>0</v>
      </c>
      <c r="BA215" s="32">
        <v>5052</v>
      </c>
      <c r="BB215" s="32">
        <v>991</v>
      </c>
      <c r="BC215" s="32">
        <v>31295</v>
      </c>
      <c r="BD215" s="34">
        <f>IFERROR(SUM(Cons_Metrics[[#This Row],[Operating surplus/(deficit) (social housing lettings)]])/SUM(Cons_Metrics[[#This Row],[Turnover from social housing lettings]]),"")</f>
        <v>0.36957546656608808</v>
      </c>
      <c r="BE215" s="32">
        <v>50953</v>
      </c>
      <c r="BF215" s="32">
        <v>137869</v>
      </c>
      <c r="BG215" s="34">
        <f>IFERROR(SUM(Cons_Metrics[[#This Row],[Operating surplus/(deficit) (overall)2]],-Cons_Metrics[[#This Row],[Gain/(loss) on disposal of fixed assets (housing properties)2]])/SUM(Cons_Metrics[[#This Row],[Turnover (overall)]]),"")</f>
        <v>0.31694260450057077</v>
      </c>
      <c r="BH215" s="32">
        <v>49141</v>
      </c>
      <c r="BI215" s="32">
        <v>0</v>
      </c>
      <c r="BJ215" s="32">
        <v>155047</v>
      </c>
      <c r="BK215" s="34">
        <f>IFERROR(SUM(Cons_Metrics[[#This Row],[Operating surplus/(deficit) (overall)3]],Cons_Metrics[[#This Row],[Share of operating surplus/(deficit) in joint ventures or associates]])/SUM(Cons_Metrics[[#This Row],[Total assets less current liabilities]]),"")</f>
        <v>6.3602174081038618E-2</v>
      </c>
      <c r="BL215" s="32">
        <v>49141</v>
      </c>
      <c r="BM215" s="32">
        <v>241</v>
      </c>
      <c r="BN215" s="32">
        <v>776420</v>
      </c>
      <c r="BO215" s="34">
        <v>5.4860288704669843E-2</v>
      </c>
      <c r="BP215" s="34">
        <v>0</v>
      </c>
      <c r="BQ215" s="6" t="s">
        <v>93</v>
      </c>
      <c r="BR215" s="6">
        <v>2005</v>
      </c>
      <c r="BS215" s="6" t="s">
        <v>94</v>
      </c>
      <c r="BT215" s="6" t="s">
        <v>108</v>
      </c>
      <c r="BU215" s="8">
        <v>0.94807909763407583</v>
      </c>
    </row>
    <row r="216" spans="1:73" x14ac:dyDescent="0.25">
      <c r="A216" s="33" t="s">
        <v>521</v>
      </c>
      <c r="B216" s="7" t="s">
        <v>522</v>
      </c>
      <c r="C216" s="7" t="s">
        <v>81</v>
      </c>
      <c r="D21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0.12477190757002594</v>
      </c>
      <c r="E216" s="32">
        <v>39625</v>
      </c>
      <c r="F216" s="32">
        <v>0</v>
      </c>
      <c r="G216" s="32">
        <v>9035</v>
      </c>
      <c r="H216" s="32">
        <v>914</v>
      </c>
      <c r="I216" s="32">
        <v>0</v>
      </c>
      <c r="J216" s="32">
        <v>397317</v>
      </c>
      <c r="K216" s="32">
        <v>0</v>
      </c>
      <c r="L21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2.4436547729153484E-2</v>
      </c>
      <c r="M216" s="32">
        <v>497</v>
      </c>
      <c r="N216" s="32">
        <v>5</v>
      </c>
      <c r="O216" s="32">
        <v>19938</v>
      </c>
      <c r="P216" s="32">
        <v>605</v>
      </c>
      <c r="Q21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6" s="32">
        <v>0</v>
      </c>
      <c r="S216" s="32">
        <v>0</v>
      </c>
      <c r="T216" s="32">
        <v>0</v>
      </c>
      <c r="U216" s="32">
        <v>19938</v>
      </c>
      <c r="V216" s="32">
        <v>101</v>
      </c>
      <c r="W216" s="32">
        <v>605</v>
      </c>
      <c r="X216" s="32">
        <v>0</v>
      </c>
      <c r="Y21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0.67446396705904854</v>
      </c>
      <c r="Z216" s="32">
        <v>0</v>
      </c>
      <c r="AA216" s="32">
        <v>396491</v>
      </c>
      <c r="AB216" s="32">
        <v>128515</v>
      </c>
      <c r="AC216" s="32">
        <v>0</v>
      </c>
      <c r="AD216" s="32">
        <v>0</v>
      </c>
      <c r="AE216" s="32">
        <v>397317</v>
      </c>
      <c r="AF216" s="32">
        <v>0</v>
      </c>
      <c r="AG21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1.9404749974947391</v>
      </c>
      <c r="AH216" s="32">
        <v>44830</v>
      </c>
      <c r="AI216" s="32">
        <v>7410</v>
      </c>
      <c r="AJ216" s="32">
        <v>887</v>
      </c>
      <c r="AK216" s="32">
        <v>0</v>
      </c>
      <c r="AL216" s="32">
        <v>412</v>
      </c>
      <c r="AM216" s="32">
        <v>9035</v>
      </c>
      <c r="AN216" s="32">
        <v>10818</v>
      </c>
      <c r="AO216" s="32">
        <v>-914</v>
      </c>
      <c r="AP216" s="32">
        <v>-19044</v>
      </c>
      <c r="AQ21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3.0254288293710503</v>
      </c>
      <c r="AR216" s="32">
        <v>13115</v>
      </c>
      <c r="AS216" s="32">
        <v>4833</v>
      </c>
      <c r="AT216" s="32">
        <v>10008</v>
      </c>
      <c r="AU216" s="32">
        <v>14680</v>
      </c>
      <c r="AV216" s="32">
        <v>3313</v>
      </c>
      <c r="AW216" s="32">
        <v>9035</v>
      </c>
      <c r="AX216" s="32">
        <v>0</v>
      </c>
      <c r="AY216" s="32">
        <v>843</v>
      </c>
      <c r="AZ216" s="32">
        <v>310</v>
      </c>
      <c r="BA216" s="32">
        <v>3607</v>
      </c>
      <c r="BB216" s="32">
        <v>577</v>
      </c>
      <c r="BC216" s="32">
        <v>19938</v>
      </c>
      <c r="BD216" s="34">
        <f>IFERROR(SUM(Cons_Metrics[[#This Row],[Operating surplus/(deficit) (social housing lettings)]])/SUM(Cons_Metrics[[#This Row],[Turnover from social housing lettings]]),"")</f>
        <v>0.40509127059669608</v>
      </c>
      <c r="BE216" s="32">
        <v>38303</v>
      </c>
      <c r="BF216" s="32">
        <v>94554</v>
      </c>
      <c r="BG216" s="34">
        <f>IFERROR(SUM(Cons_Metrics[[#This Row],[Operating surplus/(deficit) (overall)2]],-Cons_Metrics[[#This Row],[Gain/(loss) on disposal of fixed assets (housing properties)2]])/SUM(Cons_Metrics[[#This Row],[Turnover (overall)]]),"")</f>
        <v>0.35423865196194443</v>
      </c>
      <c r="BH216" s="32">
        <v>44830</v>
      </c>
      <c r="BI216" s="32">
        <v>7410</v>
      </c>
      <c r="BJ216" s="32">
        <v>105635</v>
      </c>
      <c r="BK216" s="34">
        <f>IFERROR(SUM(Cons_Metrics[[#This Row],[Operating surplus/(deficit) (overall)3]],Cons_Metrics[[#This Row],[Share of operating surplus/(deficit) in joint ventures or associates]])/SUM(Cons_Metrics[[#This Row],[Total assets less current liabilities]]),"")</f>
        <v>8.0782052437156499E-2</v>
      </c>
      <c r="BL216" s="32">
        <v>44830</v>
      </c>
      <c r="BM216" s="32">
        <v>0</v>
      </c>
      <c r="BN216" s="32">
        <v>554950</v>
      </c>
      <c r="BO216" s="34">
        <v>4.2632159695054671E-3</v>
      </c>
      <c r="BP216" s="34">
        <v>0</v>
      </c>
      <c r="BQ216" s="6" t="s">
        <v>93</v>
      </c>
      <c r="BR216" s="6">
        <v>2003</v>
      </c>
      <c r="BS216" s="6" t="s">
        <v>94</v>
      </c>
      <c r="BT216" s="6" t="s">
        <v>90</v>
      </c>
      <c r="BU216" s="8">
        <v>0.91571558169387279</v>
      </c>
    </row>
    <row r="217" spans="1:73" x14ac:dyDescent="0.25">
      <c r="A217" s="33" t="s">
        <v>523</v>
      </c>
      <c r="B217" s="7" t="s">
        <v>524</v>
      </c>
      <c r="C217" s="7" t="s">
        <v>81</v>
      </c>
      <c r="D21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6.4709918444231393E-2</v>
      </c>
      <c r="E217" s="32">
        <v>47818</v>
      </c>
      <c r="F217" s="32">
        <v>1899</v>
      </c>
      <c r="G217" s="32">
        <v>5832</v>
      </c>
      <c r="H217" s="32">
        <v>0</v>
      </c>
      <c r="I217" s="32">
        <v>0</v>
      </c>
      <c r="J217" s="32">
        <v>858431</v>
      </c>
      <c r="K217" s="32">
        <v>0</v>
      </c>
      <c r="L21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1.9610691458454389E-2</v>
      </c>
      <c r="M217" s="32">
        <v>135</v>
      </c>
      <c r="N217" s="32">
        <v>0</v>
      </c>
      <c r="O217" s="32">
        <v>6884</v>
      </c>
      <c r="P217" s="32">
        <v>0</v>
      </c>
      <c r="Q21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7" s="32">
        <v>0</v>
      </c>
      <c r="S217" s="32">
        <v>0</v>
      </c>
      <c r="T217" s="32">
        <v>0</v>
      </c>
      <c r="U217" s="32">
        <v>6884</v>
      </c>
      <c r="V217" s="32">
        <v>0</v>
      </c>
      <c r="W217" s="32">
        <v>0</v>
      </c>
      <c r="X217" s="32">
        <v>0</v>
      </c>
      <c r="Y21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0.33960912408801641</v>
      </c>
      <c r="Z217" s="32">
        <v>6182</v>
      </c>
      <c r="AA217" s="32">
        <v>291226</v>
      </c>
      <c r="AB217" s="32">
        <v>5877</v>
      </c>
      <c r="AC217" s="32">
        <v>0</v>
      </c>
      <c r="AD217" s="32">
        <v>0</v>
      </c>
      <c r="AE217" s="32">
        <v>858431</v>
      </c>
      <c r="AF217" s="32">
        <v>0</v>
      </c>
      <c r="AG21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1.8601828263150006</v>
      </c>
      <c r="AH217" s="32">
        <v>29766</v>
      </c>
      <c r="AI217" s="32">
        <v>7175</v>
      </c>
      <c r="AJ217" s="32">
        <v>3278</v>
      </c>
      <c r="AK217" s="32">
        <v>0</v>
      </c>
      <c r="AL217" s="32">
        <v>10</v>
      </c>
      <c r="AM217" s="32">
        <v>2851</v>
      </c>
      <c r="AN217" s="32">
        <v>8354</v>
      </c>
      <c r="AO217" s="32">
        <v>-1197</v>
      </c>
      <c r="AP217" s="32">
        <v>-12149</v>
      </c>
      <c r="AQ21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4.2288478198094142</v>
      </c>
      <c r="AR217" s="32">
        <v>11897</v>
      </c>
      <c r="AS217" s="32">
        <v>3776</v>
      </c>
      <c r="AT217" s="32">
        <v>4776</v>
      </c>
      <c r="AU217" s="32">
        <v>2774</v>
      </c>
      <c r="AV217" s="32">
        <v>2871</v>
      </c>
      <c r="AW217" s="32">
        <v>2851</v>
      </c>
      <c r="AX217" s="32">
        <v>0</v>
      </c>
      <c r="AY217" s="32">
        <v>308</v>
      </c>
      <c r="AZ217" s="32">
        <v>0</v>
      </c>
      <c r="BA217" s="32">
        <v>36</v>
      </c>
      <c r="BB217" s="32">
        <v>0</v>
      </c>
      <c r="BC217" s="32">
        <v>6926</v>
      </c>
      <c r="BD217" s="34">
        <f>IFERROR(SUM(Cons_Metrics[[#This Row],[Operating surplus/(deficit) (social housing lettings)]])/SUM(Cons_Metrics[[#This Row],[Turnover from social housing lettings]]),"")</f>
        <v>0.29738236906768473</v>
      </c>
      <c r="BE217" s="32">
        <v>14644</v>
      </c>
      <c r="BF217" s="32">
        <v>49243</v>
      </c>
      <c r="BG217" s="34">
        <f>IFERROR(SUM(Cons_Metrics[[#This Row],[Operating surplus/(deficit) (overall)2]],-Cons_Metrics[[#This Row],[Gain/(loss) on disposal of fixed assets (housing properties)2]])/SUM(Cons_Metrics[[#This Row],[Turnover (overall)]]),"")</f>
        <v>0.34002618943692708</v>
      </c>
      <c r="BH217" s="32">
        <v>29766</v>
      </c>
      <c r="BI217" s="32">
        <v>7175</v>
      </c>
      <c r="BJ217" s="32">
        <v>66439</v>
      </c>
      <c r="BK217" s="34">
        <f>IFERROR(SUM(Cons_Metrics[[#This Row],[Operating surplus/(deficit) (overall)3]],Cons_Metrics[[#This Row],[Share of operating surplus/(deficit) in joint ventures or associates]])/SUM(Cons_Metrics[[#This Row],[Total assets less current liabilities]]),"")</f>
        <v>3.459404930285425E-2</v>
      </c>
      <c r="BL217" s="32">
        <v>29766</v>
      </c>
      <c r="BM217" s="32">
        <v>0</v>
      </c>
      <c r="BN217" s="32">
        <v>860437</v>
      </c>
      <c r="BO217" s="34">
        <v>3.3164373642288199E-2</v>
      </c>
      <c r="BP217" s="34">
        <v>1.4627081824764663E-2</v>
      </c>
      <c r="BQ217" s="6" t="s">
        <v>82</v>
      </c>
      <c r="BR217" s="6" t="s">
        <v>83</v>
      </c>
      <c r="BS217" s="6" t="s">
        <v>83</v>
      </c>
      <c r="BT217" s="6" t="s">
        <v>156</v>
      </c>
      <c r="BU217" s="8">
        <v>1.2487254809188655</v>
      </c>
    </row>
    <row r="218" spans="1:73" x14ac:dyDescent="0.25">
      <c r="A218" s="33" t="s">
        <v>525</v>
      </c>
      <c r="B218" s="7" t="s">
        <v>526</v>
      </c>
      <c r="C218" s="7" t="s">
        <v>81</v>
      </c>
      <c r="D21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2.2791694512939876E-2</v>
      </c>
      <c r="E218" s="32">
        <v>96</v>
      </c>
      <c r="F218" s="32">
        <v>0</v>
      </c>
      <c r="G218" s="32">
        <v>893</v>
      </c>
      <c r="H218" s="32">
        <v>0</v>
      </c>
      <c r="I218" s="32">
        <v>0</v>
      </c>
      <c r="J218" s="32">
        <v>43393</v>
      </c>
      <c r="K218" s="32">
        <v>0</v>
      </c>
      <c r="L21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1.557632398753894E-3</v>
      </c>
      <c r="M218" s="32">
        <v>2</v>
      </c>
      <c r="N218" s="32">
        <v>0</v>
      </c>
      <c r="O218" s="32">
        <v>1284</v>
      </c>
      <c r="P218" s="32">
        <v>0</v>
      </c>
      <c r="Q21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8" s="32">
        <v>0</v>
      </c>
      <c r="S218" s="32">
        <v>0</v>
      </c>
      <c r="T218" s="32">
        <v>0</v>
      </c>
      <c r="U218" s="32">
        <v>1284</v>
      </c>
      <c r="V218" s="32">
        <v>0</v>
      </c>
      <c r="W218" s="32">
        <v>0</v>
      </c>
      <c r="X218" s="32">
        <v>0</v>
      </c>
      <c r="Y21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9.6075403866983156E-2</v>
      </c>
      <c r="Z218" s="32">
        <v>594</v>
      </c>
      <c r="AA218" s="32">
        <v>7735</v>
      </c>
      <c r="AB218" s="32">
        <v>4160</v>
      </c>
      <c r="AC218" s="32">
        <v>0</v>
      </c>
      <c r="AD218" s="32">
        <v>0</v>
      </c>
      <c r="AE218" s="32">
        <v>43393</v>
      </c>
      <c r="AF218" s="32">
        <v>0</v>
      </c>
      <c r="AG21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3.1087378640776699</v>
      </c>
      <c r="AH218" s="32">
        <v>1811</v>
      </c>
      <c r="AI218" s="32">
        <v>55</v>
      </c>
      <c r="AJ218" s="32">
        <v>257</v>
      </c>
      <c r="AK218" s="32">
        <v>0</v>
      </c>
      <c r="AL218" s="32">
        <v>14</v>
      </c>
      <c r="AM218" s="32">
        <v>893</v>
      </c>
      <c r="AN218" s="32">
        <v>981</v>
      </c>
      <c r="AO218" s="32">
        <v>0</v>
      </c>
      <c r="AP218" s="32">
        <v>-515</v>
      </c>
      <c r="AQ21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3.9010903426791277</v>
      </c>
      <c r="AR218" s="32">
        <v>900</v>
      </c>
      <c r="AS218" s="32">
        <v>551</v>
      </c>
      <c r="AT218" s="32">
        <v>923</v>
      </c>
      <c r="AU218" s="32">
        <v>0</v>
      </c>
      <c r="AV218" s="32">
        <v>414</v>
      </c>
      <c r="AW218" s="32">
        <v>893</v>
      </c>
      <c r="AX218" s="32">
        <v>98</v>
      </c>
      <c r="AY218" s="32">
        <v>0</v>
      </c>
      <c r="AZ218" s="32">
        <v>0</v>
      </c>
      <c r="BA218" s="32">
        <v>1230</v>
      </c>
      <c r="BB218" s="32">
        <v>0</v>
      </c>
      <c r="BC218" s="32">
        <v>1284</v>
      </c>
      <c r="BD218" s="34">
        <f>IFERROR(SUM(Cons_Metrics[[#This Row],[Operating surplus/(deficit) (social housing lettings)]])/SUM(Cons_Metrics[[#This Row],[Turnover from social housing lettings]]),"")</f>
        <v>0.36843832020997375</v>
      </c>
      <c r="BE218" s="32">
        <v>2246</v>
      </c>
      <c r="BF218" s="32">
        <v>6096</v>
      </c>
      <c r="BG218" s="34">
        <f>IFERROR(SUM(Cons_Metrics[[#This Row],[Operating surplus/(deficit) (overall)2]],-Cons_Metrics[[#This Row],[Gain/(loss) on disposal of fixed assets (housing properties)2]])/SUM(Cons_Metrics[[#This Row],[Turnover (overall)]]),"")</f>
        <v>0.25211773151471645</v>
      </c>
      <c r="BH218" s="32">
        <v>1811</v>
      </c>
      <c r="BI218" s="32">
        <v>55</v>
      </c>
      <c r="BJ218" s="32">
        <v>6965</v>
      </c>
      <c r="BK218" s="34">
        <f>IFERROR(SUM(Cons_Metrics[[#This Row],[Operating surplus/(deficit) (overall)3]],Cons_Metrics[[#This Row],[Share of operating surplus/(deficit) in joint ventures or associates]])/SUM(Cons_Metrics[[#This Row],[Total assets less current liabilities]]),"")</f>
        <v>3.5667159034958151E-2</v>
      </c>
      <c r="BL218" s="32">
        <v>1811</v>
      </c>
      <c r="BM218" s="32">
        <v>0</v>
      </c>
      <c r="BN218" s="32">
        <v>50775</v>
      </c>
      <c r="BO218" s="34">
        <v>5.8411214953271028E-2</v>
      </c>
      <c r="BP218" s="34">
        <v>0.12227414330218069</v>
      </c>
      <c r="BQ218" s="6" t="s">
        <v>82</v>
      </c>
      <c r="BR218" s="6" t="s">
        <v>83</v>
      </c>
      <c r="BS218" s="6" t="s">
        <v>83</v>
      </c>
      <c r="BT218" s="6" t="s">
        <v>105</v>
      </c>
      <c r="BU218" s="8">
        <v>0.9156653862445665</v>
      </c>
    </row>
    <row r="219" spans="1:73" x14ac:dyDescent="0.25">
      <c r="A219" s="33" t="s">
        <v>527</v>
      </c>
      <c r="B219" s="7" t="s">
        <v>528</v>
      </c>
      <c r="C219" s="7" t="s">
        <v>81</v>
      </c>
      <c r="D21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7.872692936876316E-2</v>
      </c>
      <c r="E219" s="32">
        <v>100078</v>
      </c>
      <c r="F219" s="32">
        <v>0</v>
      </c>
      <c r="G219" s="32">
        <v>2868</v>
      </c>
      <c r="H219" s="32">
        <v>2400</v>
      </c>
      <c r="I219" s="32">
        <v>0</v>
      </c>
      <c r="J219" s="32">
        <v>1338119</v>
      </c>
      <c r="K219" s="32">
        <v>0</v>
      </c>
      <c r="L21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2.3690535230610765E-2</v>
      </c>
      <c r="M219" s="32">
        <v>621</v>
      </c>
      <c r="N219" s="32">
        <v>0</v>
      </c>
      <c r="O219" s="32">
        <v>25628</v>
      </c>
      <c r="P219" s="32">
        <v>585</v>
      </c>
      <c r="Q21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19" s="32">
        <v>0</v>
      </c>
      <c r="S219" s="32">
        <v>0</v>
      </c>
      <c r="T219" s="32">
        <v>0</v>
      </c>
      <c r="U219" s="32">
        <v>25628</v>
      </c>
      <c r="V219" s="32">
        <v>8</v>
      </c>
      <c r="W219" s="32">
        <v>585</v>
      </c>
      <c r="X219" s="32">
        <v>386</v>
      </c>
      <c r="Y21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0.48532380154530352</v>
      </c>
      <c r="Z219" s="32">
        <v>29828</v>
      </c>
      <c r="AA219" s="32">
        <v>681504</v>
      </c>
      <c r="AB219" s="32">
        <v>61911</v>
      </c>
      <c r="AC219" s="32">
        <v>0</v>
      </c>
      <c r="AD219" s="32">
        <v>0</v>
      </c>
      <c r="AE219" s="32">
        <v>1338119</v>
      </c>
      <c r="AF219" s="32">
        <v>0</v>
      </c>
      <c r="AG21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2.2845583904268842</v>
      </c>
      <c r="AH219" s="32">
        <v>69103</v>
      </c>
      <c r="AI219" s="32">
        <v>7499</v>
      </c>
      <c r="AJ219" s="32">
        <v>4241</v>
      </c>
      <c r="AK219" s="32">
        <v>0</v>
      </c>
      <c r="AL219" s="32">
        <v>206</v>
      </c>
      <c r="AM219" s="32">
        <v>2861</v>
      </c>
      <c r="AN219" s="32">
        <v>18985</v>
      </c>
      <c r="AO219" s="32">
        <v>-2400</v>
      </c>
      <c r="AP219" s="32">
        <v>-29857</v>
      </c>
      <c r="AQ21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1.9200561009817672</v>
      </c>
      <c r="AR219" s="32">
        <v>11852</v>
      </c>
      <c r="AS219" s="32">
        <v>7948</v>
      </c>
      <c r="AT219" s="32">
        <v>15489</v>
      </c>
      <c r="AU219" s="32">
        <v>3432</v>
      </c>
      <c r="AV219" s="32">
        <v>4813</v>
      </c>
      <c r="AW219" s="32">
        <v>2861</v>
      </c>
      <c r="AX219" s="32">
        <v>0</v>
      </c>
      <c r="AY219" s="32">
        <v>662</v>
      </c>
      <c r="AZ219" s="32">
        <v>0</v>
      </c>
      <c r="BA219" s="32">
        <v>2227</v>
      </c>
      <c r="BB219" s="32">
        <v>0</v>
      </c>
      <c r="BC219" s="32">
        <v>25668</v>
      </c>
      <c r="BD219" s="34">
        <f>IFERROR(SUM(Cons_Metrics[[#This Row],[Operating surplus/(deficit) (social housing lettings)]])/SUM(Cons_Metrics[[#This Row],[Turnover from social housing lettings]]),"")</f>
        <v>0.49030705867960689</v>
      </c>
      <c r="BE219" s="32">
        <v>60119</v>
      </c>
      <c r="BF219" s="32">
        <v>122615</v>
      </c>
      <c r="BG219" s="34">
        <f>IFERROR(SUM(Cons_Metrics[[#This Row],[Operating surplus/(deficit) (overall)2]],-Cons_Metrics[[#This Row],[Gain/(loss) on disposal of fixed assets (housing properties)2]])/SUM(Cons_Metrics[[#This Row],[Turnover (overall)]]),"")</f>
        <v>0.43349823023172351</v>
      </c>
      <c r="BH219" s="32">
        <v>69103</v>
      </c>
      <c r="BI219" s="32">
        <v>7499</v>
      </c>
      <c r="BJ219" s="32">
        <v>142109</v>
      </c>
      <c r="BK219" s="34">
        <f>IFERROR(SUM(Cons_Metrics[[#This Row],[Operating surplus/(deficit) (overall)3]],Cons_Metrics[[#This Row],[Share of operating surplus/(deficit) in joint ventures or associates]])/SUM(Cons_Metrics[[#This Row],[Total assets less current liabilities]]),"")</f>
        <v>5.103087492366009E-2</v>
      </c>
      <c r="BL219" s="32">
        <v>69103</v>
      </c>
      <c r="BM219" s="32">
        <v>0</v>
      </c>
      <c r="BN219" s="32">
        <v>1354141</v>
      </c>
      <c r="BO219" s="34">
        <v>7.0312500000000002E-3</v>
      </c>
      <c r="BP219" s="34">
        <v>4.8085937500000002E-2</v>
      </c>
      <c r="BQ219" s="6" t="s">
        <v>82</v>
      </c>
      <c r="BR219" s="6" t="s">
        <v>83</v>
      </c>
      <c r="BS219" s="6" t="s">
        <v>83</v>
      </c>
      <c r="BT219" s="6" t="s">
        <v>95</v>
      </c>
      <c r="BU219" s="8">
        <v>0.91938821115213809</v>
      </c>
    </row>
    <row r="220" spans="1:73" x14ac:dyDescent="0.25">
      <c r="A220" s="33" t="s">
        <v>529</v>
      </c>
      <c r="B220" s="7" t="s">
        <v>530</v>
      </c>
      <c r="C220" s="7" t="s">
        <v>81</v>
      </c>
      <c r="D22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0.1146433471789676</v>
      </c>
      <c r="E220" s="32">
        <v>27080</v>
      </c>
      <c r="F220" s="32">
        <v>0</v>
      </c>
      <c r="G220" s="32">
        <v>3584</v>
      </c>
      <c r="H220" s="32">
        <v>0</v>
      </c>
      <c r="I220" s="32">
        <v>0</v>
      </c>
      <c r="J220" s="32">
        <v>267473</v>
      </c>
      <c r="K220" s="32">
        <v>0</v>
      </c>
      <c r="L22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1.6187433439829604E-2</v>
      </c>
      <c r="M220" s="32">
        <v>76</v>
      </c>
      <c r="N220" s="32">
        <v>0</v>
      </c>
      <c r="O220" s="32">
        <v>4695</v>
      </c>
      <c r="P220" s="32">
        <v>0</v>
      </c>
      <c r="Q22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0" s="32">
        <v>0</v>
      </c>
      <c r="S220" s="32">
        <v>0</v>
      </c>
      <c r="T220" s="32">
        <v>0</v>
      </c>
      <c r="U220" s="32">
        <v>4695</v>
      </c>
      <c r="V220" s="32">
        <v>27</v>
      </c>
      <c r="W220" s="32">
        <v>0</v>
      </c>
      <c r="X220" s="32">
        <v>0</v>
      </c>
      <c r="Y22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0.40884874361150469</v>
      </c>
      <c r="Z220" s="32">
        <v>0</v>
      </c>
      <c r="AA220" s="32">
        <v>155130</v>
      </c>
      <c r="AB220" s="32">
        <v>46003</v>
      </c>
      <c r="AC220" s="32">
        <v>0</v>
      </c>
      <c r="AD220" s="32">
        <v>229</v>
      </c>
      <c r="AE220" s="32">
        <v>267473</v>
      </c>
      <c r="AF220" s="32">
        <v>0</v>
      </c>
      <c r="AG22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2.4606928023231696</v>
      </c>
      <c r="AH220" s="32">
        <v>10859</v>
      </c>
      <c r="AI220" s="32">
        <v>-125</v>
      </c>
      <c r="AJ220" s="32">
        <v>63</v>
      </c>
      <c r="AK220" s="32">
        <v>0</v>
      </c>
      <c r="AL220" s="32">
        <v>59</v>
      </c>
      <c r="AM220" s="32">
        <v>3584</v>
      </c>
      <c r="AN220" s="32">
        <v>4467</v>
      </c>
      <c r="AO220" s="32">
        <v>-473</v>
      </c>
      <c r="AP220" s="32">
        <v>-4348</v>
      </c>
      <c r="AQ22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3.7820299500831949</v>
      </c>
      <c r="AR220" s="32">
        <v>8264</v>
      </c>
      <c r="AS220" s="32">
        <v>1249</v>
      </c>
      <c r="AT220" s="32">
        <v>3372</v>
      </c>
      <c r="AU220" s="32">
        <v>354</v>
      </c>
      <c r="AV220" s="32">
        <v>214</v>
      </c>
      <c r="AW220" s="32">
        <v>3584</v>
      </c>
      <c r="AX220" s="32">
        <v>29</v>
      </c>
      <c r="AY220" s="32">
        <v>289</v>
      </c>
      <c r="AZ220" s="32">
        <v>0</v>
      </c>
      <c r="BA220" s="32">
        <v>795</v>
      </c>
      <c r="BB220" s="32">
        <v>34</v>
      </c>
      <c r="BC220" s="32">
        <v>4808</v>
      </c>
      <c r="BD220" s="34">
        <f>IFERROR(SUM(Cons_Metrics[[#This Row],[Operating surplus/(deficit) (social housing lettings)]])/SUM(Cons_Metrics[[#This Row],[Turnover from social housing lettings]]),"")</f>
        <v>0.36010894170911151</v>
      </c>
      <c r="BE220" s="32">
        <v>10181</v>
      </c>
      <c r="BF220" s="32">
        <v>28272</v>
      </c>
      <c r="BG220" s="34">
        <f>IFERROR(SUM(Cons_Metrics[[#This Row],[Operating surplus/(deficit) (overall)2]],-Cons_Metrics[[#This Row],[Gain/(loss) on disposal of fixed assets (housing properties)2]])/SUM(Cons_Metrics[[#This Row],[Turnover (overall)]]),"")</f>
        <v>0.3461162754057035</v>
      </c>
      <c r="BH220" s="32">
        <v>10859</v>
      </c>
      <c r="BI220" s="32">
        <v>-125</v>
      </c>
      <c r="BJ220" s="32">
        <v>31735</v>
      </c>
      <c r="BK220" s="34">
        <f>IFERROR(SUM(Cons_Metrics[[#This Row],[Operating surplus/(deficit) (overall)3]],Cons_Metrics[[#This Row],[Share of operating surplus/(deficit) in joint ventures or associates]])/SUM(Cons_Metrics[[#This Row],[Total assets less current liabilities]]),"")</f>
        <v>3.6073982178112161E-2</v>
      </c>
      <c r="BL220" s="32">
        <v>10859</v>
      </c>
      <c r="BM220" s="32">
        <v>-42</v>
      </c>
      <c r="BN220" s="32">
        <v>299856</v>
      </c>
      <c r="BO220" s="34">
        <v>0</v>
      </c>
      <c r="BP220" s="34">
        <v>0.103369384359401</v>
      </c>
      <c r="BQ220" s="6" t="s">
        <v>93</v>
      </c>
      <c r="BR220" s="6">
        <v>2007</v>
      </c>
      <c r="BS220" s="6" t="s">
        <v>120</v>
      </c>
      <c r="BT220" s="6" t="s">
        <v>100</v>
      </c>
      <c r="BU220" s="8">
        <v>1.0022399874355168</v>
      </c>
    </row>
    <row r="221" spans="1:73" x14ac:dyDescent="0.25">
      <c r="A221" s="33" t="s">
        <v>531</v>
      </c>
      <c r="B221" s="7" t="s">
        <v>532</v>
      </c>
      <c r="C221" s="7" t="s">
        <v>81</v>
      </c>
      <c r="D22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6.9382216095123211E-2</v>
      </c>
      <c r="E221" s="32">
        <v>0</v>
      </c>
      <c r="F221" s="32">
        <v>0</v>
      </c>
      <c r="G221" s="32">
        <v>3221</v>
      </c>
      <c r="H221" s="32">
        <v>0</v>
      </c>
      <c r="I221" s="32">
        <v>0</v>
      </c>
      <c r="J221" s="32">
        <v>46424</v>
      </c>
      <c r="K221" s="32">
        <v>0</v>
      </c>
      <c r="L22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221" s="32">
        <v>0</v>
      </c>
      <c r="N221" s="32">
        <v>0</v>
      </c>
      <c r="O221" s="32">
        <v>2636</v>
      </c>
      <c r="P221" s="32">
        <v>0</v>
      </c>
      <c r="Q22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1" s="32">
        <v>0</v>
      </c>
      <c r="S221" s="32">
        <v>0</v>
      </c>
      <c r="T221" s="32">
        <v>0</v>
      </c>
      <c r="U221" s="32">
        <v>2636</v>
      </c>
      <c r="V221" s="32">
        <v>0</v>
      </c>
      <c r="W221" s="32">
        <v>0</v>
      </c>
      <c r="X221" s="32">
        <v>378</v>
      </c>
      <c r="Y22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4.3942788212993278E-3</v>
      </c>
      <c r="Z221" s="32">
        <v>0</v>
      </c>
      <c r="AA221" s="32">
        <v>8279</v>
      </c>
      <c r="AB221" s="32">
        <v>8075</v>
      </c>
      <c r="AC221" s="32">
        <v>0</v>
      </c>
      <c r="AD221" s="32">
        <v>0</v>
      </c>
      <c r="AE221" s="32">
        <v>46424</v>
      </c>
      <c r="AF221" s="32">
        <v>0</v>
      </c>
      <c r="AG22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3.8625954198473282</v>
      </c>
      <c r="AH221" s="32">
        <v>5179</v>
      </c>
      <c r="AI221" s="32">
        <v>499</v>
      </c>
      <c r="AJ221" s="32">
        <v>508</v>
      </c>
      <c r="AK221" s="32">
        <v>0</v>
      </c>
      <c r="AL221" s="32">
        <v>8</v>
      </c>
      <c r="AM221" s="32">
        <v>3221</v>
      </c>
      <c r="AN221" s="32">
        <v>1571</v>
      </c>
      <c r="AO221" s="32">
        <v>0</v>
      </c>
      <c r="AP221" s="32">
        <v>-655</v>
      </c>
      <c r="AQ22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4.8797020484171325</v>
      </c>
      <c r="AR221" s="32">
        <v>2172</v>
      </c>
      <c r="AS221" s="32">
        <v>2497</v>
      </c>
      <c r="AT221" s="32">
        <v>3254</v>
      </c>
      <c r="AU221" s="32">
        <v>1152</v>
      </c>
      <c r="AV221" s="32">
        <v>0</v>
      </c>
      <c r="AW221" s="32">
        <v>3221</v>
      </c>
      <c r="AX221" s="32">
        <v>0</v>
      </c>
      <c r="AY221" s="32">
        <v>0</v>
      </c>
      <c r="AZ221" s="32">
        <v>0</v>
      </c>
      <c r="BA221" s="32">
        <v>806</v>
      </c>
      <c r="BB221" s="32">
        <v>0</v>
      </c>
      <c r="BC221" s="32">
        <v>2685</v>
      </c>
      <c r="BD221" s="34">
        <f>IFERROR(SUM(Cons_Metrics[[#This Row],[Operating surplus/(deficit) (social housing lettings)]])/SUM(Cons_Metrics[[#This Row],[Turnover from social housing lettings]]),"")</f>
        <v>0.26636161952301718</v>
      </c>
      <c r="BE221" s="32">
        <v>3842</v>
      </c>
      <c r="BF221" s="32">
        <v>14424</v>
      </c>
      <c r="BG221" s="34">
        <f>IFERROR(SUM(Cons_Metrics[[#This Row],[Operating surplus/(deficit) (overall)2]],-Cons_Metrics[[#This Row],[Gain/(loss) on disposal of fixed assets (housing properties)2]])/SUM(Cons_Metrics[[#This Row],[Turnover (overall)]]),"")</f>
        <v>0.2908096688000994</v>
      </c>
      <c r="BH221" s="32">
        <v>5179</v>
      </c>
      <c r="BI221" s="32">
        <v>499</v>
      </c>
      <c r="BJ221" s="32">
        <v>16093</v>
      </c>
      <c r="BK221" s="34">
        <f>IFERROR(SUM(Cons_Metrics[[#This Row],[Operating surplus/(deficit) (overall)3]],Cons_Metrics[[#This Row],[Share of operating surplus/(deficit) in joint ventures or associates]])/SUM(Cons_Metrics[[#This Row],[Total assets less current liabilities]]),"")</f>
        <v>9.3239715545953727E-2</v>
      </c>
      <c r="BL221" s="32">
        <v>5179</v>
      </c>
      <c r="BM221" s="32">
        <v>0</v>
      </c>
      <c r="BN221" s="32">
        <v>55545</v>
      </c>
      <c r="BO221" s="34">
        <v>0</v>
      </c>
      <c r="BP221" s="34">
        <v>3.2625189681335355E-2</v>
      </c>
      <c r="BQ221" s="6" t="s">
        <v>93</v>
      </c>
      <c r="BR221" s="6">
        <v>2003</v>
      </c>
      <c r="BS221" s="6" t="s">
        <v>94</v>
      </c>
      <c r="BT221" s="6" t="s">
        <v>90</v>
      </c>
      <c r="BU221" s="8">
        <v>1.0335051065976915</v>
      </c>
    </row>
    <row r="222" spans="1:73" x14ac:dyDescent="0.25">
      <c r="A222" s="33" t="s">
        <v>533</v>
      </c>
      <c r="B222" s="7" t="s">
        <v>534</v>
      </c>
      <c r="C222" s="7" t="s">
        <v>81</v>
      </c>
      <c r="D22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4.1617701551003125E-2</v>
      </c>
      <c r="E222" s="32">
        <v>836</v>
      </c>
      <c r="F222" s="32">
        <v>945</v>
      </c>
      <c r="G222" s="32">
        <v>2106</v>
      </c>
      <c r="H222" s="32">
        <v>44</v>
      </c>
      <c r="I222" s="32">
        <v>0</v>
      </c>
      <c r="J222" s="32">
        <v>94455</v>
      </c>
      <c r="K222" s="32">
        <v>0</v>
      </c>
      <c r="L22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2.6182294223531335E-3</v>
      </c>
      <c r="M222" s="32">
        <v>16</v>
      </c>
      <c r="N222" s="32">
        <v>0</v>
      </c>
      <c r="O222" s="32">
        <v>6111</v>
      </c>
      <c r="P222" s="32">
        <v>0</v>
      </c>
      <c r="Q22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2" s="32">
        <v>0</v>
      </c>
      <c r="S222" s="32">
        <v>0</v>
      </c>
      <c r="T222" s="32">
        <v>0</v>
      </c>
      <c r="U222" s="32">
        <v>6111</v>
      </c>
      <c r="V222" s="32">
        <v>0</v>
      </c>
      <c r="W222" s="32">
        <v>0</v>
      </c>
      <c r="X222" s="32">
        <v>0</v>
      </c>
      <c r="Y22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0.60754856810121227</v>
      </c>
      <c r="Z222" s="32">
        <v>3230</v>
      </c>
      <c r="AA222" s="32">
        <v>70168</v>
      </c>
      <c r="AB222" s="32">
        <v>16107</v>
      </c>
      <c r="AC222" s="32">
        <v>0</v>
      </c>
      <c r="AD222" s="32">
        <v>95</v>
      </c>
      <c r="AE222" s="32">
        <v>94455</v>
      </c>
      <c r="AF222" s="32">
        <v>0</v>
      </c>
      <c r="AG22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2.8705428846771603</v>
      </c>
      <c r="AH222" s="32">
        <v>8456</v>
      </c>
      <c r="AI222" s="32">
        <v>578</v>
      </c>
      <c r="AJ222" s="32">
        <v>110</v>
      </c>
      <c r="AK222" s="32">
        <v>0</v>
      </c>
      <c r="AL222" s="32">
        <v>38</v>
      </c>
      <c r="AM222" s="32">
        <v>2106</v>
      </c>
      <c r="AN222" s="32">
        <v>3236</v>
      </c>
      <c r="AO222" s="32">
        <v>-44</v>
      </c>
      <c r="AP222" s="32">
        <v>-3069</v>
      </c>
      <c r="AQ22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3.6776305023727702</v>
      </c>
      <c r="AR222" s="32">
        <v>5174</v>
      </c>
      <c r="AS222" s="32">
        <v>1919</v>
      </c>
      <c r="AT222" s="32">
        <v>5275</v>
      </c>
      <c r="AU222" s="32">
        <v>4300</v>
      </c>
      <c r="AV222" s="32">
        <v>2037</v>
      </c>
      <c r="AW222" s="32">
        <v>2106</v>
      </c>
      <c r="AX222" s="32">
        <v>0</v>
      </c>
      <c r="AY222" s="32">
        <v>61</v>
      </c>
      <c r="AZ222" s="32">
        <v>1602</v>
      </c>
      <c r="BA222" s="32">
        <v>0</v>
      </c>
      <c r="BB222" s="32">
        <v>0</v>
      </c>
      <c r="BC222" s="32">
        <v>6111</v>
      </c>
      <c r="BD222" s="34">
        <f>IFERROR(SUM(Cons_Metrics[[#This Row],[Operating surplus/(deficit) (social housing lettings)]])/SUM(Cons_Metrics[[#This Row],[Turnover from social housing lettings]]),"")</f>
        <v>0.28514136090948261</v>
      </c>
      <c r="BE222" s="32">
        <v>8603</v>
      </c>
      <c r="BF222" s="32">
        <v>30171</v>
      </c>
      <c r="BG222" s="34">
        <f>IFERROR(SUM(Cons_Metrics[[#This Row],[Operating surplus/(deficit) (overall)2]],-Cons_Metrics[[#This Row],[Gain/(loss) on disposal of fixed assets (housing properties)2]])/SUM(Cons_Metrics[[#This Row],[Turnover (overall)]]),"")</f>
        <v>0.24399157581764122</v>
      </c>
      <c r="BH222" s="32">
        <v>8456</v>
      </c>
      <c r="BI222" s="32">
        <v>578</v>
      </c>
      <c r="BJ222" s="32">
        <v>32288</v>
      </c>
      <c r="BK222" s="34">
        <f>IFERROR(SUM(Cons_Metrics[[#This Row],[Operating surplus/(deficit) (overall)3]],Cons_Metrics[[#This Row],[Share of operating surplus/(deficit) in joint ventures or associates]])/SUM(Cons_Metrics[[#This Row],[Total assets less current liabilities]]),"")</f>
        <v>7.6887405777466611E-2</v>
      </c>
      <c r="BL222" s="32">
        <v>8456</v>
      </c>
      <c r="BM222" s="32">
        <v>0</v>
      </c>
      <c r="BN222" s="32">
        <v>109979</v>
      </c>
      <c r="BO222" s="34">
        <v>1.4727540500736377E-3</v>
      </c>
      <c r="BP222" s="34">
        <v>3.0764195712649323E-2</v>
      </c>
      <c r="BQ222" s="6" t="s">
        <v>93</v>
      </c>
      <c r="BR222" s="6">
        <v>2002</v>
      </c>
      <c r="BS222" s="6" t="s">
        <v>94</v>
      </c>
      <c r="BT222" s="6" t="s">
        <v>105</v>
      </c>
      <c r="BU222" s="8">
        <v>0.9156653862445665</v>
      </c>
    </row>
    <row r="223" spans="1:73" x14ac:dyDescent="0.25">
      <c r="A223" s="33" t="s">
        <v>535</v>
      </c>
      <c r="B223" s="7" t="s">
        <v>536</v>
      </c>
      <c r="C223" s="7" t="s">
        <v>81</v>
      </c>
      <c r="D22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8.5159609659278865E-2</v>
      </c>
      <c r="E223" s="32">
        <v>2414</v>
      </c>
      <c r="F223" s="32">
        <v>4109</v>
      </c>
      <c r="G223" s="32">
        <v>1665</v>
      </c>
      <c r="H223" s="32">
        <v>50</v>
      </c>
      <c r="I223" s="32">
        <v>0</v>
      </c>
      <c r="J223" s="32">
        <v>96736</v>
      </c>
      <c r="K223" s="32">
        <v>0</v>
      </c>
      <c r="L22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8.997698263234986E-3</v>
      </c>
      <c r="M223" s="32">
        <v>43</v>
      </c>
      <c r="N223" s="32">
        <v>0</v>
      </c>
      <c r="O223" s="32">
        <v>4674</v>
      </c>
      <c r="P223" s="32">
        <v>105</v>
      </c>
      <c r="Q22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3" s="32">
        <v>0</v>
      </c>
      <c r="S223" s="32">
        <v>0</v>
      </c>
      <c r="T223" s="32">
        <v>0</v>
      </c>
      <c r="U223" s="32">
        <v>4674</v>
      </c>
      <c r="V223" s="32">
        <v>16</v>
      </c>
      <c r="W223" s="32">
        <v>105</v>
      </c>
      <c r="X223" s="32">
        <v>0</v>
      </c>
      <c r="Y22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0.31334766787958979</v>
      </c>
      <c r="Z223" s="32">
        <v>0</v>
      </c>
      <c r="AA223" s="32">
        <v>35843</v>
      </c>
      <c r="AB223" s="32">
        <v>5531</v>
      </c>
      <c r="AC223" s="32">
        <v>0</v>
      </c>
      <c r="AD223" s="32">
        <v>0</v>
      </c>
      <c r="AE223" s="32">
        <v>96736</v>
      </c>
      <c r="AF223" s="32">
        <v>0</v>
      </c>
      <c r="AG22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4.5016362786348765</v>
      </c>
      <c r="AH223" s="32">
        <v>9309</v>
      </c>
      <c r="AI223" s="32">
        <v>1151</v>
      </c>
      <c r="AJ223" s="32">
        <v>51</v>
      </c>
      <c r="AK223" s="32">
        <v>0</v>
      </c>
      <c r="AL223" s="32">
        <v>5</v>
      </c>
      <c r="AM223" s="32">
        <v>1665</v>
      </c>
      <c r="AN223" s="32">
        <v>3182</v>
      </c>
      <c r="AO223" s="32">
        <v>-50</v>
      </c>
      <c r="AP223" s="32">
        <v>-2089</v>
      </c>
      <c r="AQ22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2.6465554129225501</v>
      </c>
      <c r="AR223" s="32">
        <v>3847</v>
      </c>
      <c r="AS223" s="32">
        <v>503</v>
      </c>
      <c r="AT223" s="32">
        <v>4633</v>
      </c>
      <c r="AU223" s="32">
        <v>661</v>
      </c>
      <c r="AV223" s="32">
        <v>603</v>
      </c>
      <c r="AW223" s="32">
        <v>1665</v>
      </c>
      <c r="AX223" s="32">
        <v>0</v>
      </c>
      <c r="AY223" s="32">
        <v>0</v>
      </c>
      <c r="AZ223" s="32">
        <v>0</v>
      </c>
      <c r="BA223" s="32">
        <v>175</v>
      </c>
      <c r="BB223" s="32">
        <v>283</v>
      </c>
      <c r="BC223" s="32">
        <v>4674</v>
      </c>
      <c r="BD223" s="34">
        <f>IFERROR(SUM(Cons_Metrics[[#This Row],[Operating surplus/(deficit) (social housing lettings)]])/SUM(Cons_Metrics[[#This Row],[Turnover from social housing lettings]]),"")</f>
        <v>0.35154809278850818</v>
      </c>
      <c r="BE223" s="32">
        <v>7244</v>
      </c>
      <c r="BF223" s="32">
        <v>20606</v>
      </c>
      <c r="BG223" s="34">
        <f>IFERROR(SUM(Cons_Metrics[[#This Row],[Operating surplus/(deficit) (overall)2]],-Cons_Metrics[[#This Row],[Gain/(loss) on disposal of fixed assets (housing properties)2]])/SUM(Cons_Metrics[[#This Row],[Turnover (overall)]]),"")</f>
        <v>0.35532906485474108</v>
      </c>
      <c r="BH223" s="32">
        <v>9309</v>
      </c>
      <c r="BI223" s="32">
        <v>1151</v>
      </c>
      <c r="BJ223" s="32">
        <v>22959</v>
      </c>
      <c r="BK223" s="34">
        <f>IFERROR(SUM(Cons_Metrics[[#This Row],[Operating surplus/(deficit) (overall)3]],Cons_Metrics[[#This Row],[Share of operating surplus/(deficit) in joint ventures or associates]])/SUM(Cons_Metrics[[#This Row],[Total assets less current liabilities]]),"")</f>
        <v>8.9516501269328405E-2</v>
      </c>
      <c r="BL223" s="32">
        <v>9309</v>
      </c>
      <c r="BM223" s="32">
        <v>0</v>
      </c>
      <c r="BN223" s="32">
        <v>103992</v>
      </c>
      <c r="BO223" s="34">
        <v>5.546075085324232E-2</v>
      </c>
      <c r="BP223" s="34">
        <v>0</v>
      </c>
      <c r="BQ223" s="6" t="s">
        <v>93</v>
      </c>
      <c r="BR223" s="6">
        <v>2007</v>
      </c>
      <c r="BS223" s="6" t="s">
        <v>120</v>
      </c>
      <c r="BT223" s="6" t="s">
        <v>95</v>
      </c>
      <c r="BU223" s="8">
        <v>0.92038375847935383</v>
      </c>
    </row>
    <row r="224" spans="1:73" x14ac:dyDescent="0.25">
      <c r="A224" s="33" t="s">
        <v>537</v>
      </c>
      <c r="B224" s="7" t="s">
        <v>538</v>
      </c>
      <c r="C224" s="7" t="s">
        <v>134</v>
      </c>
      <c r="D224"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4.5272010060030836E-2</v>
      </c>
      <c r="E224" s="32">
        <v>0</v>
      </c>
      <c r="F224" s="32">
        <v>20515</v>
      </c>
      <c r="G224" s="32">
        <v>2888</v>
      </c>
      <c r="H224" s="32">
        <v>790</v>
      </c>
      <c r="I224" s="32">
        <v>0</v>
      </c>
      <c r="J224" s="32">
        <v>534392</v>
      </c>
      <c r="K224" s="32">
        <v>0</v>
      </c>
      <c r="L224"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1.4904187366926898E-2</v>
      </c>
      <c r="M224" s="32">
        <v>105</v>
      </c>
      <c r="N224" s="32">
        <v>0</v>
      </c>
      <c r="O224" s="32">
        <v>7045</v>
      </c>
      <c r="P224" s="32">
        <v>0</v>
      </c>
      <c r="Q224"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4" s="32">
        <v>0</v>
      </c>
      <c r="S224" s="32">
        <v>0</v>
      </c>
      <c r="T224" s="32">
        <v>0</v>
      </c>
      <c r="U224" s="32">
        <v>7045</v>
      </c>
      <c r="V224" s="32">
        <v>0</v>
      </c>
      <c r="W224" s="32">
        <v>0</v>
      </c>
      <c r="X224" s="32">
        <v>0</v>
      </c>
      <c r="Y224"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0.41306007574963699</v>
      </c>
      <c r="Z224" s="32">
        <v>1519</v>
      </c>
      <c r="AA224" s="32">
        <v>229562</v>
      </c>
      <c r="AB224" s="32">
        <v>32710</v>
      </c>
      <c r="AC224" s="32">
        <v>0</v>
      </c>
      <c r="AD224" s="32">
        <v>22365</v>
      </c>
      <c r="AE224" s="32">
        <v>534392</v>
      </c>
      <c r="AF224" s="32">
        <v>0</v>
      </c>
      <c r="AG224"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2.3713378044475819</v>
      </c>
      <c r="AH224" s="32">
        <v>19230</v>
      </c>
      <c r="AI224" s="32">
        <v>1288</v>
      </c>
      <c r="AJ224" s="32">
        <v>956</v>
      </c>
      <c r="AK224" s="32">
        <v>0</v>
      </c>
      <c r="AL224" s="32">
        <v>103</v>
      </c>
      <c r="AM224" s="32">
        <v>2890</v>
      </c>
      <c r="AN224" s="32">
        <v>5955</v>
      </c>
      <c r="AO224" s="32">
        <v>-981</v>
      </c>
      <c r="AP224" s="32">
        <v>-7518</v>
      </c>
      <c r="AQ224"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3.7872249822569199</v>
      </c>
      <c r="AR224" s="32">
        <v>3961</v>
      </c>
      <c r="AS224" s="32">
        <v>5901</v>
      </c>
      <c r="AT224" s="32">
        <v>3699</v>
      </c>
      <c r="AU224" s="32">
        <v>6422</v>
      </c>
      <c r="AV224" s="32">
        <v>562</v>
      </c>
      <c r="AW224" s="32">
        <v>2890</v>
      </c>
      <c r="AX224" s="32">
        <v>44</v>
      </c>
      <c r="AY224" s="32">
        <v>471</v>
      </c>
      <c r="AZ224" s="32">
        <v>1636</v>
      </c>
      <c r="BA224" s="32">
        <v>73</v>
      </c>
      <c r="BB224" s="32">
        <v>1022</v>
      </c>
      <c r="BC224" s="32">
        <v>7045</v>
      </c>
      <c r="BD224" s="34">
        <f>IFERROR(SUM(Cons_Metrics[[#This Row],[Operating surplus/(deficit) (social housing lettings)]])/SUM(Cons_Metrics[[#This Row],[Turnover from social housing lettings]]),"")</f>
        <v>0.4087375797039407</v>
      </c>
      <c r="BE224" s="32">
        <v>18141</v>
      </c>
      <c r="BF224" s="32">
        <v>44383</v>
      </c>
      <c r="BG224" s="34">
        <f>IFERROR(SUM(Cons_Metrics[[#This Row],[Operating surplus/(deficit) (overall)2]],-Cons_Metrics[[#This Row],[Gain/(loss) on disposal of fixed assets (housing properties)2]])/SUM(Cons_Metrics[[#This Row],[Turnover (overall)]]),"")</f>
        <v>0.35681330045342458</v>
      </c>
      <c r="BH224" s="32">
        <v>19230</v>
      </c>
      <c r="BI224" s="32">
        <v>1288</v>
      </c>
      <c r="BJ224" s="32">
        <v>50284</v>
      </c>
      <c r="BK224" s="34">
        <f>IFERROR(SUM(Cons_Metrics[[#This Row],[Operating surplus/(deficit) (overall)3]],Cons_Metrics[[#This Row],[Share of operating surplus/(deficit) in joint ventures or associates]])/SUM(Cons_Metrics[[#This Row],[Total assets less current liabilities]]),"")</f>
        <v>3.1259804248277297E-2</v>
      </c>
      <c r="BL224" s="32">
        <v>19230</v>
      </c>
      <c r="BM224" s="32">
        <v>0</v>
      </c>
      <c r="BN224" s="32">
        <v>615167</v>
      </c>
      <c r="BO224" s="34">
        <v>9.4968107725017722E-3</v>
      </c>
      <c r="BP224" s="34">
        <v>0.15067328136073707</v>
      </c>
      <c r="BQ224" s="6" t="s">
        <v>93</v>
      </c>
      <c r="BR224" s="6">
        <v>1989</v>
      </c>
      <c r="BS224" s="6" t="s">
        <v>94</v>
      </c>
      <c r="BT224" s="6" t="s">
        <v>84</v>
      </c>
      <c r="BU224" s="8">
        <v>1.0118524159776632</v>
      </c>
    </row>
    <row r="225" spans="1:73" x14ac:dyDescent="0.25">
      <c r="A225" s="33" t="s">
        <v>539</v>
      </c>
      <c r="B225" s="7" t="s">
        <v>540</v>
      </c>
      <c r="C225" s="7" t="s">
        <v>81</v>
      </c>
      <c r="D225"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4.9783216136454721E-2</v>
      </c>
      <c r="E225" s="32">
        <v>10883</v>
      </c>
      <c r="F225" s="32">
        <v>0</v>
      </c>
      <c r="G225" s="32">
        <v>4839</v>
      </c>
      <c r="H225" s="32">
        <v>648</v>
      </c>
      <c r="I225" s="32">
        <v>1393</v>
      </c>
      <c r="J225" s="32">
        <v>356807</v>
      </c>
      <c r="K225" s="32">
        <v>0</v>
      </c>
      <c r="L225"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7.3249753486406537E-3</v>
      </c>
      <c r="M225" s="32">
        <v>52</v>
      </c>
      <c r="N225" s="32">
        <v>0</v>
      </c>
      <c r="O225" s="32">
        <v>7099</v>
      </c>
      <c r="P225" s="32">
        <v>0</v>
      </c>
      <c r="Q225"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5" s="32">
        <v>0</v>
      </c>
      <c r="S225" s="32">
        <v>0</v>
      </c>
      <c r="T225" s="32">
        <v>0</v>
      </c>
      <c r="U225" s="32">
        <v>7099</v>
      </c>
      <c r="V225" s="32">
        <v>0</v>
      </c>
      <c r="W225" s="32">
        <v>0</v>
      </c>
      <c r="X225" s="32">
        <v>0</v>
      </c>
      <c r="Y225"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0.33904043362377978</v>
      </c>
      <c r="Z225" s="32">
        <v>1630</v>
      </c>
      <c r="AA225" s="32">
        <v>132144</v>
      </c>
      <c r="AB225" s="32">
        <v>12802</v>
      </c>
      <c r="AC225" s="32">
        <v>0</v>
      </c>
      <c r="AD225" s="32">
        <v>0</v>
      </c>
      <c r="AE225" s="32">
        <v>356807</v>
      </c>
      <c r="AF225" s="32">
        <v>0</v>
      </c>
      <c r="AG225"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2.4166518095917278</v>
      </c>
      <c r="AH225" s="32">
        <v>13848</v>
      </c>
      <c r="AI225" s="32">
        <v>0</v>
      </c>
      <c r="AJ225" s="32">
        <v>1965</v>
      </c>
      <c r="AK225" s="32">
        <v>0</v>
      </c>
      <c r="AL225" s="32">
        <v>20</v>
      </c>
      <c r="AM225" s="32">
        <v>4839</v>
      </c>
      <c r="AN225" s="32">
        <v>6491</v>
      </c>
      <c r="AO225" s="32">
        <v>-648</v>
      </c>
      <c r="AP225" s="32">
        <v>-4961</v>
      </c>
      <c r="AQ225"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3.3232024764316872</v>
      </c>
      <c r="AR225" s="32">
        <v>4678</v>
      </c>
      <c r="AS225" s="32">
        <v>3919</v>
      </c>
      <c r="AT225" s="32">
        <v>5151</v>
      </c>
      <c r="AU225" s="32">
        <v>1345</v>
      </c>
      <c r="AV225" s="32">
        <v>1686</v>
      </c>
      <c r="AW225" s="32">
        <v>4839</v>
      </c>
      <c r="AX225" s="32">
        <v>1484</v>
      </c>
      <c r="AY225" s="32">
        <v>0</v>
      </c>
      <c r="AZ225" s="32">
        <v>0</v>
      </c>
      <c r="BA225" s="32">
        <v>314</v>
      </c>
      <c r="BB225" s="32">
        <v>202</v>
      </c>
      <c r="BC225" s="32">
        <v>7107</v>
      </c>
      <c r="BD225" s="34">
        <f>IFERROR(SUM(Cons_Metrics[[#This Row],[Operating surplus/(deficit) (social housing lettings)]])/SUM(Cons_Metrics[[#This Row],[Turnover from social housing lettings]]),"")</f>
        <v>0.31816044910262437</v>
      </c>
      <c r="BE225" s="32">
        <v>11505</v>
      </c>
      <c r="BF225" s="32">
        <v>36161</v>
      </c>
      <c r="BG225" s="34">
        <f>IFERROR(SUM(Cons_Metrics[[#This Row],[Operating surplus/(deficit) (overall)2]],-Cons_Metrics[[#This Row],[Gain/(loss) on disposal of fixed assets (housing properties)2]])/SUM(Cons_Metrics[[#This Row],[Turnover (overall)]]),"")</f>
        <v>0.31229985115691672</v>
      </c>
      <c r="BH225" s="32">
        <v>13848</v>
      </c>
      <c r="BI225" s="32">
        <v>0</v>
      </c>
      <c r="BJ225" s="32">
        <v>44342</v>
      </c>
      <c r="BK225" s="34">
        <f>IFERROR(SUM(Cons_Metrics[[#This Row],[Operating surplus/(deficit) (overall)3]],Cons_Metrics[[#This Row],[Share of operating surplus/(deficit) in joint ventures or associates]])/SUM(Cons_Metrics[[#This Row],[Total assets less current liabilities]]),"")</f>
        <v>3.7763839650940823E-2</v>
      </c>
      <c r="BL225" s="32">
        <v>13848</v>
      </c>
      <c r="BM225" s="32">
        <v>0</v>
      </c>
      <c r="BN225" s="32">
        <v>366700</v>
      </c>
      <c r="BO225" s="34">
        <v>6.2966615016199462E-2</v>
      </c>
      <c r="BP225" s="34">
        <v>0.10240878997041837</v>
      </c>
      <c r="BQ225" s="6" t="s">
        <v>82</v>
      </c>
      <c r="BR225" s="6" t="s">
        <v>83</v>
      </c>
      <c r="BS225" s="6" t="s">
        <v>83</v>
      </c>
      <c r="BT225" s="6" t="s">
        <v>115</v>
      </c>
      <c r="BU225" s="8">
        <v>0.96617455710897804</v>
      </c>
    </row>
    <row r="226" spans="1:73" x14ac:dyDescent="0.25">
      <c r="A226" s="33" t="s">
        <v>541</v>
      </c>
      <c r="B226" s="7" t="s">
        <v>542</v>
      </c>
      <c r="C226" s="7" t="s">
        <v>81</v>
      </c>
      <c r="D226"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6.2121204721602256E-2</v>
      </c>
      <c r="E226" s="32">
        <v>11023</v>
      </c>
      <c r="F226" s="32">
        <v>0</v>
      </c>
      <c r="G226" s="32">
        <v>1697</v>
      </c>
      <c r="H226" s="32">
        <v>0</v>
      </c>
      <c r="I226" s="32">
        <v>0</v>
      </c>
      <c r="J226" s="32">
        <v>204761</v>
      </c>
      <c r="K226" s="32">
        <v>0</v>
      </c>
      <c r="L226"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1.4191320018020724E-2</v>
      </c>
      <c r="M226" s="32">
        <v>183</v>
      </c>
      <c r="N226" s="32">
        <v>6</v>
      </c>
      <c r="O226" s="32">
        <v>12833</v>
      </c>
      <c r="P226" s="32">
        <v>485</v>
      </c>
      <c r="Q226"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5.2560444511187861E-4</v>
      </c>
      <c r="R226" s="32">
        <v>0</v>
      </c>
      <c r="S226" s="32">
        <v>0</v>
      </c>
      <c r="T226" s="32">
        <v>7</v>
      </c>
      <c r="U226" s="32">
        <v>12833</v>
      </c>
      <c r="V226" s="32">
        <v>0</v>
      </c>
      <c r="W226" s="32">
        <v>485</v>
      </c>
      <c r="X226" s="32">
        <v>0</v>
      </c>
      <c r="Y226"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0.39684803258433005</v>
      </c>
      <c r="Z226" s="32">
        <v>0</v>
      </c>
      <c r="AA226" s="32">
        <v>89300</v>
      </c>
      <c r="AB226" s="32">
        <v>8041</v>
      </c>
      <c r="AC226" s="32">
        <v>0</v>
      </c>
      <c r="AD226" s="32">
        <v>0</v>
      </c>
      <c r="AE226" s="32">
        <v>204761</v>
      </c>
      <c r="AF226" s="32">
        <v>0</v>
      </c>
      <c r="AG226"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4.5604558969276514</v>
      </c>
      <c r="AH226" s="32">
        <v>13089</v>
      </c>
      <c r="AI226" s="32">
        <v>2172</v>
      </c>
      <c r="AJ226" s="32">
        <v>58</v>
      </c>
      <c r="AK226" s="32">
        <v>0</v>
      </c>
      <c r="AL226" s="32">
        <v>6</v>
      </c>
      <c r="AM226" s="32">
        <v>1697</v>
      </c>
      <c r="AN226" s="32">
        <v>9238</v>
      </c>
      <c r="AO226" s="32">
        <v>0</v>
      </c>
      <c r="AP226" s="32">
        <v>-4036</v>
      </c>
      <c r="AQ226"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3.4246990291262134</v>
      </c>
      <c r="AR226" s="32">
        <v>12086</v>
      </c>
      <c r="AS226" s="32">
        <v>7167</v>
      </c>
      <c r="AT226" s="32">
        <v>9823</v>
      </c>
      <c r="AU226" s="32">
        <v>3846</v>
      </c>
      <c r="AV226" s="32">
        <v>8464</v>
      </c>
      <c r="AW226" s="32">
        <v>1697</v>
      </c>
      <c r="AX226" s="32">
        <v>472</v>
      </c>
      <c r="AY226" s="32">
        <v>0</v>
      </c>
      <c r="AZ226" s="32">
        <v>0</v>
      </c>
      <c r="BA226" s="32">
        <v>538</v>
      </c>
      <c r="BB226" s="32">
        <v>0</v>
      </c>
      <c r="BC226" s="32">
        <v>12875</v>
      </c>
      <c r="BD226" s="34">
        <f>IFERROR(SUM(Cons_Metrics[[#This Row],[Operating surplus/(deficit) (social housing lettings)]])/SUM(Cons_Metrics[[#This Row],[Turnover from social housing lettings]]),"")</f>
        <v>0.15582365355534505</v>
      </c>
      <c r="BE226" s="32">
        <v>9377</v>
      </c>
      <c r="BF226" s="32">
        <v>60177</v>
      </c>
      <c r="BG226" s="34">
        <f>IFERROR(SUM(Cons_Metrics[[#This Row],[Operating surplus/(deficit) (overall)2]],-Cons_Metrics[[#This Row],[Gain/(loss) on disposal of fixed assets (housing properties)2]])/SUM(Cons_Metrics[[#This Row],[Turnover (overall)]]),"")</f>
        <v>0.17025092400542707</v>
      </c>
      <c r="BH226" s="32">
        <v>13089</v>
      </c>
      <c r="BI226" s="32">
        <v>2172</v>
      </c>
      <c r="BJ226" s="32">
        <v>64123</v>
      </c>
      <c r="BK226" s="34">
        <f>IFERROR(SUM(Cons_Metrics[[#This Row],[Operating surplus/(deficit) (overall)3]],Cons_Metrics[[#This Row],[Share of operating surplus/(deficit) in joint ventures or associates]])/SUM(Cons_Metrics[[#This Row],[Total assets less current liabilities]]),"")</f>
        <v>5.8411068957821916E-2</v>
      </c>
      <c r="BL226" s="32">
        <v>13089</v>
      </c>
      <c r="BM226" s="32">
        <v>-2</v>
      </c>
      <c r="BN226" s="32">
        <v>224050</v>
      </c>
      <c r="BO226" s="34">
        <v>1.483332032164884E-3</v>
      </c>
      <c r="BP226" s="34">
        <v>0.12819111562182839</v>
      </c>
      <c r="BQ226" s="6" t="s">
        <v>93</v>
      </c>
      <c r="BR226" s="6">
        <v>2005</v>
      </c>
      <c r="BS226" s="6" t="s">
        <v>94</v>
      </c>
      <c r="BT226" s="6" t="s">
        <v>105</v>
      </c>
      <c r="BU226" s="8">
        <v>0.9156653862445665</v>
      </c>
    </row>
    <row r="227" spans="1:73" x14ac:dyDescent="0.25">
      <c r="A227" s="33" t="s">
        <v>543</v>
      </c>
      <c r="B227" s="7" t="s">
        <v>544</v>
      </c>
      <c r="C227" s="7" t="s">
        <v>81</v>
      </c>
      <c r="D227"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3.215684710476531E-2</v>
      </c>
      <c r="E227" s="32">
        <v>22675</v>
      </c>
      <c r="F227" s="32">
        <v>0</v>
      </c>
      <c r="G227" s="32">
        <v>14215</v>
      </c>
      <c r="H227" s="32">
        <v>199</v>
      </c>
      <c r="I227" s="32">
        <v>0</v>
      </c>
      <c r="J227" s="32">
        <v>1153378</v>
      </c>
      <c r="K227" s="32">
        <v>0</v>
      </c>
      <c r="L227"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5.4149035358244278E-3</v>
      </c>
      <c r="M227" s="32">
        <v>151</v>
      </c>
      <c r="N227" s="32">
        <v>0</v>
      </c>
      <c r="O227" s="32">
        <v>27886</v>
      </c>
      <c r="P227" s="32">
        <v>0</v>
      </c>
      <c r="Q227"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8.9244397435049908E-4</v>
      </c>
      <c r="R227" s="32">
        <v>0</v>
      </c>
      <c r="S227" s="32">
        <v>0</v>
      </c>
      <c r="T227" s="32">
        <v>27</v>
      </c>
      <c r="U227" s="32">
        <v>27886</v>
      </c>
      <c r="V227" s="32">
        <v>122</v>
      </c>
      <c r="W227" s="32">
        <v>0</v>
      </c>
      <c r="X227" s="32">
        <v>2246</v>
      </c>
      <c r="Y227"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0.46070585705640305</v>
      </c>
      <c r="Z227" s="32">
        <v>2865</v>
      </c>
      <c r="AA227" s="32">
        <v>617004</v>
      </c>
      <c r="AB227" s="32">
        <v>88501</v>
      </c>
      <c r="AC227" s="32">
        <v>0</v>
      </c>
      <c r="AD227" s="32">
        <v>0</v>
      </c>
      <c r="AE227" s="32">
        <v>1153378</v>
      </c>
      <c r="AF227" s="32">
        <v>0</v>
      </c>
      <c r="AG227"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0.48673563993425767</v>
      </c>
      <c r="AH227" s="32">
        <v>41745</v>
      </c>
      <c r="AI227" s="32">
        <v>1537</v>
      </c>
      <c r="AJ227" s="32">
        <v>3900</v>
      </c>
      <c r="AK227" s="32">
        <v>0</v>
      </c>
      <c r="AL227" s="32">
        <v>311</v>
      </c>
      <c r="AM227" s="32">
        <v>16378</v>
      </c>
      <c r="AN227" s="32">
        <v>25958</v>
      </c>
      <c r="AO227" s="32">
        <v>-199</v>
      </c>
      <c r="AP227" s="32">
        <v>-94717</v>
      </c>
      <c r="AQ227"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3.3212524126099079</v>
      </c>
      <c r="AR227" s="32">
        <v>14744</v>
      </c>
      <c r="AS227" s="32">
        <v>13187</v>
      </c>
      <c r="AT227" s="32">
        <v>25885</v>
      </c>
      <c r="AU227" s="32">
        <v>7923</v>
      </c>
      <c r="AV227" s="32">
        <v>10525</v>
      </c>
      <c r="AW227" s="32">
        <v>16378</v>
      </c>
      <c r="AX227" s="32">
        <v>2323</v>
      </c>
      <c r="AY227" s="32">
        <v>496</v>
      </c>
      <c r="AZ227" s="32">
        <v>127</v>
      </c>
      <c r="BA227" s="32">
        <v>581</v>
      </c>
      <c r="BB227" s="32">
        <v>753</v>
      </c>
      <c r="BC227" s="32">
        <v>27978</v>
      </c>
      <c r="BD227" s="34">
        <f>IFERROR(SUM(Cons_Metrics[[#This Row],[Operating surplus/(deficit) (social housing lettings)]])/SUM(Cons_Metrics[[#This Row],[Turnover from social housing lettings]]),"")</f>
        <v>0.26713419554800144</v>
      </c>
      <c r="BE227" s="32">
        <v>37406</v>
      </c>
      <c r="BF227" s="32">
        <v>140027</v>
      </c>
      <c r="BG227" s="34">
        <f>IFERROR(SUM(Cons_Metrics[[#This Row],[Operating surplus/(deficit) (overall)2]],-Cons_Metrics[[#This Row],[Gain/(loss) on disposal of fixed assets (housing properties)2]])/SUM(Cons_Metrics[[#This Row],[Turnover (overall)]]),"")</f>
        <v>0.2688005989985493</v>
      </c>
      <c r="BH227" s="32">
        <v>41745</v>
      </c>
      <c r="BI227" s="32">
        <v>1537</v>
      </c>
      <c r="BJ227" s="32">
        <v>149583</v>
      </c>
      <c r="BK227" s="34">
        <f>IFERROR(SUM(Cons_Metrics[[#This Row],[Operating surplus/(deficit) (overall)3]],Cons_Metrics[[#This Row],[Share of operating surplus/(deficit) in joint ventures or associates]])/SUM(Cons_Metrics[[#This Row],[Total assets less current liabilities]]),"")</f>
        <v>3.4089795518390281E-2</v>
      </c>
      <c r="BL227" s="32">
        <v>41745</v>
      </c>
      <c r="BM227" s="32">
        <v>0</v>
      </c>
      <c r="BN227" s="32">
        <v>1224560</v>
      </c>
      <c r="BO227" s="34">
        <v>1.7006681196184214E-2</v>
      </c>
      <c r="BP227" s="34">
        <v>3.3548894208439033E-2</v>
      </c>
      <c r="BQ227" s="6" t="s">
        <v>93</v>
      </c>
      <c r="BR227" s="6">
        <v>2000</v>
      </c>
      <c r="BS227" s="6" t="s">
        <v>94</v>
      </c>
      <c r="BT227" s="6" t="s">
        <v>90</v>
      </c>
      <c r="BU227" s="8">
        <v>0.91576443747584968</v>
      </c>
    </row>
    <row r="228" spans="1:73" x14ac:dyDescent="0.25">
      <c r="A228" s="33" t="s">
        <v>545</v>
      </c>
      <c r="B228" s="7" t="s">
        <v>546</v>
      </c>
      <c r="C228" s="7" t="s">
        <v>81</v>
      </c>
      <c r="D228"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5.8134311596915476E-2</v>
      </c>
      <c r="E228" s="32">
        <v>7519</v>
      </c>
      <c r="F228" s="32">
        <v>1040</v>
      </c>
      <c r="G228" s="32">
        <v>2177</v>
      </c>
      <c r="H228" s="32">
        <v>135</v>
      </c>
      <c r="I228" s="32">
        <v>0</v>
      </c>
      <c r="J228" s="32">
        <v>186998</v>
      </c>
      <c r="K228" s="32">
        <v>0</v>
      </c>
      <c r="L228"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1.9047619047619049E-2</v>
      </c>
      <c r="M228" s="32">
        <v>70</v>
      </c>
      <c r="N228" s="32">
        <v>0</v>
      </c>
      <c r="O228" s="32">
        <v>3421</v>
      </c>
      <c r="P228" s="32">
        <v>254</v>
      </c>
      <c r="Q228"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28" s="32">
        <v>0</v>
      </c>
      <c r="S228" s="32">
        <v>0</v>
      </c>
      <c r="T228" s="32">
        <v>0</v>
      </c>
      <c r="U228" s="32">
        <v>3421</v>
      </c>
      <c r="V228" s="32">
        <v>0</v>
      </c>
      <c r="W228" s="32">
        <v>254</v>
      </c>
      <c r="X228" s="32">
        <v>0</v>
      </c>
      <c r="Y228"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0.58142867838158696</v>
      </c>
      <c r="Z228" s="32">
        <v>3000</v>
      </c>
      <c r="AA228" s="32">
        <v>118563</v>
      </c>
      <c r="AB228" s="32">
        <v>12837</v>
      </c>
      <c r="AC228" s="32">
        <v>0</v>
      </c>
      <c r="AD228" s="32">
        <v>0</v>
      </c>
      <c r="AE228" s="32">
        <v>186998</v>
      </c>
      <c r="AF228" s="32">
        <v>0</v>
      </c>
      <c r="AG228"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2.181526748146664</v>
      </c>
      <c r="AH228" s="32">
        <v>10178</v>
      </c>
      <c r="AI228" s="32">
        <v>80</v>
      </c>
      <c r="AJ228" s="32">
        <v>423</v>
      </c>
      <c r="AK228" s="32">
        <v>0</v>
      </c>
      <c r="AL228" s="32">
        <v>21</v>
      </c>
      <c r="AM228" s="32">
        <v>2177</v>
      </c>
      <c r="AN228" s="32">
        <v>3369</v>
      </c>
      <c r="AO228" s="32">
        <v>-159</v>
      </c>
      <c r="AP228" s="32">
        <v>-4832</v>
      </c>
      <c r="AQ228"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3.0154550658271324</v>
      </c>
      <c r="AR228" s="32">
        <v>3248</v>
      </c>
      <c r="AS228" s="32">
        <v>1008</v>
      </c>
      <c r="AT228" s="32">
        <v>1504</v>
      </c>
      <c r="AU228" s="32">
        <v>1064</v>
      </c>
      <c r="AV228" s="32">
        <v>697</v>
      </c>
      <c r="AW228" s="32">
        <v>2177</v>
      </c>
      <c r="AX228" s="32">
        <v>403</v>
      </c>
      <c r="AY228" s="32">
        <v>192</v>
      </c>
      <c r="AZ228" s="32">
        <v>0</v>
      </c>
      <c r="BA228" s="32">
        <v>129</v>
      </c>
      <c r="BB228" s="32">
        <v>114</v>
      </c>
      <c r="BC228" s="32">
        <v>3494</v>
      </c>
      <c r="BD228" s="34">
        <f>IFERROR(SUM(Cons_Metrics[[#This Row],[Operating surplus/(deficit) (social housing lettings)]])/SUM(Cons_Metrics[[#This Row],[Turnover from social housing lettings]]),"")</f>
        <v>0.44706462752836706</v>
      </c>
      <c r="BE228" s="32">
        <v>9062</v>
      </c>
      <c r="BF228" s="32">
        <v>20270</v>
      </c>
      <c r="BG228" s="34">
        <f>IFERROR(SUM(Cons_Metrics[[#This Row],[Operating surplus/(deficit) (overall)2]],-Cons_Metrics[[#This Row],[Gain/(loss) on disposal of fixed assets (housing properties)2]])/SUM(Cons_Metrics[[#This Row],[Turnover (overall)]]),"")</f>
        <v>0.42657992565055763</v>
      </c>
      <c r="BH228" s="32">
        <v>10178</v>
      </c>
      <c r="BI228" s="32">
        <v>80</v>
      </c>
      <c r="BJ228" s="32">
        <v>23672</v>
      </c>
      <c r="BK228" s="34">
        <f>IFERROR(SUM(Cons_Metrics[[#This Row],[Operating surplus/(deficit) (overall)3]],Cons_Metrics[[#This Row],[Share of operating surplus/(deficit) in joint ventures or associates]])/SUM(Cons_Metrics[[#This Row],[Total assets less current liabilities]]),"")</f>
        <v>5.1913738931733788E-2</v>
      </c>
      <c r="BL228" s="32">
        <v>10178</v>
      </c>
      <c r="BM228" s="32">
        <v>0</v>
      </c>
      <c r="BN228" s="32">
        <v>196056</v>
      </c>
      <c r="BO228" s="34">
        <v>3.2154340836012861E-3</v>
      </c>
      <c r="BP228" s="34">
        <v>6.284712072493423E-2</v>
      </c>
      <c r="BQ228" s="6" t="s">
        <v>93</v>
      </c>
      <c r="BR228" s="6">
        <v>1999</v>
      </c>
      <c r="BS228" s="6" t="s">
        <v>94</v>
      </c>
      <c r="BT228" s="6" t="s">
        <v>84</v>
      </c>
      <c r="BU228" s="8">
        <v>1.0118524159776632</v>
      </c>
    </row>
    <row r="229" spans="1:73" x14ac:dyDescent="0.25">
      <c r="A229" s="33" t="s">
        <v>547</v>
      </c>
      <c r="B229" s="7" t="s">
        <v>548</v>
      </c>
      <c r="C229" s="7" t="s">
        <v>81</v>
      </c>
      <c r="D229"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6.9433104641669005E-2</v>
      </c>
      <c r="E229" s="32">
        <v>14547</v>
      </c>
      <c r="F229" s="32">
        <v>210</v>
      </c>
      <c r="G229" s="32">
        <v>8143</v>
      </c>
      <c r="H229" s="32">
        <v>0</v>
      </c>
      <c r="I229" s="32">
        <v>-109</v>
      </c>
      <c r="J229" s="32">
        <v>328244</v>
      </c>
      <c r="K229" s="32">
        <v>0</v>
      </c>
      <c r="L229"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7.6021314387211365E-3</v>
      </c>
      <c r="M229" s="32">
        <v>107</v>
      </c>
      <c r="N229" s="32">
        <v>0</v>
      </c>
      <c r="O229" s="32">
        <v>13542</v>
      </c>
      <c r="P229" s="32">
        <v>533</v>
      </c>
      <c r="Q229"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1.7051509769094139E-3</v>
      </c>
      <c r="R229" s="32">
        <v>0</v>
      </c>
      <c r="S229" s="32">
        <v>0</v>
      </c>
      <c r="T229" s="32">
        <v>24</v>
      </c>
      <c r="U229" s="32">
        <v>13542</v>
      </c>
      <c r="V229" s="32">
        <v>0</v>
      </c>
      <c r="W229" s="32">
        <v>533</v>
      </c>
      <c r="X229" s="32">
        <v>0</v>
      </c>
      <c r="Y229"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0.33758423611703486</v>
      </c>
      <c r="Z229" s="32">
        <v>0</v>
      </c>
      <c r="AA229" s="32">
        <v>123517</v>
      </c>
      <c r="AB229" s="32">
        <v>12707</v>
      </c>
      <c r="AC229" s="32">
        <v>0</v>
      </c>
      <c r="AD229" s="32">
        <v>0</v>
      </c>
      <c r="AE229" s="32">
        <v>328244</v>
      </c>
      <c r="AF229" s="32">
        <v>0</v>
      </c>
      <c r="AG229"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0.51873583919130895</v>
      </c>
      <c r="AH229" s="32">
        <v>7319</v>
      </c>
      <c r="AI229" s="32">
        <v>3462</v>
      </c>
      <c r="AJ229" s="32">
        <v>173</v>
      </c>
      <c r="AK229" s="32">
        <v>0</v>
      </c>
      <c r="AL229" s="32">
        <v>16</v>
      </c>
      <c r="AM229" s="32">
        <v>8143</v>
      </c>
      <c r="AN229" s="32">
        <v>13372</v>
      </c>
      <c r="AO229" s="32">
        <v>0</v>
      </c>
      <c r="AP229" s="32">
        <v>-17213</v>
      </c>
      <c r="AQ229"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3.9390045783488405</v>
      </c>
      <c r="AR229" s="32">
        <v>12761</v>
      </c>
      <c r="AS229" s="32">
        <v>7984</v>
      </c>
      <c r="AT229" s="32">
        <v>10375</v>
      </c>
      <c r="AU229" s="32">
        <v>1599</v>
      </c>
      <c r="AV229" s="32">
        <v>8077</v>
      </c>
      <c r="AW229" s="32">
        <v>8143</v>
      </c>
      <c r="AX229" s="32">
        <v>4403</v>
      </c>
      <c r="AY229" s="32">
        <v>0</v>
      </c>
      <c r="AZ229" s="32">
        <v>0</v>
      </c>
      <c r="BA229" s="32">
        <v>0</v>
      </c>
      <c r="BB229" s="32">
        <v>0</v>
      </c>
      <c r="BC229" s="32">
        <v>13542</v>
      </c>
      <c r="BD229" s="34">
        <f>IFERROR(SUM(Cons_Metrics[[#This Row],[Operating surplus/(deficit) (social housing lettings)]])/SUM(Cons_Metrics[[#This Row],[Turnover from social housing lettings]]),"")</f>
        <v>4.7026091677128221E-2</v>
      </c>
      <c r="BE229" s="32">
        <v>2772</v>
      </c>
      <c r="BF229" s="32">
        <v>58946</v>
      </c>
      <c r="BG229" s="34">
        <f>IFERROR(SUM(Cons_Metrics[[#This Row],[Operating surplus/(deficit) (overall)2]],-Cons_Metrics[[#This Row],[Gain/(loss) on disposal of fixed assets (housing properties)2]])/SUM(Cons_Metrics[[#This Row],[Turnover (overall)]]),"")</f>
        <v>5.75542788927852E-2</v>
      </c>
      <c r="BH229" s="32">
        <v>7319</v>
      </c>
      <c r="BI229" s="32">
        <v>3462</v>
      </c>
      <c r="BJ229" s="32">
        <v>67015</v>
      </c>
      <c r="BK229" s="34">
        <f>IFERROR(SUM(Cons_Metrics[[#This Row],[Operating surplus/(deficit) (overall)3]],Cons_Metrics[[#This Row],[Share of operating surplus/(deficit) in joint ventures or associates]])/SUM(Cons_Metrics[[#This Row],[Total assets less current liabilities]]),"")</f>
        <v>2.0698295268153075E-2</v>
      </c>
      <c r="BL229" s="32">
        <v>7319</v>
      </c>
      <c r="BM229" s="32">
        <v>0</v>
      </c>
      <c r="BN229" s="32">
        <v>353604</v>
      </c>
      <c r="BO229" s="34">
        <v>8.8619747433719813E-4</v>
      </c>
      <c r="BP229" s="34">
        <v>7.311129163281885E-3</v>
      </c>
      <c r="BQ229" s="6" t="s">
        <v>93</v>
      </c>
      <c r="BR229" s="6">
        <v>1999</v>
      </c>
      <c r="BS229" s="6" t="s">
        <v>94</v>
      </c>
      <c r="BT229" s="6" t="s">
        <v>105</v>
      </c>
      <c r="BU229" s="8">
        <v>0.9156653862445665</v>
      </c>
    </row>
    <row r="230" spans="1:73" x14ac:dyDescent="0.25">
      <c r="A230" s="33" t="s">
        <v>549</v>
      </c>
      <c r="B230" s="7" t="s">
        <v>550</v>
      </c>
      <c r="C230" s="7" t="s">
        <v>81</v>
      </c>
      <c r="D230"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3.9214469257792615E-2</v>
      </c>
      <c r="E230" s="32">
        <v>11742</v>
      </c>
      <c r="F230" s="32">
        <v>0</v>
      </c>
      <c r="G230" s="32">
        <v>6833</v>
      </c>
      <c r="H230" s="32">
        <v>379</v>
      </c>
      <c r="I230" s="32">
        <v>0</v>
      </c>
      <c r="J230" s="32">
        <v>483342</v>
      </c>
      <c r="K230" s="32">
        <v>0</v>
      </c>
      <c r="L230"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1.4374126572170094E-2</v>
      </c>
      <c r="M230" s="32">
        <v>144</v>
      </c>
      <c r="N230" s="32">
        <v>0</v>
      </c>
      <c r="O230" s="32">
        <v>10018</v>
      </c>
      <c r="P230" s="32">
        <v>0</v>
      </c>
      <c r="Q230"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30" s="32">
        <v>0</v>
      </c>
      <c r="S230" s="32">
        <v>0</v>
      </c>
      <c r="T230" s="32">
        <v>0</v>
      </c>
      <c r="U230" s="32">
        <v>10018</v>
      </c>
      <c r="V230" s="32">
        <v>0</v>
      </c>
      <c r="W230" s="32">
        <v>0</v>
      </c>
      <c r="X230" s="32">
        <v>0</v>
      </c>
      <c r="Y230"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0.34919580752345131</v>
      </c>
      <c r="Z230" s="32">
        <v>7109</v>
      </c>
      <c r="AA230" s="32">
        <v>193800</v>
      </c>
      <c r="AB230" s="32">
        <v>32128</v>
      </c>
      <c r="AC230" s="32">
        <v>0</v>
      </c>
      <c r="AD230" s="32">
        <v>0</v>
      </c>
      <c r="AE230" s="32">
        <v>483342</v>
      </c>
      <c r="AF230" s="32">
        <v>0</v>
      </c>
      <c r="AG230"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2.2645689112649463</v>
      </c>
      <c r="AH230" s="32">
        <v>22233</v>
      </c>
      <c r="AI230" s="32">
        <v>3808</v>
      </c>
      <c r="AJ230" s="32">
        <v>545</v>
      </c>
      <c r="AK230" s="32">
        <v>0</v>
      </c>
      <c r="AL230" s="32">
        <v>95</v>
      </c>
      <c r="AM230" s="32">
        <v>6833</v>
      </c>
      <c r="AN230" s="32">
        <v>6850</v>
      </c>
      <c r="AO230" s="32">
        <v>-379</v>
      </c>
      <c r="AP230" s="32">
        <v>-7566</v>
      </c>
      <c r="AQ230"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3.0774605709722498</v>
      </c>
      <c r="AR230" s="32">
        <v>8506</v>
      </c>
      <c r="AS230" s="32">
        <v>2258</v>
      </c>
      <c r="AT230" s="32">
        <v>8919</v>
      </c>
      <c r="AU230" s="32">
        <v>0</v>
      </c>
      <c r="AV230" s="32">
        <v>3518</v>
      </c>
      <c r="AW230" s="32">
        <v>6833</v>
      </c>
      <c r="AX230" s="32">
        <v>0</v>
      </c>
      <c r="AY230" s="32">
        <v>0</v>
      </c>
      <c r="AZ230" s="32">
        <v>0</v>
      </c>
      <c r="BA230" s="32">
        <v>0</v>
      </c>
      <c r="BB230" s="32">
        <v>796</v>
      </c>
      <c r="BC230" s="32">
        <v>10018</v>
      </c>
      <c r="BD230" s="34">
        <f>IFERROR(SUM(Cons_Metrics[[#This Row],[Operating surplus/(deficit) (social housing lettings)]])/SUM(Cons_Metrics[[#This Row],[Turnover from social housing lettings]]),"")</f>
        <v>0.39234276761143361</v>
      </c>
      <c r="BE230" s="32">
        <v>19532</v>
      </c>
      <c r="BF230" s="32">
        <v>49783</v>
      </c>
      <c r="BG230" s="34">
        <f>IFERROR(SUM(Cons_Metrics[[#This Row],[Operating surplus/(deficit) (overall)2]],-Cons_Metrics[[#This Row],[Gain/(loss) on disposal of fixed assets (housing properties)2]])/SUM(Cons_Metrics[[#This Row],[Turnover (overall)]]),"")</f>
        <v>0.32568539762784365</v>
      </c>
      <c r="BH230" s="32">
        <v>22233</v>
      </c>
      <c r="BI230" s="32">
        <v>3808</v>
      </c>
      <c r="BJ230" s="32">
        <v>56573</v>
      </c>
      <c r="BK230" s="34">
        <f>IFERROR(SUM(Cons_Metrics[[#This Row],[Operating surplus/(deficit) (overall)3]],Cons_Metrics[[#This Row],[Share of operating surplus/(deficit) in joint ventures or associates]])/SUM(Cons_Metrics[[#This Row],[Total assets less current liabilities]]),"")</f>
        <v>4.2637494989634053E-2</v>
      </c>
      <c r="BL230" s="32">
        <v>22233</v>
      </c>
      <c r="BM230" s="32">
        <v>-1</v>
      </c>
      <c r="BN230" s="32">
        <v>521419</v>
      </c>
      <c r="BO230" s="34">
        <v>0</v>
      </c>
      <c r="BP230" s="34">
        <v>0.15939146862881576</v>
      </c>
      <c r="BQ230" s="6" t="s">
        <v>93</v>
      </c>
      <c r="BR230" s="6">
        <v>1999</v>
      </c>
      <c r="BS230" s="6" t="s">
        <v>94</v>
      </c>
      <c r="BT230" s="6" t="s">
        <v>115</v>
      </c>
      <c r="BU230" s="8">
        <v>0.96617455710897804</v>
      </c>
    </row>
    <row r="231" spans="1:73" x14ac:dyDescent="0.25">
      <c r="A231" s="33" t="s">
        <v>551</v>
      </c>
      <c r="B231" s="7" t="s">
        <v>552</v>
      </c>
      <c r="C231" s="7" t="s">
        <v>81</v>
      </c>
      <c r="D231"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1.4270508928923405E-2</v>
      </c>
      <c r="E231" s="32">
        <v>0</v>
      </c>
      <c r="F231" s="32">
        <v>0</v>
      </c>
      <c r="G231" s="32">
        <v>362</v>
      </c>
      <c r="H231" s="32">
        <v>0</v>
      </c>
      <c r="I231" s="32">
        <v>0</v>
      </c>
      <c r="J231" s="32">
        <v>25367</v>
      </c>
      <c r="K231" s="32">
        <v>0</v>
      </c>
      <c r="L231"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231" s="32">
        <v>0</v>
      </c>
      <c r="N231" s="32">
        <v>0</v>
      </c>
      <c r="O231" s="32">
        <v>768</v>
      </c>
      <c r="P231" s="32">
        <v>0</v>
      </c>
      <c r="Q231"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0</v>
      </c>
      <c r="R231" s="32">
        <v>0</v>
      </c>
      <c r="S231" s="32">
        <v>0</v>
      </c>
      <c r="T231" s="32">
        <v>0</v>
      </c>
      <c r="U231" s="32">
        <v>768</v>
      </c>
      <c r="V231" s="32">
        <v>0</v>
      </c>
      <c r="W231" s="32">
        <v>0</v>
      </c>
      <c r="X231" s="32">
        <v>0</v>
      </c>
      <c r="Y231"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0.68344699806835651</v>
      </c>
      <c r="Z231" s="32">
        <v>35</v>
      </c>
      <c r="AA231" s="32">
        <v>20078</v>
      </c>
      <c r="AB231" s="32">
        <v>2776</v>
      </c>
      <c r="AC231" s="32">
        <v>0</v>
      </c>
      <c r="AD231" s="32">
        <v>0</v>
      </c>
      <c r="AE231" s="32">
        <v>25367</v>
      </c>
      <c r="AF231" s="32">
        <v>0</v>
      </c>
      <c r="AG231"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1.087330873308733</v>
      </c>
      <c r="AH231" s="32">
        <v>1104</v>
      </c>
      <c r="AI231" s="32">
        <v>0</v>
      </c>
      <c r="AJ231" s="32">
        <v>562</v>
      </c>
      <c r="AK231" s="32">
        <v>754</v>
      </c>
      <c r="AL231" s="32">
        <v>29</v>
      </c>
      <c r="AM231" s="32">
        <v>362</v>
      </c>
      <c r="AN231" s="32">
        <v>1429</v>
      </c>
      <c r="AO231" s="32">
        <v>-26</v>
      </c>
      <c r="AP231" s="32">
        <v>-787</v>
      </c>
      <c r="AQ231"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12.26171875</v>
      </c>
      <c r="AR231" s="32">
        <v>5465</v>
      </c>
      <c r="AS231" s="32">
        <v>2602</v>
      </c>
      <c r="AT231" s="32">
        <v>134</v>
      </c>
      <c r="AU231" s="32">
        <v>42</v>
      </c>
      <c r="AV231" s="32">
        <v>0</v>
      </c>
      <c r="AW231" s="32">
        <v>362</v>
      </c>
      <c r="AX231" s="32">
        <v>0</v>
      </c>
      <c r="AY231" s="32">
        <v>0</v>
      </c>
      <c r="AZ231" s="32">
        <v>0</v>
      </c>
      <c r="BA231" s="32">
        <v>812</v>
      </c>
      <c r="BB231" s="32">
        <v>0</v>
      </c>
      <c r="BC231" s="32">
        <v>768</v>
      </c>
      <c r="BD231" s="34">
        <f>IFERROR(SUM(Cons_Metrics[[#This Row],[Operating surplus/(deficit) (social housing lettings)]])/SUM(Cons_Metrics[[#This Row],[Turnover from social housing lettings]]),"")</f>
        <v>0.10759611795446061</v>
      </c>
      <c r="BE231" s="32">
        <v>1153</v>
      </c>
      <c r="BF231" s="32">
        <v>10716</v>
      </c>
      <c r="BG231" s="34">
        <f>IFERROR(SUM(Cons_Metrics[[#This Row],[Operating surplus/(deficit) (overall)2]],-Cons_Metrics[[#This Row],[Gain/(loss) on disposal of fixed assets (housing properties)2]])/SUM(Cons_Metrics[[#This Row],[Turnover (overall)]]),"")</f>
        <v>6.1285666703674919E-2</v>
      </c>
      <c r="BH231" s="32">
        <v>1104</v>
      </c>
      <c r="BI231" s="32">
        <v>0</v>
      </c>
      <c r="BJ231" s="32">
        <v>18014</v>
      </c>
      <c r="BK231" s="34">
        <f>IFERROR(SUM(Cons_Metrics[[#This Row],[Operating surplus/(deficit) (overall)3]],Cons_Metrics[[#This Row],[Share of operating surplus/(deficit) in joint ventures or associates]])/SUM(Cons_Metrics[[#This Row],[Total assets less current liabilities]]),"")</f>
        <v>2.7175384615384615E-2</v>
      </c>
      <c r="BL231" s="32">
        <v>1104</v>
      </c>
      <c r="BM231" s="32">
        <v>0</v>
      </c>
      <c r="BN231" s="32">
        <v>40625</v>
      </c>
      <c r="BO231" s="34">
        <v>0.86458333333333337</v>
      </c>
      <c r="BP231" s="34">
        <v>0</v>
      </c>
      <c r="BQ231" s="6" t="s">
        <v>82</v>
      </c>
      <c r="BR231" s="6" t="s">
        <v>83</v>
      </c>
      <c r="BS231" s="6" t="s">
        <v>83</v>
      </c>
      <c r="BT231" s="6" t="s">
        <v>156</v>
      </c>
      <c r="BU231" s="8">
        <v>1.2307578204729128</v>
      </c>
    </row>
    <row r="232" spans="1:73" x14ac:dyDescent="0.25">
      <c r="A232" s="33" t="s">
        <v>553</v>
      </c>
      <c r="B232" s="7" t="s">
        <v>554</v>
      </c>
      <c r="C232" s="7" t="s">
        <v>81</v>
      </c>
      <c r="D232"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4.8444596016968489E-2</v>
      </c>
      <c r="E232" s="32">
        <v>26347</v>
      </c>
      <c r="F232" s="32">
        <v>0</v>
      </c>
      <c r="G232" s="32">
        <v>13143</v>
      </c>
      <c r="H232" s="32">
        <v>0</v>
      </c>
      <c r="I232" s="32">
        <v>0</v>
      </c>
      <c r="J232" s="32">
        <v>743723</v>
      </c>
      <c r="K232" s="32">
        <v>71435</v>
      </c>
      <c r="L232"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1.7724187915925414E-2</v>
      </c>
      <c r="M232" s="32">
        <v>269</v>
      </c>
      <c r="N232" s="32">
        <v>0</v>
      </c>
      <c r="O232" s="32">
        <v>15177</v>
      </c>
      <c r="P232" s="32">
        <v>0</v>
      </c>
      <c r="Q232"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3.9290157815467227E-4</v>
      </c>
      <c r="R232" s="32">
        <v>0</v>
      </c>
      <c r="S232" s="32">
        <v>0</v>
      </c>
      <c r="T232" s="32">
        <v>6</v>
      </c>
      <c r="U232" s="32">
        <v>15177</v>
      </c>
      <c r="V232" s="32">
        <v>94</v>
      </c>
      <c r="W232" s="32">
        <v>0</v>
      </c>
      <c r="X232" s="32">
        <v>0</v>
      </c>
      <c r="Y232"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0.44524497091361431</v>
      </c>
      <c r="Z232" s="32">
        <v>1345</v>
      </c>
      <c r="AA232" s="32">
        <v>451199</v>
      </c>
      <c r="AB232" s="32">
        <v>89599</v>
      </c>
      <c r="AC232" s="32">
        <v>0</v>
      </c>
      <c r="AD232" s="32">
        <v>0</v>
      </c>
      <c r="AE232" s="32">
        <v>743723</v>
      </c>
      <c r="AF232" s="32">
        <v>71435</v>
      </c>
      <c r="AG232"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1.5611835230710003</v>
      </c>
      <c r="AH232" s="32">
        <v>31974</v>
      </c>
      <c r="AI232" s="32">
        <v>1184</v>
      </c>
      <c r="AJ232" s="32">
        <v>5988</v>
      </c>
      <c r="AK232" s="32">
        <v>0</v>
      </c>
      <c r="AL232" s="32">
        <v>632</v>
      </c>
      <c r="AM232" s="32">
        <v>13143</v>
      </c>
      <c r="AN232" s="32">
        <v>16096</v>
      </c>
      <c r="AO232" s="32">
        <v>-422</v>
      </c>
      <c r="AP232" s="32">
        <v>-17761</v>
      </c>
      <c r="AQ232"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3.7376951966791858</v>
      </c>
      <c r="AR232" s="32">
        <v>13850</v>
      </c>
      <c r="AS232" s="32">
        <v>6869</v>
      </c>
      <c r="AT232" s="32">
        <v>11313</v>
      </c>
      <c r="AU232" s="32">
        <v>5529</v>
      </c>
      <c r="AV232" s="32">
        <v>4827</v>
      </c>
      <c r="AW232" s="32">
        <v>13143</v>
      </c>
      <c r="AX232" s="32">
        <v>146</v>
      </c>
      <c r="AY232" s="32">
        <v>0</v>
      </c>
      <c r="AZ232" s="32">
        <v>0</v>
      </c>
      <c r="BA232" s="32">
        <v>590</v>
      </c>
      <c r="BB232" s="32">
        <v>460</v>
      </c>
      <c r="BC232" s="32">
        <v>15177</v>
      </c>
      <c r="BD232" s="34">
        <f>IFERROR(SUM(Cons_Metrics[[#This Row],[Operating surplus/(deficit) (social housing lettings)]])/SUM(Cons_Metrics[[#This Row],[Turnover from social housing lettings]]),"")</f>
        <v>0.31888983617134037</v>
      </c>
      <c r="BE232" s="32">
        <v>27679</v>
      </c>
      <c r="BF232" s="32">
        <v>86798</v>
      </c>
      <c r="BG232" s="34">
        <f>IFERROR(SUM(Cons_Metrics[[#This Row],[Operating surplus/(deficit) (overall)2]],-Cons_Metrics[[#This Row],[Gain/(loss) on disposal of fixed assets (housing properties)2]])/SUM(Cons_Metrics[[#This Row],[Turnover (overall)]]),"")</f>
        <v>0.30626759372544338</v>
      </c>
      <c r="BH232" s="32">
        <v>31974</v>
      </c>
      <c r="BI232" s="32">
        <v>1184</v>
      </c>
      <c r="BJ232" s="32">
        <v>100533</v>
      </c>
      <c r="BK232" s="34">
        <f>IFERROR(SUM(Cons_Metrics[[#This Row],[Operating surplus/(deficit) (overall)3]],Cons_Metrics[[#This Row],[Share of operating surplus/(deficit) in joint ventures or associates]])/SUM(Cons_Metrics[[#This Row],[Total assets less current liabilities]]),"")</f>
        <v>3.4006355851084198E-2</v>
      </c>
      <c r="BL232" s="32">
        <v>31974</v>
      </c>
      <c r="BM232" s="32">
        <v>0</v>
      </c>
      <c r="BN232" s="32">
        <v>940236</v>
      </c>
      <c r="BO232" s="34">
        <v>2.4803052683407188E-2</v>
      </c>
      <c r="BP232" s="34">
        <v>4.7205809945839484E-2</v>
      </c>
      <c r="BQ232" s="6" t="s">
        <v>82</v>
      </c>
      <c r="BR232" s="6" t="s">
        <v>83</v>
      </c>
      <c r="BS232" s="6" t="s">
        <v>83</v>
      </c>
      <c r="BT232" s="6" t="s">
        <v>108</v>
      </c>
      <c r="BU232" s="8">
        <v>0.9480312191829835</v>
      </c>
    </row>
    <row r="233" spans="1:73" x14ac:dyDescent="0.25">
      <c r="A233" s="33" t="s">
        <v>555</v>
      </c>
      <c r="B233" s="7" t="s">
        <v>556</v>
      </c>
      <c r="C233" s="7" t="s">
        <v>81</v>
      </c>
      <c r="D233" s="34">
        <f>IFERROR(SUM(Cons_Metrics[[#This Row],[Development of new properties (Total housing properties)]],Cons_Metrics[[#This Row],[Newly built properties acquired (Total housing properties)]],Cons_Metrics[[#This Row],[ Works to Existing (Total housing properties)]],Cons_Metrics[[#This Row],[Capitalised Interest (Total housing properties)]],Cons_Metrics[[#This Row],[Schemes completed (Total housing properties)]])/SUM(Cons_Metrics[[#This Row],[Tangible fixed assets: Housing properties at cost (Current period)]],Cons_Metrics[[#This Row],[Tangible fixed assets Housing properties at valuation (Current period)]]),"")</f>
        <v>2.8371726619066017E-2</v>
      </c>
      <c r="E233" s="32">
        <v>11697</v>
      </c>
      <c r="F233" s="32">
        <v>0</v>
      </c>
      <c r="G233" s="32">
        <v>16575</v>
      </c>
      <c r="H233" s="32">
        <v>0</v>
      </c>
      <c r="I233" s="32">
        <v>0</v>
      </c>
      <c r="J233" s="32">
        <v>996485</v>
      </c>
      <c r="K233" s="32">
        <v>0</v>
      </c>
      <c r="L233" s="34">
        <f>IFERROR(SUM(Cons_Metrics[[#This Row],[Total social units developed or newly built units acquired in-year (owned)]],Cons_Metrics[[#This Row],[Total social leasehold units developed or newly built units acquired in-year (owned)]])/SUM(Cons_Metrics[[#This Row],[Total social housing units owned (Period end)]],Cons_Metrics[[#This Row],[Total social leasehold units owned (Period end)]]),"")</f>
        <v>0</v>
      </c>
      <c r="M233" s="32">
        <v>0</v>
      </c>
      <c r="N233" s="32">
        <v>0</v>
      </c>
      <c r="O233" s="32">
        <v>26028</v>
      </c>
      <c r="P233" s="32">
        <v>1048</v>
      </c>
      <c r="Q233" s="36">
        <f>IFERROR(SUM(Cons_Metrics[[#This Row],[Total non-social units developed or newly built units acquired in-year (owned)]],Cons_Metrics[[#This Row],[Total non-social leasehold units developed or newly built units acquired in-year (owned)]],Cons_Metrics[[#This Row],[New outright sale units developed or acquired (owned)]])/SUM(Cons_Metrics[[#This Row],[Total social housing units owned (Period end)2]],Cons_Metrics[[#This Row],[Total non-social rental housing units owned (Period end)]],Cons_Metrics[[#This Row],[Total social leasehold units owned (Period end)2]],Cons_Metrics[[#This Row],[Total non-social leasehold units owned (Period end)]]),"")</f>
        <v>5.2126397526692314E-3</v>
      </c>
      <c r="R233" s="32">
        <v>142</v>
      </c>
      <c r="S233" s="32">
        <v>0</v>
      </c>
      <c r="T233" s="32">
        <v>3</v>
      </c>
      <c r="U233" s="32">
        <v>26028</v>
      </c>
      <c r="V233" s="32">
        <v>449</v>
      </c>
      <c r="W233" s="32">
        <v>1048</v>
      </c>
      <c r="X233" s="32">
        <v>292</v>
      </c>
      <c r="Y233" s="34">
        <f>IFERROR(SUM(Cons_Metrics[[#This Row],[Short-term loans]],Cons_Metrics[[#This Row],[Long-term loans]],-Cons_Metrics[[#This Row],[Cash and cash equivalents ]],Cons_Metrics[[#This Row],[Amounts owed to group undertakings]],Cons_Metrics[[#This Row],[Finance lease obligations]])/SUM(Cons_Metrics[[#This Row],[Tangible fixed assets: Housing properties at cost (Current period)2]],Cons_Metrics[[#This Row],[Tangible fixed assets Housing properties at valuation (Current period)2]]),"")</f>
        <v>0.31071616732815849</v>
      </c>
      <c r="Z233" s="32">
        <v>14904</v>
      </c>
      <c r="AA233" s="32">
        <v>325059</v>
      </c>
      <c r="AB233" s="32">
        <v>31385</v>
      </c>
      <c r="AC233" s="32">
        <v>0</v>
      </c>
      <c r="AD233" s="32">
        <v>1046</v>
      </c>
      <c r="AE233" s="32">
        <v>996485</v>
      </c>
      <c r="AF233" s="32">
        <v>0</v>
      </c>
      <c r="AG233" s="34">
        <f>IFERROR(SUM(Cons_Metrics[[#This Row],[Operating surplus/(deficit) (overall)]],-Cons_Metrics[[#This Row],[Gain/(loss) on disposal of fixed assets (housing properties)]],-Cons_Metrics[[#This Row],[Amortised government grant]],-Cons_Metrics[[#This Row],[Government grants taken to income]],Cons_Metrics[[#This Row],[Interest receivable]],-Cons_Metrics[[#This Row],[Capitalised major repairs expenditure for period]],Cons_Metrics[[#This Row],[Total depreciation charge for period]])/SUM(-Cons_Metrics[[#This Row],[Interest capitalised]],-Cons_Metrics[[#This Row],[Interest payable and financing costs]]),"")</f>
        <v>1.7100814231058501</v>
      </c>
      <c r="AH233" s="32">
        <v>75110</v>
      </c>
      <c r="AI233" s="32">
        <v>22877</v>
      </c>
      <c r="AJ233" s="32">
        <v>0</v>
      </c>
      <c r="AK233" s="32">
        <v>4757</v>
      </c>
      <c r="AL233" s="32">
        <v>502</v>
      </c>
      <c r="AM233" s="32">
        <v>17158</v>
      </c>
      <c r="AN233" s="32">
        <v>21476</v>
      </c>
      <c r="AO233" s="32">
        <v>-76</v>
      </c>
      <c r="AP233" s="32">
        <v>-30505</v>
      </c>
      <c r="AQ233" s="8">
        <f>IFERROR(SUM(Cons_Metrics[[#This Row],[Management costs]],Cons_Metrics[[#This Row],[Service charge costs]],Cons_Metrics[[#This Row],[Routine maintenance costs]],Cons_Metrics[[#This Row],[Planned maintenance costs]],Cons_Metrics[[#This Row],[Major repairs expenditure]],Cons_Metrics[[#This Row],[Capitalised major repairs expenditure for period2]],Cons_Metrics[[#This Row],[Other (social housing letting) costs]],Cons_Metrics[[#This Row],[Development services]],Cons_Metrics[[#This Row],[Community/neighbourhood services]],Cons_Metrics[[#This Row],[Other social housing activities: Other]],Cons_Metrics[[#This Row],[Other social housing activities: charges for support services]],)/SUM(Cons_Metrics[[#This Row],[Total social housing units owned and/or managed at period end]]),"")</f>
        <v>3.8114289890021555</v>
      </c>
      <c r="AR233" s="32">
        <v>35679</v>
      </c>
      <c r="AS233" s="32">
        <v>16402</v>
      </c>
      <c r="AT233" s="32">
        <v>12767</v>
      </c>
      <c r="AU233" s="32">
        <v>7425</v>
      </c>
      <c r="AV233" s="32">
        <v>995</v>
      </c>
      <c r="AW233" s="32">
        <v>17158</v>
      </c>
      <c r="AX233" s="32">
        <v>6869</v>
      </c>
      <c r="AY233" s="32">
        <v>1032</v>
      </c>
      <c r="AZ233" s="32">
        <v>518</v>
      </c>
      <c r="BA233" s="32">
        <v>3737</v>
      </c>
      <c r="BB233" s="32">
        <v>1733</v>
      </c>
      <c r="BC233" s="32">
        <v>27369</v>
      </c>
      <c r="BD233" s="34">
        <f>IFERROR(SUM(Cons_Metrics[[#This Row],[Operating surplus/(deficit) (social housing lettings)]])/SUM(Cons_Metrics[[#This Row],[Turnover from social housing lettings]]),"")</f>
        <v>0.34306343614704066</v>
      </c>
      <c r="BE233" s="32">
        <v>51030</v>
      </c>
      <c r="BF233" s="32">
        <v>148748</v>
      </c>
      <c r="BG233" s="34">
        <f>IFERROR(SUM(Cons_Metrics[[#This Row],[Operating surplus/(deficit) (overall)2]],-Cons_Metrics[[#This Row],[Gain/(loss) on disposal of fixed assets (housing properties)2]])/SUM(Cons_Metrics[[#This Row],[Turnover (overall)]]),"")</f>
        <v>0.32270081921636951</v>
      </c>
      <c r="BH233" s="32">
        <v>75110</v>
      </c>
      <c r="BI233" s="32">
        <v>22877</v>
      </c>
      <c r="BJ233" s="32">
        <v>161862</v>
      </c>
      <c r="BK233" s="34">
        <f>IFERROR(SUM(Cons_Metrics[[#This Row],[Operating surplus/(deficit) (overall)3]],Cons_Metrics[[#This Row],[Share of operating surplus/(deficit) in joint ventures or associates]])/SUM(Cons_Metrics[[#This Row],[Total assets less current liabilities]]),"")</f>
        <v>7.1249661360925087E-2</v>
      </c>
      <c r="BL233" s="32">
        <v>75110</v>
      </c>
      <c r="BM233" s="32">
        <v>-155</v>
      </c>
      <c r="BN233" s="32">
        <v>1052005</v>
      </c>
      <c r="BO233" s="34">
        <v>3.0940447531473222E-2</v>
      </c>
      <c r="BP233" s="34">
        <v>0.20292829235565729</v>
      </c>
      <c r="BQ233" s="6" t="s">
        <v>82</v>
      </c>
      <c r="BR233" s="6" t="s">
        <v>83</v>
      </c>
      <c r="BS233" s="6" t="s">
        <v>83</v>
      </c>
      <c r="BT233" s="6" t="s">
        <v>105</v>
      </c>
      <c r="BU233" s="8">
        <v>0.91736200568397575</v>
      </c>
    </row>
    <row r="235" spans="1:73" s="9" customFormat="1" ht="12.75" x14ac:dyDescent="0.2">
      <c r="A235" s="38"/>
      <c r="B235" s="39" t="s">
        <v>557</v>
      </c>
      <c r="C235" s="39"/>
      <c r="D235" s="40">
        <f>_xlfn.PERCENTILE.EXC(Cons_Metrics[Reinvestment],0.25)</f>
        <v>3.8842745040218868E-2</v>
      </c>
      <c r="E235" s="40"/>
      <c r="F235" s="40"/>
      <c r="G235" s="40"/>
      <c r="H235" s="40"/>
      <c r="I235" s="40"/>
      <c r="J235" s="40"/>
      <c r="K235" s="40"/>
      <c r="L235" s="40">
        <f>_xlfn.PERCENTILE.EXC(Cons_Metrics[New Supply (Social)],0.25)</f>
        <v>4.747271200671704E-3</v>
      </c>
      <c r="M235" s="40"/>
      <c r="N235" s="40"/>
      <c r="O235" s="40"/>
      <c r="P235" s="40"/>
      <c r="Q235" s="41">
        <f>_xlfn.PERCENTILE.EXC(Cons_Metrics[New Supply (Non-Social)],0.25)</f>
        <v>0</v>
      </c>
      <c r="R235" s="40"/>
      <c r="S235" s="40"/>
      <c r="T235" s="40"/>
      <c r="U235" s="40"/>
      <c r="V235" s="40"/>
      <c r="W235" s="40"/>
      <c r="X235" s="40"/>
      <c r="Y235" s="40">
        <f>_xlfn.PERCENTILE.EXC(Cons_Metrics[Gearing],0.25)</f>
        <v>0.33082484946098578</v>
      </c>
      <c r="Z235" s="40"/>
      <c r="AA235" s="40"/>
      <c r="AB235" s="40"/>
      <c r="AC235" s="40"/>
      <c r="AD235" s="40"/>
      <c r="AE235" s="40"/>
      <c r="AF235" s="40"/>
      <c r="AG235" s="42">
        <f>_xlfn.PERCENTILE.EXC(Cons_Metrics[EBITDA MRI Interest Rate Cover],0.25)</f>
        <v>1.5363869943785486</v>
      </c>
      <c r="AH235" s="40"/>
      <c r="AI235" s="40"/>
      <c r="AJ235" s="40"/>
      <c r="AK235" s="40"/>
      <c r="AL235" s="40"/>
      <c r="AM235" s="40"/>
      <c r="AN235" s="40"/>
      <c r="AO235" s="40"/>
      <c r="AP235" s="40"/>
      <c r="AQ235" s="43">
        <f>_xlfn.PERCENTILE.EXC(Cons_Metrics[Headline Social Housing Cost per unit],0.25)</f>
        <v>3.0101459093255971</v>
      </c>
      <c r="AR235" s="40"/>
      <c r="AS235" s="40"/>
      <c r="AT235" s="40"/>
      <c r="AU235" s="40"/>
      <c r="AV235" s="40"/>
      <c r="AW235" s="40"/>
      <c r="AX235" s="40"/>
      <c r="AY235" s="40"/>
      <c r="AZ235" s="40"/>
      <c r="BA235" s="40"/>
      <c r="BB235" s="40"/>
      <c r="BC235" s="40"/>
      <c r="BD235" s="40">
        <f>_xlfn.PERCENTILE.EXC(Cons_Metrics[Operating Margin (SHL)],0.25)</f>
        <v>0.25531371062846353</v>
      </c>
      <c r="BE235" s="40"/>
      <c r="BF235" s="40"/>
      <c r="BG235" s="40">
        <f>_xlfn.PERCENTILE.EXC(Cons_Metrics[Operating Margin (Overall)],0.25)</f>
        <v>0.22692056002926808</v>
      </c>
      <c r="BH235" s="40"/>
      <c r="BI235" s="40"/>
      <c r="BJ235" s="40"/>
      <c r="BK235" s="40">
        <f>_xlfn.PERCENTILE.EXC(Cons_Metrics[ROCE],0.25)</f>
        <v>3.3157697591304533E-2</v>
      </c>
      <c r="BL235" s="40"/>
      <c r="BM235" s="40"/>
      <c r="BN235" s="40"/>
      <c r="BO235" s="40"/>
      <c r="BP235" s="40"/>
      <c r="BQ235" s="40"/>
      <c r="BR235" s="40"/>
      <c r="BS235" s="40"/>
      <c r="BT235" s="40"/>
      <c r="BU235" s="40"/>
    </row>
    <row r="236" spans="1:73" s="9" customFormat="1" ht="12.75" x14ac:dyDescent="0.2">
      <c r="A236" s="10"/>
      <c r="B236" s="11" t="s">
        <v>558</v>
      </c>
      <c r="C236" s="11"/>
      <c r="D236" s="12">
        <f>_xlfn.PERCENTILE.EXC(Cons_Metrics[Reinvestment],0.5)</f>
        <v>6.0281532826333341E-2</v>
      </c>
      <c r="E236" s="12"/>
      <c r="F236" s="12"/>
      <c r="G236" s="12"/>
      <c r="H236" s="12"/>
      <c r="I236" s="12"/>
      <c r="J236" s="12"/>
      <c r="K236" s="12"/>
      <c r="L236" s="12">
        <f>_xlfn.PERCENTILE.EXC(Cons_Metrics[New Supply (Social)],0.5)</f>
        <v>1.160541586073501E-2</v>
      </c>
      <c r="M236" s="12"/>
      <c r="N236" s="12"/>
      <c r="O236" s="12"/>
      <c r="P236" s="12"/>
      <c r="Q236" s="13">
        <f>_xlfn.PERCENTILE.EXC(Cons_Metrics[New Supply (Non-Social)],0.5)</f>
        <v>0</v>
      </c>
      <c r="R236" s="12"/>
      <c r="S236" s="12"/>
      <c r="T236" s="12"/>
      <c r="U236" s="12"/>
      <c r="V236" s="12"/>
      <c r="W236" s="12"/>
      <c r="X236" s="12"/>
      <c r="Y236" s="12">
        <f>_xlfn.PERCENTILE.EXC(Cons_Metrics[Gearing],0.5)</f>
        <v>0.42895771084881612</v>
      </c>
      <c r="Z236" s="12"/>
      <c r="AA236" s="12"/>
      <c r="AB236" s="12"/>
      <c r="AC236" s="12"/>
      <c r="AD236" s="12"/>
      <c r="AE236" s="12"/>
      <c r="AF236" s="12"/>
      <c r="AG236" s="14">
        <f>_xlfn.PERCENTILE.EXC(Cons_Metrics[EBITDA MRI Interest Rate Cover],0.5)</f>
        <v>2.0568323712865046</v>
      </c>
      <c r="AH236" s="12"/>
      <c r="AI236" s="12"/>
      <c r="AJ236" s="12"/>
      <c r="AK236" s="12"/>
      <c r="AL236" s="12"/>
      <c r="AM236" s="12"/>
      <c r="AN236" s="12"/>
      <c r="AO236" s="12"/>
      <c r="AP236" s="12"/>
      <c r="AQ236" s="15">
        <f>_xlfn.PERCENTILE.EXC(Cons_Metrics[Headline Social Housing Cost per unit],0.5)</f>
        <v>3.3967526584078334</v>
      </c>
      <c r="AR236" s="12"/>
      <c r="AS236" s="12"/>
      <c r="AT236" s="12"/>
      <c r="AU236" s="12"/>
      <c r="AV236" s="12"/>
      <c r="AW236" s="12"/>
      <c r="AX236" s="12"/>
      <c r="AY236" s="12"/>
      <c r="AZ236" s="12"/>
      <c r="BA236" s="12"/>
      <c r="BB236" s="12"/>
      <c r="BC236" s="12"/>
      <c r="BD236" s="12">
        <f>_xlfn.PERCENTILE.EXC(Cons_Metrics[Operating Margin (SHL)],0.5)</f>
        <v>0.32140541674858963</v>
      </c>
      <c r="BE236" s="12"/>
      <c r="BF236" s="12"/>
      <c r="BG236" s="12">
        <f>_xlfn.PERCENTILE.EXC(Cons_Metrics[Operating Margin (Overall)],0.5)</f>
        <v>0.28889459590292588</v>
      </c>
      <c r="BH236" s="12"/>
      <c r="BI236" s="12"/>
      <c r="BJ236" s="12"/>
      <c r="BK236" s="12">
        <f>_xlfn.PERCENTILE.EXC(Cons_Metrics[ROCE],0.5)</f>
        <v>4.0750463417319562E-2</v>
      </c>
      <c r="BL236" s="12"/>
      <c r="BM236" s="12"/>
      <c r="BN236" s="12"/>
      <c r="BO236" s="12"/>
      <c r="BP236" s="12"/>
      <c r="BQ236" s="12"/>
      <c r="BR236" s="12"/>
      <c r="BS236" s="12"/>
      <c r="BT236" s="12"/>
      <c r="BU236" s="12"/>
    </row>
    <row r="237" spans="1:73" s="9" customFormat="1" ht="12.75" x14ac:dyDescent="0.2">
      <c r="A237" s="38"/>
      <c r="B237" s="39" t="s">
        <v>559</v>
      </c>
      <c r="C237" s="39"/>
      <c r="D237" s="40">
        <f>_xlfn.PERCENTILE.EXC(Cons_Metrics[Reinvestment],0.75)</f>
        <v>8.6581711818243215E-2</v>
      </c>
      <c r="E237" s="40"/>
      <c r="F237" s="40"/>
      <c r="G237" s="40"/>
      <c r="H237" s="40"/>
      <c r="I237" s="40"/>
      <c r="J237" s="40"/>
      <c r="K237" s="40"/>
      <c r="L237" s="40">
        <f>_xlfn.PERCENTILE.EXC(Cons_Metrics[New Supply (Social)],0.75)</f>
        <v>2.283466312706272E-2</v>
      </c>
      <c r="M237" s="40"/>
      <c r="N237" s="40"/>
      <c r="O237" s="40"/>
      <c r="P237" s="40"/>
      <c r="Q237" s="41">
        <f>_xlfn.PERCENTILE.EXC(Cons_Metrics[New Supply (Non-Social)],0.75)</f>
        <v>7.350001013998156E-4</v>
      </c>
      <c r="R237" s="40"/>
      <c r="S237" s="40"/>
      <c r="T237" s="40"/>
      <c r="U237" s="40"/>
      <c r="V237" s="40"/>
      <c r="W237" s="40"/>
      <c r="X237" s="40"/>
      <c r="Y237" s="40">
        <f>_xlfn.PERCENTILE.EXC(Cons_Metrics[Gearing],0.75)</f>
        <v>0.53106604960481396</v>
      </c>
      <c r="Z237" s="40"/>
      <c r="AA237" s="40"/>
      <c r="AB237" s="40"/>
      <c r="AC237" s="40"/>
      <c r="AD237" s="40"/>
      <c r="AE237" s="40"/>
      <c r="AF237" s="40"/>
      <c r="AG237" s="42">
        <f>_xlfn.PERCENTILE.EXC(Cons_Metrics[EBITDA MRI Interest Rate Cover],0.75)</f>
        <v>2.6251010154364645</v>
      </c>
      <c r="AH237" s="40"/>
      <c r="AI237" s="40"/>
      <c r="AJ237" s="40"/>
      <c r="AK237" s="40"/>
      <c r="AL237" s="40"/>
      <c r="AM237" s="40"/>
      <c r="AN237" s="40"/>
      <c r="AO237" s="40"/>
      <c r="AP237" s="40"/>
      <c r="AQ237" s="43">
        <f>_xlfn.PERCENTILE.EXC(Cons_Metrics[Headline Social Housing Cost per unit],0.75)</f>
        <v>4.5012829207814447</v>
      </c>
      <c r="AR237" s="40"/>
      <c r="AS237" s="40"/>
      <c r="AT237" s="40"/>
      <c r="AU237" s="40"/>
      <c r="AV237" s="40"/>
      <c r="AW237" s="40"/>
      <c r="AX237" s="40"/>
      <c r="AY237" s="40"/>
      <c r="AZ237" s="40"/>
      <c r="BA237" s="40"/>
      <c r="BB237" s="40"/>
      <c r="BC237" s="40"/>
      <c r="BD237" s="40">
        <f>_xlfn.PERCENTILE.EXC(Cons_Metrics[Operating Margin (SHL)],0.75)</f>
        <v>0.37127467986049517</v>
      </c>
      <c r="BE237" s="40"/>
      <c r="BF237" s="40"/>
      <c r="BG237" s="40">
        <f>_xlfn.PERCENTILE.EXC(Cons_Metrics[Operating Margin (Overall)],0.75)</f>
        <v>0.34073810986690622</v>
      </c>
      <c r="BH237" s="40"/>
      <c r="BI237" s="40"/>
      <c r="BJ237" s="40"/>
      <c r="BK237" s="40">
        <f>_xlfn.PERCENTILE.EXC(Cons_Metrics[ROCE],0.75)</f>
        <v>5.4043180096786603E-2</v>
      </c>
      <c r="BL237" s="40"/>
      <c r="BM237" s="40"/>
      <c r="BN237" s="40"/>
      <c r="BO237" s="40"/>
      <c r="BP237" s="40"/>
      <c r="BQ237" s="40"/>
      <c r="BR237" s="40"/>
      <c r="BS237" s="40"/>
      <c r="BT237" s="40"/>
      <c r="BU237" s="40"/>
    </row>
  </sheetData>
  <printOptions horizontalCentered="1"/>
  <pageMargins left="0.11811023622047245" right="0.11811023622047245" top="0.35433070866141736" bottom="0.35433070866141736" header="0.11811023622047245" footer="0.11811023622047245"/>
  <pageSetup paperSize="9" scale="68" fitToWidth="2" fitToHeight="0" pageOrder="overThenDown"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VfM Metrics Sources &amp; notes</vt:lpstr>
      <vt:lpstr>2018_VFM_Metrics_Entity</vt:lpstr>
      <vt:lpstr>2018_VFM_Metrics_Consolidated</vt:lpstr>
      <vt:lpstr>'2018_VFM_Metrics_Consolidated'!Print_Titles</vt:lpstr>
      <vt:lpstr>'2018_VFM_Metrics_Entity'!Print_Titles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2018-12-12T17:06:13Z</dcterms:created>
  <dcterms:modified xsi:type="dcterms:W3CDTF">2018-12-14T09:17:33Z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ca19c256-fc93-409b-b095-a684a16e919f</vt:lpwstr>
  </property>
  <property fmtid="{D5CDD505-2E9C-101B-9397-08002B2CF9AE}" pid="3" name="HCAGPMS">
    <vt:lpwstr>OFFICIAL</vt:lpwstr>
  </property>
</Properties>
</file>