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15" yWindow="1725" windowWidth="15765" windowHeight="2820" tabRatio="808" firstSheet="2" activeTab="2"/>
  </bookViews>
  <sheets>
    <sheet name="Input data (2)" sheetId="46" state="hidden" r:id="rId1"/>
    <sheet name="Output data - DO NOT TOUCH (2)" sheetId="47" state="hidden" r:id="rId2"/>
    <sheet name="Table Cover sheet" sheetId="71" r:id="rId3"/>
    <sheet name="Table contents" sheetId="102" r:id="rId4"/>
    <sheet name="Table Notes" sheetId="73" r:id="rId5"/>
    <sheet name="Table 1a" sheetId="74" r:id="rId6"/>
    <sheet name="Table 1b" sheetId="75" r:id="rId7"/>
    <sheet name="Table 2" sheetId="76" r:id="rId8"/>
    <sheet name="Table 3" sheetId="77" r:id="rId9"/>
    <sheet name="Table 4a" sheetId="78" r:id="rId10"/>
    <sheet name="Table 4b" sheetId="79" r:id="rId11"/>
    <sheet name="Table 5" sheetId="80" r:id="rId12"/>
    <sheet name="Table 6a" sheetId="82" r:id="rId13"/>
    <sheet name="Table 6b" sheetId="81" r:id="rId14"/>
    <sheet name="Table 7a" sheetId="92" r:id="rId15"/>
    <sheet name="Table 7b" sheetId="93" r:id="rId16"/>
    <sheet name="Table 8a" sheetId="83" r:id="rId17"/>
    <sheet name="Table 8b" sheetId="84" r:id="rId18"/>
    <sheet name="Table 9" sheetId="85" r:id="rId19"/>
    <sheet name="Table 10" sheetId="86" r:id="rId20"/>
    <sheet name="Table 11" sheetId="87" r:id="rId21"/>
    <sheet name="Table 12" sheetId="88" r:id="rId22"/>
    <sheet name="Table 13" sheetId="89" r:id="rId23"/>
    <sheet name="Table 14" sheetId="91" r:id="rId24"/>
  </sheets>
  <definedNames>
    <definedName name="_xlnm._FilterDatabase" localSheetId="19" hidden="1">'Table 10'!$AA$18:$AA$55</definedName>
    <definedName name="_xlnm._FilterDatabase" localSheetId="20" hidden="1">'Table 11'!$AA$18:$AA$66</definedName>
    <definedName name="_xlnm._FilterDatabase" localSheetId="21" hidden="1">'Table 12'!$AA$18:$AA$68</definedName>
    <definedName name="_xlnm._FilterDatabase" localSheetId="22" hidden="1">'Table 13'!$AA$18:$AA$55</definedName>
    <definedName name="_xlnm._FilterDatabase" localSheetId="23" hidden="1">'Table 14'!$AA$18:$AA$66</definedName>
    <definedName name="_xlnm._FilterDatabase" localSheetId="5" hidden="1">'Table 1a'!$AA$18:$AA$68</definedName>
    <definedName name="_xlnm._FilterDatabase" localSheetId="6" hidden="1">'Table 1b'!$AA$18:$AA$68</definedName>
    <definedName name="_xlnm._FilterDatabase" localSheetId="7" hidden="1">'Table 2'!$AA$18:$AA$68</definedName>
    <definedName name="_xlnm._FilterDatabase" localSheetId="8" hidden="1">'Table 3'!$AA$18:$AA$55</definedName>
    <definedName name="_xlnm._FilterDatabase" localSheetId="9" hidden="1">'Table 4a'!$AA$18:$AA$66</definedName>
    <definedName name="_xlnm._FilterDatabase" localSheetId="10" hidden="1">'Table 4b'!$AA$18:$AA$66</definedName>
    <definedName name="_xlnm._FilterDatabase" localSheetId="11" hidden="1">'Table 5'!$AA$18:$AA$55</definedName>
    <definedName name="_xlnm._FilterDatabase" localSheetId="12" hidden="1">'Table 6a'!$AA$18:$AA$67</definedName>
    <definedName name="_xlnm._FilterDatabase" localSheetId="13" hidden="1">'Table 6b'!$AA$18:$AA$68</definedName>
    <definedName name="_xlnm._FilterDatabase" localSheetId="14" hidden="1">'Table 7a'!$AA$18:$AA$67</definedName>
    <definedName name="_xlnm._FilterDatabase" localSheetId="15" hidden="1">'Table 7b'!$AA$18:$AA$68</definedName>
    <definedName name="_xlnm._FilterDatabase" localSheetId="16" hidden="1">'Table 8a'!$AA$18:$AA$68</definedName>
    <definedName name="_xlnm._FilterDatabase" localSheetId="17" hidden="1">'Table 8b'!$AA$18:$AA$68</definedName>
    <definedName name="_xlnm._FilterDatabase" localSheetId="18" hidden="1">'Table 9'!$AA$18:$AA$68</definedName>
    <definedName name="_xlnm._FilterDatabase" localSheetId="3" hidden="1">'Table contents'!$AA$18:$AA$50</definedName>
    <definedName name="_xlnm._FilterDatabase" localSheetId="2" hidden="1">'Table Cover sheet'!$AA$18:$AA$40</definedName>
    <definedName name="_xlnm._FilterDatabase" localSheetId="4" hidden="1">'Table Notes'!$AA$18:$AA$197</definedName>
    <definedName name="_xlnm.Print_Area" localSheetId="0">'Input data (2)'!$B$4:$BL$187</definedName>
    <definedName name="_xlnm.Print_Area" localSheetId="19">'Table 10'!$A$1:$L$66</definedName>
    <definedName name="_xlnm.Print_Area" localSheetId="20">'Table 11'!$A$1:$K$76</definedName>
    <definedName name="_xlnm.Print_Area" localSheetId="21">'Table 12'!$A$1:$O$80</definedName>
    <definedName name="_xlnm.Print_Area" localSheetId="22">'Table 13'!$A$1:$L$65</definedName>
    <definedName name="_xlnm.Print_Area" localSheetId="23">'Table 14'!$A$1:$K$75</definedName>
    <definedName name="_xlnm.Print_Area" localSheetId="5">'Table 1a'!$A$1:$O$86</definedName>
    <definedName name="_xlnm.Print_Area" localSheetId="6">'Table 1b'!$A$1:$O$85</definedName>
    <definedName name="_xlnm.Print_Area" localSheetId="7">'Table 2'!$A$1:$M$78</definedName>
    <definedName name="_xlnm.Print_Area" localSheetId="8">'Table 3'!$A$1:$M$66</definedName>
    <definedName name="_xlnm.Print_Area" localSheetId="9">'Table 4a'!$A$1:$K$78</definedName>
    <definedName name="_xlnm.Print_Area" localSheetId="10">'Table 4b'!$A$1:$K$76</definedName>
    <definedName name="_xlnm.Print_Area" localSheetId="11">'Table 5'!$A$1:$M$63</definedName>
    <definedName name="_xlnm.Print_Area" localSheetId="12">'Table 6a'!$A$1:$I$78</definedName>
    <definedName name="_xlnm.Print_Area" localSheetId="13">'Table 6b'!$A$1:$N$78</definedName>
    <definedName name="_xlnm.Print_Area" localSheetId="14">'Table 7a'!$A$1:$J$78</definedName>
    <definedName name="_xlnm.Print_Area" localSheetId="15">'Table 7b'!$A$1:$N$78</definedName>
    <definedName name="_xlnm.Print_Area" localSheetId="16">'Table 8a'!$A$1:$K$84</definedName>
    <definedName name="_xlnm.Print_Area" localSheetId="17">'Table 8b'!$A$1:$V$85</definedName>
    <definedName name="_xlnm.Print_Area" localSheetId="18">'Table 9'!$A$1:$O$79</definedName>
    <definedName name="_xlnm.Print_Area" localSheetId="4">'Table Notes'!$A$1:$M$178</definedName>
    <definedName name="_xlnm.Print_Titles" localSheetId="0">'Input data (2)'!$B:$C,'Input data (2)'!$3:$5</definedName>
  </definedNames>
  <calcPr calcId="145621"/>
</workbook>
</file>

<file path=xl/calcChain.xml><?xml version="1.0" encoding="utf-8"?>
<calcChain xmlns="http://schemas.openxmlformats.org/spreadsheetml/2006/main">
  <c r="BL1" i="46" l="1"/>
  <c r="R15" i="47" s="1"/>
  <c r="L2" i="46"/>
  <c r="C3" i="46"/>
  <c r="A6" i="46"/>
  <c r="F6" i="46"/>
  <c r="AC6" i="46"/>
  <c r="AF6" i="46"/>
  <c r="BB6" i="46"/>
  <c r="BF6" i="46"/>
  <c r="B7" i="46"/>
  <c r="F7" i="46"/>
  <c r="AC7" i="46"/>
  <c r="AF7" i="46"/>
  <c r="BB7" i="46"/>
  <c r="BF7" i="46"/>
  <c r="F8" i="46"/>
  <c r="AC8" i="46"/>
  <c r="AF8" i="46"/>
  <c r="BB8" i="46"/>
  <c r="BF8" i="46"/>
  <c r="F9" i="46"/>
  <c r="AC9" i="46"/>
  <c r="AF9" i="46"/>
  <c r="BB9" i="46"/>
  <c r="BF9" i="46"/>
  <c r="A10" i="46"/>
  <c r="F10" i="46"/>
  <c r="AC10" i="46"/>
  <c r="AF10" i="46"/>
  <c r="BB10" i="46"/>
  <c r="BF10" i="46"/>
  <c r="B11" i="46"/>
  <c r="F11" i="46"/>
  <c r="AC11" i="46"/>
  <c r="AF11" i="46"/>
  <c r="BB11" i="46"/>
  <c r="BF11" i="46"/>
  <c r="F12" i="46"/>
  <c r="AC12" i="46"/>
  <c r="AF12" i="46"/>
  <c r="BB12" i="46"/>
  <c r="BF12" i="46"/>
  <c r="F13" i="46"/>
  <c r="AC13" i="46"/>
  <c r="AF13" i="46"/>
  <c r="BB13" i="46"/>
  <c r="BF13" i="46"/>
  <c r="A14" i="46"/>
  <c r="F14" i="46"/>
  <c r="AC14" i="46"/>
  <c r="AF14" i="46"/>
  <c r="BB14" i="46"/>
  <c r="BF14" i="46"/>
  <c r="A15" i="46"/>
  <c r="B15" i="46"/>
  <c r="F15" i="46"/>
  <c r="AC15" i="46"/>
  <c r="AF15" i="46"/>
  <c r="BB15" i="46"/>
  <c r="BF15" i="46"/>
  <c r="B16" i="46"/>
  <c r="B17" i="46" s="1"/>
  <c r="A17" i="46" s="1"/>
  <c r="F16" i="46"/>
  <c r="AC16" i="46"/>
  <c r="AF16" i="46"/>
  <c r="BB16" i="46"/>
  <c r="BF16" i="46"/>
  <c r="F17" i="46"/>
  <c r="AC17" i="46"/>
  <c r="AF17" i="46"/>
  <c r="BB17" i="46"/>
  <c r="BF17" i="46"/>
  <c r="A18" i="46"/>
  <c r="F18" i="46"/>
  <c r="AC18" i="46"/>
  <c r="AF18" i="46"/>
  <c r="BB18" i="46"/>
  <c r="BF18" i="46"/>
  <c r="B19" i="46"/>
  <c r="A19" i="46" s="1"/>
  <c r="F19" i="46"/>
  <c r="AC19" i="46"/>
  <c r="AF19" i="46"/>
  <c r="BB19" i="46"/>
  <c r="BF19" i="46"/>
  <c r="F20" i="46"/>
  <c r="AC20" i="46"/>
  <c r="AF20" i="46"/>
  <c r="BB20" i="46"/>
  <c r="BF20" i="46"/>
  <c r="F21" i="46"/>
  <c r="AC21" i="46"/>
  <c r="AF21" i="46"/>
  <c r="BB21" i="46"/>
  <c r="BF21" i="46"/>
  <c r="A22" i="46"/>
  <c r="F22" i="46"/>
  <c r="AC22" i="46"/>
  <c r="AF22" i="46"/>
  <c r="BB22" i="46"/>
  <c r="BF22" i="46"/>
  <c r="B23" i="46"/>
  <c r="F23" i="46"/>
  <c r="AC23" i="46"/>
  <c r="AF23" i="46"/>
  <c r="BB23" i="46"/>
  <c r="BF23" i="46"/>
  <c r="F24" i="46"/>
  <c r="AC24" i="46"/>
  <c r="AF24" i="46"/>
  <c r="BB24" i="46"/>
  <c r="BF24" i="46"/>
  <c r="F25" i="46"/>
  <c r="AC25" i="46"/>
  <c r="AF25" i="46"/>
  <c r="BB25" i="46"/>
  <c r="BF25" i="46"/>
  <c r="A26" i="46"/>
  <c r="F26" i="46"/>
  <c r="AC26" i="46"/>
  <c r="AF26" i="46"/>
  <c r="BB26" i="46"/>
  <c r="BF26" i="46"/>
  <c r="B27" i="46"/>
  <c r="A27" i="46" s="1"/>
  <c r="F27" i="46"/>
  <c r="AC27" i="46"/>
  <c r="AF27" i="46"/>
  <c r="BB27" i="46"/>
  <c r="BF27" i="46"/>
  <c r="F28" i="46"/>
  <c r="AC28" i="46"/>
  <c r="AF28" i="46"/>
  <c r="BB28" i="46"/>
  <c r="BF28" i="46"/>
  <c r="F29" i="46"/>
  <c r="AC29" i="46"/>
  <c r="AF29" i="46"/>
  <c r="BB29" i="46"/>
  <c r="BF29" i="46"/>
  <c r="A30" i="46"/>
  <c r="F30" i="46"/>
  <c r="AC30" i="46"/>
  <c r="AF30" i="46"/>
  <c r="BB30" i="46"/>
  <c r="BF30" i="46"/>
  <c r="A31" i="46"/>
  <c r="B31" i="46"/>
  <c r="B32" i="46" s="1"/>
  <c r="A32" i="46" s="1"/>
  <c r="F31" i="46"/>
  <c r="AC31" i="46"/>
  <c r="AF31" i="46"/>
  <c r="BB31" i="46"/>
  <c r="BF31" i="46"/>
  <c r="F32" i="46"/>
  <c r="AC32" i="46"/>
  <c r="AF32" i="46"/>
  <c r="BB32" i="46"/>
  <c r="BF32" i="46"/>
  <c r="F33" i="46"/>
  <c r="AC33" i="46"/>
  <c r="AF33" i="46"/>
  <c r="BB33" i="46"/>
  <c r="BF33" i="46"/>
  <c r="A34" i="46"/>
  <c r="F34" i="46"/>
  <c r="AC34" i="46"/>
  <c r="AF34" i="46"/>
  <c r="BB34" i="46"/>
  <c r="BF34" i="46"/>
  <c r="A35" i="46"/>
  <c r="B35" i="46"/>
  <c r="B36" i="46" s="1"/>
  <c r="F35" i="46"/>
  <c r="AC35" i="46"/>
  <c r="AF35" i="46"/>
  <c r="BB35" i="46"/>
  <c r="BF35" i="46"/>
  <c r="F36" i="46"/>
  <c r="AC36" i="46"/>
  <c r="AF36" i="46"/>
  <c r="BB36" i="46"/>
  <c r="BF36" i="46"/>
  <c r="F37" i="46"/>
  <c r="AC37" i="46"/>
  <c r="AF37" i="46"/>
  <c r="BB37" i="46"/>
  <c r="BF37" i="46"/>
  <c r="A38" i="46"/>
  <c r="F38" i="46"/>
  <c r="AC38" i="46"/>
  <c r="AF38" i="46"/>
  <c r="BB38" i="46"/>
  <c r="BF38" i="46"/>
  <c r="B39" i="46"/>
  <c r="F39" i="46"/>
  <c r="AC39" i="46"/>
  <c r="AF39" i="46"/>
  <c r="BB39" i="46"/>
  <c r="BF39" i="46"/>
  <c r="F40" i="46"/>
  <c r="AC40" i="46"/>
  <c r="AF40" i="46"/>
  <c r="BB40" i="46"/>
  <c r="BF40" i="46"/>
  <c r="F41" i="46"/>
  <c r="AC41" i="46"/>
  <c r="AF41" i="46"/>
  <c r="BB41" i="46"/>
  <c r="BF41" i="46"/>
  <c r="A42" i="46"/>
  <c r="F42" i="46"/>
  <c r="AC42" i="46"/>
  <c r="AF42" i="46"/>
  <c r="BB42" i="46"/>
  <c r="BF42" i="46"/>
  <c r="A43" i="46"/>
  <c r="B43" i="46"/>
  <c r="F43" i="46"/>
  <c r="AC43" i="46"/>
  <c r="AF43" i="46"/>
  <c r="BB43" i="46"/>
  <c r="BF43" i="46"/>
  <c r="B44" i="46"/>
  <c r="F44" i="46"/>
  <c r="AC44" i="46"/>
  <c r="AF44" i="46"/>
  <c r="BB44" i="46"/>
  <c r="BF44" i="46"/>
  <c r="F45" i="46"/>
  <c r="AC45" i="46"/>
  <c r="AF45" i="46"/>
  <c r="BB45" i="46"/>
  <c r="BF45" i="46"/>
  <c r="A46" i="46"/>
  <c r="F46" i="46"/>
  <c r="AC46" i="46"/>
  <c r="AF46" i="46"/>
  <c r="BB46" i="46"/>
  <c r="BF46" i="46"/>
  <c r="B47" i="46"/>
  <c r="F47" i="46"/>
  <c r="AC47" i="46"/>
  <c r="AF47" i="46"/>
  <c r="BB47" i="46"/>
  <c r="BF47" i="46"/>
  <c r="F48" i="46"/>
  <c r="AC48" i="46"/>
  <c r="AF48" i="46"/>
  <c r="BB48" i="46"/>
  <c r="BF48" i="46"/>
  <c r="F49" i="46"/>
  <c r="AC49" i="46"/>
  <c r="AF49" i="46"/>
  <c r="BB49" i="46"/>
  <c r="BF49" i="46"/>
  <c r="A50" i="46"/>
  <c r="F50" i="46"/>
  <c r="AC50" i="46"/>
  <c r="AF50" i="46"/>
  <c r="BB50" i="46"/>
  <c r="BF50" i="46"/>
  <c r="B51" i="46"/>
  <c r="A51" i="46" s="1"/>
  <c r="F51" i="46"/>
  <c r="AC51" i="46"/>
  <c r="AF51" i="46"/>
  <c r="BB51" i="46"/>
  <c r="BF51" i="46"/>
  <c r="F52" i="46"/>
  <c r="AC52" i="46"/>
  <c r="AF52" i="46"/>
  <c r="BB52" i="46"/>
  <c r="BF52" i="46"/>
  <c r="F53" i="46"/>
  <c r="AC53" i="46"/>
  <c r="AF53" i="46"/>
  <c r="BB53" i="46"/>
  <c r="BF53" i="46"/>
  <c r="A54" i="46"/>
  <c r="F54" i="46"/>
  <c r="AC54" i="46"/>
  <c r="AF54" i="46"/>
  <c r="AP54" i="46"/>
  <c r="BB54" i="46"/>
  <c r="BF54" i="46"/>
  <c r="B55" i="46"/>
  <c r="A55" i="46" s="1"/>
  <c r="F55" i="46"/>
  <c r="AC55" i="46"/>
  <c r="AF55" i="46"/>
  <c r="AP55" i="46"/>
  <c r="BB55" i="46"/>
  <c r="BF55" i="46"/>
  <c r="F56" i="46"/>
  <c r="AC56" i="46"/>
  <c r="AF56" i="46"/>
  <c r="AP56" i="46"/>
  <c r="BB56" i="46"/>
  <c r="BF56" i="46"/>
  <c r="F57" i="46"/>
  <c r="AC57" i="46"/>
  <c r="AF57" i="46"/>
  <c r="AP57" i="46"/>
  <c r="BB57" i="46"/>
  <c r="BF57" i="46"/>
  <c r="A58" i="46"/>
  <c r="F58" i="46"/>
  <c r="AC58" i="46"/>
  <c r="AF58" i="46"/>
  <c r="AP58" i="46"/>
  <c r="BB58" i="46"/>
  <c r="BF58" i="46"/>
  <c r="B59" i="46"/>
  <c r="A59" i="46" s="1"/>
  <c r="F59" i="46"/>
  <c r="AC59" i="46"/>
  <c r="AF59" i="46"/>
  <c r="AP59" i="46"/>
  <c r="BB59" i="46"/>
  <c r="BF59" i="46"/>
  <c r="F60" i="46"/>
  <c r="AC60" i="46"/>
  <c r="AF60" i="46"/>
  <c r="AP60" i="46"/>
  <c r="BB60" i="46"/>
  <c r="BF60" i="46"/>
  <c r="F61" i="46"/>
  <c r="AC61" i="46"/>
  <c r="AF61" i="46"/>
  <c r="AP61" i="46"/>
  <c r="BB61" i="46"/>
  <c r="BF61" i="46"/>
  <c r="A62" i="46"/>
  <c r="F62" i="46"/>
  <c r="AC62" i="46"/>
  <c r="AF62" i="46"/>
  <c r="AP62" i="46"/>
  <c r="BB62" i="46"/>
  <c r="BF62" i="46"/>
  <c r="B63" i="46"/>
  <c r="A63" i="46" s="1"/>
  <c r="F63" i="46"/>
  <c r="AC63" i="46"/>
  <c r="AF63" i="46"/>
  <c r="AP63" i="46"/>
  <c r="BB63" i="46"/>
  <c r="BF63" i="46"/>
  <c r="B64" i="46"/>
  <c r="A64" i="46" s="1"/>
  <c r="F64" i="46"/>
  <c r="AC64" i="46"/>
  <c r="AF64" i="46"/>
  <c r="AP64" i="46"/>
  <c r="BB64" i="46"/>
  <c r="BF64" i="46"/>
  <c r="B65" i="46"/>
  <c r="A65" i="46" s="1"/>
  <c r="F65" i="46"/>
  <c r="AC65" i="46"/>
  <c r="AF65" i="46"/>
  <c r="AP65" i="46"/>
  <c r="BB65" i="46"/>
  <c r="BF65" i="46"/>
  <c r="A66" i="46"/>
  <c r="F66" i="46"/>
  <c r="AC66" i="46"/>
  <c r="AF66" i="46"/>
  <c r="AP66" i="46"/>
  <c r="BB66" i="46"/>
  <c r="BF66" i="46"/>
  <c r="B67" i="46"/>
  <c r="A67" i="46" s="1"/>
  <c r="F67" i="46"/>
  <c r="AC67" i="46"/>
  <c r="AF67" i="46"/>
  <c r="AP67" i="46"/>
  <c r="BB67" i="46"/>
  <c r="BF67" i="46"/>
  <c r="B68" i="46"/>
  <c r="A68" i="46" s="1"/>
  <c r="F68" i="46"/>
  <c r="AC68" i="46"/>
  <c r="AF68" i="46"/>
  <c r="AP68" i="46"/>
  <c r="BB68" i="46"/>
  <c r="BF68" i="46"/>
  <c r="B69" i="46"/>
  <c r="A69" i="46" s="1"/>
  <c r="F69" i="46"/>
  <c r="AC69" i="46"/>
  <c r="AF69" i="46"/>
  <c r="AP69" i="46"/>
  <c r="BB69" i="46"/>
  <c r="BF69" i="46"/>
  <c r="A70" i="46"/>
  <c r="F70" i="46"/>
  <c r="AC70" i="46"/>
  <c r="AF70" i="46"/>
  <c r="AP70" i="46"/>
  <c r="BB70" i="46"/>
  <c r="BF70" i="46"/>
  <c r="B71" i="46"/>
  <c r="A71" i="46" s="1"/>
  <c r="F71" i="46"/>
  <c r="AC71" i="46"/>
  <c r="AF71" i="46"/>
  <c r="AP71" i="46"/>
  <c r="BB71" i="46"/>
  <c r="BF71" i="46"/>
  <c r="B72" i="46"/>
  <c r="A72" i="46" s="1"/>
  <c r="F72" i="46"/>
  <c r="AC72" i="46"/>
  <c r="AF72" i="46"/>
  <c r="AP72" i="46"/>
  <c r="BB72" i="46"/>
  <c r="BF72" i="46"/>
  <c r="B73" i="46"/>
  <c r="A73" i="46" s="1"/>
  <c r="F73" i="46"/>
  <c r="AC73" i="46"/>
  <c r="AF73" i="46"/>
  <c r="AP73" i="46"/>
  <c r="BB73" i="46"/>
  <c r="BF73" i="46"/>
  <c r="A74" i="46"/>
  <c r="F74" i="46"/>
  <c r="AC74" i="46"/>
  <c r="AF74" i="46"/>
  <c r="AP74" i="46"/>
  <c r="BB74" i="46"/>
  <c r="BF74" i="46"/>
  <c r="B75" i="46"/>
  <c r="F75" i="46"/>
  <c r="AC75" i="46"/>
  <c r="AF75" i="46"/>
  <c r="AP75" i="46"/>
  <c r="BB75" i="46"/>
  <c r="BF75" i="46"/>
  <c r="F76" i="46"/>
  <c r="J79" i="46" s="1"/>
  <c r="AC76" i="46"/>
  <c r="AF76" i="46"/>
  <c r="AP76" i="46"/>
  <c r="BB76" i="46"/>
  <c r="BF76" i="46"/>
  <c r="F77" i="46"/>
  <c r="J77" i="46"/>
  <c r="AC77" i="46"/>
  <c r="AF77" i="46"/>
  <c r="AP77" i="46"/>
  <c r="BB77" i="46"/>
  <c r="BF77" i="46"/>
  <c r="A78" i="46"/>
  <c r="F78" i="46"/>
  <c r="I78" i="46"/>
  <c r="AC78" i="46"/>
  <c r="AF78" i="46"/>
  <c r="AP78" i="46"/>
  <c r="BB78" i="46"/>
  <c r="BF78" i="46"/>
  <c r="B79" i="46"/>
  <c r="A79" i="46" s="1"/>
  <c r="F79" i="46"/>
  <c r="I79" i="46"/>
  <c r="AC79" i="46"/>
  <c r="AF79" i="46"/>
  <c r="AP79" i="46"/>
  <c r="BB79" i="46"/>
  <c r="BF79" i="46"/>
  <c r="B80" i="46"/>
  <c r="F80" i="46"/>
  <c r="I80" i="46"/>
  <c r="AC80" i="46"/>
  <c r="AF80" i="46"/>
  <c r="AP80" i="46"/>
  <c r="BB80" i="46"/>
  <c r="BF80" i="46"/>
  <c r="F81" i="46"/>
  <c r="K84" i="46" s="1"/>
  <c r="I81" i="46"/>
  <c r="J81" i="46"/>
  <c r="AC81" i="46"/>
  <c r="AF81" i="46"/>
  <c r="AP81" i="46"/>
  <c r="BB81" i="46"/>
  <c r="BF81" i="46"/>
  <c r="A82" i="46"/>
  <c r="F82" i="46"/>
  <c r="I82" i="46"/>
  <c r="K82" i="46"/>
  <c r="AC82" i="46"/>
  <c r="AF82" i="46"/>
  <c r="AP82" i="46"/>
  <c r="BB82" i="46"/>
  <c r="BF82" i="46"/>
  <c r="B83" i="46"/>
  <c r="A83" i="46" s="1"/>
  <c r="F83" i="46"/>
  <c r="J83" i="46" s="1"/>
  <c r="I83" i="46"/>
  <c r="AC83" i="46"/>
  <c r="AF83" i="46"/>
  <c r="AP83" i="46"/>
  <c r="BB83" i="46"/>
  <c r="BF83" i="46"/>
  <c r="B84" i="46"/>
  <c r="B85" i="46" s="1"/>
  <c r="A85" i="46" s="1"/>
  <c r="F84" i="46"/>
  <c r="K87" i="46" s="1"/>
  <c r="I84" i="46"/>
  <c r="AC84" i="46"/>
  <c r="AF84" i="46"/>
  <c r="AP84" i="46"/>
  <c r="BB84" i="46"/>
  <c r="BF84" i="46"/>
  <c r="F85" i="46"/>
  <c r="J88" i="46" s="1"/>
  <c r="I85" i="46"/>
  <c r="AC85" i="46"/>
  <c r="AF85" i="46"/>
  <c r="AP85" i="46"/>
  <c r="BB85" i="46"/>
  <c r="BF85" i="46"/>
  <c r="A86" i="46"/>
  <c r="F86" i="46"/>
  <c r="I86" i="46"/>
  <c r="AC86" i="46"/>
  <c r="AF86" i="46"/>
  <c r="AP86" i="46"/>
  <c r="BB86" i="46"/>
  <c r="BF86" i="46"/>
  <c r="B87" i="46"/>
  <c r="F87" i="46"/>
  <c r="K90" i="46" s="1"/>
  <c r="I87" i="46"/>
  <c r="AC87" i="46"/>
  <c r="AF87" i="46"/>
  <c r="AP87" i="46"/>
  <c r="BB87" i="46"/>
  <c r="BF87" i="46"/>
  <c r="F88" i="46"/>
  <c r="I88" i="46"/>
  <c r="AC88" i="46"/>
  <c r="AF88" i="46"/>
  <c r="AP88" i="46"/>
  <c r="BB88" i="46"/>
  <c r="BF88" i="46"/>
  <c r="F89" i="46"/>
  <c r="I89" i="46"/>
  <c r="AC89" i="46"/>
  <c r="AF89" i="46"/>
  <c r="AP89" i="46"/>
  <c r="AS92" i="46" s="1"/>
  <c r="BB89" i="46"/>
  <c r="BF89" i="46"/>
  <c r="A90" i="46"/>
  <c r="F90" i="46"/>
  <c r="J93" i="46" s="1"/>
  <c r="I90" i="46"/>
  <c r="AC90" i="46"/>
  <c r="AF90" i="46"/>
  <c r="AP90" i="46"/>
  <c r="AT93" i="46" s="1"/>
  <c r="BB90" i="46"/>
  <c r="BF90" i="46"/>
  <c r="B91" i="46"/>
  <c r="B92" i="46" s="1"/>
  <c r="F91" i="46"/>
  <c r="I91" i="46"/>
  <c r="AC91" i="46"/>
  <c r="AF91" i="46"/>
  <c r="AP91" i="46"/>
  <c r="BB91" i="46"/>
  <c r="BF91" i="46"/>
  <c r="F92" i="46"/>
  <c r="I92" i="46"/>
  <c r="AC92" i="46"/>
  <c r="AF92" i="46"/>
  <c r="AP92" i="46"/>
  <c r="BB92" i="46"/>
  <c r="BF92" i="46"/>
  <c r="F93" i="46"/>
  <c r="I93" i="46"/>
  <c r="AC93" i="46"/>
  <c r="AF93" i="46"/>
  <c r="AP93" i="46"/>
  <c r="BB93" i="46"/>
  <c r="BF93" i="46"/>
  <c r="A94" i="46"/>
  <c r="F94" i="46"/>
  <c r="I94" i="46"/>
  <c r="AC94" i="46"/>
  <c r="AF94" i="46"/>
  <c r="AP94" i="46"/>
  <c r="BB94" i="46"/>
  <c r="BF94" i="46"/>
  <c r="B95" i="46"/>
  <c r="F95" i="46"/>
  <c r="I95" i="46"/>
  <c r="K95" i="46"/>
  <c r="AC95" i="46"/>
  <c r="AF95" i="46"/>
  <c r="AP95" i="46"/>
  <c r="AS95" i="46" s="1"/>
  <c r="BB95" i="46"/>
  <c r="BF95" i="46"/>
  <c r="F96" i="46"/>
  <c r="I96" i="46"/>
  <c r="AC96" i="46"/>
  <c r="AF96" i="46"/>
  <c r="AP96" i="46"/>
  <c r="AT99" i="46" s="1"/>
  <c r="BB96" i="46"/>
  <c r="BF96" i="46"/>
  <c r="F97" i="46"/>
  <c r="I97" i="46"/>
  <c r="AC97" i="46"/>
  <c r="AF97" i="46"/>
  <c r="AP97" i="46"/>
  <c r="AT97" i="46"/>
  <c r="BB97" i="46"/>
  <c r="BF97" i="46"/>
  <c r="A98" i="46"/>
  <c r="F98" i="46"/>
  <c r="K100" i="46" s="1"/>
  <c r="I98" i="46"/>
  <c r="AC98" i="46"/>
  <c r="AF98" i="46"/>
  <c r="AP98" i="46"/>
  <c r="AS100" i="46" s="1"/>
  <c r="BB98" i="46"/>
  <c r="BF98" i="46"/>
  <c r="B99" i="46"/>
  <c r="A99" i="46" s="1"/>
  <c r="F99" i="46"/>
  <c r="I99" i="46"/>
  <c r="AC99" i="46"/>
  <c r="AF99" i="46"/>
  <c r="AP99" i="46"/>
  <c r="BB99" i="46"/>
  <c r="BF99" i="46"/>
  <c r="B100" i="46"/>
  <c r="B101" i="46" s="1"/>
  <c r="A101" i="46" s="1"/>
  <c r="F100" i="46"/>
  <c r="I100" i="46"/>
  <c r="AC100" i="46"/>
  <c r="AF100" i="46"/>
  <c r="AP100" i="46"/>
  <c r="BB100" i="46"/>
  <c r="BF100" i="46"/>
  <c r="F101" i="46"/>
  <c r="I101" i="46"/>
  <c r="AC101" i="46"/>
  <c r="AF101" i="46"/>
  <c r="AP101" i="46"/>
  <c r="BB101" i="46"/>
  <c r="BF101" i="46"/>
  <c r="A102" i="46"/>
  <c r="F102" i="46"/>
  <c r="I102" i="46"/>
  <c r="AC102" i="46"/>
  <c r="AF102" i="46"/>
  <c r="AP102" i="46"/>
  <c r="AS105" i="46" s="1"/>
  <c r="BB102" i="46"/>
  <c r="BF102" i="46"/>
  <c r="B103" i="46"/>
  <c r="A103" i="46" s="1"/>
  <c r="F103" i="46"/>
  <c r="I103" i="46"/>
  <c r="AC103" i="46"/>
  <c r="AF103" i="46"/>
  <c r="AP103" i="46"/>
  <c r="BB103" i="46"/>
  <c r="BF103" i="46"/>
  <c r="B104" i="46"/>
  <c r="A104" i="46" s="1"/>
  <c r="F104" i="46"/>
  <c r="I104" i="46"/>
  <c r="AC104" i="46"/>
  <c r="AF104" i="46"/>
  <c r="AP104" i="46"/>
  <c r="BB104" i="46"/>
  <c r="BF104" i="46"/>
  <c r="B105" i="46"/>
  <c r="A105" i="46" s="1"/>
  <c r="F105" i="46"/>
  <c r="I105" i="46"/>
  <c r="AC105" i="46"/>
  <c r="AF105" i="46"/>
  <c r="AP105" i="46"/>
  <c r="BB105" i="46"/>
  <c r="BF105" i="46"/>
  <c r="A106" i="46"/>
  <c r="F106" i="46"/>
  <c r="I106" i="46"/>
  <c r="K106" i="46"/>
  <c r="AC106" i="46"/>
  <c r="AF106" i="46"/>
  <c r="AP106" i="46"/>
  <c r="AS106" i="46" s="1"/>
  <c r="BB106" i="46"/>
  <c r="BF106" i="46"/>
  <c r="A107" i="46"/>
  <c r="B107" i="46"/>
  <c r="F107" i="46"/>
  <c r="I107" i="46"/>
  <c r="AC107" i="46"/>
  <c r="AF107" i="46"/>
  <c r="AP107" i="46"/>
  <c r="AS110" i="46" s="1"/>
  <c r="BB107" i="46"/>
  <c r="BF107" i="46"/>
  <c r="B108" i="46"/>
  <c r="A108" i="46" s="1"/>
  <c r="F108" i="46"/>
  <c r="K111" i="46" s="1"/>
  <c r="I108" i="46"/>
  <c r="K108" i="46"/>
  <c r="AC108" i="46"/>
  <c r="AF108" i="46"/>
  <c r="AP108" i="46"/>
  <c r="AS108" i="46"/>
  <c r="BB108" i="46"/>
  <c r="BF108" i="46"/>
  <c r="B109" i="46"/>
  <c r="A109" i="46" s="1"/>
  <c r="F109" i="46"/>
  <c r="J110" i="46" s="1"/>
  <c r="I109" i="46"/>
  <c r="K109" i="46"/>
  <c r="AC109" i="46"/>
  <c r="AF109" i="46"/>
  <c r="AP109" i="46"/>
  <c r="AS109" i="46"/>
  <c r="BB109" i="46"/>
  <c r="BF109" i="46"/>
  <c r="A110" i="46"/>
  <c r="F110" i="46"/>
  <c r="I110" i="46"/>
  <c r="AC110" i="46"/>
  <c r="AF110" i="46"/>
  <c r="AP110" i="46"/>
  <c r="BB110" i="46"/>
  <c r="BF110" i="46"/>
  <c r="A111" i="46"/>
  <c r="B111" i="46"/>
  <c r="B112" i="46" s="1"/>
  <c r="F111" i="46"/>
  <c r="I111" i="46"/>
  <c r="AC111" i="46"/>
  <c r="AF111" i="46"/>
  <c r="AP111" i="46"/>
  <c r="BB111" i="46"/>
  <c r="BF111" i="46"/>
  <c r="A112" i="46"/>
  <c r="F112" i="46"/>
  <c r="I112" i="46"/>
  <c r="J112" i="46"/>
  <c r="AC112" i="46"/>
  <c r="AF112" i="46"/>
  <c r="AP112" i="46"/>
  <c r="AT112" i="46"/>
  <c r="BB112" i="46"/>
  <c r="BF112" i="46"/>
  <c r="B113" i="46"/>
  <c r="A113" i="46" s="1"/>
  <c r="F113" i="46"/>
  <c r="I113" i="46"/>
  <c r="AC113" i="46"/>
  <c r="AF113" i="46"/>
  <c r="AP113" i="46"/>
  <c r="AS114" i="46" s="1"/>
  <c r="BB113" i="46"/>
  <c r="BF113" i="46"/>
  <c r="A114" i="46"/>
  <c r="F114" i="46"/>
  <c r="I114" i="46"/>
  <c r="AC114" i="46"/>
  <c r="AF114" i="46"/>
  <c r="AP114" i="46"/>
  <c r="BB114" i="46"/>
  <c r="BF114" i="46"/>
  <c r="A115" i="46"/>
  <c r="B115" i="46"/>
  <c r="F115" i="46"/>
  <c r="I115" i="46"/>
  <c r="AC115" i="46"/>
  <c r="AF115" i="46"/>
  <c r="AP115" i="46"/>
  <c r="BB115" i="46"/>
  <c r="BF115" i="46"/>
  <c r="B116" i="46"/>
  <c r="F116" i="46"/>
  <c r="I116" i="46"/>
  <c r="K116" i="46"/>
  <c r="AC116" i="46"/>
  <c r="AF116" i="46"/>
  <c r="AP116" i="46"/>
  <c r="AS116" i="46"/>
  <c r="BB116" i="46"/>
  <c r="BF116" i="46"/>
  <c r="F117" i="46"/>
  <c r="I117" i="46"/>
  <c r="AC117" i="46"/>
  <c r="AF117" i="46"/>
  <c r="AP117" i="46"/>
  <c r="BB117" i="46"/>
  <c r="BF117" i="46"/>
  <c r="A118" i="46"/>
  <c r="F118" i="46"/>
  <c r="I118" i="46"/>
  <c r="AC118" i="46"/>
  <c r="AF118" i="46"/>
  <c r="AP118" i="46"/>
  <c r="BB118" i="46"/>
  <c r="BF118" i="46"/>
  <c r="B119" i="46"/>
  <c r="A119" i="46" s="1"/>
  <c r="F119" i="46"/>
  <c r="I119" i="46"/>
  <c r="AC119" i="46"/>
  <c r="AF119" i="46"/>
  <c r="AP119" i="46"/>
  <c r="BB119" i="46"/>
  <c r="BF119" i="46"/>
  <c r="F120" i="46"/>
  <c r="J120" i="46" s="1"/>
  <c r="I120" i="46"/>
  <c r="AC120" i="46"/>
  <c r="AF120" i="46"/>
  <c r="AP120" i="46"/>
  <c r="AT120" i="46" s="1"/>
  <c r="BB120" i="46"/>
  <c r="BF120" i="46"/>
  <c r="F121" i="46"/>
  <c r="I121" i="46"/>
  <c r="AC121" i="46"/>
  <c r="AF121" i="46"/>
  <c r="AP121" i="46"/>
  <c r="BB121" i="46"/>
  <c r="BF121" i="46"/>
  <c r="A122" i="46"/>
  <c r="F122" i="46"/>
  <c r="I122" i="46"/>
  <c r="J122" i="46"/>
  <c r="AC122" i="46"/>
  <c r="AF122" i="46"/>
  <c r="AP122" i="46"/>
  <c r="BB122" i="46"/>
  <c r="BF122" i="46"/>
  <c r="A123" i="46"/>
  <c r="B123" i="46"/>
  <c r="F123" i="46"/>
  <c r="J125" i="46" s="1"/>
  <c r="I123" i="46"/>
  <c r="AC123" i="46"/>
  <c r="AF123" i="46"/>
  <c r="AP123" i="46"/>
  <c r="AS124" i="46" s="1"/>
  <c r="BB123" i="46"/>
  <c r="BF123" i="46"/>
  <c r="B124" i="46"/>
  <c r="A124" i="46" s="1"/>
  <c r="F124" i="46"/>
  <c r="I124" i="46"/>
  <c r="AC124" i="46"/>
  <c r="AF124" i="46"/>
  <c r="AP124" i="46"/>
  <c r="BB124" i="46"/>
  <c r="BF124" i="46"/>
  <c r="A125" i="46"/>
  <c r="B125" i="46"/>
  <c r="F125" i="46"/>
  <c r="I125" i="46"/>
  <c r="AC125" i="46"/>
  <c r="AF125" i="46"/>
  <c r="AP125" i="46"/>
  <c r="AT128" i="46" s="1"/>
  <c r="BB125" i="46"/>
  <c r="BF125" i="46"/>
  <c r="A126" i="46"/>
  <c r="F126" i="46"/>
  <c r="I126" i="46"/>
  <c r="T126" i="46"/>
  <c r="V126" i="46"/>
  <c r="X126" i="46"/>
  <c r="Z126" i="46"/>
  <c r="AC126" i="46"/>
  <c r="AF126" i="46"/>
  <c r="AI126" i="46"/>
  <c r="AL126" i="46"/>
  <c r="AP126" i="46"/>
  <c r="BB126" i="46"/>
  <c r="BF126" i="46"/>
  <c r="BL126" i="46"/>
  <c r="B127" i="46"/>
  <c r="F127" i="46"/>
  <c r="I127" i="46"/>
  <c r="T127" i="46"/>
  <c r="V127" i="46"/>
  <c r="X127" i="46"/>
  <c r="Z127" i="46"/>
  <c r="AC127" i="46"/>
  <c r="AF127" i="46"/>
  <c r="AI127" i="46"/>
  <c r="AL127" i="46"/>
  <c r="AP127" i="46"/>
  <c r="BB127" i="46"/>
  <c r="BF127" i="46"/>
  <c r="BL127" i="46"/>
  <c r="F128" i="46"/>
  <c r="I128" i="46"/>
  <c r="T128" i="46"/>
  <c r="V128" i="46"/>
  <c r="X128" i="46"/>
  <c r="Z128" i="46"/>
  <c r="AC128" i="46"/>
  <c r="AF128" i="46"/>
  <c r="AI128" i="46"/>
  <c r="AL128" i="46"/>
  <c r="AP128" i="46"/>
  <c r="AT129" i="46" s="1"/>
  <c r="BB128" i="46"/>
  <c r="BF128" i="46"/>
  <c r="BL128" i="46"/>
  <c r="F129" i="46"/>
  <c r="I129" i="46"/>
  <c r="T129" i="46"/>
  <c r="V129" i="46"/>
  <c r="X129" i="46"/>
  <c r="Z129" i="46"/>
  <c r="AC129" i="46"/>
  <c r="AF129" i="46"/>
  <c r="AI129" i="46"/>
  <c r="AL129" i="46"/>
  <c r="AP129" i="46"/>
  <c r="BB129" i="46"/>
  <c r="BF129" i="46"/>
  <c r="BL129" i="46"/>
  <c r="A130" i="46"/>
  <c r="F130" i="46"/>
  <c r="I130" i="46"/>
  <c r="T130" i="46"/>
  <c r="V130" i="46"/>
  <c r="X130" i="46"/>
  <c r="Z130" i="46"/>
  <c r="AC130" i="46"/>
  <c r="AF130" i="46"/>
  <c r="AI130" i="46"/>
  <c r="AL130" i="46"/>
  <c r="AP130" i="46"/>
  <c r="AS133" i="46" s="1"/>
  <c r="BB130" i="46"/>
  <c r="BF130" i="46"/>
  <c r="BL130" i="46"/>
  <c r="B131" i="46"/>
  <c r="A131" i="46" s="1"/>
  <c r="F131" i="46"/>
  <c r="I131" i="46"/>
  <c r="T131" i="46"/>
  <c r="V131" i="46"/>
  <c r="X131" i="46"/>
  <c r="Z131" i="46"/>
  <c r="AC131" i="46"/>
  <c r="AF131" i="46"/>
  <c r="AI131" i="46"/>
  <c r="AL131" i="46"/>
  <c r="AP131" i="46"/>
  <c r="AS134" i="46" s="1"/>
  <c r="BB131" i="46"/>
  <c r="BF131" i="46"/>
  <c r="BL131" i="46"/>
  <c r="F132" i="46"/>
  <c r="I132" i="46"/>
  <c r="T132" i="46"/>
  <c r="V132" i="46"/>
  <c r="X132" i="46"/>
  <c r="Z132" i="46"/>
  <c r="AC132" i="46"/>
  <c r="AF132" i="46"/>
  <c r="AI132" i="46"/>
  <c r="AL132" i="46"/>
  <c r="AP132" i="46"/>
  <c r="BB132" i="46"/>
  <c r="BF132" i="46"/>
  <c r="BL132" i="46"/>
  <c r="F133" i="46"/>
  <c r="I133" i="46"/>
  <c r="T133" i="46"/>
  <c r="V133" i="46"/>
  <c r="X133" i="46"/>
  <c r="Z133" i="46"/>
  <c r="AC133" i="46"/>
  <c r="AF133" i="46"/>
  <c r="AI133" i="46"/>
  <c r="AL133" i="46"/>
  <c r="AP133" i="46"/>
  <c r="BB133" i="46"/>
  <c r="BF133" i="46"/>
  <c r="BL133" i="46"/>
  <c r="B134" i="46"/>
  <c r="A134" i="46" s="1"/>
  <c r="F134" i="46"/>
  <c r="I134" i="46"/>
  <c r="T134" i="46"/>
  <c r="V134" i="46"/>
  <c r="X134" i="46"/>
  <c r="Z134" i="46"/>
  <c r="AC134" i="46"/>
  <c r="AF134" i="46"/>
  <c r="AI134" i="46"/>
  <c r="AL134" i="46"/>
  <c r="AP134" i="46"/>
  <c r="BB134" i="46"/>
  <c r="BF134" i="46"/>
  <c r="BL134" i="46"/>
  <c r="F135" i="46"/>
  <c r="I135" i="46"/>
  <c r="T135" i="46"/>
  <c r="V135" i="46"/>
  <c r="X135" i="46"/>
  <c r="Z135" i="46"/>
  <c r="AC135" i="46"/>
  <c r="AF135" i="46"/>
  <c r="AI135" i="46"/>
  <c r="AL135" i="46"/>
  <c r="AP135" i="46"/>
  <c r="BB135" i="46"/>
  <c r="BF135" i="46"/>
  <c r="BL135" i="46"/>
  <c r="F136" i="46"/>
  <c r="K136" i="46" s="1"/>
  <c r="I136" i="46"/>
  <c r="T136" i="46"/>
  <c r="V136" i="46"/>
  <c r="X136" i="46"/>
  <c r="Z136" i="46"/>
  <c r="AC136" i="46"/>
  <c r="AF136" i="46"/>
  <c r="AI136" i="46"/>
  <c r="AL136" i="46"/>
  <c r="AP136" i="46"/>
  <c r="BB136" i="46"/>
  <c r="BF136" i="46"/>
  <c r="BL136" i="46"/>
  <c r="F137" i="46"/>
  <c r="I137" i="46"/>
  <c r="T137" i="46"/>
  <c r="V137" i="46"/>
  <c r="X137" i="46"/>
  <c r="Z137" i="46"/>
  <c r="AC137" i="46"/>
  <c r="AF137" i="46"/>
  <c r="AI137" i="46"/>
  <c r="AL137" i="46"/>
  <c r="AP137" i="46"/>
  <c r="BB137" i="46"/>
  <c r="BF137" i="46"/>
  <c r="BL137" i="46"/>
  <c r="F138" i="46"/>
  <c r="I138" i="46"/>
  <c r="T138" i="46"/>
  <c r="V138" i="46"/>
  <c r="X138" i="46"/>
  <c r="Z138" i="46"/>
  <c r="AC138" i="46"/>
  <c r="AF138" i="46"/>
  <c r="AI138" i="46"/>
  <c r="AL138" i="46"/>
  <c r="AP138" i="46"/>
  <c r="BB138" i="46"/>
  <c r="BF138" i="46"/>
  <c r="BL138" i="46"/>
  <c r="F139" i="46"/>
  <c r="I139" i="46"/>
  <c r="T139" i="46"/>
  <c r="V139" i="46"/>
  <c r="X139" i="46"/>
  <c r="Z139" i="46"/>
  <c r="AC139" i="46"/>
  <c r="AF139" i="46"/>
  <c r="AI139" i="46"/>
  <c r="AL139" i="46"/>
  <c r="AP139" i="46"/>
  <c r="BB139" i="46"/>
  <c r="BF139" i="46"/>
  <c r="BL139" i="46"/>
  <c r="F140" i="46"/>
  <c r="I140" i="46"/>
  <c r="T140" i="46"/>
  <c r="V140" i="46"/>
  <c r="X140" i="46"/>
  <c r="Z140" i="46"/>
  <c r="AC140" i="46"/>
  <c r="AF140" i="46"/>
  <c r="AI140" i="46"/>
  <c r="AL140" i="46"/>
  <c r="AP140" i="46"/>
  <c r="AS143" i="46" s="1"/>
  <c r="BB140" i="46"/>
  <c r="BF140" i="46"/>
  <c r="BL140" i="46"/>
  <c r="F141" i="46"/>
  <c r="I141" i="46"/>
  <c r="K141" i="46"/>
  <c r="T141" i="46"/>
  <c r="V141" i="46"/>
  <c r="X141" i="46"/>
  <c r="Z141" i="46"/>
  <c r="AC141" i="46"/>
  <c r="AF141" i="46"/>
  <c r="AI141" i="46"/>
  <c r="AL141" i="46"/>
  <c r="AP141" i="46"/>
  <c r="BB141" i="46"/>
  <c r="BF141" i="46"/>
  <c r="BL141" i="46"/>
  <c r="F142" i="46"/>
  <c r="I142" i="46"/>
  <c r="T142" i="46"/>
  <c r="V142" i="46"/>
  <c r="X142" i="46"/>
  <c r="Z142" i="46"/>
  <c r="AC142" i="46"/>
  <c r="AF142" i="46"/>
  <c r="AI142" i="46"/>
  <c r="AL142" i="46"/>
  <c r="AP142" i="46"/>
  <c r="AS142" i="46"/>
  <c r="BB142" i="46"/>
  <c r="BF142" i="46"/>
  <c r="BL142" i="46"/>
  <c r="F143" i="46"/>
  <c r="I143" i="46"/>
  <c r="T143" i="46"/>
  <c r="V143" i="46"/>
  <c r="X143" i="46"/>
  <c r="Z143" i="46"/>
  <c r="AC143" i="46"/>
  <c r="AF143" i="46"/>
  <c r="AI143" i="46"/>
  <c r="AL143" i="46"/>
  <c r="AP143" i="46"/>
  <c r="AS146" i="46" s="1"/>
  <c r="BB143" i="46"/>
  <c r="BF143" i="46"/>
  <c r="BL143" i="46"/>
  <c r="F144" i="46"/>
  <c r="I144" i="46"/>
  <c r="T144" i="46"/>
  <c r="V144" i="46"/>
  <c r="X144" i="46"/>
  <c r="Z144" i="46"/>
  <c r="AC144" i="46"/>
  <c r="AF144" i="46"/>
  <c r="AI144" i="46"/>
  <c r="AL144" i="46"/>
  <c r="AP144" i="46"/>
  <c r="AS147" i="46" s="1"/>
  <c r="BB144" i="46"/>
  <c r="BF144" i="46"/>
  <c r="BL144" i="46"/>
  <c r="F145" i="46"/>
  <c r="I145" i="46"/>
  <c r="T145" i="46"/>
  <c r="V145" i="46"/>
  <c r="X145" i="46"/>
  <c r="Z145" i="46"/>
  <c r="AC145" i="46"/>
  <c r="AF145" i="46"/>
  <c r="AI145" i="46"/>
  <c r="AL145" i="46"/>
  <c r="AP145" i="46"/>
  <c r="AS145" i="46"/>
  <c r="BB145" i="46"/>
  <c r="BF145" i="46"/>
  <c r="BL145" i="46"/>
  <c r="F146" i="46"/>
  <c r="I146" i="46"/>
  <c r="T146" i="46"/>
  <c r="V146" i="46"/>
  <c r="X146" i="46"/>
  <c r="Z146" i="46"/>
  <c r="AC146" i="46"/>
  <c r="AF146" i="46"/>
  <c r="AI146" i="46"/>
  <c r="AL146" i="46"/>
  <c r="AP146" i="46"/>
  <c r="AS149" i="46" s="1"/>
  <c r="BB146" i="46"/>
  <c r="BF146" i="46"/>
  <c r="BL146" i="46"/>
  <c r="F147" i="46"/>
  <c r="I147" i="46"/>
  <c r="T147" i="46"/>
  <c r="V147" i="46"/>
  <c r="X147" i="46"/>
  <c r="Z147" i="46"/>
  <c r="AC147" i="46"/>
  <c r="AF147" i="46"/>
  <c r="AI147" i="46"/>
  <c r="AL147" i="46"/>
  <c r="AP147" i="46"/>
  <c r="AS150" i="46" s="1"/>
  <c r="BB147" i="46"/>
  <c r="BF147" i="46"/>
  <c r="BL147" i="46"/>
  <c r="F148" i="46"/>
  <c r="I148" i="46"/>
  <c r="T148" i="46"/>
  <c r="V148" i="46"/>
  <c r="X148" i="46"/>
  <c r="Z148" i="46"/>
  <c r="AC148" i="46"/>
  <c r="AF148" i="46"/>
  <c r="AI148" i="46"/>
  <c r="AL148" i="46"/>
  <c r="AP148" i="46"/>
  <c r="BB148" i="46"/>
  <c r="BF148" i="46"/>
  <c r="BL148" i="46"/>
  <c r="F149" i="46"/>
  <c r="K152" i="46" s="1"/>
  <c r="I149" i="46"/>
  <c r="T149" i="46"/>
  <c r="V149" i="46"/>
  <c r="X149" i="46"/>
  <c r="Z149" i="46"/>
  <c r="AC149" i="46"/>
  <c r="AF149" i="46"/>
  <c r="AI149" i="46"/>
  <c r="AL149" i="46"/>
  <c r="AP149" i="46"/>
  <c r="BB149" i="46"/>
  <c r="BF149" i="46"/>
  <c r="BL149" i="46"/>
  <c r="F150" i="46"/>
  <c r="I150" i="46"/>
  <c r="T150" i="46"/>
  <c r="V150" i="46"/>
  <c r="X150" i="46"/>
  <c r="Z150" i="46"/>
  <c r="AC150" i="46"/>
  <c r="AF150" i="46"/>
  <c r="AJ20" i="47" s="1"/>
  <c r="AI150" i="46"/>
  <c r="AL150" i="46"/>
  <c r="AP150" i="46"/>
  <c r="AT153" i="46" s="1"/>
  <c r="BB150" i="46"/>
  <c r="BF150" i="46"/>
  <c r="BL150" i="46"/>
  <c r="F151" i="46"/>
  <c r="I151" i="46"/>
  <c r="T151" i="46"/>
  <c r="V151" i="46"/>
  <c r="X151" i="46"/>
  <c r="Z151" i="46"/>
  <c r="AA151" i="46"/>
  <c r="AC151" i="46" s="1"/>
  <c r="AF151" i="46"/>
  <c r="AI151" i="46"/>
  <c r="AL151" i="46"/>
  <c r="AP151" i="46"/>
  <c r="AT154" i="46" s="1"/>
  <c r="BB151" i="46"/>
  <c r="BF151" i="46"/>
  <c r="BL151" i="46"/>
  <c r="F152" i="46"/>
  <c r="J153" i="46" s="1"/>
  <c r="BW23" i="47" s="1"/>
  <c r="I152" i="46"/>
  <c r="T152" i="46"/>
  <c r="V152" i="46"/>
  <c r="X152" i="46"/>
  <c r="Z152" i="46"/>
  <c r="AC152" i="46"/>
  <c r="AF152" i="46"/>
  <c r="AI152" i="46"/>
  <c r="AL152" i="46"/>
  <c r="AP152" i="46"/>
  <c r="BB152" i="46"/>
  <c r="BF152" i="46"/>
  <c r="BS22" i="47" s="1"/>
  <c r="BL152" i="46"/>
  <c r="F153" i="46"/>
  <c r="I153" i="46"/>
  <c r="T153" i="46"/>
  <c r="V153" i="46"/>
  <c r="X153" i="46"/>
  <c r="Z153" i="46"/>
  <c r="AC153" i="46"/>
  <c r="AF153" i="46"/>
  <c r="AI153" i="46"/>
  <c r="AL153" i="46"/>
  <c r="AP153" i="46"/>
  <c r="BB153" i="46"/>
  <c r="BF153" i="46"/>
  <c r="BL153" i="46"/>
  <c r="F154" i="46"/>
  <c r="I154" i="46"/>
  <c r="J154" i="46"/>
  <c r="T154" i="46"/>
  <c r="V154" i="46"/>
  <c r="X154" i="46"/>
  <c r="Z154" i="46"/>
  <c r="AC154" i="46"/>
  <c r="AF154" i="46"/>
  <c r="AI154" i="46"/>
  <c r="AL154" i="46"/>
  <c r="AP154" i="46"/>
  <c r="BB154" i="46"/>
  <c r="BF154" i="46"/>
  <c r="BL154" i="46"/>
  <c r="F155" i="46"/>
  <c r="I155" i="46"/>
  <c r="T155" i="46"/>
  <c r="V155" i="46"/>
  <c r="X155" i="46"/>
  <c r="Z155" i="46"/>
  <c r="AC155" i="46"/>
  <c r="AF155" i="46"/>
  <c r="AI155" i="46"/>
  <c r="AL155" i="46"/>
  <c r="AP155" i="46"/>
  <c r="BB155" i="46"/>
  <c r="BF155" i="46"/>
  <c r="BL155" i="46"/>
  <c r="F156" i="46"/>
  <c r="I156" i="46"/>
  <c r="T156" i="46"/>
  <c r="V156" i="46"/>
  <c r="X156" i="46"/>
  <c r="Z156" i="46"/>
  <c r="AC156" i="46"/>
  <c r="AF156" i="46"/>
  <c r="AI156" i="46"/>
  <c r="AL156" i="46"/>
  <c r="AP156" i="46"/>
  <c r="BB156" i="46"/>
  <c r="BB27" i="47" s="1"/>
  <c r="BF156" i="46"/>
  <c r="BL156" i="46"/>
  <c r="F157" i="46"/>
  <c r="I157" i="46"/>
  <c r="J157" i="46"/>
  <c r="T157" i="46"/>
  <c r="V157" i="46"/>
  <c r="X157" i="46"/>
  <c r="Z157" i="46"/>
  <c r="AC157" i="46"/>
  <c r="AF157" i="46"/>
  <c r="AI157" i="46"/>
  <c r="AL157" i="46"/>
  <c r="AP157" i="46"/>
  <c r="BB157" i="46"/>
  <c r="BF157" i="46"/>
  <c r="BL157" i="46"/>
  <c r="F158" i="46"/>
  <c r="I158" i="46"/>
  <c r="T158" i="46"/>
  <c r="V158" i="46"/>
  <c r="X158" i="46"/>
  <c r="Z158" i="46"/>
  <c r="AC158" i="46"/>
  <c r="AF158" i="46"/>
  <c r="AI158" i="46"/>
  <c r="AL158" i="46"/>
  <c r="AP158" i="46"/>
  <c r="BB158" i="46"/>
  <c r="BF158" i="46"/>
  <c r="BL158" i="46"/>
  <c r="F159" i="46"/>
  <c r="J162" i="46" s="1"/>
  <c r="I159" i="46"/>
  <c r="T159" i="46"/>
  <c r="V159" i="46"/>
  <c r="X159" i="46"/>
  <c r="Z159" i="46"/>
  <c r="AC159" i="46"/>
  <c r="AF159" i="46"/>
  <c r="AI159" i="46"/>
  <c r="AL159" i="46"/>
  <c r="AP159" i="46"/>
  <c r="BB159" i="46"/>
  <c r="BF159" i="46"/>
  <c r="BL159" i="46"/>
  <c r="F160" i="46"/>
  <c r="I160" i="46"/>
  <c r="T160" i="46"/>
  <c r="V160" i="46"/>
  <c r="X160" i="46"/>
  <c r="Z160" i="46"/>
  <c r="AC160" i="46"/>
  <c r="AF160" i="46"/>
  <c r="AI160" i="46"/>
  <c r="AL160" i="46"/>
  <c r="AP160" i="46"/>
  <c r="BB160" i="46"/>
  <c r="BF160" i="46"/>
  <c r="BL160" i="46"/>
  <c r="F161" i="46"/>
  <c r="I161" i="46"/>
  <c r="T161" i="46"/>
  <c r="V161" i="46"/>
  <c r="X161" i="46"/>
  <c r="Z161" i="46"/>
  <c r="AC161" i="46"/>
  <c r="AF161" i="46"/>
  <c r="AI161" i="46"/>
  <c r="AL161" i="46"/>
  <c r="AP161" i="46"/>
  <c r="BB161" i="46"/>
  <c r="BF161" i="46"/>
  <c r="BL161" i="46"/>
  <c r="E162" i="46"/>
  <c r="F162" i="46" s="1"/>
  <c r="I162" i="46"/>
  <c r="L162" i="46"/>
  <c r="N162" i="46"/>
  <c r="O162" i="46"/>
  <c r="P162" i="46"/>
  <c r="T162" i="46"/>
  <c r="V162" i="46"/>
  <c r="X162" i="46"/>
  <c r="Z162" i="46"/>
  <c r="AC162" i="46"/>
  <c r="AF162" i="46"/>
  <c r="AI162" i="46"/>
  <c r="AL162" i="46"/>
  <c r="AP162" i="46"/>
  <c r="AT165" i="46" s="1"/>
  <c r="BB162" i="46"/>
  <c r="BF162" i="46"/>
  <c r="BL162" i="46"/>
  <c r="E163" i="46"/>
  <c r="F163" i="46" s="1"/>
  <c r="J165" i="46" s="1"/>
  <c r="I163" i="46"/>
  <c r="L163" i="46"/>
  <c r="N163" i="46"/>
  <c r="O163" i="46"/>
  <c r="P163" i="46"/>
  <c r="T163" i="46"/>
  <c r="V163" i="46"/>
  <c r="X163" i="46"/>
  <c r="Z163" i="46"/>
  <c r="AC163" i="46"/>
  <c r="AF163" i="46"/>
  <c r="AI163" i="46"/>
  <c r="AL163" i="46"/>
  <c r="AP163" i="46"/>
  <c r="AT166" i="46" s="1"/>
  <c r="BB163" i="46"/>
  <c r="BF163" i="46"/>
  <c r="BL163" i="46"/>
  <c r="BO36" i="47" s="1"/>
  <c r="E164" i="46"/>
  <c r="F164" i="46" s="1"/>
  <c r="I164" i="46"/>
  <c r="K164" i="46"/>
  <c r="L164" i="46"/>
  <c r="N164" i="46"/>
  <c r="O164" i="46"/>
  <c r="P164" i="46"/>
  <c r="T164" i="46"/>
  <c r="V164" i="46"/>
  <c r="X164" i="46"/>
  <c r="Z164" i="46"/>
  <c r="AC164" i="46"/>
  <c r="AF164" i="46"/>
  <c r="AI164" i="46"/>
  <c r="AL164" i="46"/>
  <c r="AP164" i="46"/>
  <c r="BB164" i="46"/>
  <c r="BF164" i="46"/>
  <c r="BL164" i="46"/>
  <c r="E165" i="46"/>
  <c r="F165" i="46" s="1"/>
  <c r="I165" i="46"/>
  <c r="L165" i="46"/>
  <c r="N165" i="46"/>
  <c r="O165" i="46"/>
  <c r="P165" i="46"/>
  <c r="T165" i="46"/>
  <c r="V165" i="46"/>
  <c r="X165" i="46"/>
  <c r="Z165" i="46"/>
  <c r="AC165" i="46"/>
  <c r="AF165" i="46"/>
  <c r="AI165" i="46"/>
  <c r="AL165" i="46"/>
  <c r="AP165" i="46"/>
  <c r="BB165" i="46"/>
  <c r="BF165" i="46"/>
  <c r="BL165" i="46"/>
  <c r="D166" i="46"/>
  <c r="F166" i="46" s="1"/>
  <c r="E166" i="46"/>
  <c r="G166" i="46"/>
  <c r="H166" i="46"/>
  <c r="L166" i="46"/>
  <c r="M166" i="46"/>
  <c r="N166" i="46"/>
  <c r="O166" i="46"/>
  <c r="P166" i="46"/>
  <c r="Q166" i="46"/>
  <c r="S166" i="46"/>
  <c r="Z40" i="47" s="1"/>
  <c r="U166" i="46"/>
  <c r="V166" i="46" s="1"/>
  <c r="X166" i="46"/>
  <c r="Y166" i="46"/>
  <c r="Z166" i="46" s="1"/>
  <c r="AA166" i="46"/>
  <c r="AC166" i="46" s="1"/>
  <c r="AD166" i="46"/>
  <c r="AF166" i="46" s="1"/>
  <c r="AE166" i="46"/>
  <c r="AI166" i="46"/>
  <c r="AL166" i="46"/>
  <c r="AN166" i="46"/>
  <c r="AP166" i="46" s="1"/>
  <c r="AO166" i="46"/>
  <c r="AQ166" i="46"/>
  <c r="AR166" i="46"/>
  <c r="AU166" i="46"/>
  <c r="AW166" i="46"/>
  <c r="BA166" i="46"/>
  <c r="BB166" i="46" s="1"/>
  <c r="BF166" i="46"/>
  <c r="BL166" i="46"/>
  <c r="D167" i="46"/>
  <c r="F167" i="46" s="1"/>
  <c r="E167" i="46"/>
  <c r="G167" i="46"/>
  <c r="H167" i="46"/>
  <c r="I167" i="46" s="1"/>
  <c r="L167" i="46"/>
  <c r="N167" i="46"/>
  <c r="O167" i="46"/>
  <c r="P167" i="46"/>
  <c r="Q167" i="46"/>
  <c r="T167" i="46" s="1"/>
  <c r="Y167" i="46"/>
  <c r="Z167" i="46" s="1"/>
  <c r="AA167" i="46"/>
  <c r="AC167" i="46" s="1"/>
  <c r="AD167" i="46"/>
  <c r="AE167" i="46"/>
  <c r="AF167" i="46" s="1"/>
  <c r="AI167" i="46"/>
  <c r="AL167" i="46"/>
  <c r="AN167" i="46"/>
  <c r="AP167" i="46" s="1"/>
  <c r="AO167" i="46"/>
  <c r="AQ167" i="46"/>
  <c r="AR167" i="46"/>
  <c r="AU167" i="46"/>
  <c r="AV167" i="46"/>
  <c r="AW167" i="46"/>
  <c r="AX167" i="46"/>
  <c r="BB167" i="46"/>
  <c r="BF167" i="46"/>
  <c r="BG167" i="46"/>
  <c r="BH167" i="46"/>
  <c r="BL167" i="46"/>
  <c r="D168" i="46"/>
  <c r="E168" i="46"/>
  <c r="G168" i="46"/>
  <c r="H168" i="46"/>
  <c r="L168" i="46"/>
  <c r="M168" i="46"/>
  <c r="N168" i="46"/>
  <c r="O168" i="46"/>
  <c r="P168" i="46"/>
  <c r="Q168" i="46"/>
  <c r="U168" i="46" s="1"/>
  <c r="V168" i="46" s="1"/>
  <c r="AA168" i="46"/>
  <c r="T42" i="47" s="1"/>
  <c r="AD168" i="46"/>
  <c r="AF168" i="46" s="1"/>
  <c r="AE168" i="46"/>
  <c r="AI168" i="46"/>
  <c r="AL168" i="46"/>
  <c r="AN168" i="46"/>
  <c r="AP168" i="46" s="1"/>
  <c r="AO168" i="46"/>
  <c r="AQ168" i="46"/>
  <c r="AR168" i="46"/>
  <c r="AU168" i="46"/>
  <c r="AV168" i="46"/>
  <c r="AW168" i="46"/>
  <c r="AX168" i="46"/>
  <c r="BB168" i="46"/>
  <c r="BF168" i="46"/>
  <c r="BG168" i="46"/>
  <c r="BH168" i="46"/>
  <c r="BL168" i="46"/>
  <c r="D169" i="46"/>
  <c r="E169" i="46"/>
  <c r="F169" i="46" s="1"/>
  <c r="G169" i="46"/>
  <c r="H169" i="46"/>
  <c r="L169" i="46"/>
  <c r="M169" i="46"/>
  <c r="N169" i="46"/>
  <c r="O169" i="46"/>
  <c r="P169" i="46"/>
  <c r="Q169" i="46"/>
  <c r="Y169" i="46" s="1"/>
  <c r="Z169" i="46" s="1"/>
  <c r="S169" i="46"/>
  <c r="T169" i="46" s="1"/>
  <c r="U169" i="46"/>
  <c r="V169" i="46" s="1"/>
  <c r="X169" i="46"/>
  <c r="AA169" i="46"/>
  <c r="AC169" i="46" s="1"/>
  <c r="AD169" i="46"/>
  <c r="AE169" i="46"/>
  <c r="AI169" i="46"/>
  <c r="AL169" i="46"/>
  <c r="AN169" i="46"/>
  <c r="AO169" i="46"/>
  <c r="AP169" i="46"/>
  <c r="AQ169" i="46"/>
  <c r="AR169" i="46"/>
  <c r="AU169" i="46"/>
  <c r="AV169" i="46"/>
  <c r="AW169" i="46"/>
  <c r="AX169" i="46"/>
  <c r="BB169" i="46"/>
  <c r="BF169" i="46"/>
  <c r="BG169" i="46"/>
  <c r="BH169" i="46"/>
  <c r="BL169" i="46"/>
  <c r="D170" i="46"/>
  <c r="E170" i="46"/>
  <c r="G170" i="46"/>
  <c r="I170" i="46" s="1"/>
  <c r="H170" i="46"/>
  <c r="L170" i="46"/>
  <c r="M170" i="46"/>
  <c r="N170" i="46"/>
  <c r="O170" i="46"/>
  <c r="P170" i="46"/>
  <c r="Q170" i="46"/>
  <c r="X170" i="46" s="1"/>
  <c r="S170" i="46"/>
  <c r="T170" i="46" s="1"/>
  <c r="U170" i="46"/>
  <c r="V170" i="46" s="1"/>
  <c r="Y170" i="46"/>
  <c r="Z170" i="46" s="1"/>
  <c r="AA170" i="46"/>
  <c r="AD170" i="46"/>
  <c r="AF170" i="46" s="1"/>
  <c r="AE170" i="46"/>
  <c r="AI170" i="46"/>
  <c r="AL170" i="46"/>
  <c r="AN170" i="46"/>
  <c r="AO170" i="46"/>
  <c r="AQ170" i="46"/>
  <c r="AR170" i="46"/>
  <c r="AU170" i="46"/>
  <c r="AW170" i="46"/>
  <c r="AX170" i="46"/>
  <c r="BB170" i="46"/>
  <c r="BD170" i="46"/>
  <c r="BE170" i="46"/>
  <c r="BG170" i="46"/>
  <c r="BH170" i="46"/>
  <c r="BL170" i="46"/>
  <c r="D171" i="46"/>
  <c r="E171" i="46"/>
  <c r="F171" i="46"/>
  <c r="G171" i="46"/>
  <c r="H171" i="46"/>
  <c r="I171" i="46" s="1"/>
  <c r="L171" i="46"/>
  <c r="N171" i="46"/>
  <c r="O171" i="46"/>
  <c r="P171" i="46"/>
  <c r="Q171" i="46"/>
  <c r="AA171" i="46"/>
  <c r="AF171" i="46"/>
  <c r="AI171" i="46"/>
  <c r="AN171" i="46"/>
  <c r="AO171" i="46"/>
  <c r="AQ171" i="46"/>
  <c r="AR171" i="46"/>
  <c r="AU171" i="46"/>
  <c r="AV171" i="46"/>
  <c r="AW171" i="46"/>
  <c r="AX171" i="46"/>
  <c r="BB171" i="46"/>
  <c r="BE171" i="46"/>
  <c r="BF171" i="46"/>
  <c r="BG171" i="46"/>
  <c r="BH171" i="46"/>
  <c r="BL171" i="46"/>
  <c r="D172" i="46"/>
  <c r="F172" i="46" s="1"/>
  <c r="E172" i="46"/>
  <c r="G172" i="46"/>
  <c r="H172" i="46"/>
  <c r="I172" i="46" s="1"/>
  <c r="L172" i="46"/>
  <c r="N172" i="46"/>
  <c r="O172" i="46"/>
  <c r="P172" i="46"/>
  <c r="Q172" i="46"/>
  <c r="X172" i="46" s="1"/>
  <c r="S172" i="46"/>
  <c r="T172" i="46" s="1"/>
  <c r="U172" i="46"/>
  <c r="V172" i="46" s="1"/>
  <c r="Y172" i="46"/>
  <c r="Z172" i="46" s="1"/>
  <c r="AA172" i="46"/>
  <c r="AF172" i="46"/>
  <c r="AI172" i="46"/>
  <c r="AN172" i="46"/>
  <c r="AP172" i="46" s="1"/>
  <c r="AO172" i="46"/>
  <c r="AQ172" i="46"/>
  <c r="AR172" i="46"/>
  <c r="AU172" i="46"/>
  <c r="AW172" i="46"/>
  <c r="BB172" i="46"/>
  <c r="BE172" i="46"/>
  <c r="BF172" i="46" s="1"/>
  <c r="BS47" i="47" s="1"/>
  <c r="BG172" i="46"/>
  <c r="BH172" i="46"/>
  <c r="BL172" i="46"/>
  <c r="A173" i="46"/>
  <c r="E173" i="46"/>
  <c r="F173" i="46" s="1"/>
  <c r="I173" i="46"/>
  <c r="N173" i="46"/>
  <c r="P173" i="46"/>
  <c r="U173" i="46"/>
  <c r="X173" i="46"/>
  <c r="Y173" i="46"/>
  <c r="Z173" i="46" s="1"/>
  <c r="AC173" i="46"/>
  <c r="AF173" i="46"/>
  <c r="AI173" i="46"/>
  <c r="AP173" i="46"/>
  <c r="BB173" i="46"/>
  <c r="BF173" i="46"/>
  <c r="BL173" i="46"/>
  <c r="D174" i="46"/>
  <c r="F174" i="46" s="1"/>
  <c r="E174" i="46"/>
  <c r="G174" i="46"/>
  <c r="H174" i="46"/>
  <c r="L174" i="46"/>
  <c r="M174" i="46"/>
  <c r="N174" i="46"/>
  <c r="O174" i="46"/>
  <c r="P174" i="46"/>
  <c r="Q174" i="46"/>
  <c r="R174" i="46"/>
  <c r="AC174" i="46" s="1"/>
  <c r="T174" i="46"/>
  <c r="U174" i="46"/>
  <c r="V174" i="46" s="1"/>
  <c r="X174" i="46"/>
  <c r="Y174" i="46"/>
  <c r="Z174" i="46" s="1"/>
  <c r="AA174" i="46"/>
  <c r="AF174" i="46"/>
  <c r="AI174" i="46"/>
  <c r="AN174" i="46"/>
  <c r="AP174" i="46" s="1"/>
  <c r="AT176" i="46" s="1"/>
  <c r="AO174" i="46"/>
  <c r="AQ174" i="46"/>
  <c r="AR174" i="46"/>
  <c r="AU174" i="46"/>
  <c r="AW174" i="46"/>
  <c r="BB174" i="46"/>
  <c r="BE174" i="46"/>
  <c r="BF174" i="46" s="1"/>
  <c r="BG174" i="46"/>
  <c r="BH174" i="46"/>
  <c r="BL174" i="46"/>
  <c r="D175" i="46"/>
  <c r="F175" i="46" s="1"/>
  <c r="E175" i="46"/>
  <c r="G175" i="46"/>
  <c r="H175" i="46"/>
  <c r="L175" i="46"/>
  <c r="N175" i="46"/>
  <c r="O175" i="46"/>
  <c r="P175" i="46"/>
  <c r="Q175" i="46"/>
  <c r="U175" i="46" s="1"/>
  <c r="V175" i="46" s="1"/>
  <c r="AC51" i="47" s="1"/>
  <c r="R175" i="46"/>
  <c r="X175" i="46"/>
  <c r="Y175" i="46"/>
  <c r="Z175" i="46" s="1"/>
  <c r="AA175" i="46"/>
  <c r="AF175" i="46"/>
  <c r="AI175" i="46"/>
  <c r="AN175" i="46"/>
  <c r="AP175" i="46" s="1"/>
  <c r="AO175" i="46"/>
  <c r="AQ175" i="46"/>
  <c r="AR175" i="46"/>
  <c r="AU175" i="46"/>
  <c r="AW175" i="46"/>
  <c r="BB175" i="46"/>
  <c r="BE175" i="46"/>
  <c r="BF175" i="46" s="1"/>
  <c r="BG175" i="46"/>
  <c r="BH175" i="46"/>
  <c r="BL175" i="46"/>
  <c r="D176" i="46"/>
  <c r="F176" i="46" s="1"/>
  <c r="E176" i="46"/>
  <c r="G176" i="46"/>
  <c r="H176" i="46"/>
  <c r="I176" i="46" s="1"/>
  <c r="L176" i="46"/>
  <c r="N176" i="46"/>
  <c r="O176" i="46"/>
  <c r="P176" i="46"/>
  <c r="Q176" i="46"/>
  <c r="R176" i="46"/>
  <c r="U176" i="46"/>
  <c r="V176" i="46" s="1"/>
  <c r="X176" i="46"/>
  <c r="AA176" i="46"/>
  <c r="AC176" i="46" s="1"/>
  <c r="Q52" i="47" s="1"/>
  <c r="AD176" i="46"/>
  <c r="AE176" i="46"/>
  <c r="AF176" i="46" s="1"/>
  <c r="AI176" i="46"/>
  <c r="AN176" i="46"/>
  <c r="AO176" i="46"/>
  <c r="AP176" i="46" s="1"/>
  <c r="AQ176" i="46"/>
  <c r="AR176" i="46"/>
  <c r="AU176" i="46"/>
  <c r="AW176" i="46"/>
  <c r="BB176" i="46"/>
  <c r="BE176" i="46"/>
  <c r="BF176" i="46" s="1"/>
  <c r="BS52" i="47" s="1"/>
  <c r="BG176" i="46"/>
  <c r="BH176" i="46"/>
  <c r="BL176" i="46"/>
  <c r="B177" i="46"/>
  <c r="B181" i="46" s="1"/>
  <c r="A181" i="46" s="1"/>
  <c r="D177" i="46"/>
  <c r="F177" i="46" s="1"/>
  <c r="E177" i="46"/>
  <c r="G177" i="46"/>
  <c r="H177" i="46"/>
  <c r="I177" i="46" s="1"/>
  <c r="L177" i="46"/>
  <c r="N177" i="46"/>
  <c r="O177" i="46"/>
  <c r="P177" i="46"/>
  <c r="Q177" i="46"/>
  <c r="Y177" i="46" s="1"/>
  <c r="R177" i="46"/>
  <c r="S177" i="46"/>
  <c r="T177" i="46" s="1"/>
  <c r="X177" i="46"/>
  <c r="Z177" i="46"/>
  <c r="AA177" i="46"/>
  <c r="AF177" i="46"/>
  <c r="AI177" i="46"/>
  <c r="AN177" i="46"/>
  <c r="AO177" i="46"/>
  <c r="AQ177" i="46"/>
  <c r="AR177" i="46"/>
  <c r="AU177" i="46"/>
  <c r="AV177" i="46"/>
  <c r="AW177" i="46"/>
  <c r="AX177" i="46"/>
  <c r="BB177" i="46"/>
  <c r="BE177" i="46"/>
  <c r="BF177" i="46" s="1"/>
  <c r="BG177" i="46"/>
  <c r="BH177" i="46"/>
  <c r="BL177" i="46"/>
  <c r="D178" i="46"/>
  <c r="F178" i="46" s="1"/>
  <c r="E178" i="46"/>
  <c r="G178" i="46"/>
  <c r="H178" i="46"/>
  <c r="L178" i="46"/>
  <c r="N178" i="46"/>
  <c r="O178" i="46"/>
  <c r="P178" i="46"/>
  <c r="Q178" i="46"/>
  <c r="Y178" i="46" s="1"/>
  <c r="Z178" i="46" s="1"/>
  <c r="R178" i="46"/>
  <c r="S178" i="46"/>
  <c r="AA178" i="46"/>
  <c r="AF178" i="46"/>
  <c r="AI178" i="46"/>
  <c r="AN178" i="46"/>
  <c r="AO178" i="46"/>
  <c r="AQ178" i="46"/>
  <c r="AR178" i="46"/>
  <c r="AU178" i="46"/>
  <c r="BJ55" i="47" s="1"/>
  <c r="AW178" i="46"/>
  <c r="AX178" i="46"/>
  <c r="BB178" i="46"/>
  <c r="BE178" i="46"/>
  <c r="BF178" i="46" s="1"/>
  <c r="BS55" i="47" s="1"/>
  <c r="BG178" i="46"/>
  <c r="BH178" i="46"/>
  <c r="BL178" i="46"/>
  <c r="BO55" i="47" s="1"/>
  <c r="D179" i="46"/>
  <c r="E179" i="46"/>
  <c r="G179" i="46"/>
  <c r="H179" i="46"/>
  <c r="I179" i="46" s="1"/>
  <c r="L179" i="46"/>
  <c r="N179" i="46"/>
  <c r="O179" i="46"/>
  <c r="P179" i="46"/>
  <c r="S179" i="46"/>
  <c r="U179" i="46"/>
  <c r="AA179" i="46"/>
  <c r="AI179" i="46"/>
  <c r="AN179" i="46"/>
  <c r="AP179" i="46" s="1"/>
  <c r="AO179" i="46"/>
  <c r="AQ179" i="46"/>
  <c r="AR179" i="46"/>
  <c r="AU179" i="46"/>
  <c r="AW179" i="46"/>
  <c r="AX179" i="46"/>
  <c r="BB179" i="46"/>
  <c r="BE179" i="46"/>
  <c r="BF179" i="46" s="1"/>
  <c r="BG179" i="46"/>
  <c r="BH179" i="46"/>
  <c r="BL179" i="46"/>
  <c r="D180" i="46"/>
  <c r="E180" i="46"/>
  <c r="G180" i="46"/>
  <c r="H180" i="46"/>
  <c r="L180" i="46"/>
  <c r="N180" i="46"/>
  <c r="O180" i="46"/>
  <c r="P180" i="46"/>
  <c r="R180" i="46"/>
  <c r="S180" i="46"/>
  <c r="Q180" i="46" s="1"/>
  <c r="Y180" i="46" s="1"/>
  <c r="Z180" i="46" s="1"/>
  <c r="U180" i="46"/>
  <c r="V180" i="46" s="1"/>
  <c r="X180" i="46"/>
  <c r="AI180" i="46"/>
  <c r="AN180" i="46"/>
  <c r="AO180" i="46"/>
  <c r="AP180" i="46"/>
  <c r="AQ180" i="46"/>
  <c r="AR180" i="46"/>
  <c r="AW180" i="46"/>
  <c r="BB180" i="46"/>
  <c r="BE180" i="46"/>
  <c r="BF180" i="46" s="1"/>
  <c r="BG180" i="46"/>
  <c r="BH180" i="46"/>
  <c r="BL180" i="46"/>
  <c r="D181" i="46"/>
  <c r="E181" i="46"/>
  <c r="F181" i="46"/>
  <c r="G181" i="46"/>
  <c r="I181" i="46" s="1"/>
  <c r="H181" i="46"/>
  <c r="L181" i="46"/>
  <c r="N181" i="46"/>
  <c r="O181" i="46"/>
  <c r="P181" i="46"/>
  <c r="S181" i="46"/>
  <c r="U181" i="46"/>
  <c r="AA181" i="46"/>
  <c r="AI181" i="46"/>
  <c r="AN181" i="46"/>
  <c r="AP181" i="46" s="1"/>
  <c r="AO181" i="46"/>
  <c r="AQ181" i="46"/>
  <c r="AR181" i="46"/>
  <c r="AU181" i="46"/>
  <c r="AW181" i="46"/>
  <c r="AX181" i="46"/>
  <c r="BB181" i="46"/>
  <c r="BE181" i="46"/>
  <c r="BF181" i="46" s="1"/>
  <c r="BG181" i="46"/>
  <c r="BH181" i="46"/>
  <c r="BL181" i="46"/>
  <c r="D182" i="46"/>
  <c r="E182" i="46"/>
  <c r="F182" i="46" s="1"/>
  <c r="J184" i="46" s="1"/>
  <c r="BW62" i="47" s="1"/>
  <c r="G182" i="46"/>
  <c r="H182" i="46"/>
  <c r="I182" i="46"/>
  <c r="L182" i="46"/>
  <c r="N182" i="46"/>
  <c r="O182" i="46"/>
  <c r="P182" i="46"/>
  <c r="Q182" i="46"/>
  <c r="T182" i="46" s="1"/>
  <c r="S182" i="46"/>
  <c r="U182" i="46"/>
  <c r="V182" i="46"/>
  <c r="AA182" i="46"/>
  <c r="AC182" i="46" s="1"/>
  <c r="Q60" i="47" s="1"/>
  <c r="AF182" i="46"/>
  <c r="AI182" i="46"/>
  <c r="AN182" i="46"/>
  <c r="AP182" i="46" s="1"/>
  <c r="AQ182" i="46"/>
  <c r="AR182" i="46"/>
  <c r="AU182" i="46"/>
  <c r="AW182" i="46"/>
  <c r="AX182" i="46"/>
  <c r="BB182" i="46"/>
  <c r="BF182" i="46"/>
  <c r="BG182" i="46"/>
  <c r="BH182" i="46"/>
  <c r="BL182" i="46"/>
  <c r="BO60" i="47" s="1"/>
  <c r="D183" i="46"/>
  <c r="F183" i="46" s="1"/>
  <c r="E183" i="46"/>
  <c r="G183" i="46"/>
  <c r="H183" i="46"/>
  <c r="L183" i="46"/>
  <c r="N183" i="46"/>
  <c r="O183" i="46"/>
  <c r="P183" i="46"/>
  <c r="R183" i="46"/>
  <c r="S183" i="46"/>
  <c r="Q183" i="46" s="1"/>
  <c r="U183" i="46"/>
  <c r="AA183" i="46"/>
  <c r="AF183" i="46"/>
  <c r="AI183" i="46"/>
  <c r="AN183" i="46"/>
  <c r="AP183" i="46" s="1"/>
  <c r="AO183" i="46"/>
  <c r="AQ183" i="46"/>
  <c r="AR183" i="46"/>
  <c r="AS183" i="46"/>
  <c r="AU183" i="46"/>
  <c r="AW183" i="46"/>
  <c r="AX183" i="46"/>
  <c r="BB183" i="46"/>
  <c r="BE183" i="46"/>
  <c r="BF183" i="46" s="1"/>
  <c r="BG183" i="46"/>
  <c r="BH183" i="46"/>
  <c r="BL183" i="46"/>
  <c r="D184" i="46"/>
  <c r="E184" i="46"/>
  <c r="F184" i="46"/>
  <c r="G184" i="46"/>
  <c r="I184" i="46" s="1"/>
  <c r="H184" i="46"/>
  <c r="L184" i="46"/>
  <c r="N184" i="46"/>
  <c r="O184" i="46"/>
  <c r="P184" i="46"/>
  <c r="R184" i="46"/>
  <c r="S62" i="47" s="1"/>
  <c r="S184" i="46"/>
  <c r="U184" i="46"/>
  <c r="AA184" i="46"/>
  <c r="AF184" i="46"/>
  <c r="AI184" i="46"/>
  <c r="AN184" i="46"/>
  <c r="AO184" i="46"/>
  <c r="AQ184" i="46"/>
  <c r="AR184" i="46"/>
  <c r="AU184" i="46"/>
  <c r="AW184" i="46"/>
  <c r="AX184" i="46"/>
  <c r="BB184" i="46"/>
  <c r="BE184" i="46"/>
  <c r="BF184" i="46"/>
  <c r="BG184" i="46"/>
  <c r="BH184" i="46"/>
  <c r="BL184" i="46"/>
  <c r="B185" i="46"/>
  <c r="B189" i="46" s="1"/>
  <c r="B193" i="46" s="1"/>
  <c r="D185" i="46"/>
  <c r="F185" i="46" s="1"/>
  <c r="E185" i="46"/>
  <c r="G185" i="46"/>
  <c r="H185" i="46"/>
  <c r="L185" i="46"/>
  <c r="AW63" i="47" s="1"/>
  <c r="N185" i="46"/>
  <c r="O185" i="46"/>
  <c r="P185" i="46"/>
  <c r="R185" i="46"/>
  <c r="S185" i="46"/>
  <c r="U185" i="46"/>
  <c r="AA185" i="46"/>
  <c r="AF185" i="46"/>
  <c r="AI185" i="46"/>
  <c r="AN185" i="46"/>
  <c r="AP185" i="46" s="1"/>
  <c r="AO185" i="46"/>
  <c r="AQ185" i="46"/>
  <c r="AR185" i="46"/>
  <c r="AU185" i="46"/>
  <c r="AW185" i="46"/>
  <c r="AX185" i="46"/>
  <c r="BB185" i="46"/>
  <c r="BE185" i="46"/>
  <c r="BF185" i="46" s="1"/>
  <c r="BG185" i="46"/>
  <c r="BH185" i="46"/>
  <c r="BL185" i="46"/>
  <c r="D186" i="46"/>
  <c r="F186" i="46" s="1"/>
  <c r="E186" i="46"/>
  <c r="G186" i="46"/>
  <c r="H186" i="46"/>
  <c r="I186" i="46"/>
  <c r="L186" i="46"/>
  <c r="N186" i="46"/>
  <c r="O186" i="46"/>
  <c r="P186" i="46"/>
  <c r="R186" i="46"/>
  <c r="S186" i="46"/>
  <c r="U186" i="46"/>
  <c r="Q186" i="46" s="1"/>
  <c r="EA44" i="47" s="1"/>
  <c r="AA186" i="46"/>
  <c r="AF186" i="46"/>
  <c r="AI186" i="46"/>
  <c r="AN186" i="46"/>
  <c r="AO186" i="46"/>
  <c r="AQ186" i="46"/>
  <c r="AR186" i="46"/>
  <c r="AU186" i="46"/>
  <c r="AV186" i="46"/>
  <c r="AW186" i="46"/>
  <c r="AX186" i="46"/>
  <c r="BB186" i="46"/>
  <c r="BE186" i="46"/>
  <c r="BF186" i="46" s="1"/>
  <c r="BG186" i="46"/>
  <c r="BH186" i="46"/>
  <c r="BL186" i="46"/>
  <c r="D187" i="46"/>
  <c r="E187" i="46"/>
  <c r="G187" i="46"/>
  <c r="H187" i="46"/>
  <c r="I187" i="46" s="1"/>
  <c r="L187" i="46"/>
  <c r="N187" i="46"/>
  <c r="O187" i="46"/>
  <c r="P187" i="46"/>
  <c r="R187" i="46"/>
  <c r="S187" i="46"/>
  <c r="U187" i="46"/>
  <c r="Q187" i="46" s="1"/>
  <c r="AA187" i="46"/>
  <c r="AF187" i="46"/>
  <c r="AI187" i="46"/>
  <c r="AL187" i="46"/>
  <c r="AN187" i="46"/>
  <c r="AP187" i="46" s="1"/>
  <c r="AO187" i="46"/>
  <c r="AQ187" i="46"/>
  <c r="AR187" i="46"/>
  <c r="AU187" i="46"/>
  <c r="AW187" i="46"/>
  <c r="AX187" i="46"/>
  <c r="BB187" i="46"/>
  <c r="BE187" i="46"/>
  <c r="BF187" i="46" s="1"/>
  <c r="BG187" i="46"/>
  <c r="BH187" i="46"/>
  <c r="BL187" i="46"/>
  <c r="F188" i="46"/>
  <c r="I188" i="46"/>
  <c r="T188" i="46"/>
  <c r="V188" i="46"/>
  <c r="X188" i="46"/>
  <c r="Z188" i="46"/>
  <c r="AC188" i="46"/>
  <c r="AF188" i="46"/>
  <c r="AI188" i="46"/>
  <c r="AL188" i="46"/>
  <c r="AP188" i="46"/>
  <c r="BB188" i="46"/>
  <c r="BF188" i="46"/>
  <c r="BL188" i="46"/>
  <c r="A189" i="46"/>
  <c r="F189" i="46"/>
  <c r="I189" i="46"/>
  <c r="T189" i="46"/>
  <c r="V189" i="46"/>
  <c r="X189" i="46"/>
  <c r="Z189" i="46"/>
  <c r="AC189" i="46"/>
  <c r="AF189" i="46"/>
  <c r="AI189" i="46"/>
  <c r="AL189" i="46"/>
  <c r="AP189" i="46"/>
  <c r="BB189" i="46"/>
  <c r="BF189" i="46"/>
  <c r="BL189" i="46"/>
  <c r="F190" i="46"/>
  <c r="I190" i="46"/>
  <c r="T190" i="46"/>
  <c r="V190" i="46"/>
  <c r="X190" i="46"/>
  <c r="Z190" i="46"/>
  <c r="AC190" i="46"/>
  <c r="AF190" i="46"/>
  <c r="AI190" i="46"/>
  <c r="AL190" i="46"/>
  <c r="AP190" i="46"/>
  <c r="BB190" i="46"/>
  <c r="BF190" i="46"/>
  <c r="BL190" i="46"/>
  <c r="F191" i="46"/>
  <c r="I191" i="46"/>
  <c r="T191" i="46"/>
  <c r="V191" i="46"/>
  <c r="X191" i="46"/>
  <c r="Z191" i="46"/>
  <c r="AC191" i="46"/>
  <c r="AF191" i="46"/>
  <c r="AI191" i="46"/>
  <c r="AL191" i="46"/>
  <c r="AP191" i="46"/>
  <c r="BB191" i="46"/>
  <c r="BF191" i="46"/>
  <c r="BL191" i="46"/>
  <c r="F192" i="46"/>
  <c r="J194" i="46" s="1"/>
  <c r="I192" i="46"/>
  <c r="T192" i="46"/>
  <c r="V192" i="46"/>
  <c r="X192" i="46"/>
  <c r="Z192" i="46"/>
  <c r="AC192" i="46"/>
  <c r="AF192" i="46"/>
  <c r="AI192" i="46"/>
  <c r="AL192" i="46"/>
  <c r="AP192" i="46"/>
  <c r="BB192" i="46"/>
  <c r="BF192" i="46"/>
  <c r="BL192" i="46"/>
  <c r="F193" i="46"/>
  <c r="I193" i="46"/>
  <c r="T193" i="46"/>
  <c r="V193" i="46"/>
  <c r="X193" i="46"/>
  <c r="Z193" i="46"/>
  <c r="AC193" i="46"/>
  <c r="AF193" i="46"/>
  <c r="AI193" i="46"/>
  <c r="AL193" i="46"/>
  <c r="AP193" i="46"/>
  <c r="BB193" i="46"/>
  <c r="BF193" i="46"/>
  <c r="BL193" i="46"/>
  <c r="F194" i="46"/>
  <c r="I194" i="46"/>
  <c r="T194" i="46"/>
  <c r="V194" i="46"/>
  <c r="X194" i="46"/>
  <c r="Z194" i="46"/>
  <c r="AC194" i="46"/>
  <c r="AF194" i="46"/>
  <c r="AI194" i="46"/>
  <c r="AL194" i="46"/>
  <c r="AP194" i="46"/>
  <c r="BB194" i="46"/>
  <c r="BF194" i="46"/>
  <c r="BL194" i="46"/>
  <c r="F195" i="46"/>
  <c r="I195" i="46"/>
  <c r="J195" i="46"/>
  <c r="T195" i="46"/>
  <c r="V195" i="46"/>
  <c r="X195" i="46"/>
  <c r="Z195" i="46"/>
  <c r="AC195" i="46"/>
  <c r="AF195" i="46"/>
  <c r="AI195" i="46"/>
  <c r="AL195" i="46"/>
  <c r="AP195" i="46"/>
  <c r="AT196" i="46" s="1"/>
  <c r="BB195" i="46"/>
  <c r="BF195" i="46"/>
  <c r="BL195" i="46"/>
  <c r="F196" i="46"/>
  <c r="J199" i="46" s="1"/>
  <c r="I196" i="46"/>
  <c r="T196" i="46"/>
  <c r="V196" i="46"/>
  <c r="X196" i="46"/>
  <c r="Z196" i="46"/>
  <c r="AC196" i="46"/>
  <c r="AF196" i="46"/>
  <c r="AI196" i="46"/>
  <c r="AL196" i="46"/>
  <c r="AP196" i="46"/>
  <c r="BB196" i="46"/>
  <c r="BF196" i="46"/>
  <c r="BL196" i="46"/>
  <c r="F197" i="46"/>
  <c r="I197" i="46"/>
  <c r="T197" i="46"/>
  <c r="V197" i="46"/>
  <c r="X197" i="46"/>
  <c r="Z197" i="46"/>
  <c r="AC197" i="46"/>
  <c r="AF197" i="46"/>
  <c r="AI197" i="46"/>
  <c r="AL197" i="46"/>
  <c r="AP197" i="46"/>
  <c r="AT199" i="46" s="1"/>
  <c r="BB197" i="46"/>
  <c r="BF197" i="46"/>
  <c r="BL197" i="46"/>
  <c r="F198" i="46"/>
  <c r="I198" i="46"/>
  <c r="T198" i="46"/>
  <c r="V198" i="46"/>
  <c r="X198" i="46"/>
  <c r="Z198" i="46"/>
  <c r="AC198" i="46"/>
  <c r="AF198" i="46"/>
  <c r="AI198" i="46"/>
  <c r="AL198" i="46"/>
  <c r="AP198" i="46"/>
  <c r="BB198" i="46"/>
  <c r="BF198" i="46"/>
  <c r="BL198" i="46"/>
  <c r="F199" i="46"/>
  <c r="I199" i="46"/>
  <c r="T199" i="46"/>
  <c r="V199" i="46"/>
  <c r="X199" i="46"/>
  <c r="Z199" i="46"/>
  <c r="AC199" i="46"/>
  <c r="AF199" i="46"/>
  <c r="AI199" i="46"/>
  <c r="AL199" i="46"/>
  <c r="AP199" i="46"/>
  <c r="BB199" i="46"/>
  <c r="BF199" i="46"/>
  <c r="BL199" i="46"/>
  <c r="F200" i="46"/>
  <c r="I200" i="46"/>
  <c r="T200" i="46"/>
  <c r="V200" i="46"/>
  <c r="X200" i="46"/>
  <c r="Z200" i="46"/>
  <c r="AC200" i="46"/>
  <c r="AF200" i="46"/>
  <c r="AI200" i="46"/>
  <c r="AL200" i="46"/>
  <c r="AP200" i="46"/>
  <c r="AS203" i="46" s="1"/>
  <c r="BB200" i="46"/>
  <c r="BF200" i="46"/>
  <c r="BL200" i="46"/>
  <c r="F201" i="46"/>
  <c r="I201" i="46"/>
  <c r="J201" i="46"/>
  <c r="T201" i="46"/>
  <c r="V201" i="46"/>
  <c r="X201" i="46"/>
  <c r="Z201" i="46"/>
  <c r="AC201" i="46"/>
  <c r="AF201" i="46"/>
  <c r="AI201" i="46"/>
  <c r="AL201" i="46"/>
  <c r="AP201" i="46"/>
  <c r="BB201" i="46"/>
  <c r="BF201" i="46"/>
  <c r="BL201" i="46"/>
  <c r="F202" i="46"/>
  <c r="I202" i="46"/>
  <c r="T202" i="46"/>
  <c r="V202" i="46"/>
  <c r="X202" i="46"/>
  <c r="Z202" i="46"/>
  <c r="AC202" i="46"/>
  <c r="AF202" i="46"/>
  <c r="AI202" i="46"/>
  <c r="AL202" i="46"/>
  <c r="AP202" i="46"/>
  <c r="AT202" i="46"/>
  <c r="BB202" i="46"/>
  <c r="BF202" i="46"/>
  <c r="BL202" i="46"/>
  <c r="F203" i="46"/>
  <c r="I203" i="46"/>
  <c r="T203" i="46"/>
  <c r="V203" i="46"/>
  <c r="X203" i="46"/>
  <c r="Z203" i="46"/>
  <c r="AC203" i="46"/>
  <c r="AF203" i="46"/>
  <c r="AI203" i="46"/>
  <c r="AL203" i="46"/>
  <c r="AP203" i="46"/>
  <c r="BB203" i="46"/>
  <c r="BF203" i="46"/>
  <c r="BL203" i="46"/>
  <c r="F204" i="46"/>
  <c r="I204" i="46"/>
  <c r="T204" i="46"/>
  <c r="V204" i="46"/>
  <c r="X204" i="46"/>
  <c r="Z204" i="46"/>
  <c r="AC204" i="46"/>
  <c r="AF204" i="46"/>
  <c r="AI204" i="46"/>
  <c r="AL204" i="46"/>
  <c r="AP204" i="46"/>
  <c r="AT204" i="46" s="1"/>
  <c r="BB204" i="46"/>
  <c r="BF204" i="46"/>
  <c r="BL204" i="46"/>
  <c r="F205" i="46"/>
  <c r="I205" i="46"/>
  <c r="J205" i="46"/>
  <c r="T205" i="46"/>
  <c r="V205" i="46"/>
  <c r="X205" i="46"/>
  <c r="Z205" i="46"/>
  <c r="AC205" i="46"/>
  <c r="AF205" i="46"/>
  <c r="AI205" i="46"/>
  <c r="AL205" i="46"/>
  <c r="AP205" i="46"/>
  <c r="BB205" i="46"/>
  <c r="BF205" i="46"/>
  <c r="BL205" i="46"/>
  <c r="F206" i="46"/>
  <c r="I206" i="46"/>
  <c r="T206" i="46"/>
  <c r="V206" i="46"/>
  <c r="X206" i="46"/>
  <c r="Z206" i="46"/>
  <c r="AC206" i="46"/>
  <c r="AF206" i="46"/>
  <c r="AI206" i="46"/>
  <c r="AL206" i="46"/>
  <c r="AP206" i="46"/>
  <c r="AS209" i="46" s="1"/>
  <c r="BB206" i="46"/>
  <c r="BF206" i="46"/>
  <c r="BL206" i="46"/>
  <c r="F207" i="46"/>
  <c r="I207" i="46"/>
  <c r="T207" i="46"/>
  <c r="V207" i="46"/>
  <c r="X207" i="46"/>
  <c r="Z207" i="46"/>
  <c r="AC207" i="46"/>
  <c r="AF207" i="46"/>
  <c r="AI207" i="46"/>
  <c r="AL207" i="46"/>
  <c r="AP207" i="46"/>
  <c r="BB207" i="46"/>
  <c r="BF207" i="46"/>
  <c r="BL207" i="46"/>
  <c r="F208" i="46"/>
  <c r="J210" i="46" s="1"/>
  <c r="I208" i="46"/>
  <c r="T208" i="46"/>
  <c r="V208" i="46"/>
  <c r="X208" i="46"/>
  <c r="Z208" i="46"/>
  <c r="AC208" i="46"/>
  <c r="AF208" i="46"/>
  <c r="AI208" i="46"/>
  <c r="AL208" i="46"/>
  <c r="AP208" i="46"/>
  <c r="AS211" i="46" s="1"/>
  <c r="BB208" i="46"/>
  <c r="BF208" i="46"/>
  <c r="BL208" i="46"/>
  <c r="F209" i="46"/>
  <c r="I209" i="46"/>
  <c r="J209" i="46"/>
  <c r="T209" i="46"/>
  <c r="V209" i="46"/>
  <c r="X209" i="46"/>
  <c r="Z209" i="46"/>
  <c r="AC209" i="46"/>
  <c r="AF209" i="46"/>
  <c r="AI209" i="46"/>
  <c r="AL209" i="46"/>
  <c r="AP209" i="46"/>
  <c r="BB209" i="46"/>
  <c r="BF209" i="46"/>
  <c r="BL209" i="46"/>
  <c r="F210" i="46"/>
  <c r="I210" i="46"/>
  <c r="T210" i="46"/>
  <c r="V210" i="46"/>
  <c r="X210" i="46"/>
  <c r="Z210" i="46"/>
  <c r="AC210" i="46"/>
  <c r="AF210" i="46"/>
  <c r="AI210" i="46"/>
  <c r="AL210" i="46"/>
  <c r="AP210" i="46"/>
  <c r="AT210" i="46"/>
  <c r="BB210" i="46"/>
  <c r="BF210" i="46"/>
  <c r="BL210" i="46"/>
  <c r="F211" i="46"/>
  <c r="J213" i="46" s="1"/>
  <c r="I211" i="46"/>
  <c r="T211" i="46"/>
  <c r="V211" i="46"/>
  <c r="X211" i="46"/>
  <c r="Z211" i="46"/>
  <c r="AC211" i="46"/>
  <c r="AF211" i="46"/>
  <c r="AI211" i="46"/>
  <c r="AL211" i="46"/>
  <c r="AP211" i="46"/>
  <c r="BB211" i="46"/>
  <c r="BF211" i="46"/>
  <c r="BL211" i="46"/>
  <c r="F212" i="46"/>
  <c r="I212" i="46"/>
  <c r="T212" i="46"/>
  <c r="V212" i="46"/>
  <c r="X212" i="46"/>
  <c r="Z212" i="46"/>
  <c r="AC212" i="46"/>
  <c r="AF212" i="46"/>
  <c r="AI212" i="46"/>
  <c r="AL212" i="46"/>
  <c r="AP212" i="46"/>
  <c r="AT212" i="46"/>
  <c r="BB212" i="46"/>
  <c r="BF212" i="46"/>
  <c r="BL212" i="46"/>
  <c r="F213" i="46"/>
  <c r="I213" i="46"/>
  <c r="T213" i="46"/>
  <c r="V213" i="46"/>
  <c r="X213" i="46"/>
  <c r="Z213" i="46"/>
  <c r="AC213" i="46"/>
  <c r="AF213" i="46"/>
  <c r="AI213" i="46"/>
  <c r="AL213" i="46"/>
  <c r="AP213" i="46"/>
  <c r="AT215" i="46" s="1"/>
  <c r="BB213" i="46"/>
  <c r="BF213" i="46"/>
  <c r="BL213" i="46"/>
  <c r="F214" i="46"/>
  <c r="J216" i="46" s="1"/>
  <c r="I214" i="46"/>
  <c r="T214" i="46"/>
  <c r="V214" i="46"/>
  <c r="X214" i="46"/>
  <c r="Z214" i="46"/>
  <c r="AC214" i="46"/>
  <c r="AF214" i="46"/>
  <c r="AI214" i="46"/>
  <c r="AL214" i="46"/>
  <c r="AP214" i="46"/>
  <c r="BB214" i="46"/>
  <c r="BF214" i="46"/>
  <c r="BL214" i="46"/>
  <c r="F215" i="46"/>
  <c r="I215" i="46"/>
  <c r="J215" i="46"/>
  <c r="T215" i="46"/>
  <c r="V215" i="46"/>
  <c r="X215" i="46"/>
  <c r="Z215" i="46"/>
  <c r="AC215" i="46"/>
  <c r="AF215" i="46"/>
  <c r="AI215" i="46"/>
  <c r="AL215" i="46"/>
  <c r="AP215" i="46"/>
  <c r="BB215" i="46"/>
  <c r="BF215" i="46"/>
  <c r="BL215" i="46"/>
  <c r="F216" i="46"/>
  <c r="I216" i="46"/>
  <c r="T216" i="46"/>
  <c r="V216" i="46"/>
  <c r="X216" i="46"/>
  <c r="Z216" i="46"/>
  <c r="AC216" i="46"/>
  <c r="AF216" i="46"/>
  <c r="AI216" i="46"/>
  <c r="AL216" i="46"/>
  <c r="AP216" i="46"/>
  <c r="AT216" i="46"/>
  <c r="BB216" i="46"/>
  <c r="BF216" i="46"/>
  <c r="BL216" i="46"/>
  <c r="F217" i="46"/>
  <c r="I217" i="46"/>
  <c r="J217" i="46"/>
  <c r="T217" i="46"/>
  <c r="V217" i="46"/>
  <c r="X217" i="46"/>
  <c r="Z217" i="46"/>
  <c r="AC217" i="46"/>
  <c r="AF217" i="46"/>
  <c r="AI217" i="46"/>
  <c r="AL217" i="46"/>
  <c r="AP217" i="46"/>
  <c r="AT219" i="46" s="1"/>
  <c r="BB217" i="46"/>
  <c r="BF217" i="46"/>
  <c r="BL217" i="46"/>
  <c r="F218" i="46"/>
  <c r="J220" i="46" s="1"/>
  <c r="I218" i="46"/>
  <c r="T218" i="46"/>
  <c r="V218" i="46"/>
  <c r="X218" i="46"/>
  <c r="Z218" i="46"/>
  <c r="AC218" i="46"/>
  <c r="AF218" i="46"/>
  <c r="AI218" i="46"/>
  <c r="AL218" i="46"/>
  <c r="AP218" i="46"/>
  <c r="AT218" i="46"/>
  <c r="BB218" i="46"/>
  <c r="BF218" i="46"/>
  <c r="BL218" i="46"/>
  <c r="F219" i="46"/>
  <c r="I219" i="46"/>
  <c r="T219" i="46"/>
  <c r="V219" i="46"/>
  <c r="X219" i="46"/>
  <c r="Z219" i="46"/>
  <c r="AC219" i="46"/>
  <c r="AF219" i="46"/>
  <c r="AI219" i="46"/>
  <c r="AL219" i="46"/>
  <c r="AP219" i="46"/>
  <c r="BB219" i="46"/>
  <c r="BF219" i="46"/>
  <c r="BL219" i="46"/>
  <c r="F220" i="46"/>
  <c r="I220" i="46"/>
  <c r="T220" i="46"/>
  <c r="V220" i="46"/>
  <c r="X220" i="46"/>
  <c r="Z220" i="46"/>
  <c r="AC220" i="46"/>
  <c r="AF220" i="46"/>
  <c r="AI220" i="46"/>
  <c r="AL220" i="46"/>
  <c r="AP220" i="46"/>
  <c r="BB220" i="46"/>
  <c r="BF220" i="46"/>
  <c r="BL220" i="46"/>
  <c r="F221" i="46"/>
  <c r="I221" i="46"/>
  <c r="J221" i="46"/>
  <c r="T221" i="46"/>
  <c r="V221" i="46"/>
  <c r="X221" i="46"/>
  <c r="Z221" i="46"/>
  <c r="AC221" i="46"/>
  <c r="AF221" i="46"/>
  <c r="AI221" i="46"/>
  <c r="AL221" i="46"/>
  <c r="AP221" i="46"/>
  <c r="BB221" i="46"/>
  <c r="BF221" i="46"/>
  <c r="BL221" i="46"/>
  <c r="F222" i="46"/>
  <c r="J225" i="46" s="1"/>
  <c r="I222" i="46"/>
  <c r="T222" i="46"/>
  <c r="V222" i="46"/>
  <c r="X222" i="46"/>
  <c r="Z222" i="46"/>
  <c r="AC222" i="46"/>
  <c r="AF222" i="46"/>
  <c r="AI222" i="46"/>
  <c r="AL222" i="46"/>
  <c r="AP222" i="46"/>
  <c r="AT222" i="46"/>
  <c r="BB222" i="46"/>
  <c r="BF222" i="46"/>
  <c r="BL222" i="46"/>
  <c r="F223" i="46"/>
  <c r="I223" i="46"/>
  <c r="T223" i="46"/>
  <c r="V223" i="46"/>
  <c r="X223" i="46"/>
  <c r="Z223" i="46"/>
  <c r="AC223" i="46"/>
  <c r="AF223" i="46"/>
  <c r="AI223" i="46"/>
  <c r="AL223" i="46"/>
  <c r="AP223" i="46"/>
  <c r="BB223" i="46"/>
  <c r="BF223" i="46"/>
  <c r="BL223" i="46"/>
  <c r="F224" i="46"/>
  <c r="I224" i="46"/>
  <c r="T224" i="46"/>
  <c r="V224" i="46"/>
  <c r="X224" i="46"/>
  <c r="Z224" i="46"/>
  <c r="AC224" i="46"/>
  <c r="AF224" i="46"/>
  <c r="AI224" i="46"/>
  <c r="AL224" i="46"/>
  <c r="AP224" i="46"/>
  <c r="AS227" i="46" s="1"/>
  <c r="BB224" i="46"/>
  <c r="BF224" i="46"/>
  <c r="BL224" i="46"/>
  <c r="F225" i="46"/>
  <c r="I225" i="46"/>
  <c r="T225" i="46"/>
  <c r="V225" i="46"/>
  <c r="X225" i="46"/>
  <c r="Z225" i="46"/>
  <c r="AC225" i="46"/>
  <c r="AF225" i="46"/>
  <c r="AI225" i="46"/>
  <c r="AL225" i="46"/>
  <c r="AP225" i="46"/>
  <c r="BB225" i="46"/>
  <c r="BF225" i="46"/>
  <c r="BL225" i="46"/>
  <c r="F226" i="46"/>
  <c r="I226" i="46"/>
  <c r="T226" i="46"/>
  <c r="V226" i="46"/>
  <c r="X226" i="46"/>
  <c r="Z226" i="46"/>
  <c r="AC226" i="46"/>
  <c r="AF226" i="46"/>
  <c r="AI226" i="46"/>
  <c r="AL226" i="46"/>
  <c r="AP226" i="46"/>
  <c r="BB226" i="46"/>
  <c r="BF226" i="46"/>
  <c r="BL226" i="46"/>
  <c r="F227" i="46"/>
  <c r="I227" i="46"/>
  <c r="J227" i="46"/>
  <c r="T227" i="46"/>
  <c r="V227" i="46"/>
  <c r="X227" i="46"/>
  <c r="Z227" i="46"/>
  <c r="AC227" i="46"/>
  <c r="AF227" i="46"/>
  <c r="AI227" i="46"/>
  <c r="AL227" i="46"/>
  <c r="AP227" i="46"/>
  <c r="BB227" i="46"/>
  <c r="BF227" i="46"/>
  <c r="BL227" i="46"/>
  <c r="F228" i="46"/>
  <c r="I228" i="46"/>
  <c r="T228" i="46"/>
  <c r="V228" i="46"/>
  <c r="X228" i="46"/>
  <c r="Z228" i="46"/>
  <c r="AC228" i="46"/>
  <c r="AF228" i="46"/>
  <c r="AI228" i="46"/>
  <c r="AL228" i="46"/>
  <c r="AP228" i="46"/>
  <c r="AT228" i="46"/>
  <c r="BB228" i="46"/>
  <c r="BF228" i="46"/>
  <c r="BL228" i="46"/>
  <c r="F229" i="46"/>
  <c r="I229" i="46"/>
  <c r="T229" i="46"/>
  <c r="V229" i="46"/>
  <c r="X229" i="46"/>
  <c r="Z229" i="46"/>
  <c r="AC229" i="46"/>
  <c r="AF229" i="46"/>
  <c r="AI229" i="46"/>
  <c r="AL229" i="46"/>
  <c r="AP229" i="46"/>
  <c r="BB229" i="46"/>
  <c r="BF229" i="46"/>
  <c r="BL229" i="46"/>
  <c r="F230" i="46"/>
  <c r="I230" i="46"/>
  <c r="T230" i="46"/>
  <c r="V230" i="46"/>
  <c r="X230" i="46"/>
  <c r="Z230" i="46"/>
  <c r="AC230" i="46"/>
  <c r="AF230" i="46"/>
  <c r="AI230" i="46"/>
  <c r="AL230" i="46"/>
  <c r="AP230" i="46"/>
  <c r="BB230" i="46"/>
  <c r="BF230" i="46"/>
  <c r="BL230" i="46"/>
  <c r="F231" i="46"/>
  <c r="I231" i="46"/>
  <c r="J231" i="46"/>
  <c r="T231" i="46"/>
  <c r="V231" i="46"/>
  <c r="X231" i="46"/>
  <c r="Z231" i="46"/>
  <c r="AC231" i="46"/>
  <c r="AF231" i="46"/>
  <c r="AI231" i="46"/>
  <c r="AL231" i="46"/>
  <c r="AP231" i="46"/>
  <c r="AT233" i="46" s="1"/>
  <c r="BB231" i="46"/>
  <c r="BF231" i="46"/>
  <c r="BL231" i="46"/>
  <c r="F232" i="46"/>
  <c r="I232" i="46"/>
  <c r="T232" i="46"/>
  <c r="V232" i="46"/>
  <c r="X232" i="46"/>
  <c r="Z232" i="46"/>
  <c r="AC232" i="46"/>
  <c r="AF232" i="46"/>
  <c r="AI232" i="46"/>
  <c r="AL232" i="46"/>
  <c r="AP232" i="46"/>
  <c r="BB232" i="46"/>
  <c r="BF232" i="46"/>
  <c r="BL232" i="46"/>
  <c r="F233" i="46"/>
  <c r="I233" i="46"/>
  <c r="T233" i="46"/>
  <c r="V233" i="46"/>
  <c r="X233" i="46"/>
  <c r="Z233" i="46"/>
  <c r="AC233" i="46"/>
  <c r="AF233" i="46"/>
  <c r="AI233" i="46"/>
  <c r="AL233" i="46"/>
  <c r="AP233" i="46"/>
  <c r="AT235" i="46" s="1"/>
  <c r="BB233" i="46"/>
  <c r="BF233" i="46"/>
  <c r="BL233" i="46"/>
  <c r="F234" i="46"/>
  <c r="I234" i="46"/>
  <c r="T234" i="46"/>
  <c r="V234" i="46"/>
  <c r="X234" i="46"/>
  <c r="Z234" i="46"/>
  <c r="AC234" i="46"/>
  <c r="AF234" i="46"/>
  <c r="AI234" i="46"/>
  <c r="AL234" i="46"/>
  <c r="AP234" i="46"/>
  <c r="BB234" i="46"/>
  <c r="BF234" i="46"/>
  <c r="BL234" i="46"/>
  <c r="F235" i="46"/>
  <c r="I235" i="46"/>
  <c r="J235" i="46"/>
  <c r="T235" i="46"/>
  <c r="V235" i="46"/>
  <c r="X235" i="46"/>
  <c r="Z235" i="46"/>
  <c r="AC235" i="46"/>
  <c r="AF235" i="46"/>
  <c r="AI235" i="46"/>
  <c r="AL235" i="46"/>
  <c r="AP235" i="46"/>
  <c r="BB235" i="46"/>
  <c r="BF235" i="46"/>
  <c r="BL235" i="46"/>
  <c r="F236" i="46"/>
  <c r="I236" i="46"/>
  <c r="T236" i="46"/>
  <c r="V236" i="46"/>
  <c r="X236" i="46"/>
  <c r="Z236" i="46"/>
  <c r="AC236" i="46"/>
  <c r="AF236" i="46"/>
  <c r="AI236" i="46"/>
  <c r="AL236" i="46"/>
  <c r="AP236" i="46"/>
  <c r="AT236" i="46"/>
  <c r="BB236" i="46"/>
  <c r="BF236" i="46"/>
  <c r="BL236" i="46"/>
  <c r="F237" i="46"/>
  <c r="I237" i="46"/>
  <c r="J237" i="46"/>
  <c r="T237" i="46"/>
  <c r="V237" i="46"/>
  <c r="X237" i="46"/>
  <c r="Z237" i="46"/>
  <c r="AC237" i="46"/>
  <c r="AF237" i="46"/>
  <c r="AI237" i="46"/>
  <c r="AL237" i="46"/>
  <c r="AP237" i="46"/>
  <c r="AT238" i="46" s="1"/>
  <c r="BB237" i="46"/>
  <c r="BF237" i="46"/>
  <c r="BL237" i="46"/>
  <c r="F238" i="46"/>
  <c r="J241" i="46" s="1"/>
  <c r="I238" i="46"/>
  <c r="T238" i="46"/>
  <c r="V238" i="46"/>
  <c r="X238" i="46"/>
  <c r="Z238" i="46"/>
  <c r="AC238" i="46"/>
  <c r="AF238" i="46"/>
  <c r="AI238" i="46"/>
  <c r="AL238" i="46"/>
  <c r="AP238" i="46"/>
  <c r="BB238" i="46"/>
  <c r="BF238" i="46"/>
  <c r="BL238" i="46"/>
  <c r="F239" i="46"/>
  <c r="I239" i="46"/>
  <c r="T239" i="46"/>
  <c r="V239" i="46"/>
  <c r="X239" i="46"/>
  <c r="Z239" i="46"/>
  <c r="AC239" i="46"/>
  <c r="AF239" i="46"/>
  <c r="AI239" i="46"/>
  <c r="AL239" i="46"/>
  <c r="AP239" i="46"/>
  <c r="BB239" i="46"/>
  <c r="BF239" i="46"/>
  <c r="BL239" i="46"/>
  <c r="F240" i="46"/>
  <c r="I240" i="46"/>
  <c r="T240" i="46"/>
  <c r="V240" i="46"/>
  <c r="X240" i="46"/>
  <c r="Z240" i="46"/>
  <c r="AC240" i="46"/>
  <c r="AF240" i="46"/>
  <c r="AI240" i="46"/>
  <c r="AL240" i="46"/>
  <c r="AP240" i="46"/>
  <c r="BB240" i="46"/>
  <c r="BF240" i="46"/>
  <c r="BL240" i="46"/>
  <c r="F241" i="46"/>
  <c r="I241" i="46"/>
  <c r="T241" i="46"/>
  <c r="V241" i="46"/>
  <c r="X241" i="46"/>
  <c r="Z241" i="46"/>
  <c r="AC241" i="46"/>
  <c r="AF241" i="46"/>
  <c r="AI241" i="46"/>
  <c r="AL241" i="46"/>
  <c r="AP241" i="46"/>
  <c r="BB241" i="46"/>
  <c r="BF241" i="46"/>
  <c r="BL241" i="46"/>
  <c r="F242" i="46"/>
  <c r="I242" i="46"/>
  <c r="T242" i="46"/>
  <c r="V242" i="46"/>
  <c r="X242" i="46"/>
  <c r="Z242" i="46"/>
  <c r="AC242" i="46"/>
  <c r="AF242" i="46"/>
  <c r="AI242" i="46"/>
  <c r="AL242" i="46"/>
  <c r="AP242" i="46"/>
  <c r="BB242" i="46"/>
  <c r="BF242" i="46"/>
  <c r="BL242" i="46"/>
  <c r="F243" i="46"/>
  <c r="I243" i="46"/>
  <c r="J243" i="46"/>
  <c r="T243" i="46"/>
  <c r="V243" i="46"/>
  <c r="X243" i="46"/>
  <c r="Z243" i="46"/>
  <c r="AC243" i="46"/>
  <c r="AF243" i="46"/>
  <c r="AI243" i="46"/>
  <c r="AL243" i="46"/>
  <c r="AP243" i="46"/>
  <c r="BB243" i="46"/>
  <c r="BF243" i="46"/>
  <c r="BL243" i="46"/>
  <c r="F244" i="46"/>
  <c r="J247" i="46" s="1"/>
  <c r="I244" i="46"/>
  <c r="T244" i="46"/>
  <c r="V244" i="46"/>
  <c r="X244" i="46"/>
  <c r="Z244" i="46"/>
  <c r="AC244" i="46"/>
  <c r="AF244" i="46"/>
  <c r="AI244" i="46"/>
  <c r="AL244" i="46"/>
  <c r="AP244" i="46"/>
  <c r="AT244" i="46"/>
  <c r="BB244" i="46"/>
  <c r="BF244" i="46"/>
  <c r="BL244" i="46"/>
  <c r="F245" i="46"/>
  <c r="I245" i="46"/>
  <c r="T245" i="46"/>
  <c r="V245" i="46"/>
  <c r="X245" i="46"/>
  <c r="Z245" i="46"/>
  <c r="AC245" i="46"/>
  <c r="AF245" i="46"/>
  <c r="AI245" i="46"/>
  <c r="AL245" i="46"/>
  <c r="AP245" i="46"/>
  <c r="BB245" i="46"/>
  <c r="BF245" i="46"/>
  <c r="BL245" i="46"/>
  <c r="F246" i="46"/>
  <c r="I246" i="46"/>
  <c r="T246" i="46"/>
  <c r="V246" i="46"/>
  <c r="X246" i="46"/>
  <c r="Z246" i="46"/>
  <c r="AC246" i="46"/>
  <c r="AF246" i="46"/>
  <c r="AI246" i="46"/>
  <c r="AL246" i="46"/>
  <c r="AP246" i="46"/>
  <c r="AT248" i="46" s="1"/>
  <c r="BB246" i="46"/>
  <c r="BF246" i="46"/>
  <c r="BL246" i="46"/>
  <c r="F247" i="46"/>
  <c r="I247" i="46"/>
  <c r="T247" i="46"/>
  <c r="V247" i="46"/>
  <c r="X247" i="46"/>
  <c r="Z247" i="46"/>
  <c r="AC247" i="46"/>
  <c r="AF247" i="46"/>
  <c r="AI247" i="46"/>
  <c r="AL247" i="46"/>
  <c r="AP247" i="46"/>
  <c r="AT249" i="46" s="1"/>
  <c r="BB247" i="46"/>
  <c r="BF247" i="46"/>
  <c r="BL247" i="46"/>
  <c r="F248" i="46"/>
  <c r="I248" i="46"/>
  <c r="T248" i="46"/>
  <c r="V248" i="46"/>
  <c r="X248" i="46"/>
  <c r="Z248" i="46"/>
  <c r="AC248" i="46"/>
  <c r="AF248" i="46"/>
  <c r="AI248" i="46"/>
  <c r="AL248" i="46"/>
  <c r="AP248" i="46"/>
  <c r="AS251" i="46" s="1"/>
  <c r="BB248" i="46"/>
  <c r="BF248" i="46"/>
  <c r="BL248" i="46"/>
  <c r="F249" i="46"/>
  <c r="I249" i="46"/>
  <c r="T249" i="46"/>
  <c r="V249" i="46"/>
  <c r="X249" i="46"/>
  <c r="Z249" i="46"/>
  <c r="AC249" i="46"/>
  <c r="AF249" i="46"/>
  <c r="AI249" i="46"/>
  <c r="AL249" i="46"/>
  <c r="AP249" i="46"/>
  <c r="BB249" i="46"/>
  <c r="BF249" i="46"/>
  <c r="BL249" i="46"/>
  <c r="F250" i="46"/>
  <c r="I250" i="46"/>
  <c r="T250" i="46"/>
  <c r="V250" i="46"/>
  <c r="X250" i="46"/>
  <c r="Z250" i="46"/>
  <c r="AC250" i="46"/>
  <c r="AF250" i="46"/>
  <c r="AI250" i="46"/>
  <c r="AL250" i="46"/>
  <c r="AP250" i="46"/>
  <c r="BB250" i="46"/>
  <c r="BF250" i="46"/>
  <c r="BL250" i="46"/>
  <c r="F251" i="46"/>
  <c r="J253" i="46" s="1"/>
  <c r="I251" i="46"/>
  <c r="J251" i="46"/>
  <c r="T251" i="46"/>
  <c r="V251" i="46"/>
  <c r="X251" i="46"/>
  <c r="Z251" i="46"/>
  <c r="AC251" i="46"/>
  <c r="AF251" i="46"/>
  <c r="AI251" i="46"/>
  <c r="AL251" i="46"/>
  <c r="AP251" i="46"/>
  <c r="BB251" i="46"/>
  <c r="BF251" i="46"/>
  <c r="BL251" i="46"/>
  <c r="F252" i="46"/>
  <c r="I252" i="46"/>
  <c r="T252" i="46"/>
  <c r="V252" i="46"/>
  <c r="X252" i="46"/>
  <c r="Z252" i="46"/>
  <c r="AC252" i="46"/>
  <c r="AF252" i="46"/>
  <c r="AI252" i="46"/>
  <c r="AL252" i="46"/>
  <c r="AP252" i="46"/>
  <c r="AT252" i="46"/>
  <c r="BB252" i="46"/>
  <c r="BF252" i="46"/>
  <c r="BL252" i="46"/>
  <c r="F253" i="46"/>
  <c r="I253" i="46"/>
  <c r="T253" i="46"/>
  <c r="V253" i="46"/>
  <c r="X253" i="46"/>
  <c r="Z253" i="46"/>
  <c r="AC253" i="46"/>
  <c r="AF253" i="46"/>
  <c r="AI253" i="46"/>
  <c r="AL253" i="46"/>
  <c r="AP253" i="46"/>
  <c r="BB253" i="46"/>
  <c r="BF253" i="46"/>
  <c r="BL253" i="46"/>
  <c r="F254" i="46"/>
  <c r="I254" i="46"/>
  <c r="T254" i="46"/>
  <c r="V254" i="46"/>
  <c r="X254" i="46"/>
  <c r="Z254" i="46"/>
  <c r="AC254" i="46"/>
  <c r="AF254" i="46"/>
  <c r="AI254" i="46"/>
  <c r="AL254" i="46"/>
  <c r="AP254" i="46"/>
  <c r="BB254" i="46"/>
  <c r="BF254" i="46"/>
  <c r="BL254" i="46"/>
  <c r="F255" i="46"/>
  <c r="I255" i="46"/>
  <c r="T255" i="46"/>
  <c r="V255" i="46"/>
  <c r="X255" i="46"/>
  <c r="Z255" i="46"/>
  <c r="AC255" i="46"/>
  <c r="AF255" i="46"/>
  <c r="AI255" i="46"/>
  <c r="AL255" i="46"/>
  <c r="AP255" i="46"/>
  <c r="AT257" i="46" s="1"/>
  <c r="BB255" i="46"/>
  <c r="BF255" i="46"/>
  <c r="BL255" i="46"/>
  <c r="F256" i="46"/>
  <c r="J258" i="46" s="1"/>
  <c r="I256" i="46"/>
  <c r="T256" i="46"/>
  <c r="V256" i="46"/>
  <c r="X256" i="46"/>
  <c r="Z256" i="46"/>
  <c r="AC256" i="46"/>
  <c r="AF256" i="46"/>
  <c r="AI256" i="46"/>
  <c r="AL256" i="46"/>
  <c r="AP256" i="46"/>
  <c r="BB256" i="46"/>
  <c r="BF256" i="46"/>
  <c r="BL256" i="46"/>
  <c r="F257" i="46"/>
  <c r="I257" i="46"/>
  <c r="T257" i="46"/>
  <c r="V257" i="46"/>
  <c r="X257" i="46"/>
  <c r="Z257" i="46"/>
  <c r="AC257" i="46"/>
  <c r="AF257" i="46"/>
  <c r="AI257" i="46"/>
  <c r="AL257" i="46"/>
  <c r="AP257" i="46"/>
  <c r="BB257" i="46"/>
  <c r="BF257" i="46"/>
  <c r="BL257" i="46"/>
  <c r="F258" i="46"/>
  <c r="I258" i="46"/>
  <c r="T258" i="46"/>
  <c r="V258" i="46"/>
  <c r="X258" i="46"/>
  <c r="Z258" i="46"/>
  <c r="AC258" i="46"/>
  <c r="AF258" i="46"/>
  <c r="AI258" i="46"/>
  <c r="AL258" i="46"/>
  <c r="AP258" i="46"/>
  <c r="BB258" i="46"/>
  <c r="BF258" i="46"/>
  <c r="BL258" i="46"/>
  <c r="F259" i="46"/>
  <c r="I259" i="46"/>
  <c r="T259" i="46"/>
  <c r="V259" i="46"/>
  <c r="X259" i="46"/>
  <c r="Z259" i="46"/>
  <c r="AC259" i="46"/>
  <c r="AF259" i="46"/>
  <c r="AI259" i="46"/>
  <c r="AL259" i="46"/>
  <c r="AP259" i="46"/>
  <c r="BB259" i="46"/>
  <c r="BF259" i="46"/>
  <c r="BL259" i="46"/>
  <c r="F260" i="46"/>
  <c r="I260" i="46"/>
  <c r="T260" i="46"/>
  <c r="V260" i="46"/>
  <c r="X260" i="46"/>
  <c r="Z260" i="46"/>
  <c r="AC260" i="46"/>
  <c r="AF260" i="46"/>
  <c r="AI260" i="46"/>
  <c r="AL260" i="46"/>
  <c r="AP260" i="46"/>
  <c r="BB260" i="46"/>
  <c r="BF260" i="46"/>
  <c r="BL260" i="46"/>
  <c r="F261" i="46"/>
  <c r="I261" i="46"/>
  <c r="T261" i="46"/>
  <c r="V261" i="46"/>
  <c r="X261" i="46"/>
  <c r="Z261" i="46"/>
  <c r="AC261" i="46"/>
  <c r="AF261" i="46"/>
  <c r="AI261" i="46"/>
  <c r="AL261" i="46"/>
  <c r="AP261" i="46"/>
  <c r="BB261" i="46"/>
  <c r="BF261" i="46"/>
  <c r="BL261" i="46"/>
  <c r="F262" i="46"/>
  <c r="I262" i="46"/>
  <c r="T262" i="46"/>
  <c r="V262" i="46"/>
  <c r="X262" i="46"/>
  <c r="Z262" i="46"/>
  <c r="AC262" i="46"/>
  <c r="AF262" i="46"/>
  <c r="AI262" i="46"/>
  <c r="AL262" i="46"/>
  <c r="AP262" i="46"/>
  <c r="AS265" i="46" s="1"/>
  <c r="BB262" i="46"/>
  <c r="BF262" i="46"/>
  <c r="BL262" i="46"/>
  <c r="F263" i="46"/>
  <c r="I263" i="46"/>
  <c r="T263" i="46"/>
  <c r="V263" i="46"/>
  <c r="X263" i="46"/>
  <c r="Z263" i="46"/>
  <c r="AC263" i="46"/>
  <c r="AF263" i="46"/>
  <c r="AI263" i="46"/>
  <c r="AL263" i="46"/>
  <c r="AP263" i="46"/>
  <c r="BB263" i="46"/>
  <c r="BF263" i="46"/>
  <c r="BL263" i="46"/>
  <c r="F264" i="46"/>
  <c r="I264" i="46"/>
  <c r="T264" i="46"/>
  <c r="V264" i="46"/>
  <c r="X264" i="46"/>
  <c r="Z264" i="46"/>
  <c r="AC264" i="46"/>
  <c r="AF264" i="46"/>
  <c r="AI264" i="46"/>
  <c r="AL264" i="46"/>
  <c r="AP264" i="46"/>
  <c r="AS267" i="46" s="1"/>
  <c r="BB264" i="46"/>
  <c r="BF264" i="46"/>
  <c r="BL264" i="46"/>
  <c r="F265" i="46"/>
  <c r="I265" i="46"/>
  <c r="J265" i="46"/>
  <c r="T265" i="46"/>
  <c r="V265" i="46"/>
  <c r="X265" i="46"/>
  <c r="Z265" i="46"/>
  <c r="AC265" i="46"/>
  <c r="AF265" i="46"/>
  <c r="AI265" i="46"/>
  <c r="AL265" i="46"/>
  <c r="AP265" i="46"/>
  <c r="AT268" i="46" s="1"/>
  <c r="BB265" i="46"/>
  <c r="BF265" i="46"/>
  <c r="BL265" i="46"/>
  <c r="F266" i="46"/>
  <c r="J267" i="46" s="1"/>
  <c r="I266" i="46"/>
  <c r="T266" i="46"/>
  <c r="V266" i="46"/>
  <c r="X266" i="46"/>
  <c r="Z266" i="46"/>
  <c r="AC266" i="46"/>
  <c r="AF266" i="46"/>
  <c r="AI266" i="46"/>
  <c r="AL266" i="46"/>
  <c r="AP266" i="46"/>
  <c r="AT266" i="46"/>
  <c r="BB266" i="46"/>
  <c r="BF266" i="46"/>
  <c r="BL266" i="46"/>
  <c r="F267" i="46"/>
  <c r="J269" i="46" s="1"/>
  <c r="I267" i="46"/>
  <c r="T267" i="46"/>
  <c r="V267" i="46"/>
  <c r="X267" i="46"/>
  <c r="Z267" i="46"/>
  <c r="AC267" i="46"/>
  <c r="AF267" i="46"/>
  <c r="AI267" i="46"/>
  <c r="AL267" i="46"/>
  <c r="AP267" i="46"/>
  <c r="BB267" i="46"/>
  <c r="BF267" i="46"/>
  <c r="BL267" i="46"/>
  <c r="F268" i="46"/>
  <c r="I268" i="46"/>
  <c r="T268" i="46"/>
  <c r="V268" i="46"/>
  <c r="X268" i="46"/>
  <c r="Z268" i="46"/>
  <c r="AC268" i="46"/>
  <c r="AF268" i="46"/>
  <c r="AI268" i="46"/>
  <c r="AL268" i="46"/>
  <c r="AP268" i="46"/>
  <c r="BB268" i="46"/>
  <c r="BF268" i="46"/>
  <c r="BL268" i="46"/>
  <c r="F269" i="46"/>
  <c r="I269" i="46"/>
  <c r="T269" i="46"/>
  <c r="V269" i="46"/>
  <c r="X269" i="46"/>
  <c r="Z269" i="46"/>
  <c r="AC269" i="46"/>
  <c r="AF269" i="46"/>
  <c r="AI269" i="46"/>
  <c r="AL269" i="46"/>
  <c r="AP269" i="46"/>
  <c r="BB269" i="46"/>
  <c r="BF269" i="46"/>
  <c r="BL269" i="46"/>
  <c r="F270" i="46"/>
  <c r="I270" i="46"/>
  <c r="T270" i="46"/>
  <c r="V270" i="46"/>
  <c r="X270" i="46"/>
  <c r="Z270" i="46"/>
  <c r="AC270" i="46"/>
  <c r="AF270" i="46"/>
  <c r="AI270" i="46"/>
  <c r="AL270" i="46"/>
  <c r="AP270" i="46"/>
  <c r="AS273" i="46" s="1"/>
  <c r="BB270" i="46"/>
  <c r="BF270" i="46"/>
  <c r="BL270" i="46"/>
  <c r="F271" i="46"/>
  <c r="I271" i="46"/>
  <c r="T271" i="46"/>
  <c r="V271" i="46"/>
  <c r="X271" i="46"/>
  <c r="Z271" i="46"/>
  <c r="AC271" i="46"/>
  <c r="AF271" i="46"/>
  <c r="AI271" i="46"/>
  <c r="AL271" i="46"/>
  <c r="AP271" i="46"/>
  <c r="BB271" i="46"/>
  <c r="BF271" i="46"/>
  <c r="BL271" i="46"/>
  <c r="F272" i="46"/>
  <c r="J274" i="46" s="1"/>
  <c r="I272" i="46"/>
  <c r="T272" i="46"/>
  <c r="V272" i="46"/>
  <c r="X272" i="46"/>
  <c r="Z272" i="46"/>
  <c r="AC272" i="46"/>
  <c r="AF272" i="46"/>
  <c r="AI272" i="46"/>
  <c r="AL272" i="46"/>
  <c r="AP272" i="46"/>
  <c r="AS275" i="46" s="1"/>
  <c r="BB272" i="46"/>
  <c r="BF272" i="46"/>
  <c r="BL272" i="46"/>
  <c r="F273" i="46"/>
  <c r="I273" i="46"/>
  <c r="J273" i="46"/>
  <c r="T273" i="46"/>
  <c r="V273" i="46"/>
  <c r="X273" i="46"/>
  <c r="Z273" i="46"/>
  <c r="AC273" i="46"/>
  <c r="AF273" i="46"/>
  <c r="AI273" i="46"/>
  <c r="AL273" i="46"/>
  <c r="AP273" i="46"/>
  <c r="BB273" i="46"/>
  <c r="BF273" i="46"/>
  <c r="BL273" i="46"/>
  <c r="F274" i="46"/>
  <c r="I274" i="46"/>
  <c r="T274" i="46"/>
  <c r="V274" i="46"/>
  <c r="X274" i="46"/>
  <c r="Z274" i="46"/>
  <c r="AC274" i="46"/>
  <c r="AF274" i="46"/>
  <c r="AI274" i="46"/>
  <c r="AL274" i="46"/>
  <c r="AP274" i="46"/>
  <c r="AT274" i="46"/>
  <c r="BB274" i="46"/>
  <c r="BF274" i="46"/>
  <c r="BL274" i="46"/>
  <c r="F275" i="46"/>
  <c r="J277" i="46" s="1"/>
  <c r="I275" i="46"/>
  <c r="T275" i="46"/>
  <c r="V275" i="46"/>
  <c r="X275" i="46"/>
  <c r="Z275" i="46"/>
  <c r="AC275" i="46"/>
  <c r="AF275" i="46"/>
  <c r="AI275" i="46"/>
  <c r="AL275" i="46"/>
  <c r="AP275" i="46"/>
  <c r="BB275" i="46"/>
  <c r="BF275" i="46"/>
  <c r="BL275" i="46"/>
  <c r="F276" i="46"/>
  <c r="I276" i="46"/>
  <c r="T276" i="46"/>
  <c r="V276" i="46"/>
  <c r="X276" i="46"/>
  <c r="Z276" i="46"/>
  <c r="AC276" i="46"/>
  <c r="AF276" i="46"/>
  <c r="AI276" i="46"/>
  <c r="AL276" i="46"/>
  <c r="AP276" i="46"/>
  <c r="AT276" i="46"/>
  <c r="BB276" i="46"/>
  <c r="BF276" i="46"/>
  <c r="BL276" i="46"/>
  <c r="F277" i="46"/>
  <c r="I277" i="46"/>
  <c r="T277" i="46"/>
  <c r="V277" i="46"/>
  <c r="X277" i="46"/>
  <c r="Z277" i="46"/>
  <c r="AC277" i="46"/>
  <c r="AF277" i="46"/>
  <c r="AI277" i="46"/>
  <c r="AL277" i="46"/>
  <c r="AP277" i="46"/>
  <c r="AT279" i="46" s="1"/>
  <c r="BB277" i="46"/>
  <c r="BF277" i="46"/>
  <c r="BL277" i="46"/>
  <c r="F278" i="46"/>
  <c r="J280" i="46" s="1"/>
  <c r="I278" i="46"/>
  <c r="T278" i="46"/>
  <c r="V278" i="46"/>
  <c r="X278" i="46"/>
  <c r="Z278" i="46"/>
  <c r="AC278" i="46"/>
  <c r="AF278" i="46"/>
  <c r="AI278" i="46"/>
  <c r="AL278" i="46"/>
  <c r="AP278" i="46"/>
  <c r="BB278" i="46"/>
  <c r="BF278" i="46"/>
  <c r="BL278" i="46"/>
  <c r="F279" i="46"/>
  <c r="I279" i="46"/>
  <c r="J279" i="46"/>
  <c r="T279" i="46"/>
  <c r="V279" i="46"/>
  <c r="X279" i="46"/>
  <c r="Z279" i="46"/>
  <c r="AC279" i="46"/>
  <c r="AF279" i="46"/>
  <c r="AI279" i="46"/>
  <c r="AL279" i="46"/>
  <c r="AP279" i="46"/>
  <c r="BB279" i="46"/>
  <c r="BF279" i="46"/>
  <c r="BL279" i="46"/>
  <c r="F280" i="46"/>
  <c r="I280" i="46"/>
  <c r="T280" i="46"/>
  <c r="V280" i="46"/>
  <c r="X280" i="46"/>
  <c r="Z280" i="46"/>
  <c r="AC280" i="46"/>
  <c r="AF280" i="46"/>
  <c r="AI280" i="46"/>
  <c r="AL280" i="46"/>
  <c r="AP280" i="46"/>
  <c r="AT280" i="46"/>
  <c r="BB280" i="46"/>
  <c r="BF280" i="46"/>
  <c r="BL280" i="46"/>
  <c r="F281" i="46"/>
  <c r="I281" i="46"/>
  <c r="J281" i="46"/>
  <c r="T281" i="46"/>
  <c r="V281" i="46"/>
  <c r="X281" i="46"/>
  <c r="Z281" i="46"/>
  <c r="AC281" i="46"/>
  <c r="AF281" i="46"/>
  <c r="AI281" i="46"/>
  <c r="AL281" i="46"/>
  <c r="AP281" i="46"/>
  <c r="AT283" i="46" s="1"/>
  <c r="BB281" i="46"/>
  <c r="BF281" i="46"/>
  <c r="BL281" i="46"/>
  <c r="F282" i="46"/>
  <c r="J283" i="46" s="1"/>
  <c r="I282" i="46"/>
  <c r="T282" i="46"/>
  <c r="V282" i="46"/>
  <c r="X282" i="46"/>
  <c r="Z282" i="46"/>
  <c r="AC282" i="46"/>
  <c r="AF282" i="46"/>
  <c r="AI282" i="46"/>
  <c r="AL282" i="46"/>
  <c r="AP282" i="46"/>
  <c r="AT282" i="46"/>
  <c r="BB282" i="46"/>
  <c r="BF282" i="46"/>
  <c r="BL282" i="46"/>
  <c r="F283" i="46"/>
  <c r="I283" i="46"/>
  <c r="T283" i="46"/>
  <c r="V283" i="46"/>
  <c r="X283" i="46"/>
  <c r="Z283" i="46"/>
  <c r="AC283" i="46"/>
  <c r="AF283" i="46"/>
  <c r="AI283" i="46"/>
  <c r="AL283" i="46"/>
  <c r="AP283" i="46"/>
  <c r="BB283" i="46"/>
  <c r="BF283" i="46"/>
  <c r="BL283" i="46"/>
  <c r="F284" i="46"/>
  <c r="I284" i="46"/>
  <c r="T284" i="46"/>
  <c r="V284" i="46"/>
  <c r="X284" i="46"/>
  <c r="Z284" i="46"/>
  <c r="AC284" i="46"/>
  <c r="AF284" i="46"/>
  <c r="AI284" i="46"/>
  <c r="AL284" i="46"/>
  <c r="AP284" i="46"/>
  <c r="BB284" i="46"/>
  <c r="BF284" i="46"/>
  <c r="BL284" i="46"/>
  <c r="F285" i="46"/>
  <c r="I285" i="46"/>
  <c r="J285" i="46"/>
  <c r="T285" i="46"/>
  <c r="V285" i="46"/>
  <c r="X285" i="46"/>
  <c r="Z285" i="46"/>
  <c r="AC285" i="46"/>
  <c r="AF285" i="46"/>
  <c r="AI285" i="46"/>
  <c r="AL285" i="46"/>
  <c r="AP285" i="46"/>
  <c r="BB285" i="46"/>
  <c r="BF285" i="46"/>
  <c r="BL285" i="46"/>
  <c r="F286" i="46"/>
  <c r="J289" i="46" s="1"/>
  <c r="I286" i="46"/>
  <c r="T286" i="46"/>
  <c r="V286" i="46"/>
  <c r="X286" i="46"/>
  <c r="Z286" i="46"/>
  <c r="AC286" i="46"/>
  <c r="AF286" i="46"/>
  <c r="AI286" i="46"/>
  <c r="AL286" i="46"/>
  <c r="AP286" i="46"/>
  <c r="AT286" i="46"/>
  <c r="BB286" i="46"/>
  <c r="BF286" i="46"/>
  <c r="BL286" i="46"/>
  <c r="F287" i="46"/>
  <c r="I287" i="46"/>
  <c r="T287" i="46"/>
  <c r="V287" i="46"/>
  <c r="X287" i="46"/>
  <c r="Z287" i="46"/>
  <c r="AC287" i="46"/>
  <c r="AF287" i="46"/>
  <c r="AI287" i="46"/>
  <c r="AL287" i="46"/>
  <c r="AP287" i="46"/>
  <c r="BB287" i="46"/>
  <c r="BF287" i="46"/>
  <c r="BL287" i="46"/>
  <c r="F288" i="46"/>
  <c r="I288" i="46"/>
  <c r="T288" i="46"/>
  <c r="V288" i="46"/>
  <c r="X288" i="46"/>
  <c r="Z288" i="46"/>
  <c r="AC288" i="46"/>
  <c r="AF288" i="46"/>
  <c r="AI288" i="46"/>
  <c r="AL288" i="46"/>
  <c r="AP288" i="46"/>
  <c r="AS291" i="46" s="1"/>
  <c r="BB288" i="46"/>
  <c r="BF288" i="46"/>
  <c r="BL288" i="46"/>
  <c r="F289" i="46"/>
  <c r="I289" i="46"/>
  <c r="T289" i="46"/>
  <c r="V289" i="46"/>
  <c r="X289" i="46"/>
  <c r="Z289" i="46"/>
  <c r="AC289" i="46"/>
  <c r="AF289" i="46"/>
  <c r="AI289" i="46"/>
  <c r="AL289" i="46"/>
  <c r="AP289" i="46"/>
  <c r="BB289" i="46"/>
  <c r="BF289" i="46"/>
  <c r="BL289" i="46"/>
  <c r="F290" i="46"/>
  <c r="I290" i="46"/>
  <c r="T290" i="46"/>
  <c r="V290" i="46"/>
  <c r="X290" i="46"/>
  <c r="Z290" i="46"/>
  <c r="AC290" i="46"/>
  <c r="AF290" i="46"/>
  <c r="AI290" i="46"/>
  <c r="AL290" i="46"/>
  <c r="AP290" i="46"/>
  <c r="BB290" i="46"/>
  <c r="BF290" i="46"/>
  <c r="BL290" i="46"/>
  <c r="F291" i="46"/>
  <c r="I291" i="46"/>
  <c r="J291" i="46"/>
  <c r="T291" i="46"/>
  <c r="V291" i="46"/>
  <c r="X291" i="46"/>
  <c r="Z291" i="46"/>
  <c r="AC291" i="46"/>
  <c r="AF291" i="46"/>
  <c r="AI291" i="46"/>
  <c r="AL291" i="46"/>
  <c r="AP291" i="46"/>
  <c r="BB291" i="46"/>
  <c r="BF291" i="46"/>
  <c r="BL291" i="46"/>
  <c r="F292" i="46"/>
  <c r="I292" i="46"/>
  <c r="T292" i="46"/>
  <c r="V292" i="46"/>
  <c r="X292" i="46"/>
  <c r="Z292" i="46"/>
  <c r="AC292" i="46"/>
  <c r="AF292" i="46"/>
  <c r="AI292" i="46"/>
  <c r="AL292" i="46"/>
  <c r="AP292" i="46"/>
  <c r="AT292" i="46"/>
  <c r="BB292" i="46"/>
  <c r="BF292" i="46"/>
  <c r="BL292" i="46"/>
  <c r="F293" i="46"/>
  <c r="I293" i="46"/>
  <c r="T293" i="46"/>
  <c r="V293" i="46"/>
  <c r="X293" i="46"/>
  <c r="Z293" i="46"/>
  <c r="AC293" i="46"/>
  <c r="AF293" i="46"/>
  <c r="AI293" i="46"/>
  <c r="AL293" i="46"/>
  <c r="AP293" i="46"/>
  <c r="BB293" i="46"/>
  <c r="BF293" i="46"/>
  <c r="BL293" i="46"/>
  <c r="F4" i="47"/>
  <c r="F5" i="47" s="1"/>
  <c r="F6" i="47" s="1"/>
  <c r="F7" i="47" s="1"/>
  <c r="F8" i="47" s="1"/>
  <c r="F9" i="47" s="1"/>
  <c r="O18" i="47"/>
  <c r="Q18" i="47"/>
  <c r="Z15" i="47"/>
  <c r="AB15" i="47"/>
  <c r="AD15" i="47"/>
  <c r="AE16" i="47"/>
  <c r="AG16" i="47"/>
  <c r="AJ16" i="47"/>
  <c r="AK17" i="47"/>
  <c r="AL17" i="47"/>
  <c r="AW17" i="47"/>
  <c r="AX18" i="47"/>
  <c r="AY18" i="47"/>
  <c r="AZ18" i="47"/>
  <c r="BF15" i="47"/>
  <c r="BG15" i="47"/>
  <c r="BH15" i="47"/>
  <c r="BJ16" i="47"/>
  <c r="BK16" i="47"/>
  <c r="BL16" i="47"/>
  <c r="BM17" i="47"/>
  <c r="BO17" i="47"/>
  <c r="BP17" i="47"/>
  <c r="BQ18" i="47"/>
  <c r="BR18" i="47"/>
  <c r="BS18" i="47"/>
  <c r="BT17" i="47"/>
  <c r="BU18" i="47"/>
  <c r="CI4" i="47"/>
  <c r="CK4" i="47" s="1"/>
  <c r="CJ4" i="47"/>
  <c r="CJ8" i="47" s="1"/>
  <c r="CO4" i="47"/>
  <c r="CQ4" i="47"/>
  <c r="CU4" i="47"/>
  <c r="CV4" i="47"/>
  <c r="DA4" i="47"/>
  <c r="DB4" i="47"/>
  <c r="DF4" i="47"/>
  <c r="DH4" i="47"/>
  <c r="DK4" i="47"/>
  <c r="DM4" i="47"/>
  <c r="DQ4" i="47"/>
  <c r="DR4" i="47"/>
  <c r="DV4" i="47"/>
  <c r="DZ4" i="47"/>
  <c r="EA4" i="47"/>
  <c r="CM36" i="47"/>
  <c r="CN36" i="47"/>
  <c r="CQ36" i="47"/>
  <c r="CR36" i="47"/>
  <c r="O20" i="47"/>
  <c r="O23" i="47"/>
  <c r="Q22" i="47"/>
  <c r="Q23" i="47"/>
  <c r="R21" i="47"/>
  <c r="R22" i="47"/>
  <c r="S20" i="47"/>
  <c r="S21" i="47"/>
  <c r="T20" i="47"/>
  <c r="T23" i="47"/>
  <c r="Y22" i="47"/>
  <c r="Y23" i="47"/>
  <c r="Z21" i="47"/>
  <c r="Z22" i="47"/>
  <c r="AB20" i="47"/>
  <c r="AB21" i="47"/>
  <c r="AD20" i="47"/>
  <c r="AD23" i="47"/>
  <c r="AE22" i="47"/>
  <c r="AE23" i="47"/>
  <c r="AG21" i="47"/>
  <c r="AG22" i="47"/>
  <c r="AJ21" i="47"/>
  <c r="AK20" i="47"/>
  <c r="AK23" i="47"/>
  <c r="AL22" i="47"/>
  <c r="AL23" i="47"/>
  <c r="AW21" i="47"/>
  <c r="AW22" i="47"/>
  <c r="AX20" i="47"/>
  <c r="AX21" i="47"/>
  <c r="AY20" i="47"/>
  <c r="AY23" i="47"/>
  <c r="AZ22" i="47"/>
  <c r="AZ23" i="47"/>
  <c r="BB21" i="47"/>
  <c r="BB22" i="47"/>
  <c r="BC20" i="47"/>
  <c r="BC21" i="47"/>
  <c r="BD20" i="47"/>
  <c r="BD23" i="47"/>
  <c r="BE22" i="47"/>
  <c r="BE23" i="47"/>
  <c r="BF21" i="47"/>
  <c r="BF22" i="47"/>
  <c r="BG20" i="47"/>
  <c r="BG21" i="47"/>
  <c r="BH20" i="47"/>
  <c r="BH23" i="47"/>
  <c r="BJ22" i="47"/>
  <c r="BJ23" i="47"/>
  <c r="BK21" i="47"/>
  <c r="BK22" i="47"/>
  <c r="BL20" i="47"/>
  <c r="BL21" i="47"/>
  <c r="BM20" i="47"/>
  <c r="BM23" i="47"/>
  <c r="BO22" i="47"/>
  <c r="BO23" i="47"/>
  <c r="BP21" i="47"/>
  <c r="BP22" i="47"/>
  <c r="BQ20" i="47"/>
  <c r="BQ21" i="47"/>
  <c r="BR20" i="47"/>
  <c r="BR23" i="47"/>
  <c r="BS23" i="47"/>
  <c r="BT21" i="47"/>
  <c r="BT22" i="47"/>
  <c r="BU20" i="47"/>
  <c r="BU21" i="47"/>
  <c r="CM5" i="47"/>
  <c r="CQ5" i="47"/>
  <c r="CR5" i="47"/>
  <c r="CV5" i="47"/>
  <c r="CW5" i="47"/>
  <c r="DA5" i="47"/>
  <c r="DB5" i="47"/>
  <c r="DH5" i="47"/>
  <c r="DK5" i="47"/>
  <c r="DM5" i="47"/>
  <c r="DQ5" i="47"/>
  <c r="DR5" i="47"/>
  <c r="DV5" i="47"/>
  <c r="DZ5" i="47"/>
  <c r="EA5" i="47"/>
  <c r="CM37" i="47"/>
  <c r="CN37" i="47"/>
  <c r="CS36" i="47"/>
  <c r="O25" i="47"/>
  <c r="O28" i="47"/>
  <c r="Q27" i="47"/>
  <c r="Q28" i="47"/>
  <c r="R26" i="47"/>
  <c r="R27" i="47"/>
  <c r="S25" i="47"/>
  <c r="S26" i="47"/>
  <c r="T25" i="47"/>
  <c r="T28" i="47"/>
  <c r="Y27" i="47"/>
  <c r="Y28" i="47"/>
  <c r="Z26" i="47"/>
  <c r="Z27" i="47"/>
  <c r="AB25" i="47"/>
  <c r="AB26" i="47"/>
  <c r="AD25" i="47"/>
  <c r="AD28" i="47"/>
  <c r="AE27" i="47"/>
  <c r="AE28" i="47"/>
  <c r="AG26" i="47"/>
  <c r="AG27" i="47"/>
  <c r="AJ25" i="47"/>
  <c r="AJ26" i="47"/>
  <c r="AK25" i="47"/>
  <c r="AK28" i="47"/>
  <c r="AL27" i="47"/>
  <c r="AL28" i="47"/>
  <c r="AW26" i="47"/>
  <c r="AW27" i="47"/>
  <c r="AX25" i="47"/>
  <c r="AX26" i="47"/>
  <c r="AY25" i="47"/>
  <c r="AY28" i="47"/>
  <c r="AZ27" i="47"/>
  <c r="AZ28" i="47"/>
  <c r="BB26" i="47"/>
  <c r="BC25" i="47"/>
  <c r="BC26" i="47"/>
  <c r="BD25" i="47"/>
  <c r="BD28" i="47"/>
  <c r="BE27" i="47"/>
  <c r="BE28" i="47"/>
  <c r="BF26" i="47"/>
  <c r="BF27" i="47"/>
  <c r="BG25" i="47"/>
  <c r="BG26" i="47"/>
  <c r="BH25" i="47"/>
  <c r="BH28" i="47"/>
  <c r="BJ27" i="47"/>
  <c r="BJ28" i="47"/>
  <c r="BK26" i="47"/>
  <c r="BK27" i="47"/>
  <c r="BL25" i="47"/>
  <c r="BL26" i="47"/>
  <c r="BM25" i="47"/>
  <c r="BM28" i="47"/>
  <c r="BO27" i="47"/>
  <c r="BO28" i="47"/>
  <c r="BP26" i="47"/>
  <c r="BP27" i="47"/>
  <c r="BQ25" i="47"/>
  <c r="BQ26" i="47"/>
  <c r="BR25" i="47"/>
  <c r="BR28" i="47"/>
  <c r="BS27" i="47"/>
  <c r="BS28" i="47"/>
  <c r="BT26" i="47"/>
  <c r="BT27" i="47"/>
  <c r="BU25" i="47"/>
  <c r="BU26" i="47"/>
  <c r="CM6" i="47"/>
  <c r="CQ6" i="47"/>
  <c r="CR6" i="47"/>
  <c r="CV6" i="47"/>
  <c r="CW6" i="47"/>
  <c r="DA6" i="47"/>
  <c r="DB6" i="47"/>
  <c r="DF6" i="47"/>
  <c r="DH6" i="47"/>
  <c r="DK6" i="47"/>
  <c r="DM6" i="47"/>
  <c r="DQ6" i="47"/>
  <c r="DR6" i="47"/>
  <c r="DV6" i="47"/>
  <c r="DZ6" i="47"/>
  <c r="EA6" i="47"/>
  <c r="CM38" i="47"/>
  <c r="CN38" i="47"/>
  <c r="CS37" i="47"/>
  <c r="O30" i="47"/>
  <c r="O33" i="47"/>
  <c r="Q32" i="47"/>
  <c r="Q33" i="47"/>
  <c r="R31" i="47"/>
  <c r="R32" i="47"/>
  <c r="S30" i="47"/>
  <c r="S31" i="47"/>
  <c r="T30" i="47"/>
  <c r="T33" i="47"/>
  <c r="Y32" i="47"/>
  <c r="Y33" i="47"/>
  <c r="Z31" i="47"/>
  <c r="Z32" i="47"/>
  <c r="AB30" i="47"/>
  <c r="AB31" i="47"/>
  <c r="AD30" i="47"/>
  <c r="AD33" i="47"/>
  <c r="AE32" i="47"/>
  <c r="AE33" i="47"/>
  <c r="AG31" i="47"/>
  <c r="AG32" i="47"/>
  <c r="AJ30" i="47"/>
  <c r="AJ31" i="47"/>
  <c r="AK30" i="47"/>
  <c r="AK33" i="47"/>
  <c r="AL32" i="47"/>
  <c r="AL33" i="47"/>
  <c r="AW31" i="47"/>
  <c r="AW32" i="47"/>
  <c r="AX30" i="47"/>
  <c r="AX31" i="47"/>
  <c r="AY30" i="47"/>
  <c r="AY33" i="47"/>
  <c r="AZ32" i="47"/>
  <c r="AZ33" i="47"/>
  <c r="BB31" i="47"/>
  <c r="BB32" i="47"/>
  <c r="BC30" i="47"/>
  <c r="BC31" i="47"/>
  <c r="BD30" i="47"/>
  <c r="BD33" i="47"/>
  <c r="BE32" i="47"/>
  <c r="BE33" i="47"/>
  <c r="BF31" i="47"/>
  <c r="BG30" i="47"/>
  <c r="BG31" i="47"/>
  <c r="BH30" i="47"/>
  <c r="BH33" i="47"/>
  <c r="BJ32" i="47"/>
  <c r="BJ33" i="47"/>
  <c r="BK31" i="47"/>
  <c r="BK32" i="47"/>
  <c r="BL30" i="47"/>
  <c r="BL31" i="47"/>
  <c r="BM30" i="47"/>
  <c r="BM33" i="47"/>
  <c r="BO32" i="47"/>
  <c r="BO33" i="47"/>
  <c r="BP31" i="47"/>
  <c r="BP32" i="47"/>
  <c r="BQ30" i="47"/>
  <c r="BQ31" i="47"/>
  <c r="BR30" i="47"/>
  <c r="BR33" i="47"/>
  <c r="BS32" i="47"/>
  <c r="BS33" i="47"/>
  <c r="BT31" i="47"/>
  <c r="BT32" i="47"/>
  <c r="BU30" i="47"/>
  <c r="BU31" i="47"/>
  <c r="CM7" i="47"/>
  <c r="CQ7" i="47"/>
  <c r="CR7" i="47"/>
  <c r="CV7" i="47"/>
  <c r="CW7" i="47"/>
  <c r="DA7" i="47"/>
  <c r="DB7" i="47"/>
  <c r="DF7" i="47"/>
  <c r="DH7" i="47"/>
  <c r="DK7" i="47"/>
  <c r="DM7" i="47"/>
  <c r="DQ7" i="47"/>
  <c r="DR7" i="47"/>
  <c r="DV7" i="47"/>
  <c r="DZ7" i="47"/>
  <c r="EA7" i="47"/>
  <c r="CM39" i="47"/>
  <c r="CN39" i="47"/>
  <c r="CS38" i="47"/>
  <c r="O35" i="47"/>
  <c r="O37" i="47"/>
  <c r="O38" i="47"/>
  <c r="Q36" i="47"/>
  <c r="Q37" i="47"/>
  <c r="Q38" i="47"/>
  <c r="R35" i="47"/>
  <c r="R36" i="47"/>
  <c r="R37" i="47"/>
  <c r="S35" i="47"/>
  <c r="S36" i="47"/>
  <c r="S38" i="47"/>
  <c r="T35" i="47"/>
  <c r="T37" i="47"/>
  <c r="T38" i="47"/>
  <c r="Y36" i="47"/>
  <c r="Y37" i="47"/>
  <c r="Y38" i="47"/>
  <c r="Z35" i="47"/>
  <c r="Z36" i="47"/>
  <c r="Z37" i="47"/>
  <c r="AB35" i="47"/>
  <c r="AB36" i="47"/>
  <c r="AB38" i="47"/>
  <c r="AD35" i="47"/>
  <c r="AD37" i="47"/>
  <c r="AD38" i="47"/>
  <c r="AE36" i="47"/>
  <c r="AE37" i="47"/>
  <c r="AE38" i="47"/>
  <c r="AG35" i="47"/>
  <c r="AG36" i="47"/>
  <c r="AG37" i="47"/>
  <c r="AJ35" i="47"/>
  <c r="AJ36" i="47"/>
  <c r="AJ38" i="47"/>
  <c r="AK35" i="47"/>
  <c r="AK37" i="47"/>
  <c r="AK38" i="47"/>
  <c r="AL36" i="47"/>
  <c r="AL37" i="47"/>
  <c r="AL38" i="47"/>
  <c r="AW35" i="47"/>
  <c r="AW36" i="47"/>
  <c r="AW37" i="47"/>
  <c r="AX35" i="47"/>
  <c r="AX36" i="47"/>
  <c r="AX38" i="47"/>
  <c r="AY35" i="47"/>
  <c r="AY37" i="47"/>
  <c r="AY38" i="47"/>
  <c r="AZ36" i="47"/>
  <c r="AZ37" i="47"/>
  <c r="AZ38" i="47"/>
  <c r="BB35" i="47"/>
  <c r="BB36" i="47"/>
  <c r="BB37" i="47"/>
  <c r="BC35" i="47"/>
  <c r="BC36" i="47"/>
  <c r="BC38" i="47"/>
  <c r="BD35" i="47"/>
  <c r="BD37" i="47"/>
  <c r="BD38" i="47"/>
  <c r="BE36" i="47"/>
  <c r="BE37" i="47"/>
  <c r="BE38" i="47"/>
  <c r="BF35" i="47"/>
  <c r="BF36" i="47"/>
  <c r="BF37" i="47"/>
  <c r="BG35" i="47"/>
  <c r="BG36" i="47"/>
  <c r="BG38" i="47"/>
  <c r="BH35" i="47"/>
  <c r="BH37" i="47"/>
  <c r="BH38" i="47"/>
  <c r="BJ36" i="47"/>
  <c r="BJ37" i="47"/>
  <c r="BJ38" i="47"/>
  <c r="BK35" i="47"/>
  <c r="BK36" i="47"/>
  <c r="BK37" i="47"/>
  <c r="BL35" i="47"/>
  <c r="BL36" i="47"/>
  <c r="BL38" i="47"/>
  <c r="BM35" i="47"/>
  <c r="BM37" i="47"/>
  <c r="BM38" i="47"/>
  <c r="BO37" i="47"/>
  <c r="BO38" i="47"/>
  <c r="BP35" i="47"/>
  <c r="BP36" i="47"/>
  <c r="BP37" i="47"/>
  <c r="BQ35" i="47"/>
  <c r="BQ36" i="47"/>
  <c r="BQ38" i="47"/>
  <c r="BR35" i="47"/>
  <c r="BR37" i="47"/>
  <c r="BR38" i="47"/>
  <c r="BS36" i="47"/>
  <c r="BS37" i="47"/>
  <c r="BS38" i="47"/>
  <c r="BT35" i="47"/>
  <c r="BT36" i="47"/>
  <c r="BT37" i="47"/>
  <c r="BU35" i="47"/>
  <c r="BU36" i="47"/>
  <c r="BU38" i="47"/>
  <c r="CM8" i="47"/>
  <c r="CN8" i="47"/>
  <c r="CO8" i="47"/>
  <c r="CR8" i="47"/>
  <c r="CS8" i="47"/>
  <c r="CU8" i="47"/>
  <c r="CW8" i="47"/>
  <c r="CX8" i="47"/>
  <c r="CZ8" i="47"/>
  <c r="DB8" i="47"/>
  <c r="DD8" i="47"/>
  <c r="DE8" i="47"/>
  <c r="DH8" i="47"/>
  <c r="DI8" i="47"/>
  <c r="DJ8" i="47"/>
  <c r="DM8" i="47"/>
  <c r="DN8" i="47"/>
  <c r="DO8" i="47"/>
  <c r="DR8" i="47"/>
  <c r="DS8" i="47"/>
  <c r="DY8" i="47"/>
  <c r="EA8" i="47"/>
  <c r="CM40" i="47"/>
  <c r="CN40" i="47"/>
  <c r="CQ40" i="47"/>
  <c r="CS39" i="47"/>
  <c r="O40" i="47"/>
  <c r="O42" i="47"/>
  <c r="O43" i="47"/>
  <c r="Q41" i="47"/>
  <c r="Q43" i="47"/>
  <c r="R40" i="47"/>
  <c r="R41" i="47"/>
  <c r="R42" i="47"/>
  <c r="S40" i="47"/>
  <c r="S41" i="47"/>
  <c r="S43" i="47"/>
  <c r="T40" i="47"/>
  <c r="T43" i="47"/>
  <c r="Y41" i="47"/>
  <c r="Y42" i="47"/>
  <c r="Y43" i="47"/>
  <c r="Z41" i="47"/>
  <c r="Z42" i="47"/>
  <c r="AB40" i="47"/>
  <c r="AB43" i="47"/>
  <c r="AD40" i="47"/>
  <c r="AD43" i="47"/>
  <c r="AE41" i="47"/>
  <c r="AE42" i="47"/>
  <c r="AE43" i="47"/>
  <c r="AG40" i="47"/>
  <c r="AG41" i="47"/>
  <c r="AJ40" i="47"/>
  <c r="AJ41" i="47"/>
  <c r="AK40" i="47"/>
  <c r="AK42" i="47"/>
  <c r="AK43" i="47"/>
  <c r="AL41" i="47"/>
  <c r="AL42" i="47"/>
  <c r="AL43" i="47"/>
  <c r="AW40" i="47"/>
  <c r="AW41" i="47"/>
  <c r="AW42" i="47"/>
  <c r="AX40" i="47"/>
  <c r="AX41" i="47"/>
  <c r="AX43" i="47"/>
  <c r="AY40" i="47"/>
  <c r="AY42" i="47"/>
  <c r="AY43" i="47"/>
  <c r="AZ41" i="47"/>
  <c r="AZ42" i="47"/>
  <c r="AZ43" i="47"/>
  <c r="BB40" i="47"/>
  <c r="BB41" i="47"/>
  <c r="BB42" i="47"/>
  <c r="BC40" i="47"/>
  <c r="BC41" i="47"/>
  <c r="BC43" i="47"/>
  <c r="BD40" i="47"/>
  <c r="BD42" i="47"/>
  <c r="BD43" i="47"/>
  <c r="BE41" i="47"/>
  <c r="BE42" i="47"/>
  <c r="BE43" i="47"/>
  <c r="BF40" i="47"/>
  <c r="BF41" i="47"/>
  <c r="BG40" i="47"/>
  <c r="BG41" i="47"/>
  <c r="BG43" i="47"/>
  <c r="BH40" i="47"/>
  <c r="BH42" i="47"/>
  <c r="BH43" i="47"/>
  <c r="BJ41" i="47"/>
  <c r="BJ42" i="47"/>
  <c r="BJ43" i="47"/>
  <c r="BK40" i="47"/>
  <c r="BK41" i="47"/>
  <c r="BK42" i="47"/>
  <c r="BL40" i="47"/>
  <c r="BL41" i="47"/>
  <c r="BL43" i="47"/>
  <c r="BM40" i="47"/>
  <c r="BM42" i="47"/>
  <c r="BM43" i="47"/>
  <c r="BO41" i="47"/>
  <c r="BO42" i="47"/>
  <c r="BO43" i="47"/>
  <c r="BP40" i="47"/>
  <c r="BP41" i="47"/>
  <c r="BP42" i="47"/>
  <c r="BQ40" i="47"/>
  <c r="BQ41" i="47"/>
  <c r="BQ43" i="47"/>
  <c r="BR40" i="47"/>
  <c r="BR42" i="47"/>
  <c r="BR43" i="47"/>
  <c r="BS41" i="47"/>
  <c r="BS42" i="47"/>
  <c r="BS43" i="47"/>
  <c r="BT40" i="47"/>
  <c r="BT41" i="47"/>
  <c r="BT42" i="47"/>
  <c r="BU40" i="47"/>
  <c r="BU41" i="47"/>
  <c r="BU43" i="47"/>
  <c r="CM9" i="47"/>
  <c r="CN9" i="47"/>
  <c r="CO9" i="47"/>
  <c r="CR9" i="47"/>
  <c r="CS9" i="47"/>
  <c r="CU9" i="47"/>
  <c r="CW9" i="47"/>
  <c r="CX9" i="47"/>
  <c r="CZ9" i="47"/>
  <c r="DB9" i="47"/>
  <c r="DD9" i="47"/>
  <c r="DE9" i="47"/>
  <c r="DH9" i="47"/>
  <c r="DI9" i="47"/>
  <c r="DJ9" i="47"/>
  <c r="DM9" i="47"/>
  <c r="DN9" i="47"/>
  <c r="DO9" i="47"/>
  <c r="DR9" i="47"/>
  <c r="DS9" i="47"/>
  <c r="DY9" i="47"/>
  <c r="EA9" i="47"/>
  <c r="CM41" i="47"/>
  <c r="CN41" i="47"/>
  <c r="CQ41" i="47"/>
  <c r="CS40" i="47"/>
  <c r="F10" i="47"/>
  <c r="F11" i="47" s="1"/>
  <c r="O45" i="47"/>
  <c r="O47" i="47"/>
  <c r="O48" i="47"/>
  <c r="Q48" i="47"/>
  <c r="R45" i="47"/>
  <c r="R46" i="47"/>
  <c r="R47" i="47"/>
  <c r="S45" i="47"/>
  <c r="S46" i="47"/>
  <c r="S48" i="47"/>
  <c r="T45" i="47"/>
  <c r="T47" i="47"/>
  <c r="T48" i="47"/>
  <c r="Y46" i="47"/>
  <c r="Y47" i="47"/>
  <c r="Y48" i="47"/>
  <c r="Z45" i="47"/>
  <c r="Z46" i="47"/>
  <c r="Z47" i="47"/>
  <c r="AB45" i="47"/>
  <c r="AB48" i="47"/>
  <c r="AD45" i="47"/>
  <c r="AD47" i="47"/>
  <c r="AD48" i="47"/>
  <c r="AE46" i="47"/>
  <c r="AE47" i="47"/>
  <c r="AE48" i="47"/>
  <c r="AG45" i="47"/>
  <c r="AG47" i="47"/>
  <c r="AJ45" i="47"/>
  <c r="AJ46" i="47"/>
  <c r="AJ48" i="47"/>
  <c r="AK45" i="47"/>
  <c r="AK47" i="47"/>
  <c r="AK48" i="47"/>
  <c r="AL46" i="47"/>
  <c r="AL47" i="47"/>
  <c r="AL48" i="47"/>
  <c r="AW45" i="47"/>
  <c r="AW46" i="47"/>
  <c r="AW47" i="47"/>
  <c r="AX45" i="47"/>
  <c r="AX46" i="47"/>
  <c r="AX48" i="47"/>
  <c r="AY45" i="47"/>
  <c r="AY47" i="47"/>
  <c r="AY48" i="47"/>
  <c r="AZ46" i="47"/>
  <c r="AZ47" i="47"/>
  <c r="AZ48" i="47"/>
  <c r="BB45" i="47"/>
  <c r="BB46" i="47"/>
  <c r="BB47" i="47"/>
  <c r="BC45" i="47"/>
  <c r="BC46" i="47"/>
  <c r="BC48" i="47"/>
  <c r="BD45" i="47"/>
  <c r="BD47" i="47"/>
  <c r="BD48" i="47"/>
  <c r="BE46" i="47"/>
  <c r="BE47" i="47"/>
  <c r="BE48" i="47"/>
  <c r="BG45" i="47"/>
  <c r="BG46" i="47"/>
  <c r="BG48" i="47"/>
  <c r="BH45" i="47"/>
  <c r="BH47" i="47"/>
  <c r="BH48" i="47"/>
  <c r="BJ46" i="47"/>
  <c r="BJ47" i="47"/>
  <c r="BJ48" i="47"/>
  <c r="BK45" i="47"/>
  <c r="BK46" i="47"/>
  <c r="BK47" i="47"/>
  <c r="BL45" i="47"/>
  <c r="BL46" i="47"/>
  <c r="BL48" i="47"/>
  <c r="BM45" i="47"/>
  <c r="BM47" i="47"/>
  <c r="BM48" i="47"/>
  <c r="BO46" i="47"/>
  <c r="BO47" i="47"/>
  <c r="BO48" i="47"/>
  <c r="BP45" i="47"/>
  <c r="BP46" i="47"/>
  <c r="BP47" i="47"/>
  <c r="BQ45" i="47"/>
  <c r="BQ46" i="47"/>
  <c r="BQ48" i="47"/>
  <c r="BR45" i="47"/>
  <c r="BR47" i="47"/>
  <c r="BR48" i="47"/>
  <c r="BS46" i="47"/>
  <c r="BS48" i="47"/>
  <c r="BT45" i="47"/>
  <c r="BT46" i="47"/>
  <c r="BT47" i="47"/>
  <c r="BU45" i="47"/>
  <c r="BU46" i="47"/>
  <c r="BU48" i="47"/>
  <c r="CM10" i="47"/>
  <c r="CN10" i="47"/>
  <c r="CO10" i="47"/>
  <c r="CR10" i="47"/>
  <c r="CS10" i="47"/>
  <c r="CU10" i="47"/>
  <c r="CW10" i="47"/>
  <c r="CX10" i="47"/>
  <c r="CZ10" i="47"/>
  <c r="DB10" i="47"/>
  <c r="DD10" i="47"/>
  <c r="DE10" i="47"/>
  <c r="DH10" i="47"/>
  <c r="DI10" i="47"/>
  <c r="DJ10" i="47"/>
  <c r="DM10" i="47"/>
  <c r="DN10" i="47"/>
  <c r="DO10" i="47"/>
  <c r="DR10" i="47"/>
  <c r="DS10" i="47"/>
  <c r="DY10" i="47"/>
  <c r="EA10" i="47"/>
  <c r="CM42" i="47"/>
  <c r="CN42" i="47"/>
  <c r="CQ42" i="47"/>
  <c r="CS41" i="47"/>
  <c r="O50" i="47"/>
  <c r="O52" i="47"/>
  <c r="O53" i="47"/>
  <c r="R50" i="47"/>
  <c r="R51" i="47"/>
  <c r="R52" i="47"/>
  <c r="S50" i="47"/>
  <c r="S51" i="47"/>
  <c r="S53" i="47"/>
  <c r="T50" i="47"/>
  <c r="T52" i="47"/>
  <c r="T53" i="47"/>
  <c r="Y51" i="47"/>
  <c r="Y52" i="47"/>
  <c r="Y53" i="47"/>
  <c r="Z50" i="47"/>
  <c r="Z51" i="47"/>
  <c r="Z52" i="47"/>
  <c r="AB50" i="47"/>
  <c r="AB51" i="47"/>
  <c r="AD50" i="47"/>
  <c r="AD52" i="47"/>
  <c r="AD53" i="47"/>
  <c r="AE51" i="47"/>
  <c r="AE52" i="47"/>
  <c r="AE53" i="47"/>
  <c r="AG50" i="47"/>
  <c r="AG51" i="47"/>
  <c r="AJ50" i="47"/>
  <c r="AJ51" i="47"/>
  <c r="AJ53" i="47"/>
  <c r="AK50" i="47"/>
  <c r="AK52" i="47"/>
  <c r="AK53" i="47"/>
  <c r="AL51" i="47"/>
  <c r="AL52" i="47"/>
  <c r="AL53" i="47"/>
  <c r="AW50" i="47"/>
  <c r="AW51" i="47"/>
  <c r="AW52" i="47"/>
  <c r="AX50" i="47"/>
  <c r="AX51" i="47"/>
  <c r="AX53" i="47"/>
  <c r="AY50" i="47"/>
  <c r="AY52" i="47"/>
  <c r="AY53" i="47"/>
  <c r="AZ51" i="47"/>
  <c r="AZ52" i="47"/>
  <c r="AZ53" i="47"/>
  <c r="BB50" i="47"/>
  <c r="BB51" i="47"/>
  <c r="BB52" i="47"/>
  <c r="BC50" i="47"/>
  <c r="BC51" i="47"/>
  <c r="BC53" i="47"/>
  <c r="BD50" i="47"/>
  <c r="BD52" i="47"/>
  <c r="BD53" i="47"/>
  <c r="BE51" i="47"/>
  <c r="BE52" i="47"/>
  <c r="BE53" i="47"/>
  <c r="BF50" i="47"/>
  <c r="BF51" i="47"/>
  <c r="BF52" i="47"/>
  <c r="BG50" i="47"/>
  <c r="BG51" i="47"/>
  <c r="BG53" i="47"/>
  <c r="BH50" i="47"/>
  <c r="BH52" i="47"/>
  <c r="BH53" i="47"/>
  <c r="BJ51" i="47"/>
  <c r="BJ52" i="47"/>
  <c r="BJ53" i="47"/>
  <c r="BK50" i="47"/>
  <c r="BK51" i="47"/>
  <c r="BK52" i="47"/>
  <c r="BL50" i="47"/>
  <c r="BL51" i="47"/>
  <c r="BL53" i="47"/>
  <c r="BM50" i="47"/>
  <c r="BM52" i="47"/>
  <c r="BM53" i="47"/>
  <c r="BO51" i="47"/>
  <c r="BO52" i="47"/>
  <c r="BO53" i="47"/>
  <c r="BP50" i="47"/>
  <c r="BP51" i="47"/>
  <c r="BP52" i="47"/>
  <c r="BQ50" i="47"/>
  <c r="BQ51" i="47"/>
  <c r="BQ53" i="47"/>
  <c r="BR50" i="47"/>
  <c r="BR52" i="47"/>
  <c r="BR53" i="47"/>
  <c r="BS51" i="47"/>
  <c r="BT50" i="47"/>
  <c r="BT51" i="47"/>
  <c r="BT52" i="47"/>
  <c r="BU50" i="47"/>
  <c r="BU51" i="47"/>
  <c r="BU53" i="47"/>
  <c r="CM11" i="47"/>
  <c r="CN11" i="47"/>
  <c r="CO11" i="47"/>
  <c r="CR11" i="47"/>
  <c r="CS11" i="47"/>
  <c r="CU11" i="47"/>
  <c r="CW11" i="47"/>
  <c r="CX11" i="47"/>
  <c r="CZ11" i="47"/>
  <c r="DB11" i="47"/>
  <c r="DD11" i="47"/>
  <c r="DE11" i="47"/>
  <c r="DH11" i="47"/>
  <c r="DI11" i="47"/>
  <c r="DJ11" i="47"/>
  <c r="DM11" i="47"/>
  <c r="DN11" i="47"/>
  <c r="DO11" i="47"/>
  <c r="DR11" i="47"/>
  <c r="DS11" i="47"/>
  <c r="DY11" i="47"/>
  <c r="EA11" i="47"/>
  <c r="CM43" i="47"/>
  <c r="CN43" i="47"/>
  <c r="CQ43" i="47"/>
  <c r="CS42" i="47"/>
  <c r="F12" i="47"/>
  <c r="O55" i="47"/>
  <c r="O57" i="47"/>
  <c r="O58" i="47"/>
  <c r="R55" i="47"/>
  <c r="R57" i="47"/>
  <c r="S55" i="47"/>
  <c r="S56" i="47"/>
  <c r="S58" i="47"/>
  <c r="T55" i="47"/>
  <c r="T57" i="47"/>
  <c r="T58" i="47"/>
  <c r="Y57" i="47"/>
  <c r="Z55" i="47"/>
  <c r="Z56" i="47"/>
  <c r="Z57" i="47"/>
  <c r="AB56" i="47"/>
  <c r="AB58" i="47"/>
  <c r="AD55" i="47"/>
  <c r="AD57" i="47"/>
  <c r="AE56" i="47"/>
  <c r="AE57" i="47"/>
  <c r="AE58" i="47"/>
  <c r="AG55" i="47"/>
  <c r="AG57" i="47"/>
  <c r="AJ55" i="47"/>
  <c r="AJ56" i="47"/>
  <c r="AJ58" i="47"/>
  <c r="AK55" i="47"/>
  <c r="AK57" i="47"/>
  <c r="AK58" i="47"/>
  <c r="AL56" i="47"/>
  <c r="AL57" i="47"/>
  <c r="AL58" i="47"/>
  <c r="AW55" i="47"/>
  <c r="AW56" i="47"/>
  <c r="AW57" i="47"/>
  <c r="AX55" i="47"/>
  <c r="AX56" i="47"/>
  <c r="AX58" i="47"/>
  <c r="AY55" i="47"/>
  <c r="AY57" i="47"/>
  <c r="AY58" i="47"/>
  <c r="AZ56" i="47"/>
  <c r="AZ57" i="47"/>
  <c r="AZ58" i="47"/>
  <c r="BB55" i="47"/>
  <c r="BB56" i="47"/>
  <c r="BB57" i="47"/>
  <c r="BC55" i="47"/>
  <c r="BC56" i="47"/>
  <c r="BC58" i="47"/>
  <c r="BD55" i="47"/>
  <c r="BD57" i="47"/>
  <c r="BD58" i="47"/>
  <c r="BE56" i="47"/>
  <c r="BE57" i="47"/>
  <c r="BE58" i="47"/>
  <c r="BF56" i="47"/>
  <c r="BF57" i="47"/>
  <c r="BF58" i="47"/>
  <c r="BG55" i="47"/>
  <c r="BG56" i="47"/>
  <c r="BG57" i="47"/>
  <c r="BG58" i="47"/>
  <c r="BH55" i="47"/>
  <c r="BH56" i="47"/>
  <c r="BH57" i="47"/>
  <c r="BH58" i="47"/>
  <c r="BJ56" i="47"/>
  <c r="BJ57" i="47"/>
  <c r="BJ58" i="47"/>
  <c r="BK55" i="47"/>
  <c r="BK56" i="47"/>
  <c r="BK57" i="47"/>
  <c r="BK58" i="47"/>
  <c r="BL55" i="47"/>
  <c r="BL56" i="47"/>
  <c r="BL57" i="47"/>
  <c r="BL58" i="47"/>
  <c r="BM55" i="47"/>
  <c r="BM56" i="47"/>
  <c r="BM57" i="47"/>
  <c r="BM58" i="47"/>
  <c r="BO56" i="47"/>
  <c r="BO57" i="47"/>
  <c r="BO58" i="47"/>
  <c r="BP55" i="47"/>
  <c r="BP56" i="47"/>
  <c r="BP57" i="47"/>
  <c r="BP58" i="47"/>
  <c r="BQ55" i="47"/>
  <c r="BQ56" i="47"/>
  <c r="BQ57" i="47"/>
  <c r="BQ58" i="47"/>
  <c r="BR55" i="47"/>
  <c r="BR56" i="47"/>
  <c r="BR57" i="47"/>
  <c r="BR58" i="47"/>
  <c r="BS56" i="47"/>
  <c r="BS57" i="47"/>
  <c r="BS58" i="47"/>
  <c r="BT55" i="47"/>
  <c r="BT56" i="47"/>
  <c r="BT57" i="47"/>
  <c r="BT58" i="47"/>
  <c r="BU55" i="47"/>
  <c r="BU56" i="47"/>
  <c r="BU57" i="47"/>
  <c r="BU58" i="47"/>
  <c r="CM12" i="47"/>
  <c r="CN12" i="47"/>
  <c r="CO12" i="47"/>
  <c r="CQ12" i="47"/>
  <c r="CR12" i="47"/>
  <c r="CS12" i="47"/>
  <c r="CU12" i="47"/>
  <c r="CV12" i="47"/>
  <c r="CW12" i="47"/>
  <c r="CX12" i="47"/>
  <c r="CZ12" i="47"/>
  <c r="DA12" i="47"/>
  <c r="DB12" i="47"/>
  <c r="DD12" i="47"/>
  <c r="DE12" i="47"/>
  <c r="DH12" i="47"/>
  <c r="DI12" i="47"/>
  <c r="DJ12" i="47"/>
  <c r="DK12" i="47"/>
  <c r="DM12" i="47"/>
  <c r="DN12" i="47"/>
  <c r="DO12" i="47"/>
  <c r="DQ12" i="47"/>
  <c r="DR12" i="47"/>
  <c r="DS12" i="47"/>
  <c r="DV12" i="47"/>
  <c r="DY12" i="47"/>
  <c r="DZ12" i="47"/>
  <c r="EA12" i="47"/>
  <c r="CM44" i="47"/>
  <c r="CO43" i="47"/>
  <c r="CN44" i="47"/>
  <c r="CQ44" i="47"/>
  <c r="CS43" i="47"/>
  <c r="CR44" i="47"/>
  <c r="O60" i="47"/>
  <c r="O61" i="47"/>
  <c r="O62" i="47"/>
  <c r="O63" i="47"/>
  <c r="R60" i="47"/>
  <c r="S60" i="47"/>
  <c r="S61" i="47"/>
  <c r="S63" i="47"/>
  <c r="T60" i="47"/>
  <c r="T62" i="47"/>
  <c r="T63" i="47"/>
  <c r="Z60" i="47"/>
  <c r="Z61" i="47"/>
  <c r="Z62" i="47"/>
  <c r="Z63" i="47"/>
  <c r="AB60" i="47"/>
  <c r="AB61" i="47"/>
  <c r="AB62" i="47"/>
  <c r="AB63" i="47"/>
  <c r="AD60" i="47"/>
  <c r="AE60" i="47"/>
  <c r="AE61" i="47"/>
  <c r="AE62" i="47"/>
  <c r="AE63" i="47"/>
  <c r="AJ60" i="47"/>
  <c r="AJ61" i="47"/>
  <c r="AJ62" i="47"/>
  <c r="AJ63" i="47"/>
  <c r="AK60" i="47"/>
  <c r="AK61" i="47"/>
  <c r="AK62" i="47"/>
  <c r="AK63" i="47"/>
  <c r="AL60" i="47"/>
  <c r="AL61" i="47"/>
  <c r="AL62" i="47"/>
  <c r="AL63" i="47"/>
  <c r="AW60" i="47"/>
  <c r="AW61" i="47"/>
  <c r="AW62" i="47"/>
  <c r="AX60" i="47"/>
  <c r="AX61" i="47"/>
  <c r="AX62" i="47"/>
  <c r="AX63" i="47"/>
  <c r="AY60" i="47"/>
  <c r="AY61" i="47"/>
  <c r="AY62" i="47"/>
  <c r="AY63" i="47"/>
  <c r="AZ60" i="47"/>
  <c r="AZ61" i="47"/>
  <c r="AZ62" i="47"/>
  <c r="AZ63" i="47"/>
  <c r="BB60" i="47"/>
  <c r="BB61" i="47"/>
  <c r="BB62" i="47"/>
  <c r="BB63" i="47"/>
  <c r="BC60" i="47"/>
  <c r="BC61" i="47"/>
  <c r="BC62" i="47"/>
  <c r="BC63" i="47"/>
  <c r="BD60" i="47"/>
  <c r="BD61" i="47"/>
  <c r="BD62" i="47"/>
  <c r="BD63" i="47"/>
  <c r="BE60" i="47"/>
  <c r="BE61" i="47"/>
  <c r="BE62" i="47"/>
  <c r="BE63" i="47"/>
  <c r="BF60" i="47"/>
  <c r="BF61" i="47"/>
  <c r="BF63" i="47"/>
  <c r="BG60" i="47"/>
  <c r="BG61" i="47"/>
  <c r="BG62" i="47"/>
  <c r="BG63" i="47"/>
  <c r="BH60" i="47"/>
  <c r="BH61" i="47"/>
  <c r="BH62" i="47"/>
  <c r="BH63" i="47"/>
  <c r="BJ60" i="47"/>
  <c r="BJ61" i="47"/>
  <c r="BJ62" i="47"/>
  <c r="BJ63" i="47"/>
  <c r="BK60" i="47"/>
  <c r="BK61" i="47"/>
  <c r="BK62" i="47"/>
  <c r="BK63" i="47"/>
  <c r="BL60" i="47"/>
  <c r="BL61" i="47"/>
  <c r="BL62" i="47"/>
  <c r="BL63" i="47"/>
  <c r="BM60" i="47"/>
  <c r="BM61" i="47"/>
  <c r="BM62" i="47"/>
  <c r="BM63" i="47"/>
  <c r="BO61" i="47"/>
  <c r="BO62" i="47"/>
  <c r="BO63" i="47"/>
  <c r="BP60" i="47"/>
  <c r="BP61" i="47"/>
  <c r="BP62" i="47"/>
  <c r="BP63" i="47"/>
  <c r="BQ60" i="47"/>
  <c r="BQ61" i="47"/>
  <c r="BQ62" i="47"/>
  <c r="BQ63" i="47"/>
  <c r="BR60" i="47"/>
  <c r="BR61" i="47"/>
  <c r="BR62" i="47"/>
  <c r="BR63" i="47"/>
  <c r="BS60" i="47"/>
  <c r="BS61" i="47"/>
  <c r="BS62" i="47"/>
  <c r="BS63" i="47"/>
  <c r="BT60" i="47"/>
  <c r="BT61" i="47"/>
  <c r="BT62" i="47"/>
  <c r="BT63" i="47"/>
  <c r="BU60" i="47"/>
  <c r="BU61" i="47"/>
  <c r="BU62" i="47"/>
  <c r="BU63" i="47"/>
  <c r="CM13" i="47"/>
  <c r="CN13" i="47"/>
  <c r="CO13" i="47"/>
  <c r="CQ13" i="47"/>
  <c r="CR13" i="47"/>
  <c r="CS13" i="47"/>
  <c r="CU13" i="47"/>
  <c r="CV13" i="47"/>
  <c r="CW13" i="47"/>
  <c r="CX13" i="47"/>
  <c r="CZ13" i="47"/>
  <c r="DA13" i="47"/>
  <c r="DB13" i="47"/>
  <c r="DD13" i="47"/>
  <c r="DE13" i="47"/>
  <c r="DH13" i="47"/>
  <c r="DI13" i="47"/>
  <c r="DJ13" i="47"/>
  <c r="DK13" i="47"/>
  <c r="DM13" i="47"/>
  <c r="DN13" i="47"/>
  <c r="DO13" i="47"/>
  <c r="DQ13" i="47"/>
  <c r="DR13" i="47"/>
  <c r="DS13" i="47"/>
  <c r="DV13" i="47"/>
  <c r="DY13" i="47"/>
  <c r="DZ13" i="47"/>
  <c r="EA13" i="47"/>
  <c r="CM14" i="47"/>
  <c r="CN14" i="47"/>
  <c r="CO14" i="47"/>
  <c r="CQ14" i="47"/>
  <c r="CR14" i="47"/>
  <c r="CS14" i="47"/>
  <c r="CU14" i="47"/>
  <c r="CV14" i="47"/>
  <c r="CW14" i="47"/>
  <c r="CX14" i="47"/>
  <c r="CZ14" i="47"/>
  <c r="DA14" i="47"/>
  <c r="DB14" i="47"/>
  <c r="DD14" i="47"/>
  <c r="DE14" i="47"/>
  <c r="DF14" i="47"/>
  <c r="DH14" i="47"/>
  <c r="DI14" i="47"/>
  <c r="DJ14" i="47"/>
  <c r="DK14" i="47"/>
  <c r="DM14" i="47"/>
  <c r="DN14" i="47"/>
  <c r="DO14" i="47"/>
  <c r="DQ14" i="47"/>
  <c r="DR14" i="47"/>
  <c r="DS14" i="47"/>
  <c r="DV14" i="47"/>
  <c r="DY14" i="47"/>
  <c r="DZ14" i="47"/>
  <c r="EA14" i="47"/>
  <c r="U15" i="47"/>
  <c r="V15" i="47"/>
  <c r="W15" i="47"/>
  <c r="AA15" i="47"/>
  <c r="AC15" i="47"/>
  <c r="AF15" i="47"/>
  <c r="AH15" i="47"/>
  <c r="BY15" i="47"/>
  <c r="CM15" i="47"/>
  <c r="CN15" i="47"/>
  <c r="CO15" i="47"/>
  <c r="CQ15" i="47"/>
  <c r="CR15" i="47"/>
  <c r="CS15" i="47"/>
  <c r="CU15" i="47"/>
  <c r="CV15" i="47"/>
  <c r="CW15" i="47"/>
  <c r="CX15" i="47"/>
  <c r="CZ15" i="47"/>
  <c r="DA15" i="47"/>
  <c r="DB15" i="47"/>
  <c r="DD15" i="47"/>
  <c r="DE15" i="47"/>
  <c r="DF15" i="47"/>
  <c r="DH15" i="47"/>
  <c r="DI15" i="47"/>
  <c r="DJ15" i="47"/>
  <c r="DK15" i="47"/>
  <c r="DM15" i="47"/>
  <c r="DN15" i="47"/>
  <c r="DO15" i="47"/>
  <c r="DQ15" i="47"/>
  <c r="DR15" i="47"/>
  <c r="DS15" i="47"/>
  <c r="DV15" i="47"/>
  <c r="DY15" i="47"/>
  <c r="DZ15" i="47"/>
  <c r="EA15" i="47"/>
  <c r="CM32" i="47"/>
  <c r="CO32" i="47"/>
  <c r="CN32" i="47"/>
  <c r="CQ32" i="47"/>
  <c r="CS32" i="47"/>
  <c r="CR32" i="47"/>
  <c r="U16" i="47"/>
  <c r="V16" i="47"/>
  <c r="W16" i="47"/>
  <c r="AA16" i="47"/>
  <c r="AC16" i="47"/>
  <c r="AF16" i="47"/>
  <c r="AH16" i="47"/>
  <c r="BY16" i="47"/>
  <c r="CM16" i="47"/>
  <c r="CN16" i="47"/>
  <c r="CO16" i="47"/>
  <c r="CQ16" i="47"/>
  <c r="CR16" i="47"/>
  <c r="CS16" i="47"/>
  <c r="CU16" i="47"/>
  <c r="CV16" i="47"/>
  <c r="CW16" i="47"/>
  <c r="CX16" i="47"/>
  <c r="CZ16" i="47"/>
  <c r="DA16" i="47"/>
  <c r="DB16" i="47"/>
  <c r="DD16" i="47"/>
  <c r="DE16" i="47"/>
  <c r="DF16" i="47"/>
  <c r="DH16" i="47"/>
  <c r="DI16" i="47"/>
  <c r="DJ16" i="47"/>
  <c r="DK16" i="47"/>
  <c r="DM16" i="47"/>
  <c r="DN16" i="47"/>
  <c r="DO16" i="47"/>
  <c r="DQ16" i="47"/>
  <c r="DR16" i="47"/>
  <c r="DS16" i="47"/>
  <c r="DV16" i="47"/>
  <c r="DY16" i="47"/>
  <c r="DZ16" i="47"/>
  <c r="EA16" i="47"/>
  <c r="CM33" i="47"/>
  <c r="CO33" i="47"/>
  <c r="CN33" i="47"/>
  <c r="CQ33" i="47"/>
  <c r="CS33" i="47"/>
  <c r="CR33" i="47"/>
  <c r="U17" i="47"/>
  <c r="V17" i="47"/>
  <c r="W17" i="47"/>
  <c r="AA17" i="47"/>
  <c r="AC17" i="47"/>
  <c r="AF17" i="47"/>
  <c r="AH17" i="47"/>
  <c r="CM17" i="47"/>
  <c r="CN17" i="47"/>
  <c r="CO17" i="47"/>
  <c r="CQ17" i="47"/>
  <c r="CR17" i="47"/>
  <c r="CS17" i="47"/>
  <c r="CU17" i="47"/>
  <c r="CV17" i="47"/>
  <c r="CW17" i="47"/>
  <c r="CX17" i="47"/>
  <c r="CZ17" i="47"/>
  <c r="DA17" i="47"/>
  <c r="DB17" i="47"/>
  <c r="DD17" i="47"/>
  <c r="DE17" i="47"/>
  <c r="DF17" i="47"/>
  <c r="DH17" i="47"/>
  <c r="DI17" i="47"/>
  <c r="DJ17" i="47"/>
  <c r="DK17" i="47"/>
  <c r="DM17" i="47"/>
  <c r="DN17" i="47"/>
  <c r="DO17" i="47"/>
  <c r="DQ17" i="47"/>
  <c r="DR17" i="47"/>
  <c r="DS17" i="47"/>
  <c r="DV17" i="47"/>
  <c r="DY17" i="47"/>
  <c r="DZ17" i="47"/>
  <c r="EA17" i="47"/>
  <c r="CM34" i="47"/>
  <c r="CO34" i="47"/>
  <c r="CN34" i="47"/>
  <c r="CQ34" i="47"/>
  <c r="CS34" i="47"/>
  <c r="CR34" i="47"/>
  <c r="U18" i="47"/>
  <c r="V18" i="47"/>
  <c r="W18" i="47"/>
  <c r="AA18" i="47"/>
  <c r="AC18" i="47"/>
  <c r="AF18" i="47"/>
  <c r="AH18" i="47"/>
  <c r="BY18" i="47"/>
  <c r="CM18" i="47"/>
  <c r="CN18" i="47"/>
  <c r="CO18" i="47"/>
  <c r="CQ18" i="47"/>
  <c r="CR18" i="47"/>
  <c r="CS18" i="47"/>
  <c r="CU18" i="47"/>
  <c r="CV18" i="47"/>
  <c r="CW18" i="47"/>
  <c r="CX18" i="47"/>
  <c r="CZ18" i="47"/>
  <c r="DA18" i="47"/>
  <c r="DB18" i="47"/>
  <c r="DD18" i="47"/>
  <c r="DE18" i="47"/>
  <c r="DF18" i="47"/>
  <c r="DH18" i="47"/>
  <c r="DI18" i="47"/>
  <c r="DJ18" i="47"/>
  <c r="DK18" i="47"/>
  <c r="DM18" i="47"/>
  <c r="DN18" i="47"/>
  <c r="DO18" i="47"/>
  <c r="DQ18" i="47"/>
  <c r="DR18" i="47"/>
  <c r="DS18" i="47"/>
  <c r="DV18" i="47"/>
  <c r="DY18" i="47"/>
  <c r="DZ18" i="47"/>
  <c r="EA18" i="47"/>
  <c r="CM19" i="47"/>
  <c r="CN19" i="47"/>
  <c r="CO19" i="47"/>
  <c r="CQ19" i="47"/>
  <c r="CR19" i="47"/>
  <c r="CS19" i="47"/>
  <c r="CU19" i="47"/>
  <c r="CV19" i="47"/>
  <c r="CW19" i="47"/>
  <c r="CX19" i="47"/>
  <c r="CZ19" i="47"/>
  <c r="DA19" i="47"/>
  <c r="DB19" i="47"/>
  <c r="DD19" i="47"/>
  <c r="DE19" i="47"/>
  <c r="DF19" i="47"/>
  <c r="DH19" i="47"/>
  <c r="DI19" i="47"/>
  <c r="DJ19" i="47"/>
  <c r="DK19" i="47"/>
  <c r="DM19" i="47"/>
  <c r="DN19" i="47"/>
  <c r="DO19" i="47"/>
  <c r="DQ19" i="47"/>
  <c r="DR19" i="47"/>
  <c r="DS19" i="47"/>
  <c r="DV19" i="47"/>
  <c r="DY19" i="47"/>
  <c r="DZ19" i="47"/>
  <c r="EA19" i="47"/>
  <c r="U20" i="47"/>
  <c r="V20" i="47"/>
  <c r="W20" i="47"/>
  <c r="AA20" i="47"/>
  <c r="AC20" i="47"/>
  <c r="AF20" i="47"/>
  <c r="AH20" i="47"/>
  <c r="BY20" i="47"/>
  <c r="CM20" i="47"/>
  <c r="CN20" i="47"/>
  <c r="CO20" i="47"/>
  <c r="CQ20" i="47"/>
  <c r="CR20" i="47"/>
  <c r="CS20" i="47"/>
  <c r="CU20" i="47"/>
  <c r="CV20" i="47"/>
  <c r="CW20" i="47"/>
  <c r="CX20" i="47"/>
  <c r="CZ20" i="47"/>
  <c r="DA20" i="47"/>
  <c r="DB20" i="47"/>
  <c r="DD20" i="47"/>
  <c r="DE20" i="47"/>
  <c r="DF20" i="47"/>
  <c r="DH20" i="47"/>
  <c r="DI20" i="47"/>
  <c r="DJ20" i="47"/>
  <c r="DK20" i="47"/>
  <c r="DM20" i="47"/>
  <c r="DN20" i="47"/>
  <c r="DO20" i="47"/>
  <c r="DQ20" i="47"/>
  <c r="DR20" i="47"/>
  <c r="DS20" i="47"/>
  <c r="DV20" i="47"/>
  <c r="DY20" i="47"/>
  <c r="DZ20" i="47"/>
  <c r="EA20" i="47"/>
  <c r="U21" i="47"/>
  <c r="V21" i="47"/>
  <c r="W21" i="47"/>
  <c r="AA21" i="47"/>
  <c r="AC21" i="47"/>
  <c r="AF21" i="47"/>
  <c r="AH21" i="47"/>
  <c r="CM21" i="47"/>
  <c r="CN21" i="47"/>
  <c r="CO21" i="47"/>
  <c r="CQ21" i="47"/>
  <c r="CR21" i="47"/>
  <c r="CS21" i="47"/>
  <c r="CU21" i="47"/>
  <c r="CV21" i="47"/>
  <c r="CW21" i="47"/>
  <c r="CX21" i="47"/>
  <c r="CZ21" i="47"/>
  <c r="DA21" i="47"/>
  <c r="DB21" i="47"/>
  <c r="DD21" i="47"/>
  <c r="DE21" i="47"/>
  <c r="DF21" i="47"/>
  <c r="DH21" i="47"/>
  <c r="DI21" i="47"/>
  <c r="DJ21" i="47"/>
  <c r="DK21" i="47"/>
  <c r="DM21" i="47"/>
  <c r="DN21" i="47"/>
  <c r="DO21" i="47"/>
  <c r="DQ21" i="47"/>
  <c r="DR21" i="47"/>
  <c r="DS21" i="47"/>
  <c r="DV21" i="47"/>
  <c r="DY21" i="47"/>
  <c r="DZ21" i="47"/>
  <c r="EA21" i="47"/>
  <c r="U22" i="47"/>
  <c r="V22" i="47"/>
  <c r="W22" i="47"/>
  <c r="AA22" i="47"/>
  <c r="AC22" i="47"/>
  <c r="AF22" i="47"/>
  <c r="AH22" i="47"/>
  <c r="BX22" i="47"/>
  <c r="CM22" i="47"/>
  <c r="CN22" i="47"/>
  <c r="CO22" i="47"/>
  <c r="CQ22" i="47"/>
  <c r="CR22" i="47"/>
  <c r="CS22" i="47"/>
  <c r="CU22" i="47"/>
  <c r="CV22" i="47"/>
  <c r="CW22" i="47"/>
  <c r="CX22" i="47"/>
  <c r="CZ22" i="47"/>
  <c r="DA22" i="47"/>
  <c r="DB22" i="47"/>
  <c r="DD22" i="47"/>
  <c r="DE22" i="47"/>
  <c r="DF22" i="47"/>
  <c r="DH22" i="47"/>
  <c r="DI22" i="47"/>
  <c r="DJ22" i="47"/>
  <c r="DK22" i="47"/>
  <c r="DM22" i="47"/>
  <c r="DN22" i="47"/>
  <c r="DO22" i="47"/>
  <c r="DQ22" i="47"/>
  <c r="DR22" i="47"/>
  <c r="DS22" i="47"/>
  <c r="DV22" i="47"/>
  <c r="DY22" i="47"/>
  <c r="DZ22" i="47"/>
  <c r="EA22" i="47"/>
  <c r="U23" i="47"/>
  <c r="V23" i="47"/>
  <c r="W23" i="47"/>
  <c r="AA23" i="47"/>
  <c r="AC23" i="47"/>
  <c r="AF23" i="47"/>
  <c r="AH23" i="47"/>
  <c r="BZ23" i="47"/>
  <c r="CM23" i="47"/>
  <c r="CN23" i="47"/>
  <c r="CO23" i="47"/>
  <c r="CQ23" i="47"/>
  <c r="CR23" i="47"/>
  <c r="CS23" i="47"/>
  <c r="CU23" i="47"/>
  <c r="CV23" i="47"/>
  <c r="CW23" i="47"/>
  <c r="CX23" i="47"/>
  <c r="CZ23" i="47"/>
  <c r="DA23" i="47"/>
  <c r="DB23" i="47"/>
  <c r="DD23" i="47"/>
  <c r="DE23" i="47"/>
  <c r="DF23" i="47"/>
  <c r="DH23" i="47"/>
  <c r="DI23" i="47"/>
  <c r="DJ23" i="47"/>
  <c r="DK23" i="47"/>
  <c r="DM23" i="47"/>
  <c r="DN23" i="47"/>
  <c r="DO23" i="47"/>
  <c r="DQ23" i="47"/>
  <c r="DR23" i="47"/>
  <c r="DS23" i="47"/>
  <c r="DV23" i="47"/>
  <c r="DY23" i="47"/>
  <c r="DZ23" i="47"/>
  <c r="EA23" i="47"/>
  <c r="CM24" i="47"/>
  <c r="CN24" i="47"/>
  <c r="CO24" i="47"/>
  <c r="CQ24" i="47"/>
  <c r="CR24" i="47"/>
  <c r="CS24" i="47"/>
  <c r="CU24" i="47"/>
  <c r="CV24" i="47"/>
  <c r="CW24" i="47"/>
  <c r="CX24" i="47"/>
  <c r="CZ24" i="47"/>
  <c r="DA24" i="47"/>
  <c r="DB24" i="47"/>
  <c r="DD24" i="47"/>
  <c r="DE24" i="47"/>
  <c r="DF24" i="47"/>
  <c r="DH24" i="47"/>
  <c r="DI24" i="47"/>
  <c r="DJ24" i="47"/>
  <c r="DK24" i="47"/>
  <c r="DM24" i="47"/>
  <c r="DN24" i="47"/>
  <c r="DO24" i="47"/>
  <c r="DQ24" i="47"/>
  <c r="DR24" i="47"/>
  <c r="DS24" i="47"/>
  <c r="DV24" i="47"/>
  <c r="DY24" i="47"/>
  <c r="DZ24" i="47"/>
  <c r="EA24" i="47"/>
  <c r="U25" i="47"/>
  <c r="V25" i="47"/>
  <c r="W25" i="47"/>
  <c r="AA25" i="47"/>
  <c r="AC25" i="47"/>
  <c r="AF25" i="47"/>
  <c r="AH25" i="47"/>
  <c r="BW25" i="47"/>
  <c r="BZ25" i="47"/>
  <c r="CM25" i="47"/>
  <c r="CN25" i="47"/>
  <c r="CO25" i="47"/>
  <c r="CQ25" i="47"/>
  <c r="CR25" i="47"/>
  <c r="CS25" i="47"/>
  <c r="CU25" i="47"/>
  <c r="CV25" i="47"/>
  <c r="CW25" i="47"/>
  <c r="CX25" i="47"/>
  <c r="CZ25" i="47"/>
  <c r="DA25" i="47"/>
  <c r="DB25" i="47"/>
  <c r="DD25" i="47"/>
  <c r="DE25" i="47"/>
  <c r="DF25" i="47"/>
  <c r="DH25" i="47"/>
  <c r="DI25" i="47"/>
  <c r="DJ25" i="47"/>
  <c r="DK25" i="47"/>
  <c r="DM25" i="47"/>
  <c r="DN25" i="47"/>
  <c r="DO25" i="47"/>
  <c r="DQ25" i="47"/>
  <c r="DR25" i="47"/>
  <c r="DS25" i="47"/>
  <c r="DV25" i="47"/>
  <c r="DY25" i="47"/>
  <c r="DZ25" i="47"/>
  <c r="EA25" i="47"/>
  <c r="U26" i="47"/>
  <c r="V26" i="47"/>
  <c r="W26" i="47"/>
  <c r="AA26" i="47"/>
  <c r="AC26" i="47"/>
  <c r="AF26" i="47"/>
  <c r="AH26" i="47"/>
  <c r="CM26" i="47"/>
  <c r="CN26" i="47"/>
  <c r="CO26" i="47"/>
  <c r="CQ26" i="47"/>
  <c r="CR26" i="47"/>
  <c r="CS26" i="47"/>
  <c r="CU26" i="47"/>
  <c r="CV26" i="47"/>
  <c r="CW26" i="47"/>
  <c r="CX26" i="47"/>
  <c r="CZ26" i="47"/>
  <c r="DA26" i="47"/>
  <c r="DB26" i="47"/>
  <c r="DD26" i="47"/>
  <c r="DE26" i="47"/>
  <c r="DF26" i="47"/>
  <c r="DH26" i="47"/>
  <c r="DI26" i="47"/>
  <c r="DJ26" i="47"/>
  <c r="DK26" i="47"/>
  <c r="DM26" i="47"/>
  <c r="DN26" i="47"/>
  <c r="DO26" i="47"/>
  <c r="DQ26" i="47"/>
  <c r="DR26" i="47"/>
  <c r="DS26" i="47"/>
  <c r="DV26" i="47"/>
  <c r="DY26" i="47"/>
  <c r="EA26" i="47"/>
  <c r="U27" i="47"/>
  <c r="V27" i="47"/>
  <c r="W27" i="47"/>
  <c r="AA27" i="47"/>
  <c r="AC27" i="47"/>
  <c r="AF27" i="47"/>
  <c r="AH27" i="47"/>
  <c r="CM27" i="47"/>
  <c r="CN27" i="47"/>
  <c r="CO27" i="47"/>
  <c r="CQ27" i="47"/>
  <c r="CR27" i="47"/>
  <c r="CS27" i="47"/>
  <c r="CU27" i="47"/>
  <c r="CV27" i="47"/>
  <c r="CW27" i="47"/>
  <c r="CX27" i="47"/>
  <c r="CZ27" i="47"/>
  <c r="DA27" i="47"/>
  <c r="DB27" i="47"/>
  <c r="DD27" i="47"/>
  <c r="DE27" i="47"/>
  <c r="DH27" i="47"/>
  <c r="DI27" i="47"/>
  <c r="DJ27" i="47"/>
  <c r="DK27" i="47"/>
  <c r="DM27" i="47"/>
  <c r="DN27" i="47"/>
  <c r="DO27" i="47"/>
  <c r="DQ27" i="47"/>
  <c r="DR27" i="47"/>
  <c r="DV27" i="47"/>
  <c r="DY27" i="47"/>
  <c r="DZ27" i="47"/>
  <c r="EA27" i="47"/>
  <c r="U28" i="47"/>
  <c r="V28" i="47"/>
  <c r="W28" i="47"/>
  <c r="AA28" i="47"/>
  <c r="AC28" i="47"/>
  <c r="AF28" i="47"/>
  <c r="AH28" i="47"/>
  <c r="BW28" i="47"/>
  <c r="CM28" i="47"/>
  <c r="CN28" i="47"/>
  <c r="CO28" i="47"/>
  <c r="CQ28" i="47"/>
  <c r="CR28" i="47"/>
  <c r="CS28" i="47"/>
  <c r="CU28" i="47"/>
  <c r="CV28" i="47"/>
  <c r="CW28" i="47"/>
  <c r="CX28" i="47"/>
  <c r="CZ28" i="47"/>
  <c r="DA28" i="47"/>
  <c r="DB28" i="47"/>
  <c r="DD28" i="47"/>
  <c r="DE28" i="47"/>
  <c r="DH28" i="47"/>
  <c r="DI28" i="47"/>
  <c r="DJ28" i="47"/>
  <c r="DK28" i="47"/>
  <c r="DM28" i="47"/>
  <c r="DN28" i="47"/>
  <c r="DO28" i="47"/>
  <c r="DQ28" i="47"/>
  <c r="DR28" i="47"/>
  <c r="DS28" i="47"/>
  <c r="DV28" i="47"/>
  <c r="DY28" i="47"/>
  <c r="DZ28" i="47"/>
  <c r="EA28" i="47"/>
  <c r="CM29" i="47"/>
  <c r="CN29" i="47"/>
  <c r="CO29" i="47"/>
  <c r="CQ29" i="47"/>
  <c r="CR29" i="47"/>
  <c r="CS29" i="47"/>
  <c r="CU29" i="47"/>
  <c r="CV29" i="47"/>
  <c r="CW29" i="47"/>
  <c r="CX29" i="47"/>
  <c r="CZ29" i="47"/>
  <c r="DA29" i="47"/>
  <c r="DB29" i="47"/>
  <c r="DD29" i="47"/>
  <c r="DE29" i="47"/>
  <c r="DH29" i="47"/>
  <c r="DI29" i="47"/>
  <c r="DJ29" i="47"/>
  <c r="DK29" i="47"/>
  <c r="DM29" i="47"/>
  <c r="DN29" i="47"/>
  <c r="DO29" i="47"/>
  <c r="DQ29" i="47"/>
  <c r="DR29" i="47"/>
  <c r="DS29" i="47"/>
  <c r="DV29" i="47"/>
  <c r="DY29" i="47"/>
  <c r="EA29" i="47"/>
  <c r="U30" i="47"/>
  <c r="V30" i="47"/>
  <c r="W30" i="47"/>
  <c r="AA30" i="47"/>
  <c r="AC30" i="47"/>
  <c r="AF30" i="47"/>
  <c r="AH30" i="47"/>
  <c r="CM30" i="47"/>
  <c r="CN30" i="47"/>
  <c r="CO30" i="47"/>
  <c r="CQ30" i="47"/>
  <c r="CR30" i="47"/>
  <c r="CS30" i="47"/>
  <c r="CU30" i="47"/>
  <c r="CV30" i="47"/>
  <c r="CW30" i="47"/>
  <c r="CX30" i="47"/>
  <c r="CZ30" i="47"/>
  <c r="DA30" i="47"/>
  <c r="DB30" i="47"/>
  <c r="DD30" i="47"/>
  <c r="DE30" i="47"/>
  <c r="DF30" i="47"/>
  <c r="DH30" i="47"/>
  <c r="DI30" i="47"/>
  <c r="DJ30" i="47"/>
  <c r="DK30" i="47"/>
  <c r="DM30" i="47"/>
  <c r="DN30" i="47"/>
  <c r="DO30" i="47"/>
  <c r="DQ30" i="47"/>
  <c r="DR30" i="47"/>
  <c r="DS30" i="47"/>
  <c r="DV30" i="47"/>
  <c r="DY30" i="47"/>
  <c r="DZ30" i="47"/>
  <c r="EA30" i="47"/>
  <c r="U31" i="47"/>
  <c r="V31" i="47"/>
  <c r="W31" i="47"/>
  <c r="AA31" i="47"/>
  <c r="AC31" i="47"/>
  <c r="AF31" i="47"/>
  <c r="AH31" i="47"/>
  <c r="CM31" i="47"/>
  <c r="CN31" i="47"/>
  <c r="CO31" i="47"/>
  <c r="CQ31" i="47"/>
  <c r="CR31" i="47"/>
  <c r="CS31" i="47"/>
  <c r="CU31" i="47"/>
  <c r="CV31" i="47"/>
  <c r="CW31" i="47"/>
  <c r="CX31" i="47"/>
  <c r="CZ31" i="47"/>
  <c r="DA31" i="47"/>
  <c r="DB31" i="47"/>
  <c r="DD31" i="47"/>
  <c r="DE31" i="47"/>
  <c r="DF31" i="47"/>
  <c r="DH31" i="47"/>
  <c r="DI31" i="47"/>
  <c r="DJ31" i="47"/>
  <c r="DK31" i="47"/>
  <c r="DM31" i="47"/>
  <c r="DN31" i="47"/>
  <c r="DO31" i="47"/>
  <c r="DQ31" i="47"/>
  <c r="DR31" i="47"/>
  <c r="DS31" i="47"/>
  <c r="DU31" i="47"/>
  <c r="DW31" i="47" s="1"/>
  <c r="DV31" i="47"/>
  <c r="DY31" i="47"/>
  <c r="DZ31" i="47"/>
  <c r="EA31" i="47"/>
  <c r="U32" i="47"/>
  <c r="V32" i="47"/>
  <c r="W32" i="47"/>
  <c r="AA32" i="47"/>
  <c r="AC32" i="47"/>
  <c r="AF32" i="47"/>
  <c r="AH32" i="47"/>
  <c r="CU32" i="47"/>
  <c r="CV32" i="47"/>
  <c r="CW32" i="47"/>
  <c r="CX32" i="47"/>
  <c r="CZ32" i="47"/>
  <c r="DA32" i="47"/>
  <c r="DB32" i="47"/>
  <c r="DD32" i="47"/>
  <c r="DE32" i="47"/>
  <c r="DF32" i="47"/>
  <c r="DH32" i="47"/>
  <c r="DI32" i="47"/>
  <c r="DJ32" i="47"/>
  <c r="DK32" i="47"/>
  <c r="DM32" i="47"/>
  <c r="DN32" i="47"/>
  <c r="DO32" i="47"/>
  <c r="DQ32" i="47"/>
  <c r="DR32" i="47"/>
  <c r="DS32" i="47"/>
  <c r="DV32" i="47"/>
  <c r="DY32" i="47"/>
  <c r="DZ32" i="47"/>
  <c r="EA32" i="47"/>
  <c r="U33" i="47"/>
  <c r="V33" i="47"/>
  <c r="W33" i="47"/>
  <c r="AA33" i="47"/>
  <c r="AC33" i="47"/>
  <c r="AF33" i="47"/>
  <c r="AH33" i="47"/>
  <c r="CU33" i="47"/>
  <c r="CV33" i="47"/>
  <c r="CW33" i="47"/>
  <c r="CX33" i="47"/>
  <c r="CZ33" i="47"/>
  <c r="DA33" i="47"/>
  <c r="DB33" i="47"/>
  <c r="DD33" i="47"/>
  <c r="DE33" i="47"/>
  <c r="DF33" i="47"/>
  <c r="DH33" i="47"/>
  <c r="DI33" i="47"/>
  <c r="DJ33" i="47"/>
  <c r="DK33" i="47"/>
  <c r="DM33" i="47"/>
  <c r="DN33" i="47"/>
  <c r="DO33" i="47"/>
  <c r="DQ33" i="47"/>
  <c r="DR33" i="47"/>
  <c r="DV33" i="47"/>
  <c r="DY33" i="47"/>
  <c r="DZ33" i="47"/>
  <c r="EA33" i="47"/>
  <c r="CU34" i="47"/>
  <c r="CV34" i="47"/>
  <c r="CW34" i="47"/>
  <c r="CX34" i="47"/>
  <c r="CZ34" i="47"/>
  <c r="DA34" i="47"/>
  <c r="DB34" i="47"/>
  <c r="DD34" i="47"/>
  <c r="DE34" i="47"/>
  <c r="DH34" i="47"/>
  <c r="DI34" i="47"/>
  <c r="DJ34" i="47"/>
  <c r="DK34" i="47"/>
  <c r="DM34" i="47"/>
  <c r="DN34" i="47"/>
  <c r="DO34" i="47"/>
  <c r="DQ34" i="47"/>
  <c r="DR34" i="47"/>
  <c r="DV34" i="47"/>
  <c r="DY34" i="47"/>
  <c r="EA34" i="47"/>
  <c r="U35" i="47"/>
  <c r="V35" i="47"/>
  <c r="W35" i="47"/>
  <c r="AA35" i="47"/>
  <c r="AC35" i="47"/>
  <c r="AF35" i="47"/>
  <c r="AH35" i="47"/>
  <c r="BW35" i="47"/>
  <c r="CU35" i="47"/>
  <c r="CV35" i="47"/>
  <c r="CW35" i="47"/>
  <c r="CX35" i="47"/>
  <c r="CZ35" i="47"/>
  <c r="DA35" i="47"/>
  <c r="DB35" i="47"/>
  <c r="DD35" i="47"/>
  <c r="DE35" i="47"/>
  <c r="DH35" i="47"/>
  <c r="DI35" i="47"/>
  <c r="DJ35" i="47"/>
  <c r="DK35" i="47"/>
  <c r="DM35" i="47"/>
  <c r="DN35" i="47"/>
  <c r="DO35" i="47"/>
  <c r="DQ35" i="47"/>
  <c r="DR35" i="47"/>
  <c r="DU35" i="47"/>
  <c r="DW35" i="47" s="1"/>
  <c r="DV35" i="47"/>
  <c r="DY35" i="47"/>
  <c r="DZ35" i="47"/>
  <c r="EA35" i="47"/>
  <c r="U36" i="47"/>
  <c r="V36" i="47"/>
  <c r="W36" i="47"/>
  <c r="AA36" i="47"/>
  <c r="AC36" i="47"/>
  <c r="AF36" i="47"/>
  <c r="AH36" i="47"/>
  <c r="CU36" i="47"/>
  <c r="CV36" i="47"/>
  <c r="CW36" i="47"/>
  <c r="CX36" i="47"/>
  <c r="CZ36" i="47"/>
  <c r="DA36" i="47"/>
  <c r="DB36" i="47"/>
  <c r="DD36" i="47"/>
  <c r="DE36" i="47"/>
  <c r="DF36" i="47"/>
  <c r="DH36" i="47"/>
  <c r="DI36" i="47"/>
  <c r="DJ36" i="47"/>
  <c r="DK36" i="47"/>
  <c r="DM36" i="47"/>
  <c r="DN36" i="47"/>
  <c r="DO36" i="47"/>
  <c r="DQ36" i="47"/>
  <c r="DR36" i="47"/>
  <c r="DS36" i="47"/>
  <c r="DV36" i="47"/>
  <c r="DY36" i="47"/>
  <c r="DZ36" i="47"/>
  <c r="EA36" i="47"/>
  <c r="U37" i="47"/>
  <c r="V37" i="47"/>
  <c r="W37" i="47"/>
  <c r="AA37" i="47"/>
  <c r="AC37" i="47"/>
  <c r="AF37" i="47"/>
  <c r="AH37" i="47"/>
  <c r="BX37" i="47"/>
  <c r="CU37" i="47"/>
  <c r="CV37" i="47"/>
  <c r="CW37" i="47"/>
  <c r="CX37" i="47"/>
  <c r="CZ37" i="47"/>
  <c r="DA37" i="47"/>
  <c r="DB37" i="47"/>
  <c r="DD37" i="47"/>
  <c r="DE37" i="47"/>
  <c r="DF37" i="47"/>
  <c r="DH37" i="47"/>
  <c r="DI37" i="47"/>
  <c r="DJ37" i="47"/>
  <c r="DK37" i="47"/>
  <c r="DM37" i="47"/>
  <c r="DN37" i="47"/>
  <c r="DO37" i="47"/>
  <c r="DQ37" i="47"/>
  <c r="DR37" i="47"/>
  <c r="DS37" i="47"/>
  <c r="DV37" i="47"/>
  <c r="DY37" i="47"/>
  <c r="U38" i="47"/>
  <c r="V38" i="47"/>
  <c r="W38" i="47"/>
  <c r="AA38" i="47"/>
  <c r="AC38" i="47"/>
  <c r="AF38" i="47"/>
  <c r="AH38" i="47"/>
  <c r="BW38" i="47"/>
  <c r="BZ38" i="47"/>
  <c r="CU38" i="47"/>
  <c r="CV38" i="47"/>
  <c r="CW38" i="47"/>
  <c r="CX38" i="47"/>
  <c r="CZ38" i="47"/>
  <c r="DA38" i="47"/>
  <c r="DB38" i="47"/>
  <c r="DD38" i="47"/>
  <c r="DE38" i="47"/>
  <c r="DF38" i="47"/>
  <c r="DH38" i="47"/>
  <c r="DI38" i="47"/>
  <c r="DJ38" i="47"/>
  <c r="DK38" i="47"/>
  <c r="DM38" i="47"/>
  <c r="DN38" i="47"/>
  <c r="DO38" i="47"/>
  <c r="DQ38" i="47"/>
  <c r="DR38" i="47"/>
  <c r="DS38" i="47"/>
  <c r="DV38" i="47"/>
  <c r="DY38" i="47"/>
  <c r="DZ38" i="47"/>
  <c r="EA38" i="47"/>
  <c r="CU39" i="47"/>
  <c r="CV39" i="47"/>
  <c r="CW39" i="47"/>
  <c r="CX39" i="47"/>
  <c r="CZ39" i="47"/>
  <c r="DA39" i="47"/>
  <c r="DB39" i="47"/>
  <c r="DD39" i="47"/>
  <c r="DE39" i="47"/>
  <c r="DF39" i="47"/>
  <c r="DH39" i="47"/>
  <c r="DI39" i="47"/>
  <c r="DJ39" i="47"/>
  <c r="DK39" i="47"/>
  <c r="DM39" i="47"/>
  <c r="DN39" i="47"/>
  <c r="DO39" i="47"/>
  <c r="DQ39" i="47"/>
  <c r="DR39" i="47"/>
  <c r="DS39" i="47"/>
  <c r="DU39" i="47"/>
  <c r="DW39" i="47" s="1"/>
  <c r="DV39" i="47"/>
  <c r="DY39" i="47"/>
  <c r="U40" i="47"/>
  <c r="V40" i="47"/>
  <c r="W40" i="47"/>
  <c r="AC40" i="47"/>
  <c r="AF40" i="47"/>
  <c r="AH40" i="47"/>
  <c r="BZ40" i="47"/>
  <c r="CU40" i="47"/>
  <c r="CV40" i="47"/>
  <c r="CW40" i="47"/>
  <c r="CX40" i="47"/>
  <c r="CZ40" i="47"/>
  <c r="DA40" i="47"/>
  <c r="DB40" i="47"/>
  <c r="DD40" i="47"/>
  <c r="DE40" i="47"/>
  <c r="DF40" i="47"/>
  <c r="DH40" i="47"/>
  <c r="DI40" i="47"/>
  <c r="DJ40" i="47"/>
  <c r="DK40" i="47"/>
  <c r="DM40" i="47"/>
  <c r="DN40" i="47"/>
  <c r="DO40" i="47"/>
  <c r="DQ40" i="47"/>
  <c r="DR40" i="47"/>
  <c r="DS40" i="47"/>
  <c r="DV40" i="47"/>
  <c r="DY40" i="47"/>
  <c r="EA40" i="47"/>
  <c r="U41" i="47"/>
  <c r="V41" i="47"/>
  <c r="W41" i="47"/>
  <c r="AA41" i="47"/>
  <c r="AH41" i="47"/>
  <c r="CU41" i="47"/>
  <c r="CV41" i="47"/>
  <c r="CW41" i="47"/>
  <c r="CX41" i="47"/>
  <c r="CZ41" i="47"/>
  <c r="DA41" i="47"/>
  <c r="DB41" i="47"/>
  <c r="DD41" i="47"/>
  <c r="DE41" i="47"/>
  <c r="DH41" i="47"/>
  <c r="DI41" i="47"/>
  <c r="DJ41" i="47"/>
  <c r="DK41" i="47"/>
  <c r="DM41" i="47"/>
  <c r="DN41" i="47"/>
  <c r="DO41" i="47"/>
  <c r="DQ41" i="47"/>
  <c r="DR41" i="47"/>
  <c r="DS41" i="47"/>
  <c r="DV41" i="47"/>
  <c r="DY41" i="47"/>
  <c r="EA41" i="47"/>
  <c r="U42" i="47"/>
  <c r="V42" i="47"/>
  <c r="W42" i="47"/>
  <c r="AC42" i="47"/>
  <c r="CU42" i="47"/>
  <c r="CV42" i="47"/>
  <c r="CW42" i="47"/>
  <c r="CX42" i="47"/>
  <c r="CZ42" i="47"/>
  <c r="DA42" i="47"/>
  <c r="DB42" i="47"/>
  <c r="DD42" i="47"/>
  <c r="DE42" i="47"/>
  <c r="DF42" i="47"/>
  <c r="DH42" i="47"/>
  <c r="DI42" i="47"/>
  <c r="DJ42" i="47"/>
  <c r="DK42" i="47"/>
  <c r="DM42" i="47"/>
  <c r="DN42" i="47"/>
  <c r="DO42" i="47"/>
  <c r="DQ42" i="47"/>
  <c r="DR42" i="47"/>
  <c r="DS42" i="47"/>
  <c r="DV42" i="47"/>
  <c r="DY42" i="47"/>
  <c r="U43" i="47"/>
  <c r="V43" i="47"/>
  <c r="W43" i="47"/>
  <c r="AA43" i="47"/>
  <c r="AC43" i="47"/>
  <c r="AF43" i="47"/>
  <c r="AH43" i="47"/>
  <c r="CU43" i="47"/>
  <c r="CV43" i="47"/>
  <c r="CW43" i="47"/>
  <c r="CX43" i="47"/>
  <c r="CZ43" i="47"/>
  <c r="DA43" i="47"/>
  <c r="DB43" i="47"/>
  <c r="DD43" i="47"/>
  <c r="DE43" i="47"/>
  <c r="DH43" i="47"/>
  <c r="DI43" i="47"/>
  <c r="DJ43" i="47"/>
  <c r="DK43" i="47"/>
  <c r="DM43" i="47"/>
  <c r="DN43" i="47"/>
  <c r="DO43" i="47"/>
  <c r="DQ43" i="47"/>
  <c r="DR43" i="47"/>
  <c r="DS43" i="47"/>
  <c r="DU43" i="47"/>
  <c r="DW43" i="47" s="1"/>
  <c r="DV43" i="47"/>
  <c r="DY43" i="47"/>
  <c r="CO44" i="47"/>
  <c r="CS44" i="47"/>
  <c r="CU44" i="47"/>
  <c r="CV44" i="47"/>
  <c r="CW44" i="47"/>
  <c r="CX44" i="47"/>
  <c r="CZ44" i="47"/>
  <c r="DA44" i="47"/>
  <c r="DB44" i="47"/>
  <c r="DD44" i="47"/>
  <c r="DE44" i="47"/>
  <c r="DH44" i="47"/>
  <c r="DI44" i="47"/>
  <c r="DJ44" i="47"/>
  <c r="DK44" i="47"/>
  <c r="DM44" i="47"/>
  <c r="DN44" i="47"/>
  <c r="DO44" i="47"/>
  <c r="DQ44" i="47"/>
  <c r="DR44" i="47"/>
  <c r="DS44" i="47"/>
  <c r="DV44" i="47"/>
  <c r="DY44" i="47"/>
  <c r="U45" i="47"/>
  <c r="V45" i="47"/>
  <c r="W45" i="47"/>
  <c r="AA45" i="47"/>
  <c r="AC45" i="47"/>
  <c r="AF45" i="47"/>
  <c r="AH45" i="47"/>
  <c r="U46" i="47"/>
  <c r="V46" i="47"/>
  <c r="W46" i="47"/>
  <c r="U47" i="47"/>
  <c r="V47" i="47"/>
  <c r="W47" i="47"/>
  <c r="AA47" i="47"/>
  <c r="AC47" i="47"/>
  <c r="AF47" i="47"/>
  <c r="AH47" i="47"/>
  <c r="U48" i="47"/>
  <c r="V48" i="47"/>
  <c r="W48" i="47"/>
  <c r="AA48" i="47"/>
  <c r="AC48" i="47"/>
  <c r="AF48" i="47"/>
  <c r="AH48" i="47"/>
  <c r="BY48" i="47"/>
  <c r="BZ48" i="47"/>
  <c r="U50" i="47"/>
  <c r="V50" i="47"/>
  <c r="W50" i="47"/>
  <c r="AA50" i="47"/>
  <c r="AC50" i="47"/>
  <c r="AF50" i="47"/>
  <c r="AH50" i="47"/>
  <c r="U51" i="47"/>
  <c r="V51" i="47"/>
  <c r="W51" i="47"/>
  <c r="AF51" i="47"/>
  <c r="AH51" i="47"/>
  <c r="U52" i="47"/>
  <c r="V52" i="47"/>
  <c r="W52" i="47"/>
  <c r="AC52" i="47"/>
  <c r="AF52" i="47"/>
  <c r="BZ52" i="47"/>
  <c r="U53" i="47"/>
  <c r="V53" i="47"/>
  <c r="W53" i="47"/>
  <c r="AA53" i="47"/>
  <c r="AF53" i="47"/>
  <c r="AH53" i="47"/>
  <c r="U55" i="47"/>
  <c r="V55" i="47"/>
  <c r="W55" i="47"/>
  <c r="AH55" i="47"/>
  <c r="U56" i="47"/>
  <c r="V56" i="47"/>
  <c r="W56" i="47"/>
  <c r="U57" i="47"/>
  <c r="V57" i="47"/>
  <c r="W57" i="47"/>
  <c r="AC57" i="47"/>
  <c r="AF57" i="47"/>
  <c r="AH57" i="47"/>
  <c r="U58" i="47"/>
  <c r="V58" i="47"/>
  <c r="W58" i="47"/>
  <c r="U60" i="47"/>
  <c r="V60" i="47"/>
  <c r="W60" i="47"/>
  <c r="AA60" i="47"/>
  <c r="AC60" i="47"/>
  <c r="U61" i="47"/>
  <c r="V61" i="47"/>
  <c r="W61" i="47"/>
  <c r="BY61" i="47"/>
  <c r="U62" i="47"/>
  <c r="V62" i="47"/>
  <c r="W62" i="47"/>
  <c r="U63" i="47"/>
  <c r="V63" i="47"/>
  <c r="W63" i="47"/>
  <c r="O65" i="47"/>
  <c r="S65" i="47"/>
  <c r="T65" i="47"/>
  <c r="U65" i="47"/>
  <c r="V65" i="47"/>
  <c r="W65" i="47"/>
  <c r="Z65" i="47"/>
  <c r="AB65" i="47"/>
  <c r="AE65" i="47"/>
  <c r="AJ65" i="47"/>
  <c r="AK65" i="47"/>
  <c r="AL65" i="47"/>
  <c r="AW65" i="47"/>
  <c r="AX65" i="47"/>
  <c r="AY65" i="47"/>
  <c r="AZ65" i="47"/>
  <c r="BB65" i="47"/>
  <c r="BC65" i="47"/>
  <c r="BD65" i="47"/>
  <c r="BE65" i="47"/>
  <c r="BG65" i="47"/>
  <c r="BH65" i="47"/>
  <c r="BJ65" i="47"/>
  <c r="BK65" i="47"/>
  <c r="BL65" i="47"/>
  <c r="BM65" i="47"/>
  <c r="BO65" i="47"/>
  <c r="BP65" i="47"/>
  <c r="BQ65" i="47"/>
  <c r="BR65" i="47"/>
  <c r="BS65" i="47"/>
  <c r="BT65" i="47"/>
  <c r="BU65" i="47"/>
  <c r="O66" i="47"/>
  <c r="S66" i="47"/>
  <c r="T66" i="47"/>
  <c r="U66" i="47"/>
  <c r="V66" i="47"/>
  <c r="W66" i="47"/>
  <c r="Y66" i="47"/>
  <c r="Z66" i="47"/>
  <c r="AB66" i="47"/>
  <c r="AE66" i="47"/>
  <c r="AG66" i="47"/>
  <c r="AJ66" i="47"/>
  <c r="AK66" i="47"/>
  <c r="AL66" i="47"/>
  <c r="AW66" i="47"/>
  <c r="AX66" i="47"/>
  <c r="AY66" i="47"/>
  <c r="AZ66" i="47"/>
  <c r="BB66" i="47"/>
  <c r="BC66" i="47"/>
  <c r="BD66" i="47"/>
  <c r="BE66" i="47"/>
  <c r="BG66" i="47"/>
  <c r="BH66" i="47"/>
  <c r="BJ66" i="47"/>
  <c r="BK66" i="47"/>
  <c r="BL66" i="47"/>
  <c r="BM66" i="47"/>
  <c r="BO66" i="47"/>
  <c r="BP66" i="47"/>
  <c r="BQ66" i="47"/>
  <c r="BR66" i="47"/>
  <c r="BS66" i="47"/>
  <c r="BT66" i="47"/>
  <c r="BU66" i="47"/>
  <c r="H67" i="47"/>
  <c r="I67" i="47"/>
  <c r="J67" i="47"/>
  <c r="K67" i="47"/>
  <c r="L67" i="47"/>
  <c r="M67" i="47"/>
  <c r="O67" i="47"/>
  <c r="Q67" i="47"/>
  <c r="R67" i="47"/>
  <c r="S67" i="47"/>
  <c r="T67" i="47"/>
  <c r="U67" i="47"/>
  <c r="V67" i="47"/>
  <c r="W67" i="47"/>
  <c r="Y67" i="47"/>
  <c r="Z67" i="47"/>
  <c r="AA67" i="47"/>
  <c r="AB67" i="47"/>
  <c r="AC67" i="47"/>
  <c r="AD67" i="47"/>
  <c r="AE67" i="47"/>
  <c r="AF67" i="47"/>
  <c r="AG67" i="47"/>
  <c r="AH67" i="47"/>
  <c r="AJ67" i="47"/>
  <c r="AK67" i="47"/>
  <c r="AL67" i="47"/>
  <c r="AW67" i="47"/>
  <c r="AX67" i="47"/>
  <c r="AY67" i="47"/>
  <c r="AZ67" i="47"/>
  <c r="BB67" i="47"/>
  <c r="BC67" i="47"/>
  <c r="BD67" i="47"/>
  <c r="BE67" i="47"/>
  <c r="BF67" i="47"/>
  <c r="BG67" i="47"/>
  <c r="BH67" i="47"/>
  <c r="BJ67" i="47"/>
  <c r="BK67" i="47"/>
  <c r="BL67" i="47"/>
  <c r="BM67" i="47"/>
  <c r="BO67" i="47"/>
  <c r="BP67" i="47"/>
  <c r="BQ67" i="47"/>
  <c r="BR67" i="47"/>
  <c r="BS67" i="47"/>
  <c r="BT67" i="47"/>
  <c r="BU67" i="47"/>
  <c r="BW67" i="47"/>
  <c r="BX67" i="47"/>
  <c r="BY67" i="47"/>
  <c r="BZ67" i="47"/>
  <c r="E74" i="47"/>
  <c r="F74" i="47" s="1"/>
  <c r="H78" i="47"/>
  <c r="I78" i="47"/>
  <c r="J78" i="47"/>
  <c r="K78" i="47"/>
  <c r="L78" i="47"/>
  <c r="M78" i="47"/>
  <c r="E76" i="47"/>
  <c r="EH23" i="47" l="1"/>
  <c r="EH19" i="47"/>
  <c r="BS53" i="47"/>
  <c r="DS34" i="47"/>
  <c r="AS289" i="46"/>
  <c r="AS283" i="46"/>
  <c r="AT273" i="46"/>
  <c r="J262" i="46"/>
  <c r="AT261" i="46"/>
  <c r="AT262" i="46"/>
  <c r="AS261" i="46"/>
  <c r="J256" i="46"/>
  <c r="J255" i="46"/>
  <c r="AT255" i="46"/>
  <c r="AT256" i="46"/>
  <c r="J250" i="46"/>
  <c r="AS243" i="46"/>
  <c r="AS239" i="46"/>
  <c r="J236" i="46"/>
  <c r="AT232" i="46"/>
  <c r="J232" i="46"/>
  <c r="AT231" i="46"/>
  <c r="AS225" i="46"/>
  <c r="AS219" i="46"/>
  <c r="AT209" i="46"/>
  <c r="AT193" i="46"/>
  <c r="AT194" i="46"/>
  <c r="Q184" i="46"/>
  <c r="T184" i="46"/>
  <c r="AA62" i="47" s="1"/>
  <c r="X171" i="46"/>
  <c r="AF46" i="47" s="1"/>
  <c r="T171" i="46"/>
  <c r="AA46" i="47" s="1"/>
  <c r="U171" i="46"/>
  <c r="AT163" i="46"/>
  <c r="BZ36" i="47" s="1"/>
  <c r="BF32" i="47"/>
  <c r="AS162" i="46"/>
  <c r="BY35" i="47" s="1"/>
  <c r="AS163" i="46"/>
  <c r="BY36" i="47" s="1"/>
  <c r="AT160" i="46"/>
  <c r="BZ32" i="47" s="1"/>
  <c r="CI8" i="47"/>
  <c r="CL4" i="47"/>
  <c r="J293" i="46"/>
  <c r="AT290" i="46"/>
  <c r="J290" i="46"/>
  <c r="AT289" i="46"/>
  <c r="AS281" i="46"/>
  <c r="J278" i="46"/>
  <c r="AT277" i="46"/>
  <c r="AT278" i="46"/>
  <c r="AS277" i="46"/>
  <c r="J272" i="46"/>
  <c r="J271" i="46"/>
  <c r="AT271" i="46"/>
  <c r="AT272" i="46"/>
  <c r="J266" i="46"/>
  <c r="AT265" i="46"/>
  <c r="AT260" i="46"/>
  <c r="J259" i="46"/>
  <c r="AS259" i="46"/>
  <c r="AT254" i="46"/>
  <c r="AS255" i="46"/>
  <c r="J252" i="46"/>
  <c r="AT251" i="46"/>
  <c r="J248" i="46"/>
  <c r="AT247" i="46"/>
  <c r="AS241" i="46"/>
  <c r="AT234" i="46"/>
  <c r="J233" i="46"/>
  <c r="AS235" i="46"/>
  <c r="J229" i="46"/>
  <c r="AT226" i="46"/>
  <c r="J226" i="46"/>
  <c r="AT225" i="46"/>
  <c r="AS217" i="46"/>
  <c r="J214" i="46"/>
  <c r="AT213" i="46"/>
  <c r="AT214" i="46"/>
  <c r="AS213" i="46"/>
  <c r="J208" i="46"/>
  <c r="J207" i="46"/>
  <c r="AT207" i="46"/>
  <c r="AT208" i="46"/>
  <c r="J204" i="46"/>
  <c r="J203" i="46"/>
  <c r="AT203" i="46"/>
  <c r="AT200" i="46"/>
  <c r="J200" i="46"/>
  <c r="J191" i="46"/>
  <c r="AP186" i="46"/>
  <c r="K186" i="46"/>
  <c r="BX65" i="47" s="1"/>
  <c r="Q181" i="46"/>
  <c r="A177" i="46"/>
  <c r="K165" i="46"/>
  <c r="BX38" i="47" s="1"/>
  <c r="AT293" i="46"/>
  <c r="AS293" i="46"/>
  <c r="J288" i="46"/>
  <c r="J287" i="46"/>
  <c r="AT287" i="46"/>
  <c r="AT288" i="46"/>
  <c r="AT284" i="46"/>
  <c r="J282" i="46"/>
  <c r="AT281" i="46"/>
  <c r="J275" i="46"/>
  <c r="AT270" i="46"/>
  <c r="AS271" i="46"/>
  <c r="J268" i="46"/>
  <c r="AT267" i="46"/>
  <c r="AT264" i="46"/>
  <c r="J263" i="46"/>
  <c r="J264" i="46"/>
  <c r="AT263" i="46"/>
  <c r="AS257" i="46"/>
  <c r="AT250" i="46"/>
  <c r="J249" i="46"/>
  <c r="J245" i="46"/>
  <c r="AT242" i="46"/>
  <c r="J242" i="46"/>
  <c r="AT241" i="46"/>
  <c r="AS233" i="46"/>
  <c r="J230" i="46"/>
  <c r="AT229" i="46"/>
  <c r="AT230" i="46"/>
  <c r="AS229" i="46"/>
  <c r="J224" i="46"/>
  <c r="J223" i="46"/>
  <c r="AT223" i="46"/>
  <c r="AT224" i="46"/>
  <c r="AT220" i="46"/>
  <c r="J219" i="46"/>
  <c r="J218" i="46"/>
  <c r="AT217" i="46"/>
  <c r="J211" i="46"/>
  <c r="AT206" i="46"/>
  <c r="AS207" i="46"/>
  <c r="J197" i="46"/>
  <c r="AS197" i="46"/>
  <c r="J193" i="46"/>
  <c r="AS193" i="46"/>
  <c r="AT192" i="46"/>
  <c r="I183" i="46"/>
  <c r="AC178" i="46"/>
  <c r="I178" i="46"/>
  <c r="AC177" i="46"/>
  <c r="Q53" i="47" s="1"/>
  <c r="AC171" i="46"/>
  <c r="Q46" i="47" s="1"/>
  <c r="AS287" i="46"/>
  <c r="J284" i="46"/>
  <c r="J261" i="46"/>
  <c r="AT258" i="46"/>
  <c r="J257" i="46"/>
  <c r="AS249" i="46"/>
  <c r="J246" i="46"/>
  <c r="AT245" i="46"/>
  <c r="AT246" i="46"/>
  <c r="AS245" i="46"/>
  <c r="J240" i="46"/>
  <c r="J239" i="46"/>
  <c r="AT239" i="46"/>
  <c r="AT240" i="46"/>
  <c r="J234" i="46"/>
  <c r="AS223" i="46"/>
  <c r="J198" i="46"/>
  <c r="AT197" i="46"/>
  <c r="AT198" i="46"/>
  <c r="AS191" i="46"/>
  <c r="B197" i="46"/>
  <c r="A193" i="46"/>
  <c r="Y171" i="46"/>
  <c r="J174" i="46"/>
  <c r="BW50" i="47" s="1"/>
  <c r="J202" i="46"/>
  <c r="AT201" i="46"/>
  <c r="AS201" i="46"/>
  <c r="AS195" i="46"/>
  <c r="I180" i="46"/>
  <c r="BF170" i="46"/>
  <c r="DS27" i="47" s="1"/>
  <c r="AT167" i="46"/>
  <c r="BZ41" i="47" s="1"/>
  <c r="AT161" i="46"/>
  <c r="BZ33" i="47" s="1"/>
  <c r="K143" i="46"/>
  <c r="K137" i="46"/>
  <c r="B135" i="46"/>
  <c r="A135" i="46" s="1"/>
  <c r="J126" i="46"/>
  <c r="K124" i="46"/>
  <c r="K118" i="46"/>
  <c r="J111" i="46"/>
  <c r="AT113" i="46"/>
  <c r="J108" i="46"/>
  <c r="J105" i="46"/>
  <c r="AT104" i="46"/>
  <c r="K104" i="46"/>
  <c r="AT96" i="46"/>
  <c r="J84" i="46"/>
  <c r="J75" i="46"/>
  <c r="B20" i="46"/>
  <c r="I175" i="46"/>
  <c r="I168" i="46"/>
  <c r="I166" i="46"/>
  <c r="AT158" i="46"/>
  <c r="BZ30" i="47" s="1"/>
  <c r="K154" i="46"/>
  <c r="BX25" i="47" s="1"/>
  <c r="AT156" i="46"/>
  <c r="BZ27" i="47" s="1"/>
  <c r="AS153" i="46"/>
  <c r="BY23" i="47" s="1"/>
  <c r="K145" i="46"/>
  <c r="AS138" i="46"/>
  <c r="AS137" i="46"/>
  <c r="AS131" i="46"/>
  <c r="AS130" i="46"/>
  <c r="AT108" i="46"/>
  <c r="J96" i="46"/>
  <c r="K89" i="46"/>
  <c r="J76" i="46"/>
  <c r="A11" i="46"/>
  <c r="B12" i="46"/>
  <c r="J152" i="46"/>
  <c r="BW22" i="47" s="1"/>
  <c r="K129" i="46"/>
  <c r="K127" i="46"/>
  <c r="J124" i="46"/>
  <c r="AS98" i="46"/>
  <c r="J292" i="46"/>
  <c r="AT291" i="46"/>
  <c r="J286" i="46"/>
  <c r="AT285" i="46"/>
  <c r="AS285" i="46"/>
  <c r="AS279" i="46"/>
  <c r="J276" i="46"/>
  <c r="AT275" i="46"/>
  <c r="J270" i="46"/>
  <c r="AT269" i="46"/>
  <c r="AS269" i="46"/>
  <c r="AS263" i="46"/>
  <c r="J260" i="46"/>
  <c r="AT259" i="46"/>
  <c r="J254" i="46"/>
  <c r="AT253" i="46"/>
  <c r="AS253" i="46"/>
  <c r="AS247" i="46"/>
  <c r="J244" i="46"/>
  <c r="AT243" i="46"/>
  <c r="J238" i="46"/>
  <c r="AT237" i="46"/>
  <c r="AS237" i="46"/>
  <c r="AS231" i="46"/>
  <c r="J228" i="46"/>
  <c r="AT227" i="46"/>
  <c r="J222" i="46"/>
  <c r="AT221" i="46"/>
  <c r="AS221" i="46"/>
  <c r="AS215" i="46"/>
  <c r="J212" i="46"/>
  <c r="AT211" i="46"/>
  <c r="J206" i="46"/>
  <c r="AT205" i="46"/>
  <c r="AS205" i="46"/>
  <c r="AS199" i="46"/>
  <c r="J196" i="46"/>
  <c r="AT195" i="46"/>
  <c r="J192" i="46"/>
  <c r="AT191" i="46"/>
  <c r="AP184" i="46"/>
  <c r="AT185" i="46" s="1"/>
  <c r="BZ63" i="47" s="1"/>
  <c r="F180" i="46"/>
  <c r="Q179" i="46"/>
  <c r="F179" i="46"/>
  <c r="AC172" i="46"/>
  <c r="Q47" i="47" s="1"/>
  <c r="AP171" i="46"/>
  <c r="DF28" i="47" s="1"/>
  <c r="AC170" i="46"/>
  <c r="J159" i="46"/>
  <c r="BW31" i="47" s="1"/>
  <c r="DF13" i="47"/>
  <c r="K157" i="46"/>
  <c r="BX28" i="47" s="1"/>
  <c r="K139" i="46"/>
  <c r="K140" i="46"/>
  <c r="J136" i="46"/>
  <c r="AS135" i="46"/>
  <c r="J129" i="46"/>
  <c r="AT125" i="46"/>
  <c r="B120" i="46"/>
  <c r="K122" i="46"/>
  <c r="AT117" i="46"/>
  <c r="K119" i="46"/>
  <c r="AS115" i="46"/>
  <c r="K110" i="46"/>
  <c r="J109" i="46"/>
  <c r="J97" i="46"/>
  <c r="B28" i="46"/>
  <c r="K81" i="46"/>
  <c r="EH10" i="47"/>
  <c r="ED16" i="47"/>
  <c r="EF16" i="47" s="1"/>
  <c r="CO62" i="47"/>
  <c r="DX39" i="47"/>
  <c r="EH9" i="47"/>
  <c r="DX43" i="47"/>
  <c r="ED17" i="47"/>
  <c r="EF17" i="47" s="1"/>
  <c r="ED15" i="47"/>
  <c r="EF15" i="47" s="1"/>
  <c r="EE16" i="47"/>
  <c r="EE15" i="47"/>
  <c r="EH12" i="47"/>
  <c r="EH15" i="47"/>
  <c r="EH11" i="47"/>
  <c r="EE17" i="47"/>
  <c r="EI15" i="47"/>
  <c r="DX35" i="47"/>
  <c r="DX31" i="47"/>
  <c r="EE12" i="47"/>
  <c r="X187" i="46"/>
  <c r="AF66" i="47" s="1"/>
  <c r="T187" i="46"/>
  <c r="AA66" i="47" s="1"/>
  <c r="AC187" i="46"/>
  <c r="Q66" i="47" s="1"/>
  <c r="V187" i="46"/>
  <c r="AC66" i="47" s="1"/>
  <c r="Z187" i="46"/>
  <c r="AH66" i="47" s="1"/>
  <c r="AD66" i="47"/>
  <c r="Y183" i="46"/>
  <c r="X183" i="46"/>
  <c r="AF61" i="47" s="1"/>
  <c r="Y61" i="47"/>
  <c r="AD61" i="47"/>
  <c r="G76" i="47"/>
  <c r="R66" i="47"/>
  <c r="R65" i="47"/>
  <c r="CM59" i="47"/>
  <c r="ED12" i="47"/>
  <c r="EF12" i="47" s="1"/>
  <c r="CJ12" i="47"/>
  <c r="AC183" i="46"/>
  <c r="Q61" i="47" s="1"/>
  <c r="AS182" i="46"/>
  <c r="BY60" i="47" s="1"/>
  <c r="AT182" i="46"/>
  <c r="BZ60" i="47" s="1"/>
  <c r="K180" i="46"/>
  <c r="BX57" i="47" s="1"/>
  <c r="J180" i="46"/>
  <c r="BW57" i="47" s="1"/>
  <c r="K178" i="46"/>
  <c r="BX55" i="47" s="1"/>
  <c r="J178" i="46"/>
  <c r="BW55" i="47" s="1"/>
  <c r="K176" i="46"/>
  <c r="BX52" i="47" s="1"/>
  <c r="AS175" i="46"/>
  <c r="BY51" i="47" s="1"/>
  <c r="DF29" i="47"/>
  <c r="AT175" i="46"/>
  <c r="BZ51" i="47" s="1"/>
  <c r="BF47" i="47"/>
  <c r="AS168" i="46"/>
  <c r="BY42" i="47" s="1"/>
  <c r="BF42" i="47"/>
  <c r="J166" i="46"/>
  <c r="BW40" i="47" s="1"/>
  <c r="G74" i="47"/>
  <c r="CM62" i="47"/>
  <c r="DS35" i="47"/>
  <c r="DS33" i="47"/>
  <c r="R61" i="47"/>
  <c r="AS188" i="46"/>
  <c r="AS190" i="46"/>
  <c r="AT188" i="46"/>
  <c r="AT190" i="46"/>
  <c r="DF44" i="47"/>
  <c r="BF66" i="47"/>
  <c r="V183" i="46"/>
  <c r="AC61" i="47" s="1"/>
  <c r="K179" i="46"/>
  <c r="BX56" i="47" s="1"/>
  <c r="CN62" i="47"/>
  <c r="X186" i="46"/>
  <c r="AF65" i="47" s="1"/>
  <c r="V186" i="46"/>
  <c r="AC65" i="47" s="1"/>
  <c r="Y186" i="46"/>
  <c r="T186" i="46"/>
  <c r="AA65" i="47" s="1"/>
  <c r="Y65" i="47"/>
  <c r="F76" i="47"/>
  <c r="AD65" i="47"/>
  <c r="CN59" i="47"/>
  <c r="F13" i="47"/>
  <c r="AS187" i="46"/>
  <c r="BY66" i="47" s="1"/>
  <c r="AS184" i="46"/>
  <c r="BY62" i="47" s="1"/>
  <c r="AT187" i="46"/>
  <c r="BZ66" i="47" s="1"/>
  <c r="AT184" i="46"/>
  <c r="BZ62" i="47" s="1"/>
  <c r="K183" i="46"/>
  <c r="BX61" i="47" s="1"/>
  <c r="J183" i="46"/>
  <c r="BW61" i="47" s="1"/>
  <c r="K182" i="46"/>
  <c r="BX60" i="47" s="1"/>
  <c r="K181" i="46"/>
  <c r="BX58" i="47" s="1"/>
  <c r="J182" i="46"/>
  <c r="BW60" i="47" s="1"/>
  <c r="J181" i="46"/>
  <c r="BW58" i="47" s="1"/>
  <c r="J177" i="46"/>
  <c r="BW53" i="47" s="1"/>
  <c r="AT174" i="46"/>
  <c r="BZ50" i="47" s="1"/>
  <c r="BF46" i="47"/>
  <c r="AS174" i="46"/>
  <c r="BY50" i="47" s="1"/>
  <c r="Y60" i="47"/>
  <c r="T61" i="47"/>
  <c r="DF12" i="47"/>
  <c r="BE55" i="47"/>
  <c r="BD56" i="47"/>
  <c r="BC57" i="47"/>
  <c r="BB58" i="47"/>
  <c r="AZ55" i="47"/>
  <c r="AY56" i="47"/>
  <c r="AX57" i="47"/>
  <c r="AW58" i="47"/>
  <c r="AL55" i="47"/>
  <c r="AK56" i="47"/>
  <c r="AJ57" i="47"/>
  <c r="AE55" i="47"/>
  <c r="AD56" i="47"/>
  <c r="AB57" i="47"/>
  <c r="Z58" i="47"/>
  <c r="Y55" i="47"/>
  <c r="T56" i="47"/>
  <c r="S57" i="47"/>
  <c r="R58" i="47"/>
  <c r="Q55" i="47"/>
  <c r="O56" i="47"/>
  <c r="CR43" i="47"/>
  <c r="CO42" i="47"/>
  <c r="EE11" i="47" s="1"/>
  <c r="DZ11" i="47"/>
  <c r="DV11" i="47"/>
  <c r="DQ11" i="47"/>
  <c r="DK11" i="47"/>
  <c r="DF11" i="47"/>
  <c r="DA11" i="47"/>
  <c r="CV11" i="47"/>
  <c r="CQ11" i="47"/>
  <c r="BU52" i="47"/>
  <c r="BT53" i="47"/>
  <c r="BS50" i="47"/>
  <c r="BR51" i="47"/>
  <c r="BQ52" i="47"/>
  <c r="BP53" i="47"/>
  <c r="BO50" i="47"/>
  <c r="BM51" i="47"/>
  <c r="BL52" i="47"/>
  <c r="BK53" i="47"/>
  <c r="BJ50" i="47"/>
  <c r="BH51" i="47"/>
  <c r="BG52" i="47"/>
  <c r="BE50" i="47"/>
  <c r="BD51" i="47"/>
  <c r="BC52" i="47"/>
  <c r="BB53" i="47"/>
  <c r="AZ50" i="47"/>
  <c r="AY51" i="47"/>
  <c r="AX52" i="47"/>
  <c r="AW53" i="47"/>
  <c r="AL50" i="47"/>
  <c r="AK51" i="47"/>
  <c r="AJ52" i="47"/>
  <c r="AG53" i="47"/>
  <c r="AE50" i="47"/>
  <c r="AD51" i="47"/>
  <c r="AB52" i="47"/>
  <c r="Z53" i="47"/>
  <c r="Y50" i="47"/>
  <c r="T51" i="47"/>
  <c r="S52" i="47"/>
  <c r="R53" i="47"/>
  <c r="Q50" i="47"/>
  <c r="O51" i="47"/>
  <c r="CR42" i="47"/>
  <c r="CO41" i="47"/>
  <c r="EE10" i="47" s="1"/>
  <c r="DZ10" i="47"/>
  <c r="DV10" i="47"/>
  <c r="DQ10" i="47"/>
  <c r="DK10" i="47"/>
  <c r="DF10" i="47"/>
  <c r="DA10" i="47"/>
  <c r="CV10" i="47"/>
  <c r="CQ10" i="47"/>
  <c r="BU47" i="47"/>
  <c r="BT48" i="47"/>
  <c r="BS45" i="47"/>
  <c r="BR46" i="47"/>
  <c r="BQ47" i="47"/>
  <c r="BP48" i="47"/>
  <c r="BO45" i="47"/>
  <c r="BM46" i="47"/>
  <c r="BL47" i="47"/>
  <c r="BK48" i="47"/>
  <c r="BJ45" i="47"/>
  <c r="BH46" i="47"/>
  <c r="BG47" i="47"/>
  <c r="BF48" i="47"/>
  <c r="BE45" i="47"/>
  <c r="BD46" i="47"/>
  <c r="BC47" i="47"/>
  <c r="BB48" i="47"/>
  <c r="AZ45" i="47"/>
  <c r="AY46" i="47"/>
  <c r="AX47" i="47"/>
  <c r="AW48" i="47"/>
  <c r="AL45" i="47"/>
  <c r="AK46" i="47"/>
  <c r="AJ47" i="47"/>
  <c r="AG48" i="47"/>
  <c r="AE45" i="47"/>
  <c r="AD46" i="47"/>
  <c r="AB47" i="47"/>
  <c r="Z48" i="47"/>
  <c r="Y45" i="47"/>
  <c r="T46" i="47"/>
  <c r="S47" i="47"/>
  <c r="R48" i="47"/>
  <c r="Q45" i="47"/>
  <c r="O46" i="47"/>
  <c r="CR41" i="47"/>
  <c r="CO40" i="47"/>
  <c r="EE9" i="47" s="1"/>
  <c r="DZ9" i="47"/>
  <c r="DV9" i="47"/>
  <c r="DQ9" i="47"/>
  <c r="DK9" i="47"/>
  <c r="DF9" i="47"/>
  <c r="DA9" i="47"/>
  <c r="CV9" i="47"/>
  <c r="CQ9" i="47"/>
  <c r="BU42" i="47"/>
  <c r="BT43" i="47"/>
  <c r="BS40" i="47"/>
  <c r="BR41" i="47"/>
  <c r="BQ42" i="47"/>
  <c r="BP43" i="47"/>
  <c r="BO40" i="47"/>
  <c r="BM41" i="47"/>
  <c r="BL42" i="47"/>
  <c r="BK43" i="47"/>
  <c r="BJ40" i="47"/>
  <c r="BH41" i="47"/>
  <c r="BG42" i="47"/>
  <c r="BF43" i="47"/>
  <c r="BE40" i="47"/>
  <c r="BD41" i="47"/>
  <c r="BC42" i="47"/>
  <c r="BB43" i="47"/>
  <c r="AZ40" i="47"/>
  <c r="AY41" i="47"/>
  <c r="AX42" i="47"/>
  <c r="AW43" i="47"/>
  <c r="AL40" i="47"/>
  <c r="AK41" i="47"/>
  <c r="AJ42" i="47"/>
  <c r="AG43" i="47"/>
  <c r="AE40" i="47"/>
  <c r="AD41" i="47"/>
  <c r="AB42" i="47"/>
  <c r="Z43" i="47"/>
  <c r="Y40" i="47"/>
  <c r="T41" i="47"/>
  <c r="S42" i="47"/>
  <c r="R43" i="47"/>
  <c r="Q40" i="47"/>
  <c r="O41" i="47"/>
  <c r="CR40" i="47"/>
  <c r="CO39" i="47"/>
  <c r="EE8" i="47" s="1"/>
  <c r="DZ8" i="47"/>
  <c r="DV8" i="47"/>
  <c r="DQ8" i="47"/>
  <c r="DK8" i="47"/>
  <c r="DF8" i="47"/>
  <c r="DA8" i="47"/>
  <c r="CV8" i="47"/>
  <c r="CQ8" i="47"/>
  <c r="BU37" i="47"/>
  <c r="BT38" i="47"/>
  <c r="BS35" i="47"/>
  <c r="BR36" i="47"/>
  <c r="BQ37" i="47"/>
  <c r="BP38" i="47"/>
  <c r="BO35" i="47"/>
  <c r="BM36" i="47"/>
  <c r="BL37" i="47"/>
  <c r="BK38" i="47"/>
  <c r="BJ35" i="47"/>
  <c r="BH36" i="47"/>
  <c r="BG37" i="47"/>
  <c r="BF38" i="47"/>
  <c r="BE35" i="47"/>
  <c r="BD36" i="47"/>
  <c r="BC37" i="47"/>
  <c r="BB38" i="47"/>
  <c r="AZ35" i="47"/>
  <c r="AY36" i="47"/>
  <c r="AX37" i="47"/>
  <c r="AW38" i="47"/>
  <c r="AL35" i="47"/>
  <c r="AK36" i="47"/>
  <c r="AJ37" i="47"/>
  <c r="AG38" i="47"/>
  <c r="AE35" i="47"/>
  <c r="AD36" i="47"/>
  <c r="AB37" i="47"/>
  <c r="Z38" i="47"/>
  <c r="Y35" i="47"/>
  <c r="T36" i="47"/>
  <c r="S37" i="47"/>
  <c r="R38" i="47"/>
  <c r="Q35" i="47"/>
  <c r="O36" i="47"/>
  <c r="CR39" i="47"/>
  <c r="CO38" i="47"/>
  <c r="EE21" i="47" s="1"/>
  <c r="DS7" i="47"/>
  <c r="DN7" i="47"/>
  <c r="DI7" i="47"/>
  <c r="DD7" i="47"/>
  <c r="CX7" i="47"/>
  <c r="CS7" i="47"/>
  <c r="CN7" i="47"/>
  <c r="BU32" i="47"/>
  <c r="BT33" i="47"/>
  <c r="BS30" i="47"/>
  <c r="BR31" i="47"/>
  <c r="BQ32" i="47"/>
  <c r="BP33" i="47"/>
  <c r="BO30" i="47"/>
  <c r="BM31" i="47"/>
  <c r="BL32" i="47"/>
  <c r="BK33" i="47"/>
  <c r="BJ30" i="47"/>
  <c r="BH31" i="47"/>
  <c r="BG32" i="47"/>
  <c r="BF33" i="47"/>
  <c r="BE30" i="47"/>
  <c r="BD31" i="47"/>
  <c r="BC32" i="47"/>
  <c r="BB33" i="47"/>
  <c r="AZ30" i="47"/>
  <c r="AY31" i="47"/>
  <c r="AX32" i="47"/>
  <c r="AW33" i="47"/>
  <c r="AL30" i="47"/>
  <c r="AK31" i="47"/>
  <c r="AJ32" i="47"/>
  <c r="AG33" i="47"/>
  <c r="AE30" i="47"/>
  <c r="AD31" i="47"/>
  <c r="AB32" i="47"/>
  <c r="Z33" i="47"/>
  <c r="Y30" i="47"/>
  <c r="T31" i="47"/>
  <c r="S32" i="47"/>
  <c r="R33" i="47"/>
  <c r="Q30" i="47"/>
  <c r="O31" i="47"/>
  <c r="CR38" i="47"/>
  <c r="CO37" i="47"/>
  <c r="EE20" i="47" s="1"/>
  <c r="DS6" i="47"/>
  <c r="DN6" i="47"/>
  <c r="DI6" i="47"/>
  <c r="DD6" i="47"/>
  <c r="CX6" i="47"/>
  <c r="CS6" i="47"/>
  <c r="CN6" i="47"/>
  <c r="BU27" i="47"/>
  <c r="BT28" i="47"/>
  <c r="BS25" i="47"/>
  <c r="BR26" i="47"/>
  <c r="BQ27" i="47"/>
  <c r="BP28" i="47"/>
  <c r="BO25" i="47"/>
  <c r="BM26" i="47"/>
  <c r="BL27" i="47"/>
  <c r="BK28" i="47"/>
  <c r="BJ25" i="47"/>
  <c r="BH26" i="47"/>
  <c r="BG27" i="47"/>
  <c r="BF28" i="47"/>
  <c r="BE25" i="47"/>
  <c r="BD26" i="47"/>
  <c r="BC27" i="47"/>
  <c r="BB28" i="47"/>
  <c r="AZ25" i="47"/>
  <c r="AY26" i="47"/>
  <c r="AX27" i="47"/>
  <c r="AW28" i="47"/>
  <c r="AL25" i="47"/>
  <c r="AK26" i="47"/>
  <c r="AJ27" i="47"/>
  <c r="AG28" i="47"/>
  <c r="AE25" i="47"/>
  <c r="AD26" i="47"/>
  <c r="AB27" i="47"/>
  <c r="Z28" i="47"/>
  <c r="Y25" i="47"/>
  <c r="T26" i="47"/>
  <c r="S27" i="47"/>
  <c r="R28" i="47"/>
  <c r="Q25" i="47"/>
  <c r="O26" i="47"/>
  <c r="CR37" i="47"/>
  <c r="CO36" i="47"/>
  <c r="DS5" i="47"/>
  <c r="DN5" i="47"/>
  <c r="DI5" i="47"/>
  <c r="DD5" i="47"/>
  <c r="CX5" i="47"/>
  <c r="CS5" i="47"/>
  <c r="CN5" i="47"/>
  <c r="CJ5" i="47"/>
  <c r="BU22" i="47"/>
  <c r="BT23" i="47"/>
  <c r="BS20" i="47"/>
  <c r="BR21" i="47"/>
  <c r="BQ22" i="47"/>
  <c r="BP23" i="47"/>
  <c r="BO20" i="47"/>
  <c r="BM21" i="47"/>
  <c r="BL22" i="47"/>
  <c r="BK23" i="47"/>
  <c r="BJ20" i="47"/>
  <c r="BH21" i="47"/>
  <c r="BG22" i="47"/>
  <c r="BF23" i="47"/>
  <c r="BE20" i="47"/>
  <c r="BD21" i="47"/>
  <c r="BC22" i="47"/>
  <c r="BB23" i="47"/>
  <c r="AZ20" i="47"/>
  <c r="AY21" i="47"/>
  <c r="AX22" i="47"/>
  <c r="AW23" i="47"/>
  <c r="AL20" i="47"/>
  <c r="AK21" i="47"/>
  <c r="AJ22" i="47"/>
  <c r="AG23" i="47"/>
  <c r="AE20" i="47"/>
  <c r="AD21" i="47"/>
  <c r="AB22" i="47"/>
  <c r="Z23" i="47"/>
  <c r="Y20" i="47"/>
  <c r="T21" i="47"/>
  <c r="S22" i="47"/>
  <c r="R23" i="47"/>
  <c r="Q20" i="47"/>
  <c r="O21" i="47"/>
  <c r="CR35" i="47"/>
  <c r="CQ35" i="47"/>
  <c r="CN35" i="47"/>
  <c r="CM35" i="47"/>
  <c r="DS4" i="47"/>
  <c r="DN4" i="47"/>
  <c r="DI4" i="47"/>
  <c r="DD4" i="47"/>
  <c r="CX4" i="47"/>
  <c r="CR4" i="47"/>
  <c r="CM4" i="47"/>
  <c r="BU15" i="47"/>
  <c r="BT15" i="47"/>
  <c r="BO18" i="47"/>
  <c r="BM18" i="47"/>
  <c r="BL18" i="47"/>
  <c r="BK17" i="47"/>
  <c r="BJ17" i="47"/>
  <c r="BH17" i="47"/>
  <c r="BG16" i="47"/>
  <c r="BF16" i="47"/>
  <c r="BE16" i="47"/>
  <c r="BD15" i="47"/>
  <c r="BC15" i="47"/>
  <c r="BB15" i="47"/>
  <c r="AL18" i="47"/>
  <c r="AK18" i="47"/>
  <c r="AJ18" i="47"/>
  <c r="AG17" i="47"/>
  <c r="AE17" i="47"/>
  <c r="AD17" i="47"/>
  <c r="AB16" i="47"/>
  <c r="Z16" i="47"/>
  <c r="Y16" i="47"/>
  <c r="T15" i="47"/>
  <c r="S15" i="47"/>
  <c r="K292" i="46"/>
  <c r="K290" i="46"/>
  <c r="K288" i="46"/>
  <c r="K286" i="46"/>
  <c r="K284" i="46"/>
  <c r="K282" i="46"/>
  <c r="K280" i="46"/>
  <c r="K278" i="46"/>
  <c r="K276" i="46"/>
  <c r="K274" i="46"/>
  <c r="K272" i="46"/>
  <c r="K270" i="46"/>
  <c r="K268" i="46"/>
  <c r="K266" i="46"/>
  <c r="K264" i="46"/>
  <c r="K262" i="46"/>
  <c r="K260" i="46"/>
  <c r="K258" i="46"/>
  <c r="K256" i="46"/>
  <c r="K254" i="46"/>
  <c r="K252" i="46"/>
  <c r="K250" i="46"/>
  <c r="K248" i="46"/>
  <c r="K246" i="46"/>
  <c r="K244" i="46"/>
  <c r="K242" i="46"/>
  <c r="K240" i="46"/>
  <c r="K238" i="46"/>
  <c r="K236" i="46"/>
  <c r="K234" i="46"/>
  <c r="K232" i="46"/>
  <c r="K230" i="46"/>
  <c r="K228" i="46"/>
  <c r="K226" i="46"/>
  <c r="K224" i="46"/>
  <c r="K222" i="46"/>
  <c r="K220" i="46"/>
  <c r="K218" i="46"/>
  <c r="K216" i="46"/>
  <c r="K214" i="46"/>
  <c r="K212" i="46"/>
  <c r="K210" i="46"/>
  <c r="K208" i="46"/>
  <c r="K206" i="46"/>
  <c r="K204" i="46"/>
  <c r="K202" i="46"/>
  <c r="K200" i="46"/>
  <c r="K198" i="46"/>
  <c r="K196" i="46"/>
  <c r="K194" i="46"/>
  <c r="AS189" i="46"/>
  <c r="K192" i="46"/>
  <c r="F187" i="46"/>
  <c r="J188" i="46" s="1"/>
  <c r="AS185" i="46"/>
  <c r="BY63" i="47" s="1"/>
  <c r="I185" i="46"/>
  <c r="X182" i="46"/>
  <c r="AF60" i="47" s="1"/>
  <c r="T181" i="46"/>
  <c r="AA58" i="47" s="1"/>
  <c r="T180" i="46"/>
  <c r="AA57" i="47" s="1"/>
  <c r="V179" i="46"/>
  <c r="AC56" i="47" s="1"/>
  <c r="J179" i="46"/>
  <c r="BW56" i="47" s="1"/>
  <c r="X178" i="46"/>
  <c r="AF55" i="47" s="1"/>
  <c r="AP177" i="46"/>
  <c r="U177" i="46"/>
  <c r="T175" i="46"/>
  <c r="AA51" i="47" s="1"/>
  <c r="I174" i="46"/>
  <c r="I169" i="46"/>
  <c r="AT168" i="46"/>
  <c r="BZ42" i="47" s="1"/>
  <c r="AC168" i="46"/>
  <c r="Q42" i="47" s="1"/>
  <c r="F168" i="46"/>
  <c r="K169" i="46" s="1"/>
  <c r="BX43" i="47" s="1"/>
  <c r="AS167" i="46"/>
  <c r="BY41" i="47" s="1"/>
  <c r="U167" i="46"/>
  <c r="X167" i="46"/>
  <c r="AF41" i="47" s="1"/>
  <c r="T166" i="46"/>
  <c r="AA40" i="47" s="1"/>
  <c r="K166" i="46"/>
  <c r="BX40" i="47" s="1"/>
  <c r="AT162" i="46"/>
  <c r="BZ35" i="47" s="1"/>
  <c r="J164" i="46"/>
  <c r="BW37" i="47" s="1"/>
  <c r="AS160" i="46"/>
  <c r="BY32" i="47" s="1"/>
  <c r="AS155" i="46"/>
  <c r="BY26" i="47" s="1"/>
  <c r="AT155" i="46"/>
  <c r="BZ26" i="47" s="1"/>
  <c r="AS154" i="46"/>
  <c r="BY25" i="47" s="1"/>
  <c r="K153" i="46"/>
  <c r="BX23" i="47" s="1"/>
  <c r="AT145" i="46"/>
  <c r="AS144" i="46"/>
  <c r="AT142" i="46"/>
  <c r="B139" i="46"/>
  <c r="B138" i="46"/>
  <c r="J140" i="46"/>
  <c r="AT139" i="46"/>
  <c r="J138" i="46"/>
  <c r="K138" i="46"/>
  <c r="J137" i="46"/>
  <c r="K126" i="46"/>
  <c r="AS125" i="46"/>
  <c r="K125" i="46"/>
  <c r="AT124" i="46"/>
  <c r="AS126" i="46"/>
  <c r="AT126" i="46"/>
  <c r="AS119" i="46"/>
  <c r="J121" i="46"/>
  <c r="J117" i="46"/>
  <c r="B117" i="46"/>
  <c r="A117" i="46" s="1"/>
  <c r="A116" i="46"/>
  <c r="AT116" i="46"/>
  <c r="AS117" i="46"/>
  <c r="AS118" i="46"/>
  <c r="K117" i="46"/>
  <c r="AT109" i="46"/>
  <c r="AT110" i="46"/>
  <c r="AT107" i="46"/>
  <c r="AS104" i="46"/>
  <c r="AT105" i="46"/>
  <c r="K102" i="46"/>
  <c r="AT98" i="46"/>
  <c r="B96" i="46"/>
  <c r="A95" i="46"/>
  <c r="AS94" i="46"/>
  <c r="J91" i="46"/>
  <c r="A91" i="46"/>
  <c r="K85" i="46"/>
  <c r="J85" i="46"/>
  <c r="B76" i="46"/>
  <c r="A75" i="46"/>
  <c r="B52" i="46"/>
  <c r="B33" i="46"/>
  <c r="A33" i="46" s="1"/>
  <c r="A23" i="46"/>
  <c r="B24" i="46"/>
  <c r="A7" i="46"/>
  <c r="B8" i="46"/>
  <c r="K189" i="46"/>
  <c r="Q185" i="46"/>
  <c r="AS186" i="46"/>
  <c r="BY65" i="47" s="1"/>
  <c r="J186" i="46"/>
  <c r="BW65" i="47" s="1"/>
  <c r="K175" i="46"/>
  <c r="BX51" i="47" s="1"/>
  <c r="T168" i="46"/>
  <c r="AA42" i="47" s="1"/>
  <c r="Y168" i="46"/>
  <c r="X168" i="46"/>
  <c r="AF42" i="47" s="1"/>
  <c r="AT164" i="46"/>
  <c r="BZ37" i="47" s="1"/>
  <c r="AS164" i="46"/>
  <c r="BY37" i="47" s="1"/>
  <c r="K163" i="46"/>
  <c r="BX36" i="47" s="1"/>
  <c r="AS159" i="46"/>
  <c r="BY31" i="47" s="1"/>
  <c r="AT159" i="46"/>
  <c r="BZ31" i="47" s="1"/>
  <c r="AS158" i="46"/>
  <c r="BY30" i="47" s="1"/>
  <c r="AS151" i="46"/>
  <c r="BY21" i="47" s="1"/>
  <c r="AT151" i="46"/>
  <c r="BZ21" i="47" s="1"/>
  <c r="J150" i="46"/>
  <c r="BW20" i="47" s="1"/>
  <c r="K150" i="46"/>
  <c r="BX20" i="47" s="1"/>
  <c r="J149" i="46"/>
  <c r="BW18" i="47" s="1"/>
  <c r="AT141" i="46"/>
  <c r="AS140" i="46"/>
  <c r="AT138" i="46"/>
  <c r="AT135" i="46"/>
  <c r="J134" i="46"/>
  <c r="K134" i="46"/>
  <c r="J133" i="46"/>
  <c r="J131" i="46"/>
  <c r="AS127" i="46"/>
  <c r="AS128" i="46"/>
  <c r="AT119" i="46"/>
  <c r="AS120" i="46"/>
  <c r="K113" i="46"/>
  <c r="K115" i="46"/>
  <c r="J116" i="46"/>
  <c r="J103" i="46"/>
  <c r="K103" i="46"/>
  <c r="J104" i="46"/>
  <c r="K101" i="46"/>
  <c r="J101" i="46"/>
  <c r="J95" i="46"/>
  <c r="A87" i="46"/>
  <c r="B88" i="46"/>
  <c r="J74" i="46"/>
  <c r="J73" i="46"/>
  <c r="A44" i="46"/>
  <c r="B45" i="46"/>
  <c r="A45" i="46" s="1"/>
  <c r="A36" i="46"/>
  <c r="B37" i="46"/>
  <c r="A37" i="46" s="1"/>
  <c r="O16" i="47"/>
  <c r="Q15" i="47"/>
  <c r="R18" i="47"/>
  <c r="S17" i="47"/>
  <c r="T16" i="47"/>
  <c r="Y15" i="47"/>
  <c r="Z18" i="47"/>
  <c r="AB17" i="47"/>
  <c r="AD16" i="47"/>
  <c r="AE15" i="47"/>
  <c r="AG18" i="47"/>
  <c r="AJ17" i="47"/>
  <c r="AK16" i="47"/>
  <c r="AL15" i="47"/>
  <c r="AW18" i="47"/>
  <c r="AX17" i="47"/>
  <c r="AY16" i="47"/>
  <c r="AZ15" i="47"/>
  <c r="BB18" i="47"/>
  <c r="BC17" i="47"/>
  <c r="BD16" i="47"/>
  <c r="BE15" i="47"/>
  <c r="BF18" i="47"/>
  <c r="BG17" i="47"/>
  <c r="BH16" i="47"/>
  <c r="BJ15" i="47"/>
  <c r="BK18" i="47"/>
  <c r="BL17" i="47"/>
  <c r="BM16" i="47"/>
  <c r="BO15" i="47"/>
  <c r="BP18" i="47"/>
  <c r="BQ17" i="47"/>
  <c r="BR16" i="47"/>
  <c r="BS15" i="47"/>
  <c r="BT18" i="47"/>
  <c r="BU17" i="47"/>
  <c r="DF5" i="47"/>
  <c r="BS17" i="47"/>
  <c r="BR17" i="47"/>
  <c r="BQ16" i="47"/>
  <c r="BP16" i="47"/>
  <c r="BO16" i="47"/>
  <c r="BM15" i="47"/>
  <c r="BL15" i="47"/>
  <c r="BK15" i="47"/>
  <c r="BE18" i="47"/>
  <c r="BD18" i="47"/>
  <c r="BC18" i="47"/>
  <c r="BB17" i="47"/>
  <c r="AZ17" i="47"/>
  <c r="AY17" i="47"/>
  <c r="AX16" i="47"/>
  <c r="AW16" i="47"/>
  <c r="AL16" i="47"/>
  <c r="AK15" i="47"/>
  <c r="AJ15" i="47"/>
  <c r="AG15" i="47"/>
  <c r="Y18" i="47"/>
  <c r="T18" i="47"/>
  <c r="S18" i="47"/>
  <c r="R17" i="47"/>
  <c r="Q17" i="47"/>
  <c r="O17" i="47"/>
  <c r="AS292" i="46"/>
  <c r="AS290" i="46"/>
  <c r="K293" i="46"/>
  <c r="AS288" i="46"/>
  <c r="K291" i="46"/>
  <c r="AS286" i="46"/>
  <c r="K289" i="46"/>
  <c r="AS284" i="46"/>
  <c r="K287" i="46"/>
  <c r="AS282" i="46"/>
  <c r="K285" i="46"/>
  <c r="AS280" i="46"/>
  <c r="K283" i="46"/>
  <c r="AS278" i="46"/>
  <c r="K281" i="46"/>
  <c r="AS276" i="46"/>
  <c r="K279" i="46"/>
  <c r="AS274" i="46"/>
  <c r="K277" i="46"/>
  <c r="AS272" i="46"/>
  <c r="K275" i="46"/>
  <c r="AS270" i="46"/>
  <c r="K273" i="46"/>
  <c r="AS268" i="46"/>
  <c r="K271" i="46"/>
  <c r="AS266" i="46"/>
  <c r="K269" i="46"/>
  <c r="AS264" i="46"/>
  <c r="K267" i="46"/>
  <c r="AS262" i="46"/>
  <c r="K265" i="46"/>
  <c r="AS260" i="46"/>
  <c r="K263" i="46"/>
  <c r="AS258" i="46"/>
  <c r="K261" i="46"/>
  <c r="AS256" i="46"/>
  <c r="K259" i="46"/>
  <c r="AS254" i="46"/>
  <c r="K257" i="46"/>
  <c r="AS252" i="46"/>
  <c r="K255" i="46"/>
  <c r="AS250" i="46"/>
  <c r="K253" i="46"/>
  <c r="AS248" i="46"/>
  <c r="K251" i="46"/>
  <c r="AS246" i="46"/>
  <c r="K249" i="46"/>
  <c r="AS244" i="46"/>
  <c r="K247" i="46"/>
  <c r="AS242" i="46"/>
  <c r="K245" i="46"/>
  <c r="AS240" i="46"/>
  <c r="K243" i="46"/>
  <c r="AS238" i="46"/>
  <c r="K241" i="46"/>
  <c r="AS236" i="46"/>
  <c r="K239" i="46"/>
  <c r="AS234" i="46"/>
  <c r="K237" i="46"/>
  <c r="AS232" i="46"/>
  <c r="K235" i="46"/>
  <c r="AS230" i="46"/>
  <c r="K233" i="46"/>
  <c r="AS228" i="46"/>
  <c r="K231" i="46"/>
  <c r="AS226" i="46"/>
  <c r="K229" i="46"/>
  <c r="AS224" i="46"/>
  <c r="K227" i="46"/>
  <c r="AS222" i="46"/>
  <c r="K225" i="46"/>
  <c r="AS220" i="46"/>
  <c r="K223" i="46"/>
  <c r="AS218" i="46"/>
  <c r="K221" i="46"/>
  <c r="AS216" i="46"/>
  <c r="K219" i="46"/>
  <c r="AS214" i="46"/>
  <c r="K217" i="46"/>
  <c r="AS212" i="46"/>
  <c r="K215" i="46"/>
  <c r="AS210" i="46"/>
  <c r="K213" i="46"/>
  <c r="AS208" i="46"/>
  <c r="K211" i="46"/>
  <c r="AS206" i="46"/>
  <c r="K209" i="46"/>
  <c r="AS204" i="46"/>
  <c r="K207" i="46"/>
  <c r="AS202" i="46"/>
  <c r="K205" i="46"/>
  <c r="AS200" i="46"/>
  <c r="K203" i="46"/>
  <c r="AS198" i="46"/>
  <c r="K201" i="46"/>
  <c r="AS196" i="46"/>
  <c r="K199" i="46"/>
  <c r="AS194" i="46"/>
  <c r="K197" i="46"/>
  <c r="AS192" i="46"/>
  <c r="K195" i="46"/>
  <c r="K193" i="46"/>
  <c r="J189" i="46"/>
  <c r="K191" i="46"/>
  <c r="K185" i="46"/>
  <c r="BX63" i="47" s="1"/>
  <c r="A185" i="46"/>
  <c r="K184" i="46"/>
  <c r="BX62" i="47" s="1"/>
  <c r="T183" i="46"/>
  <c r="AA61" i="47" s="1"/>
  <c r="AC181" i="46"/>
  <c r="Q58" i="47" s="1"/>
  <c r="AP178" i="46"/>
  <c r="U178" i="46"/>
  <c r="AS176" i="46"/>
  <c r="BY52" i="47" s="1"/>
  <c r="K174" i="46"/>
  <c r="BX50" i="47" s="1"/>
  <c r="K177" i="46"/>
  <c r="BX53" i="47" s="1"/>
  <c r="AT169" i="46"/>
  <c r="BZ43" i="47" s="1"/>
  <c r="J161" i="46"/>
  <c r="BW33" i="47" s="1"/>
  <c r="K161" i="46"/>
  <c r="BX33" i="47" s="1"/>
  <c r="K158" i="46"/>
  <c r="BX30" i="47" s="1"/>
  <c r="K156" i="46"/>
  <c r="BX27" i="47" s="1"/>
  <c r="K155" i="46"/>
  <c r="BX26" i="47" s="1"/>
  <c r="J156" i="46"/>
  <c r="BW27" i="47" s="1"/>
  <c r="K151" i="46"/>
  <c r="BX21" i="47" s="1"/>
  <c r="K148" i="46"/>
  <c r="BX17" i="47" s="1"/>
  <c r="AT150" i="46"/>
  <c r="BZ20" i="47" s="1"/>
  <c r="J148" i="46"/>
  <c r="BW17" i="47" s="1"/>
  <c r="AT147" i="46"/>
  <c r="BZ16" i="47" s="1"/>
  <c r="J146" i="46"/>
  <c r="BW15" i="47" s="1"/>
  <c r="K146" i="46"/>
  <c r="BX15" i="47" s="1"/>
  <c r="J145" i="46"/>
  <c r="K135" i="46"/>
  <c r="AT137" i="46"/>
  <c r="AS136" i="46"/>
  <c r="K132" i="46"/>
  <c r="AT134" i="46"/>
  <c r="AT131" i="46"/>
  <c r="AT127" i="46"/>
  <c r="J130" i="46"/>
  <c r="K130" i="46"/>
  <c r="AT122" i="46"/>
  <c r="AS123" i="46"/>
  <c r="AS122" i="46"/>
  <c r="AT118" i="46"/>
  <c r="J118" i="46"/>
  <c r="J119" i="46"/>
  <c r="K120" i="46"/>
  <c r="K114" i="46"/>
  <c r="AT111" i="46"/>
  <c r="AS112" i="46"/>
  <c r="AS111" i="46"/>
  <c r="K107" i="46"/>
  <c r="J107" i="46"/>
  <c r="AT103" i="46"/>
  <c r="AT101" i="46"/>
  <c r="AS103" i="46"/>
  <c r="J100" i="46"/>
  <c r="A100" i="46"/>
  <c r="AS99" i="46"/>
  <c r="K99" i="46"/>
  <c r="AS97" i="46"/>
  <c r="K97" i="46"/>
  <c r="J98" i="46"/>
  <c r="K98" i="46"/>
  <c r="J99" i="46"/>
  <c r="AT95" i="46"/>
  <c r="AS96" i="46"/>
  <c r="K93" i="46"/>
  <c r="K94" i="46"/>
  <c r="J92" i="46"/>
  <c r="J87" i="46"/>
  <c r="K88" i="46"/>
  <c r="A84" i="46"/>
  <c r="K86" i="46"/>
  <c r="A80" i="46"/>
  <c r="B81" i="46"/>
  <c r="A81" i="46" s="1"/>
  <c r="B60" i="46"/>
  <c r="B56" i="46"/>
  <c r="A20" i="46"/>
  <c r="B21" i="46"/>
  <c r="A21" i="46" s="1"/>
  <c r="A16" i="46"/>
  <c r="AD42" i="47"/>
  <c r="CQ39" i="47"/>
  <c r="DY7" i="47"/>
  <c r="DO7" i="47"/>
  <c r="DJ7" i="47"/>
  <c r="DE7" i="47"/>
  <c r="CZ7" i="47"/>
  <c r="CU7" i="47"/>
  <c r="CO7" i="47"/>
  <c r="BU33" i="47"/>
  <c r="BT30" i="47"/>
  <c r="BS31" i="47"/>
  <c r="BR32" i="47"/>
  <c r="BQ33" i="47"/>
  <c r="BP30" i="47"/>
  <c r="BO31" i="47"/>
  <c r="BM32" i="47"/>
  <c r="BL33" i="47"/>
  <c r="BK30" i="47"/>
  <c r="BJ31" i="47"/>
  <c r="BH32" i="47"/>
  <c r="BG33" i="47"/>
  <c r="BF30" i="47"/>
  <c r="BE31" i="47"/>
  <c r="BD32" i="47"/>
  <c r="BC33" i="47"/>
  <c r="BB30" i="47"/>
  <c r="AZ31" i="47"/>
  <c r="AY32" i="47"/>
  <c r="AX33" i="47"/>
  <c r="AW30" i="47"/>
  <c r="AL31" i="47"/>
  <c r="AK32" i="47"/>
  <c r="AJ33" i="47"/>
  <c r="AG30" i="47"/>
  <c r="AE31" i="47"/>
  <c r="AD32" i="47"/>
  <c r="AB33" i="47"/>
  <c r="Z30" i="47"/>
  <c r="Y31" i="47"/>
  <c r="T32" i="47"/>
  <c r="S33" i="47"/>
  <c r="R30" i="47"/>
  <c r="Q31" i="47"/>
  <c r="O32" i="47"/>
  <c r="CQ38" i="47"/>
  <c r="DY6" i="47"/>
  <c r="DO6" i="47"/>
  <c r="DJ6" i="47"/>
  <c r="DE6" i="47"/>
  <c r="CZ6" i="47"/>
  <c r="CU6" i="47"/>
  <c r="CO6" i="47"/>
  <c r="BU28" i="47"/>
  <c r="BT25" i="47"/>
  <c r="BS26" i="47"/>
  <c r="BR27" i="47"/>
  <c r="BQ28" i="47"/>
  <c r="BP25" i="47"/>
  <c r="BO26" i="47"/>
  <c r="BM27" i="47"/>
  <c r="BL28" i="47"/>
  <c r="BK25" i="47"/>
  <c r="BJ26" i="47"/>
  <c r="BH27" i="47"/>
  <c r="BG28" i="47"/>
  <c r="BF25" i="47"/>
  <c r="BE26" i="47"/>
  <c r="BD27" i="47"/>
  <c r="BC28" i="47"/>
  <c r="BB25" i="47"/>
  <c r="AZ26" i="47"/>
  <c r="AY27" i="47"/>
  <c r="AX28" i="47"/>
  <c r="AW25" i="47"/>
  <c r="AL26" i="47"/>
  <c r="AK27" i="47"/>
  <c r="AJ28" i="47"/>
  <c r="AG25" i="47"/>
  <c r="AE26" i="47"/>
  <c r="AD27" i="47"/>
  <c r="AB28" i="47"/>
  <c r="Z25" i="47"/>
  <c r="Y26" i="47"/>
  <c r="T27" i="47"/>
  <c r="S28" i="47"/>
  <c r="R25" i="47"/>
  <c r="Q26" i="47"/>
  <c r="O27" i="47"/>
  <c r="CQ37" i="47"/>
  <c r="DY5" i="47"/>
  <c r="DO5" i="47"/>
  <c r="DJ5" i="47"/>
  <c r="DE5" i="47"/>
  <c r="CZ5" i="47"/>
  <c r="CU5" i="47"/>
  <c r="CO5" i="47"/>
  <c r="BU23" i="47"/>
  <c r="BT20" i="47"/>
  <c r="BS21" i="47"/>
  <c r="BR22" i="47"/>
  <c r="BQ23" i="47"/>
  <c r="BP20" i="47"/>
  <c r="BO21" i="47"/>
  <c r="BM22" i="47"/>
  <c r="BL23" i="47"/>
  <c r="BK20" i="47"/>
  <c r="BJ21" i="47"/>
  <c r="BH22" i="47"/>
  <c r="BG23" i="47"/>
  <c r="BF20" i="47"/>
  <c r="BE21" i="47"/>
  <c r="BD22" i="47"/>
  <c r="BC23" i="47"/>
  <c r="BB20" i="47"/>
  <c r="AZ21" i="47"/>
  <c r="AY22" i="47"/>
  <c r="AX23" i="47"/>
  <c r="AW20" i="47"/>
  <c r="AL21" i="47"/>
  <c r="AK22" i="47"/>
  <c r="AJ23" i="47"/>
  <c r="AG20" i="47"/>
  <c r="AE21" i="47"/>
  <c r="AD22" i="47"/>
  <c r="AB23" i="47"/>
  <c r="Z20" i="47"/>
  <c r="Y21" i="47"/>
  <c r="T22" i="47"/>
  <c r="S23" i="47"/>
  <c r="R20" i="47"/>
  <c r="Q21" i="47"/>
  <c r="O22" i="47"/>
  <c r="CS35" i="47"/>
  <c r="CO35" i="47"/>
  <c r="DY4" i="47"/>
  <c r="DO4" i="47"/>
  <c r="DJ4" i="47"/>
  <c r="DE4" i="47"/>
  <c r="CZ4" i="47"/>
  <c r="CS4" i="47"/>
  <c r="CN4" i="47"/>
  <c r="BU16" i="47"/>
  <c r="BT16" i="47"/>
  <c r="BS16" i="47"/>
  <c r="BR15" i="47"/>
  <c r="BQ15" i="47"/>
  <c r="BP15" i="47"/>
  <c r="BJ18" i="47"/>
  <c r="BH18" i="47"/>
  <c r="BG18" i="47"/>
  <c r="BF17" i="47"/>
  <c r="BE17" i="47"/>
  <c r="BD17" i="47"/>
  <c r="BC16" i="47"/>
  <c r="BB16" i="47"/>
  <c r="AZ16" i="47"/>
  <c r="AY15" i="47"/>
  <c r="AX15" i="47"/>
  <c r="AW15" i="47"/>
  <c r="AE18" i="47"/>
  <c r="AD18" i="47"/>
  <c r="AB18" i="47"/>
  <c r="Z17" i="47"/>
  <c r="Y17" i="47"/>
  <c r="T17" i="47"/>
  <c r="S16" i="47"/>
  <c r="R16" i="47"/>
  <c r="Q16" i="47"/>
  <c r="O15" i="47"/>
  <c r="F15" i="47"/>
  <c r="K187" i="46"/>
  <c r="BX66" i="47" s="1"/>
  <c r="AT186" i="46"/>
  <c r="BZ65" i="47" s="1"/>
  <c r="AC186" i="46"/>
  <c r="Q65" i="47" s="1"/>
  <c r="J185" i="46"/>
  <c r="BW63" i="47" s="1"/>
  <c r="J187" i="46"/>
  <c r="BW66" i="47" s="1"/>
  <c r="Y182" i="46"/>
  <c r="V181" i="46"/>
  <c r="AC58" i="47" s="1"/>
  <c r="AT183" i="46"/>
  <c r="BZ61" i="47" s="1"/>
  <c r="AC180" i="46"/>
  <c r="Q57" i="47" s="1"/>
  <c r="AC179" i="46"/>
  <c r="Q56" i="47" s="1"/>
  <c r="T178" i="46"/>
  <c r="AA55" i="47" s="1"/>
  <c r="T176" i="46"/>
  <c r="AA52" i="47" s="1"/>
  <c r="Y176" i="46"/>
  <c r="AC175" i="46"/>
  <c r="Q51" i="47" s="1"/>
  <c r="J175" i="46"/>
  <c r="BW51" i="47" s="1"/>
  <c r="J176" i="46"/>
  <c r="BW52" i="47" s="1"/>
  <c r="AP170" i="46"/>
  <c r="AS171" i="46" s="1"/>
  <c r="BY46" i="47" s="1"/>
  <c r="F170" i="46"/>
  <c r="AS169" i="46"/>
  <c r="BY43" i="47" s="1"/>
  <c r="AT170" i="46"/>
  <c r="BZ45" i="47" s="1"/>
  <c r="J167" i="46"/>
  <c r="BW41" i="47" s="1"/>
  <c r="K167" i="46"/>
  <c r="BX41" i="47" s="1"/>
  <c r="J163" i="46"/>
  <c r="BW36" i="47" s="1"/>
  <c r="K162" i="46"/>
  <c r="BX35" i="47" s="1"/>
  <c r="K160" i="46"/>
  <c r="BX32" i="47" s="1"/>
  <c r="K159" i="46"/>
  <c r="BX31" i="47" s="1"/>
  <c r="J158" i="46"/>
  <c r="BW30" i="47" s="1"/>
  <c r="AT157" i="46"/>
  <c r="BZ28" i="47" s="1"/>
  <c r="J160" i="46"/>
  <c r="BW32" i="47" s="1"/>
  <c r="J155" i="46"/>
  <c r="BW26" i="47" s="1"/>
  <c r="AS156" i="46"/>
  <c r="BY27" i="47" s="1"/>
  <c r="AT152" i="46"/>
  <c r="BZ22" i="47" s="1"/>
  <c r="K149" i="46"/>
  <c r="BX18" i="47" s="1"/>
  <c r="K147" i="46"/>
  <c r="BX16" i="47" s="1"/>
  <c r="AT149" i="46"/>
  <c r="BZ18" i="47" s="1"/>
  <c r="AS148" i="46"/>
  <c r="BY17" i="47" s="1"/>
  <c r="K144" i="46"/>
  <c r="AT146" i="46"/>
  <c r="BZ15" i="47" s="1"/>
  <c r="AS141" i="46"/>
  <c r="J144" i="46"/>
  <c r="AT143" i="46"/>
  <c r="AS139" i="46"/>
  <c r="J142" i="46"/>
  <c r="K142" i="46"/>
  <c r="J141" i="46"/>
  <c r="K133" i="46"/>
  <c r="K131" i="46"/>
  <c r="AT133" i="46"/>
  <c r="AS132" i="46"/>
  <c r="J128" i="46"/>
  <c r="AT130" i="46"/>
  <c r="A127" i="46"/>
  <c r="B128" i="46"/>
  <c r="AS129" i="46"/>
  <c r="K128" i="46"/>
  <c r="J127" i="46"/>
  <c r="AT123" i="46"/>
  <c r="J123" i="46"/>
  <c r="AS121" i="46"/>
  <c r="K121" i="46"/>
  <c r="K123" i="46"/>
  <c r="AT115" i="46"/>
  <c r="J115" i="46"/>
  <c r="AT114" i="46"/>
  <c r="AS113" i="46"/>
  <c r="K105" i="46"/>
  <c r="J106" i="46"/>
  <c r="AT102" i="46"/>
  <c r="J102" i="46"/>
  <c r="AT94" i="46"/>
  <c r="J94" i="46"/>
  <c r="K96" i="46"/>
  <c r="K92" i="46"/>
  <c r="K91" i="46"/>
  <c r="A92" i="46"/>
  <c r="B93" i="46"/>
  <c r="A93" i="46" s="1"/>
  <c r="AT92" i="46"/>
  <c r="AS93" i="46"/>
  <c r="J90" i="46"/>
  <c r="J86" i="46"/>
  <c r="J80" i="46"/>
  <c r="J78" i="46"/>
  <c r="A47" i="46"/>
  <c r="B48" i="46"/>
  <c r="AF169" i="46"/>
  <c r="AJ43" i="47" s="1"/>
  <c r="AS165" i="46"/>
  <c r="BY38" i="47" s="1"/>
  <c r="AS166" i="46"/>
  <c r="BY40" i="47" s="1"/>
  <c r="AS161" i="46"/>
  <c r="BY33" i="47" s="1"/>
  <c r="AS157" i="46"/>
  <c r="BY28" i="47" s="1"/>
  <c r="AS152" i="46"/>
  <c r="BY22" i="47" s="1"/>
  <c r="J151" i="46"/>
  <c r="BW21" i="47" s="1"/>
  <c r="AT148" i="46"/>
  <c r="BZ17" i="47" s="1"/>
  <c r="J147" i="46"/>
  <c r="BW16" i="47" s="1"/>
  <c r="AT144" i="46"/>
  <c r="J143" i="46"/>
  <c r="AT140" i="46"/>
  <c r="J139" i="46"/>
  <c r="AT136" i="46"/>
  <c r="J135" i="46"/>
  <c r="AT132" i="46"/>
  <c r="J132" i="46"/>
  <c r="AT121" i="46"/>
  <c r="J114" i="46"/>
  <c r="J113" i="46"/>
  <c r="K112" i="46"/>
  <c r="AT106" i="46"/>
  <c r="AS107" i="46"/>
  <c r="AT100" i="46"/>
  <c r="AS101" i="46"/>
  <c r="AS102" i="46"/>
  <c r="J89" i="46"/>
  <c r="J82" i="46"/>
  <c r="K83" i="46"/>
  <c r="A39" i="46"/>
  <c r="B40" i="46"/>
  <c r="EE4" i="47" l="1"/>
  <c r="AS172" i="46"/>
  <c r="BY47" i="47" s="1"/>
  <c r="X181" i="46"/>
  <c r="AF58" i="47" s="1"/>
  <c r="Y181" i="46"/>
  <c r="Y58" i="47"/>
  <c r="AD58" i="47"/>
  <c r="EA39" i="47"/>
  <c r="A28" i="46"/>
  <c r="B29" i="46"/>
  <c r="A29" i="46" s="1"/>
  <c r="B121" i="46"/>
  <c r="A121" i="46" s="1"/>
  <c r="A120" i="46"/>
  <c r="DF41" i="47"/>
  <c r="BF62" i="47"/>
  <c r="B201" i="46"/>
  <c r="A197" i="46"/>
  <c r="V171" i="46"/>
  <c r="AC46" i="47" s="1"/>
  <c r="AB46" i="47"/>
  <c r="AT189" i="46"/>
  <c r="BF65" i="47"/>
  <c r="DF43" i="47"/>
  <c r="Y184" i="46"/>
  <c r="AC184" i="46"/>
  <c r="Q62" i="47" s="1"/>
  <c r="AD62" i="47"/>
  <c r="V184" i="46"/>
  <c r="AC62" i="47" s="1"/>
  <c r="X184" i="46"/>
  <c r="AF62" i="47" s="1"/>
  <c r="R62" i="47"/>
  <c r="EA42" i="47"/>
  <c r="Y62" i="47"/>
  <c r="X179" i="46"/>
  <c r="AF56" i="47" s="1"/>
  <c r="Y179" i="46"/>
  <c r="EA37" i="47"/>
  <c r="T179" i="46"/>
  <c r="AA56" i="47" s="1"/>
  <c r="R56" i="47"/>
  <c r="Y56" i="47"/>
  <c r="A12" i="46"/>
  <c r="B13" i="46"/>
  <c r="A13" i="46" s="1"/>
  <c r="Z171" i="46"/>
  <c r="AH46" i="47" s="1"/>
  <c r="AG46" i="47"/>
  <c r="DZ29" i="47"/>
  <c r="CK8" i="47"/>
  <c r="CL8" i="47" s="1"/>
  <c r="CI12" i="47"/>
  <c r="EJ15" i="47"/>
  <c r="EH4" i="47"/>
  <c r="EI4" i="47"/>
  <c r="ED10" i="47"/>
  <c r="EF10" i="47" s="1"/>
  <c r="EE23" i="47"/>
  <c r="ED6" i="47"/>
  <c r="EF6" i="47" s="1"/>
  <c r="ED7" i="47"/>
  <c r="EF7" i="47" s="1"/>
  <c r="A60" i="46"/>
  <c r="B61" i="46"/>
  <c r="A61" i="46" s="1"/>
  <c r="Z176" i="46"/>
  <c r="AH52" i="47" s="1"/>
  <c r="DZ34" i="47"/>
  <c r="AG52" i="47"/>
  <c r="AS181" i="46"/>
  <c r="BY58" i="47" s="1"/>
  <c r="AT181" i="46"/>
  <c r="BZ58" i="47" s="1"/>
  <c r="BF55" i="47"/>
  <c r="DF35" i="47"/>
  <c r="B89" i="46"/>
  <c r="A89" i="46" s="1"/>
  <c r="A88" i="46"/>
  <c r="Z168" i="46"/>
  <c r="AH42" i="47" s="1"/>
  <c r="AG42" i="47"/>
  <c r="DZ26" i="47"/>
  <c r="B25" i="46"/>
  <c r="A25" i="46" s="1"/>
  <c r="A24" i="46"/>
  <c r="A96" i="46"/>
  <c r="B97" i="46"/>
  <c r="A97" i="46" s="1"/>
  <c r="A138" i="46"/>
  <c r="B142" i="46"/>
  <c r="AT180" i="46"/>
  <c r="BZ57" i="47" s="1"/>
  <c r="AS180" i="46"/>
  <c r="BY57" i="47" s="1"/>
  <c r="DF34" i="47"/>
  <c r="CJ9" i="47"/>
  <c r="CJ6" i="47"/>
  <c r="EE5" i="47"/>
  <c r="ED19" i="47"/>
  <c r="EF19" i="47" s="1"/>
  <c r="EI6" i="47"/>
  <c r="EI17" i="47"/>
  <c r="AT179" i="46"/>
  <c r="BZ56" i="47" s="1"/>
  <c r="ED4" i="47"/>
  <c r="EF4" i="47" s="1"/>
  <c r="A40" i="46"/>
  <c r="B41" i="46"/>
  <c r="A41" i="46" s="1"/>
  <c r="AT177" i="46"/>
  <c r="BZ53" i="47" s="1"/>
  <c r="EH6" i="47"/>
  <c r="EH17" i="47"/>
  <c r="EH21" i="47"/>
  <c r="AT178" i="46"/>
  <c r="BZ55" i="47" s="1"/>
  <c r="AS178" i="46"/>
  <c r="BY55" i="47" s="1"/>
  <c r="A76" i="46"/>
  <c r="B77" i="46"/>
  <c r="A77" i="46" s="1"/>
  <c r="A139" i="46"/>
  <c r="B143" i="46"/>
  <c r="K171" i="46"/>
  <c r="BX46" i="47" s="1"/>
  <c r="J171" i="46"/>
  <c r="BW46" i="47" s="1"/>
  <c r="K190" i="46"/>
  <c r="J190" i="46"/>
  <c r="EI5" i="47"/>
  <c r="EI16" i="47"/>
  <c r="BF53" i="47"/>
  <c r="AS177" i="46"/>
  <c r="BY53" i="47" s="1"/>
  <c r="EE19" i="47"/>
  <c r="K168" i="46"/>
  <c r="BX42" i="47" s="1"/>
  <c r="CJ16" i="47"/>
  <c r="Z183" i="46"/>
  <c r="AH61" i="47" s="1"/>
  <c r="DZ41" i="47"/>
  <c r="AG61" i="47"/>
  <c r="A128" i="46"/>
  <c r="B132" i="46"/>
  <c r="B129" i="46"/>
  <c r="J172" i="46"/>
  <c r="BW47" i="47" s="1"/>
  <c r="K172" i="46"/>
  <c r="BX47" i="47" s="1"/>
  <c r="J173" i="46"/>
  <c r="BW48" i="47" s="1"/>
  <c r="K173" i="46"/>
  <c r="BX48" i="47" s="1"/>
  <c r="K170" i="46"/>
  <c r="BX45" i="47" s="1"/>
  <c r="K188" i="46"/>
  <c r="J170" i="46"/>
  <c r="BW45" i="47" s="1"/>
  <c r="Y185" i="46"/>
  <c r="T185" i="46"/>
  <c r="AA63" i="47" s="1"/>
  <c r="X185" i="46"/>
  <c r="AF63" i="47" s="1"/>
  <c r="AC185" i="46"/>
  <c r="Q63" i="47" s="1"/>
  <c r="R63" i="47"/>
  <c r="EA43" i="47"/>
  <c r="Y63" i="47"/>
  <c r="AD63" i="47"/>
  <c r="A8" i="46"/>
  <c r="B9" i="46"/>
  <c r="A9" i="46" s="1"/>
  <c r="ED18" i="47"/>
  <c r="EF18" i="47" s="1"/>
  <c r="EE7" i="47"/>
  <c r="ED21" i="47"/>
  <c r="EF21" i="47" s="1"/>
  <c r="ED23" i="47"/>
  <c r="EF23" i="47" s="1"/>
  <c r="Z186" i="46"/>
  <c r="AH65" i="47" s="1"/>
  <c r="DZ44" i="47"/>
  <c r="AG65" i="47"/>
  <c r="EE22" i="47"/>
  <c r="J169" i="46"/>
  <c r="BW43" i="47" s="1"/>
  <c r="ED22" i="47"/>
  <c r="EF22" i="47" s="1"/>
  <c r="B49" i="46"/>
  <c r="A49" i="46" s="1"/>
  <c r="A48" i="46"/>
  <c r="J168" i="46"/>
  <c r="BW42" i="47" s="1"/>
  <c r="BF45" i="47"/>
  <c r="DF27" i="47"/>
  <c r="AT172" i="46"/>
  <c r="BZ47" i="47" s="1"/>
  <c r="Z182" i="46"/>
  <c r="AH60" i="47" s="1"/>
  <c r="AG60" i="47"/>
  <c r="DZ40" i="47"/>
  <c r="F20" i="47"/>
  <c r="F16" i="47"/>
  <c r="E15" i="47"/>
  <c r="EH16" i="47"/>
  <c r="EH5" i="47"/>
  <c r="EH20" i="47"/>
  <c r="EH7" i="47"/>
  <c r="EH8" i="47"/>
  <c r="EH18" i="47"/>
  <c r="EH22" i="47"/>
  <c r="A56" i="46"/>
  <c r="B57" i="46"/>
  <c r="A57" i="46" s="1"/>
  <c r="AB55" i="47"/>
  <c r="V178" i="46"/>
  <c r="AC55" i="47" s="1"/>
  <c r="AS179" i="46"/>
  <c r="BY56" i="47" s="1"/>
  <c r="V185" i="46"/>
  <c r="AC63" i="47" s="1"/>
  <c r="A52" i="46"/>
  <c r="B53" i="46"/>
  <c r="A53" i="46" s="1"/>
  <c r="V167" i="46"/>
  <c r="AC41" i="47" s="1"/>
  <c r="AB41" i="47"/>
  <c r="V177" i="46"/>
  <c r="AC53" i="47" s="1"/>
  <c r="AB53" i="47"/>
  <c r="EE18" i="47"/>
  <c r="EE6" i="47"/>
  <c r="ED20" i="47"/>
  <c r="EF20" i="47" s="1"/>
  <c r="EI7" i="47"/>
  <c r="EI18" i="47"/>
  <c r="EI8" i="47"/>
  <c r="EI23" i="47"/>
  <c r="EJ23" i="47" s="1"/>
  <c r="EI19" i="47"/>
  <c r="EJ19" i="47" s="1"/>
  <c r="EI9" i="47"/>
  <c r="EJ9" i="47" s="1"/>
  <c r="EI20" i="47"/>
  <c r="EI10" i="47"/>
  <c r="EJ10" i="47" s="1"/>
  <c r="EI21" i="47"/>
  <c r="EI11" i="47"/>
  <c r="EJ11" i="47" s="1"/>
  <c r="EI12" i="47"/>
  <c r="EJ12" i="47" s="1"/>
  <c r="EI22" i="47"/>
  <c r="ED9" i="47"/>
  <c r="EF9" i="47" s="1"/>
  <c r="AT171" i="46"/>
  <c r="BZ46" i="47" s="1"/>
  <c r="AS170" i="46"/>
  <c r="BY45" i="47" s="1"/>
  <c r="ED5" i="47"/>
  <c r="EF5" i="47" s="1"/>
  <c r="CP59" i="47"/>
  <c r="ED8" i="47"/>
  <c r="EF8" i="47" s="1"/>
  <c r="ED11" i="47"/>
  <c r="EF11" i="47" s="1"/>
  <c r="EJ16" i="47" l="1"/>
  <c r="EJ6" i="47"/>
  <c r="CI16" i="47"/>
  <c r="CK12" i="47"/>
  <c r="CL12" i="47" s="1"/>
  <c r="Z184" i="46"/>
  <c r="AH62" i="47" s="1"/>
  <c r="AG62" i="47"/>
  <c r="DZ42" i="47"/>
  <c r="Z179" i="46"/>
  <c r="AH56" i="47" s="1"/>
  <c r="DZ37" i="47"/>
  <c r="AG56" i="47"/>
  <c r="B205" i="46"/>
  <c r="A201" i="46"/>
  <c r="Z181" i="46"/>
  <c r="AH58" i="47" s="1"/>
  <c r="DZ39" i="47"/>
  <c r="AG58" i="47"/>
  <c r="EJ8" i="47"/>
  <c r="EJ7" i="47"/>
  <c r="EJ5" i="47"/>
  <c r="EJ4" i="47"/>
  <c r="F25" i="47"/>
  <c r="E20" i="47"/>
  <c r="B133" i="46"/>
  <c r="A129" i="46"/>
  <c r="E16" i="47"/>
  <c r="F21" i="47"/>
  <c r="F17" i="47"/>
  <c r="Z185" i="46"/>
  <c r="AH63" i="47" s="1"/>
  <c r="AG63" i="47"/>
  <c r="DZ43" i="47"/>
  <c r="A132" i="46"/>
  <c r="B136" i="46"/>
  <c r="A143" i="46"/>
  <c r="B147" i="46"/>
  <c r="CJ10" i="47"/>
  <c r="CJ7" i="47"/>
  <c r="EJ22" i="47"/>
  <c r="EJ21" i="47"/>
  <c r="EJ18" i="47"/>
  <c r="EJ20" i="47"/>
  <c r="CJ20" i="47"/>
  <c r="EJ17" i="47"/>
  <c r="CJ13" i="47"/>
  <c r="A142" i="46"/>
  <c r="B146" i="46"/>
  <c r="B209" i="46" l="1"/>
  <c r="A205" i="46"/>
  <c r="CI20" i="47"/>
  <c r="CK16" i="47"/>
  <c r="CL16" i="47" s="1"/>
  <c r="A146" i="46"/>
  <c r="B150" i="46"/>
  <c r="DU4" i="47"/>
  <c r="DW4" i="47" s="1"/>
  <c r="DX4" i="47" s="1"/>
  <c r="CJ14" i="47"/>
  <c r="A136" i="46"/>
  <c r="B140" i="46"/>
  <c r="CJ24" i="47"/>
  <c r="F30" i="47"/>
  <c r="E25" i="47"/>
  <c r="CJ11" i="47"/>
  <c r="A147" i="46"/>
  <c r="B151" i="46"/>
  <c r="DU5" i="47"/>
  <c r="DW5" i="47" s="1"/>
  <c r="DX5" i="47" s="1"/>
  <c r="F22" i="47"/>
  <c r="E17" i="47"/>
  <c r="F18" i="47"/>
  <c r="A133" i="46"/>
  <c r="B137" i="46"/>
  <c r="CJ17" i="47"/>
  <c r="F26" i="47"/>
  <c r="E21" i="47"/>
  <c r="CI24" i="47" l="1"/>
  <c r="CK20" i="47"/>
  <c r="CL20" i="47" s="1"/>
  <c r="B213" i="46"/>
  <c r="A209" i="46"/>
  <c r="F23" i="47"/>
  <c r="E18" i="47"/>
  <c r="A150" i="46"/>
  <c r="B154" i="46"/>
  <c r="CI7" i="47"/>
  <c r="DU8" i="47"/>
  <c r="DW8" i="47" s="1"/>
  <c r="DX8" i="47" s="1"/>
  <c r="E26" i="47"/>
  <c r="F31" i="47"/>
  <c r="CJ21" i="47"/>
  <c r="A151" i="46"/>
  <c r="B155" i="46"/>
  <c r="DU9" i="47"/>
  <c r="DW9" i="47" s="1"/>
  <c r="DX9" i="47" s="1"/>
  <c r="F27" i="47"/>
  <c r="E22" i="47"/>
  <c r="F35" i="47"/>
  <c r="E30" i="47"/>
  <c r="CJ28" i="47"/>
  <c r="A140" i="46"/>
  <c r="B144" i="46"/>
  <c r="CJ18" i="47"/>
  <c r="A137" i="46"/>
  <c r="B141" i="46"/>
  <c r="CJ15" i="47"/>
  <c r="B217" i="46" l="1"/>
  <c r="A213" i="46"/>
  <c r="CI28" i="47"/>
  <c r="CK24" i="47"/>
  <c r="CL24" i="47" s="1"/>
  <c r="CJ32" i="47"/>
  <c r="CJ25" i="47"/>
  <c r="CK7" i="47"/>
  <c r="CL7" i="47" s="1"/>
  <c r="CI11" i="47"/>
  <c r="A141" i="46"/>
  <c r="B145" i="46"/>
  <c r="A144" i="46"/>
  <c r="B148" i="46"/>
  <c r="A155" i="46"/>
  <c r="B159" i="46"/>
  <c r="DU13" i="47"/>
  <c r="DW13" i="47" s="1"/>
  <c r="DX13" i="47" s="1"/>
  <c r="A154" i="46"/>
  <c r="B158" i="46"/>
  <c r="DU12" i="47"/>
  <c r="DW12" i="47" s="1"/>
  <c r="DX12" i="47" s="1"/>
  <c r="CJ19" i="47"/>
  <c r="CJ22" i="47"/>
  <c r="F32" i="47"/>
  <c r="E27" i="47"/>
  <c r="F40" i="47"/>
  <c r="E35" i="47"/>
  <c r="E31" i="47"/>
  <c r="F36" i="47"/>
  <c r="F28" i="47"/>
  <c r="E23" i="47"/>
  <c r="B221" i="46" l="1"/>
  <c r="A217" i="46"/>
  <c r="CK28" i="47"/>
  <c r="CL28" i="47" s="1"/>
  <c r="CI32" i="47"/>
  <c r="F33" i="47"/>
  <c r="E28" i="47"/>
  <c r="F41" i="47"/>
  <c r="E36" i="47"/>
  <c r="CJ29" i="47"/>
  <c r="CJ36" i="47"/>
  <c r="F45" i="47"/>
  <c r="E40" i="47"/>
  <c r="F37" i="47"/>
  <c r="E32" i="47"/>
  <c r="CJ26" i="47"/>
  <c r="A148" i="46"/>
  <c r="CI5" i="47"/>
  <c r="B152" i="46"/>
  <c r="DU6" i="47"/>
  <c r="DW6" i="47" s="1"/>
  <c r="DX6" i="47" s="1"/>
  <c r="CJ23" i="47"/>
  <c r="A158" i="46"/>
  <c r="B162" i="46"/>
  <c r="DU16" i="47"/>
  <c r="DW16" i="47" s="1"/>
  <c r="DX16" i="47" s="1"/>
  <c r="B163" i="46"/>
  <c r="A159" i="46"/>
  <c r="DU17" i="47"/>
  <c r="DW17" i="47" s="1"/>
  <c r="DX17" i="47" s="1"/>
  <c r="A145" i="46"/>
  <c r="B149" i="46"/>
  <c r="CI15" i="47"/>
  <c r="CK11" i="47"/>
  <c r="CL11" i="47" s="1"/>
  <c r="B225" i="46" l="1"/>
  <c r="A221" i="46"/>
  <c r="CI36" i="47"/>
  <c r="CK32" i="47"/>
  <c r="CL32" i="47" s="1"/>
  <c r="CI19" i="47"/>
  <c r="CK15" i="47"/>
  <c r="CL15" i="47" s="1"/>
  <c r="K17" i="47"/>
  <c r="I15" i="47"/>
  <c r="M16" i="47"/>
  <c r="H16" i="47"/>
  <c r="CK5" i="47"/>
  <c r="CL5" i="47" s="1"/>
  <c r="CI9" i="47"/>
  <c r="J17" i="47"/>
  <c r="CJ40" i="47"/>
  <c r="K16" i="47"/>
  <c r="F46" i="47"/>
  <c r="E41" i="47"/>
  <c r="B166" i="46"/>
  <c r="A162" i="46"/>
  <c r="DU20" i="47"/>
  <c r="DW20" i="47" s="1"/>
  <c r="DX20" i="47" s="1"/>
  <c r="CJ30" i="47"/>
  <c r="F50" i="47"/>
  <c r="E45" i="47"/>
  <c r="J15" i="47"/>
  <c r="I16" i="47"/>
  <c r="M15" i="47"/>
  <c r="L17" i="47"/>
  <c r="L16" i="47"/>
  <c r="H15" i="47"/>
  <c r="A149" i="46"/>
  <c r="B153" i="46"/>
  <c r="CI6" i="47"/>
  <c r="DU7" i="47"/>
  <c r="DW7" i="47" s="1"/>
  <c r="DX7" i="47" s="1"/>
  <c r="B167" i="46"/>
  <c r="A163" i="46"/>
  <c r="DU21" i="47"/>
  <c r="DW21" i="47" s="1"/>
  <c r="DX21" i="47" s="1"/>
  <c r="I17" i="47"/>
  <c r="F42" i="47"/>
  <c r="E37" i="47"/>
  <c r="H17" i="47"/>
  <c r="CJ27" i="47"/>
  <c r="I18" i="47"/>
  <c r="A152" i="46"/>
  <c r="B156" i="46"/>
  <c r="DU10" i="47"/>
  <c r="DW10" i="47" s="1"/>
  <c r="DX10" i="47" s="1"/>
  <c r="M22" i="47"/>
  <c r="CJ33" i="47"/>
  <c r="M17" i="47"/>
  <c r="J16" i="47"/>
  <c r="E33" i="47"/>
  <c r="F38" i="47"/>
  <c r="B229" i="46" l="1"/>
  <c r="A225" i="46"/>
  <c r="CI40" i="47"/>
  <c r="CK36" i="47"/>
  <c r="CL36" i="47" s="1"/>
  <c r="EC4" i="47" s="1"/>
  <c r="EC15" i="47" s="1"/>
  <c r="A156" i="46"/>
  <c r="B160" i="46"/>
  <c r="DU14" i="47"/>
  <c r="DW14" i="47" s="1"/>
  <c r="DX14" i="47" s="1"/>
  <c r="CJ34" i="47"/>
  <c r="I21" i="47"/>
  <c r="L21" i="47"/>
  <c r="J20" i="47"/>
  <c r="H22" i="47"/>
  <c r="A167" i="46"/>
  <c r="B171" i="46"/>
  <c r="DU25" i="47"/>
  <c r="DW25" i="47" s="1"/>
  <c r="DX25" i="47" s="1"/>
  <c r="CK6" i="47"/>
  <c r="CL6" i="47" s="1"/>
  <c r="CI10" i="47"/>
  <c r="F51" i="47"/>
  <c r="E46" i="47"/>
  <c r="L22" i="47"/>
  <c r="J18" i="47"/>
  <c r="K18" i="47"/>
  <c r="CJ31" i="47"/>
  <c r="F43" i="47"/>
  <c r="E38" i="47"/>
  <c r="M18" i="47"/>
  <c r="K22" i="47"/>
  <c r="F47" i="47"/>
  <c r="E42" i="47"/>
  <c r="J23" i="47"/>
  <c r="B157" i="46"/>
  <c r="A153" i="46"/>
  <c r="H25" i="47" s="1"/>
  <c r="DU11" i="47"/>
  <c r="DW11" i="47" s="1"/>
  <c r="DX11" i="47" s="1"/>
  <c r="L27" i="47"/>
  <c r="F55" i="47"/>
  <c r="E50" i="47"/>
  <c r="H21" i="47"/>
  <c r="J26" i="47"/>
  <c r="A166" i="46"/>
  <c r="DU24" i="47"/>
  <c r="DW24" i="47" s="1"/>
  <c r="DX24" i="47" s="1"/>
  <c r="B170" i="46"/>
  <c r="L18" i="47"/>
  <c r="CJ37" i="47"/>
  <c r="I22" i="47"/>
  <c r="CI23" i="47"/>
  <c r="CK19" i="47"/>
  <c r="CL19" i="47" s="1"/>
  <c r="H27" i="47"/>
  <c r="J21" i="47"/>
  <c r="H18" i="47"/>
  <c r="K21" i="47"/>
  <c r="J27" i="47"/>
  <c r="CJ44" i="47"/>
  <c r="CI13" i="47"/>
  <c r="CK9" i="47"/>
  <c r="CL9" i="47" s="1"/>
  <c r="I25" i="47"/>
  <c r="H23" i="47"/>
  <c r="J22" i="47"/>
  <c r="M21" i="47"/>
  <c r="I26" i="47" l="1"/>
  <c r="CK40" i="47"/>
  <c r="CL40" i="47" s="1"/>
  <c r="EC8" i="47" s="1"/>
  <c r="EC19" i="47" s="1"/>
  <c r="CI44" i="47"/>
  <c r="CK44" i="47" s="1"/>
  <c r="CL44" i="47" s="1"/>
  <c r="EC12" i="47" s="1"/>
  <c r="EC23" i="47" s="1"/>
  <c r="B233" i="46"/>
  <c r="A229" i="46"/>
  <c r="M26" i="47"/>
  <c r="CI17" i="47"/>
  <c r="CK13" i="47"/>
  <c r="CL13" i="47" s="1"/>
  <c r="CJ41" i="47"/>
  <c r="B161" i="46"/>
  <c r="A157" i="46"/>
  <c r="DU15" i="47"/>
  <c r="DW15" i="47" s="1"/>
  <c r="DX15" i="47" s="1"/>
  <c r="E51" i="47"/>
  <c r="F56" i="47"/>
  <c r="I23" i="47"/>
  <c r="M27" i="47"/>
  <c r="K26" i="47"/>
  <c r="CJ38" i="47"/>
  <c r="L25" i="47"/>
  <c r="F60" i="47"/>
  <c r="E55" i="47"/>
  <c r="CJ35" i="47"/>
  <c r="CI14" i="47"/>
  <c r="CK10" i="47"/>
  <c r="CL10" i="47" s="1"/>
  <c r="M23" i="47"/>
  <c r="H26" i="47"/>
  <c r="CI27" i="47"/>
  <c r="CK23" i="47"/>
  <c r="CL23" i="47" s="1"/>
  <c r="A170" i="46"/>
  <c r="DU28" i="47"/>
  <c r="DW28" i="47" s="1"/>
  <c r="DX28" i="47" s="1"/>
  <c r="B174" i="46"/>
  <c r="F52" i="47"/>
  <c r="E47" i="47"/>
  <c r="I27" i="47"/>
  <c r="H28" i="47"/>
  <c r="K23" i="47"/>
  <c r="L23" i="47"/>
  <c r="K25" i="47"/>
  <c r="J28" i="47"/>
  <c r="E43" i="47"/>
  <c r="F48" i="47"/>
  <c r="I30" i="47"/>
  <c r="I31" i="47"/>
  <c r="B175" i="46"/>
  <c r="A171" i="46"/>
  <c r="DU29" i="47"/>
  <c r="DW29" i="47" s="1"/>
  <c r="DX29" i="47" s="1"/>
  <c r="K27" i="47"/>
  <c r="K28" i="47"/>
  <c r="L26" i="47"/>
  <c r="M25" i="47"/>
  <c r="B164" i="46"/>
  <c r="A160" i="46"/>
  <c r="K32" i="47" s="1"/>
  <c r="DU18" i="47"/>
  <c r="DW18" i="47" s="1"/>
  <c r="DX18" i="47" s="1"/>
  <c r="B237" i="46" l="1"/>
  <c r="A233" i="46"/>
  <c r="M28" i="47"/>
  <c r="CI31" i="47"/>
  <c r="CK27" i="47"/>
  <c r="CL27" i="47" s="1"/>
  <c r="F65" i="47"/>
  <c r="E60" i="47"/>
  <c r="CI21" i="47"/>
  <c r="CK17" i="47"/>
  <c r="CL17" i="47" s="1"/>
  <c r="F57" i="47"/>
  <c r="E52" i="47"/>
  <c r="CI18" i="47"/>
  <c r="CK14" i="47"/>
  <c r="CL14" i="47" s="1"/>
  <c r="J30" i="47"/>
  <c r="K30" i="47"/>
  <c r="K31" i="47"/>
  <c r="H31" i="47"/>
  <c r="J31" i="47"/>
  <c r="M32" i="47"/>
  <c r="J32" i="47"/>
  <c r="M31" i="47"/>
  <c r="L30" i="47"/>
  <c r="H32" i="47"/>
  <c r="L31" i="47"/>
  <c r="H30" i="47"/>
  <c r="M30" i="47"/>
  <c r="I32" i="47"/>
  <c r="B168" i="46"/>
  <c r="A164" i="46"/>
  <c r="DU22" i="47"/>
  <c r="DW22" i="47" s="1"/>
  <c r="DX22" i="47" s="1"/>
  <c r="CJ39" i="47"/>
  <c r="CJ42" i="47"/>
  <c r="F61" i="47"/>
  <c r="E56" i="47"/>
  <c r="B165" i="46"/>
  <c r="A161" i="46"/>
  <c r="DU19" i="47"/>
  <c r="DW19" i="47" s="1"/>
  <c r="DX19" i="47" s="1"/>
  <c r="B179" i="46"/>
  <c r="A175" i="46"/>
  <c r="DU33" i="47"/>
  <c r="DW33" i="47" s="1"/>
  <c r="DX33" i="47" s="1"/>
  <c r="F53" i="47"/>
  <c r="E48" i="47"/>
  <c r="L32" i="47"/>
  <c r="I28" i="47"/>
  <c r="M36" i="47"/>
  <c r="B178" i="46"/>
  <c r="A174" i="46"/>
  <c r="DU32" i="47"/>
  <c r="DW32" i="47" s="1"/>
  <c r="DX32" i="47" s="1"/>
  <c r="L28" i="47"/>
  <c r="B241" i="46" l="1"/>
  <c r="A237" i="46"/>
  <c r="M33" i="47"/>
  <c r="J35" i="47"/>
  <c r="H33" i="47"/>
  <c r="H37" i="47"/>
  <c r="F66" i="47"/>
  <c r="E61" i="47"/>
  <c r="J37" i="47"/>
  <c r="J33" i="47"/>
  <c r="A168" i="46"/>
  <c r="B172" i="46"/>
  <c r="DU26" i="47"/>
  <c r="DW26" i="47" s="1"/>
  <c r="DX26" i="47" s="1"/>
  <c r="L35" i="47"/>
  <c r="CK18" i="47"/>
  <c r="CL18" i="47" s="1"/>
  <c r="CI22" i="47"/>
  <c r="CI25" i="47"/>
  <c r="CK21" i="47"/>
  <c r="CL21" i="47" s="1"/>
  <c r="L42" i="47"/>
  <c r="L33" i="47"/>
  <c r="K42" i="47"/>
  <c r="K33" i="47"/>
  <c r="F58" i="47"/>
  <c r="E53" i="47"/>
  <c r="A165" i="46"/>
  <c r="B169" i="46"/>
  <c r="DU23" i="47"/>
  <c r="DW23" i="47" s="1"/>
  <c r="DX23" i="47" s="1"/>
  <c r="CJ43" i="47"/>
  <c r="L37" i="47"/>
  <c r="I33" i="47"/>
  <c r="L40" i="47"/>
  <c r="H36" i="47"/>
  <c r="K37" i="47"/>
  <c r="I42" i="47"/>
  <c r="J36" i="47"/>
  <c r="M41" i="47"/>
  <c r="M37" i="47"/>
  <c r="M40" i="47"/>
  <c r="I36" i="47"/>
  <c r="F62" i="47"/>
  <c r="E57" i="47"/>
  <c r="E65" i="47"/>
  <c r="G65" i="47"/>
  <c r="J38" i="47"/>
  <c r="B182" i="46"/>
  <c r="A178" i="46"/>
  <c r="DU36" i="47"/>
  <c r="DW36" i="47" s="1"/>
  <c r="DX36" i="47" s="1"/>
  <c r="H38" i="47"/>
  <c r="L36" i="47"/>
  <c r="B183" i="46"/>
  <c r="A179" i="46"/>
  <c r="DU37" i="47"/>
  <c r="DW37" i="47" s="1"/>
  <c r="DX37" i="47" s="1"/>
  <c r="M42" i="47"/>
  <c r="I38" i="47"/>
  <c r="I41" i="47"/>
  <c r="J41" i="47"/>
  <c r="K36" i="47"/>
  <c r="I37" i="47"/>
  <c r="K41" i="47"/>
  <c r="CI35" i="47"/>
  <c r="CK31" i="47"/>
  <c r="CL31" i="47" s="1"/>
  <c r="K38" i="47"/>
  <c r="B245" i="46" l="1"/>
  <c r="A241" i="46"/>
  <c r="F63" i="47"/>
  <c r="E58" i="47"/>
  <c r="K40" i="47"/>
  <c r="H40" i="47"/>
  <c r="M38" i="47"/>
  <c r="A169" i="46"/>
  <c r="DU27" i="47"/>
  <c r="DW27" i="47" s="1"/>
  <c r="DX27" i="47" s="1"/>
  <c r="I46" i="47"/>
  <c r="B187" i="46"/>
  <c r="A183" i="46"/>
  <c r="DU41" i="47"/>
  <c r="DW41" i="47" s="1"/>
  <c r="DX41" i="47" s="1"/>
  <c r="I45" i="47"/>
  <c r="L38" i="47"/>
  <c r="H42" i="47"/>
  <c r="CI29" i="47"/>
  <c r="CK25" i="47"/>
  <c r="CL25" i="47" s="1"/>
  <c r="I40" i="47"/>
  <c r="DU30" i="47"/>
  <c r="DW30" i="47" s="1"/>
  <c r="DX30" i="47" s="1"/>
  <c r="B176" i="46"/>
  <c r="A172" i="46"/>
  <c r="I47" i="47" s="1"/>
  <c r="H46" i="47"/>
  <c r="L46" i="47"/>
  <c r="K48" i="47"/>
  <c r="B186" i="46"/>
  <c r="A182" i="46"/>
  <c r="DU40" i="47"/>
  <c r="DW40" i="47" s="1"/>
  <c r="DX40" i="47" s="1"/>
  <c r="CI39" i="47"/>
  <c r="CK35" i="47"/>
  <c r="CL35" i="47" s="1"/>
  <c r="F67" i="47"/>
  <c r="E62" i="47"/>
  <c r="H47" i="47"/>
  <c r="J42" i="47"/>
  <c r="H41" i="47"/>
  <c r="K51" i="47"/>
  <c r="K45" i="47"/>
  <c r="CI26" i="47"/>
  <c r="CK22" i="47"/>
  <c r="CL22" i="47" s="1"/>
  <c r="L41" i="47"/>
  <c r="G66" i="47"/>
  <c r="E66" i="47"/>
  <c r="M46" i="47"/>
  <c r="I48" i="47"/>
  <c r="B249" i="46" l="1"/>
  <c r="A245" i="46"/>
  <c r="CI33" i="47"/>
  <c r="CK29" i="47"/>
  <c r="CL29" i="47" s="1"/>
  <c r="I51" i="47"/>
  <c r="A187" i="46"/>
  <c r="B191" i="46"/>
  <c r="M48" i="47"/>
  <c r="K43" i="47"/>
  <c r="K50" i="47"/>
  <c r="M47" i="47"/>
  <c r="H50" i="47"/>
  <c r="M45" i="47"/>
  <c r="M51" i="47"/>
  <c r="M50" i="47"/>
  <c r="J51" i="47"/>
  <c r="K46" i="47"/>
  <c r="I43" i="47"/>
  <c r="J47" i="47"/>
  <c r="J45" i="47"/>
  <c r="H51" i="47"/>
  <c r="J46" i="47"/>
  <c r="M43" i="47"/>
  <c r="L47" i="47"/>
  <c r="L48" i="47"/>
  <c r="J50" i="47"/>
  <c r="L43" i="47"/>
  <c r="L50" i="47"/>
  <c r="J48" i="47"/>
  <c r="CI43" i="47"/>
  <c r="CK43" i="47" s="1"/>
  <c r="CL43" i="47" s="1"/>
  <c r="EC11" i="47" s="1"/>
  <c r="EC22" i="47" s="1"/>
  <c r="CK39" i="47"/>
  <c r="CL39" i="47" s="1"/>
  <c r="EC7" i="47" s="1"/>
  <c r="EC18" i="47" s="1"/>
  <c r="I50" i="47"/>
  <c r="CI30" i="47"/>
  <c r="CK26" i="47"/>
  <c r="CL26" i="47" s="1"/>
  <c r="H43" i="47"/>
  <c r="K47" i="47"/>
  <c r="J43" i="47"/>
  <c r="E67" i="47"/>
  <c r="G67" i="47"/>
  <c r="A186" i="46"/>
  <c r="B190" i="46"/>
  <c r="DU44" i="47"/>
  <c r="DW44" i="47" s="1"/>
  <c r="DX44" i="47" s="1"/>
  <c r="H45" i="47"/>
  <c r="A176" i="46"/>
  <c r="H52" i="47" s="1"/>
  <c r="B180" i="46"/>
  <c r="DU34" i="47"/>
  <c r="DW34" i="47" s="1"/>
  <c r="DX34" i="47" s="1"/>
  <c r="L51" i="47"/>
  <c r="H48" i="47"/>
  <c r="F68" i="47"/>
  <c r="E63" i="47"/>
  <c r="B253" i="46" l="1"/>
  <c r="A249" i="46"/>
  <c r="I53" i="47"/>
  <c r="H55" i="47"/>
  <c r="J52" i="47"/>
  <c r="H53" i="47"/>
  <c r="K53" i="47"/>
  <c r="I55" i="47"/>
  <c r="J53" i="47"/>
  <c r="J11" i="47" s="1"/>
  <c r="M53" i="47"/>
  <c r="L53" i="47"/>
  <c r="G68" i="47"/>
  <c r="E68" i="47"/>
  <c r="BS4" i="47"/>
  <c r="BO4" i="47"/>
  <c r="BP4" i="47"/>
  <c r="AE4" i="47"/>
  <c r="BJ4" i="47"/>
  <c r="AZ9" i="47"/>
  <c r="AL12" i="47"/>
  <c r="AY4" i="47"/>
  <c r="AL4" i="47"/>
  <c r="BP11" i="47"/>
  <c r="AB8" i="47"/>
  <c r="AZ4" i="47"/>
  <c r="J7" i="47"/>
  <c r="BR4" i="47"/>
  <c r="R6" i="47"/>
  <c r="AE5" i="47"/>
  <c r="BT12" i="47"/>
  <c r="BO5" i="47"/>
  <c r="BG5" i="47"/>
  <c r="AX7" i="47"/>
  <c r="BF12" i="47"/>
  <c r="Q9" i="47"/>
  <c r="AE6" i="47"/>
  <c r="S7" i="47"/>
  <c r="AG11" i="47"/>
  <c r="AW8" i="47"/>
  <c r="BS11" i="47"/>
  <c r="R11" i="47"/>
  <c r="AL7" i="47"/>
  <c r="BF8" i="47"/>
  <c r="AW4" i="47"/>
  <c r="I7" i="47"/>
  <c r="Q6" i="47"/>
  <c r="AX9" i="47"/>
  <c r="Y7" i="47"/>
  <c r="AY12" i="47"/>
  <c r="BK5" i="47"/>
  <c r="Y11" i="47"/>
  <c r="AZ8" i="47"/>
  <c r="AG5" i="47"/>
  <c r="Q10" i="47"/>
  <c r="R10" i="47"/>
  <c r="R7" i="47"/>
  <c r="AX8" i="47"/>
  <c r="AB10" i="47"/>
  <c r="BO7" i="47"/>
  <c r="BQ6" i="47"/>
  <c r="S5" i="47"/>
  <c r="Q4" i="47"/>
  <c r="BQ12" i="47"/>
  <c r="BM6" i="47"/>
  <c r="AL8" i="47"/>
  <c r="BD8" i="47"/>
  <c r="BG8" i="47"/>
  <c r="AX11" i="47"/>
  <c r="BG6" i="47"/>
  <c r="BJ5" i="47"/>
  <c r="T7" i="47"/>
  <c r="BE12" i="47"/>
  <c r="BR8" i="47"/>
  <c r="BP8" i="47"/>
  <c r="AW12" i="47"/>
  <c r="O4" i="47"/>
  <c r="BB9" i="47"/>
  <c r="BO12" i="47"/>
  <c r="BF9" i="47"/>
  <c r="AW11" i="47"/>
  <c r="I9" i="47"/>
  <c r="AZ10" i="47"/>
  <c r="BU8" i="47"/>
  <c r="BK7" i="47"/>
  <c r="BQ11" i="47"/>
  <c r="BB6" i="47"/>
  <c r="Q11" i="47"/>
  <c r="BS8" i="47"/>
  <c r="BT6" i="47"/>
  <c r="BB12" i="47"/>
  <c r="AZ7" i="47"/>
  <c r="BB13" i="47"/>
  <c r="BQ7" i="47"/>
  <c r="T12" i="47"/>
  <c r="I10" i="47"/>
  <c r="BC5" i="47"/>
  <c r="S11" i="47"/>
  <c r="BQ9" i="47"/>
  <c r="AG7" i="47"/>
  <c r="BL10" i="47"/>
  <c r="AK5" i="47"/>
  <c r="AY13" i="47"/>
  <c r="S13" i="47"/>
  <c r="AW9" i="47"/>
  <c r="BL8" i="47"/>
  <c r="BG13" i="47"/>
  <c r="Q7" i="47"/>
  <c r="Z9" i="47"/>
  <c r="AX12" i="47"/>
  <c r="BK11" i="47"/>
  <c r="BP13" i="47"/>
  <c r="BP5" i="47"/>
  <c r="BK9" i="47"/>
  <c r="BE11" i="47"/>
  <c r="BQ5" i="47"/>
  <c r="BM11" i="47"/>
  <c r="BJ8" i="47"/>
  <c r="Z11" i="47"/>
  <c r="BJ11" i="47"/>
  <c r="T8" i="47"/>
  <c r="S6" i="47"/>
  <c r="BR7" i="47"/>
  <c r="H11" i="47"/>
  <c r="BH11" i="47"/>
  <c r="BS13" i="47"/>
  <c r="BE9" i="47"/>
  <c r="BO8" i="47"/>
  <c r="AG10" i="47"/>
  <c r="BB10" i="47"/>
  <c r="J10" i="47"/>
  <c r="BC7" i="47"/>
  <c r="AG12" i="47"/>
  <c r="BC11" i="47"/>
  <c r="AJ10" i="47"/>
  <c r="BC13" i="47"/>
  <c r="AL5" i="47"/>
  <c r="BT11" i="47"/>
  <c r="BS7" i="47"/>
  <c r="BU9" i="47"/>
  <c r="BM9" i="47"/>
  <c r="O9" i="47"/>
  <c r="AW5" i="47"/>
  <c r="BE8" i="47"/>
  <c r="AX5" i="47"/>
  <c r="BM12" i="47"/>
  <c r="BL7" i="47"/>
  <c r="S4" i="47"/>
  <c r="AB9" i="47"/>
  <c r="BJ9" i="47"/>
  <c r="AK6" i="47"/>
  <c r="S9" i="47"/>
  <c r="BM10" i="47"/>
  <c r="AK8" i="47"/>
  <c r="O5" i="47"/>
  <c r="AJ7" i="47"/>
  <c r="BD13" i="47"/>
  <c r="BQ4" i="47"/>
  <c r="AZ11" i="47"/>
  <c r="BF7" i="47"/>
  <c r="AZ12" i="47"/>
  <c r="BC12" i="47"/>
  <c r="BT5" i="47"/>
  <c r="AY6" i="47"/>
  <c r="Z13" i="47"/>
  <c r="AY5" i="47"/>
  <c r="BQ10" i="47"/>
  <c r="BE4" i="47"/>
  <c r="BK6" i="47"/>
  <c r="BG12" i="47"/>
  <c r="R9" i="47"/>
  <c r="BM7" i="47"/>
  <c r="BF13" i="47"/>
  <c r="BQ13" i="47"/>
  <c r="AG13" i="47"/>
  <c r="BD4" i="47"/>
  <c r="BH10" i="47"/>
  <c r="BG10" i="47"/>
  <c r="BF5" i="47"/>
  <c r="Y8" i="47"/>
  <c r="R8" i="47"/>
  <c r="Y10" i="47"/>
  <c r="S10" i="47"/>
  <c r="BU4" i="47"/>
  <c r="BK10" i="47"/>
  <c r="AL9" i="47"/>
  <c r="BB4" i="47"/>
  <c r="AE7" i="47"/>
  <c r="AZ6" i="47"/>
  <c r="BP12" i="47"/>
  <c r="BC10" i="47"/>
  <c r="BR9" i="47"/>
  <c r="AK4" i="47"/>
  <c r="AD7" i="47"/>
  <c r="BK4" i="47"/>
  <c r="BD11" i="47"/>
  <c r="BM13" i="47"/>
  <c r="AD6" i="47"/>
  <c r="BD7" i="47"/>
  <c r="T10" i="47"/>
  <c r="AD10" i="47"/>
  <c r="R4" i="47"/>
  <c r="AY8" i="47"/>
  <c r="AJ9" i="47"/>
  <c r="BH4" i="47"/>
  <c r="BL12" i="47"/>
  <c r="BS10" i="47"/>
  <c r="BP9" i="47"/>
  <c r="AE10" i="47"/>
  <c r="BL5" i="47"/>
  <c r="BL6" i="47"/>
  <c r="H9" i="47"/>
  <c r="AD13" i="47"/>
  <c r="BC8" i="47"/>
  <c r="BL4" i="47"/>
  <c r="BU10" i="47"/>
  <c r="BM5" i="47"/>
  <c r="BB8" i="47"/>
  <c r="AX4" i="47"/>
  <c r="BB7" i="47"/>
  <c r="AX6" i="47"/>
  <c r="Y6" i="47"/>
  <c r="AD11" i="47"/>
  <c r="BS9" i="47"/>
  <c r="AJ5" i="47"/>
  <c r="AB6" i="47"/>
  <c r="BB5" i="47"/>
  <c r="AE11" i="47"/>
  <c r="BE5" i="47"/>
  <c r="AW7" i="47"/>
  <c r="AJ13" i="47"/>
  <c r="O12" i="47"/>
  <c r="Y5" i="47"/>
  <c r="AG8" i="47"/>
  <c r="Z10" i="47"/>
  <c r="BK13" i="47"/>
  <c r="BU11" i="47"/>
  <c r="Z7" i="47"/>
  <c r="AJ12" i="47"/>
  <c r="R12" i="47"/>
  <c r="BT10" i="47"/>
  <c r="AB4" i="47"/>
  <c r="BH6" i="47"/>
  <c r="BO13" i="47"/>
  <c r="AK9" i="47"/>
  <c r="AE12" i="47"/>
  <c r="Z6" i="47"/>
  <c r="BS6" i="47"/>
  <c r="Z12" i="47"/>
  <c r="T6" i="47"/>
  <c r="AG6" i="47"/>
  <c r="AL6" i="47"/>
  <c r="O10" i="47"/>
  <c r="S12" i="47"/>
  <c r="BL11" i="47"/>
  <c r="BJ13" i="47"/>
  <c r="BE6" i="47"/>
  <c r="AK13" i="47"/>
  <c r="BP10" i="47"/>
  <c r="R13" i="47"/>
  <c r="AW6" i="47"/>
  <c r="BJ7" i="47"/>
  <c r="BL9" i="47"/>
  <c r="BO10" i="47"/>
  <c r="AD8" i="47"/>
  <c r="BS12" i="47"/>
  <c r="S8" i="47"/>
  <c r="AB7" i="47"/>
  <c r="BU7" i="47"/>
  <c r="Y9" i="47"/>
  <c r="AG9" i="47"/>
  <c r="Q13" i="47"/>
  <c r="AK12" i="47"/>
  <c r="BQ8" i="47"/>
  <c r="AY9" i="47"/>
  <c r="BG11" i="47"/>
  <c r="BJ6" i="47"/>
  <c r="BT8" i="47"/>
  <c r="H10" i="47"/>
  <c r="AB12" i="47"/>
  <c r="BF6" i="47"/>
  <c r="BU5" i="47"/>
  <c r="BC9" i="47"/>
  <c r="AJ11" i="47"/>
  <c r="AX10" i="47"/>
  <c r="BO9" i="47"/>
  <c r="BD9" i="47"/>
  <c r="O13" i="47"/>
  <c r="AK11" i="47"/>
  <c r="AD4" i="47"/>
  <c r="R5" i="47"/>
  <c r="AZ5" i="47"/>
  <c r="Y12" i="47"/>
  <c r="AE9" i="47"/>
  <c r="BO11" i="47"/>
  <c r="BC6" i="47"/>
  <c r="Q12" i="47"/>
  <c r="BR11" i="47"/>
  <c r="AB5" i="47"/>
  <c r="AB13" i="47"/>
  <c r="AD12" i="47"/>
  <c r="BO6" i="47"/>
  <c r="BJ12" i="47"/>
  <c r="AY11" i="47"/>
  <c r="BJ10" i="47"/>
  <c r="BP7" i="47"/>
  <c r="T11" i="47"/>
  <c r="O6" i="47"/>
  <c r="AX13" i="47"/>
  <c r="BG9" i="47"/>
  <c r="BP6" i="47"/>
  <c r="Q5" i="47"/>
  <c r="Z8" i="47"/>
  <c r="AE8" i="47"/>
  <c r="BK12" i="47"/>
  <c r="BS5" i="47"/>
  <c r="BG7" i="47"/>
  <c r="BE7" i="47"/>
  <c r="AW13" i="47"/>
  <c r="AB11" i="47"/>
  <c r="BE10" i="47"/>
  <c r="BB11" i="47"/>
  <c r="BL13" i="47"/>
  <c r="AJ4" i="47"/>
  <c r="O8" i="47"/>
  <c r="AL13" i="47"/>
  <c r="BH9" i="47"/>
  <c r="AL11" i="47"/>
  <c r="AE13" i="47"/>
  <c r="BT13" i="47"/>
  <c r="BF10" i="47"/>
  <c r="BT7" i="47"/>
  <c r="AJ6" i="47"/>
  <c r="BU6" i="47"/>
  <c r="BU13" i="47"/>
  <c r="AG4" i="47"/>
  <c r="T13" i="47"/>
  <c r="BD6" i="47"/>
  <c r="BF11" i="47"/>
  <c r="BK8" i="47"/>
  <c r="BT9" i="47"/>
  <c r="Y4" i="47"/>
  <c r="BR5" i="47"/>
  <c r="AW10" i="47"/>
  <c r="BC4" i="47"/>
  <c r="AJ8" i="47"/>
  <c r="BT4" i="47"/>
  <c r="T4" i="47"/>
  <c r="AY7" i="47"/>
  <c r="O11" i="47"/>
  <c r="AD5" i="47"/>
  <c r="BU12" i="47"/>
  <c r="BD12" i="47"/>
  <c r="BM4" i="47"/>
  <c r="T9" i="47"/>
  <c r="O7" i="47"/>
  <c r="BD5" i="47"/>
  <c r="BE13" i="47"/>
  <c r="AL10" i="47"/>
  <c r="AZ13" i="47"/>
  <c r="BH5" i="47"/>
  <c r="Z5" i="47"/>
  <c r="BG4" i="47"/>
  <c r="BH8" i="47"/>
  <c r="BR6" i="47"/>
  <c r="Y13" i="47"/>
  <c r="AK7" i="47"/>
  <c r="BF4" i="47"/>
  <c r="BH7" i="47"/>
  <c r="BH12" i="47"/>
  <c r="AD9" i="47"/>
  <c r="Q8" i="47"/>
  <c r="BR10" i="47"/>
  <c r="BH13" i="47"/>
  <c r="AK10" i="47"/>
  <c r="BR13" i="47"/>
  <c r="AY10" i="47"/>
  <c r="BD10" i="47"/>
  <c r="Z4" i="47"/>
  <c r="BR12" i="47"/>
  <c r="T5" i="47"/>
  <c r="H4" i="47"/>
  <c r="BM8" i="47"/>
  <c r="J5" i="47"/>
  <c r="I4" i="47"/>
  <c r="J4" i="47"/>
  <c r="A180" i="46"/>
  <c r="J57" i="47" s="1"/>
  <c r="B184" i="46"/>
  <c r="DU38" i="47"/>
  <c r="DW38" i="47" s="1"/>
  <c r="DX38" i="47" s="1"/>
  <c r="B194" i="46"/>
  <c r="A190" i="46"/>
  <c r="CK30" i="47"/>
  <c r="CL30" i="47" s="1"/>
  <c r="CI34" i="47"/>
  <c r="K55" i="47"/>
  <c r="L52" i="47"/>
  <c r="L55" i="47"/>
  <c r="L56" i="47"/>
  <c r="B195" i="46"/>
  <c r="A191" i="46"/>
  <c r="J55" i="47"/>
  <c r="I52" i="47"/>
  <c r="I11" i="47" s="1"/>
  <c r="K60" i="47"/>
  <c r="M52" i="47"/>
  <c r="K56" i="47"/>
  <c r="J56" i="47"/>
  <c r="M60" i="47"/>
  <c r="M55" i="47"/>
  <c r="H56" i="47"/>
  <c r="L60" i="47"/>
  <c r="M56" i="47"/>
  <c r="K52" i="47"/>
  <c r="I56" i="47"/>
  <c r="I60" i="47"/>
  <c r="CI37" i="47"/>
  <c r="CK33" i="47"/>
  <c r="CL33" i="47" s="1"/>
  <c r="I61" i="47" l="1"/>
  <c r="K61" i="47"/>
  <c r="H57" i="47"/>
  <c r="J61" i="47"/>
  <c r="L58" i="47"/>
  <c r="B257" i="46"/>
  <c r="A253" i="46"/>
  <c r="H60" i="47"/>
  <c r="M58" i="47"/>
  <c r="J60" i="47"/>
  <c r="J58" i="47"/>
  <c r="J12" i="47" s="1"/>
  <c r="M61" i="47"/>
  <c r="L61" i="47"/>
  <c r="H58" i="47"/>
  <c r="L57" i="47"/>
  <c r="CI41" i="47"/>
  <c r="CK41" i="47" s="1"/>
  <c r="CL41" i="47" s="1"/>
  <c r="EC9" i="47" s="1"/>
  <c r="EC20" i="47" s="1"/>
  <c r="CK37" i="47"/>
  <c r="CL37" i="47" s="1"/>
  <c r="EC5" i="47" s="1"/>
  <c r="EC16" i="47" s="1"/>
  <c r="B199" i="46"/>
  <c r="A195" i="46"/>
  <c r="B198" i="46"/>
  <c r="A194" i="46"/>
  <c r="B188" i="46"/>
  <c r="A184" i="46"/>
  <c r="K62" i="47" s="1"/>
  <c r="DU42" i="47"/>
  <c r="DW42" i="47" s="1"/>
  <c r="DX42" i="47" s="1"/>
  <c r="CI38" i="47"/>
  <c r="CK34" i="47"/>
  <c r="CL34" i="47" s="1"/>
  <c r="H61" i="47"/>
  <c r="H65" i="47"/>
  <c r="I57" i="47"/>
  <c r="K57" i="47"/>
  <c r="M57" i="47"/>
  <c r="K63" i="47"/>
  <c r="J63" i="47"/>
  <c r="L65" i="47"/>
  <c r="J66" i="47"/>
  <c r="J8" i="47" s="1"/>
  <c r="I58" i="47"/>
  <c r="K58" i="47"/>
  <c r="H12" i="47" l="1"/>
  <c r="I12" i="47"/>
  <c r="B261" i="46"/>
  <c r="A257" i="46"/>
  <c r="B202" i="46"/>
  <c r="A198" i="46"/>
  <c r="L62" i="47"/>
  <c r="I65" i="47"/>
  <c r="M65" i="47"/>
  <c r="H66" i="47"/>
  <c r="M62" i="47"/>
  <c r="I63" i="47"/>
  <c r="L63" i="47"/>
  <c r="H62" i="47"/>
  <c r="I62" i="47"/>
  <c r="K66" i="47"/>
  <c r="J62" i="47"/>
  <c r="J13" i="47" s="1"/>
  <c r="M63" i="47"/>
  <c r="I66" i="47"/>
  <c r="K65" i="47"/>
  <c r="M66" i="47"/>
  <c r="J65" i="47"/>
  <c r="H63" i="47"/>
  <c r="L66" i="47"/>
  <c r="B203" i="46"/>
  <c r="A199" i="46"/>
  <c r="J76" i="47"/>
  <c r="J74" i="47"/>
  <c r="CI42" i="47"/>
  <c r="CK42" i="47" s="1"/>
  <c r="CL42" i="47" s="1"/>
  <c r="EC10" i="47" s="1"/>
  <c r="EC21" i="47" s="1"/>
  <c r="CK38" i="47"/>
  <c r="CL38" i="47" s="1"/>
  <c r="EC6" i="47" s="1"/>
  <c r="EC17" i="47" s="1"/>
  <c r="B192" i="46"/>
  <c r="A188" i="46"/>
  <c r="B265" i="46" l="1"/>
  <c r="A261" i="46"/>
  <c r="H13" i="47"/>
  <c r="H7" i="47"/>
  <c r="H6" i="47"/>
  <c r="H76" i="47"/>
  <c r="H74" i="47"/>
  <c r="M74" i="47"/>
  <c r="M76" i="47"/>
  <c r="B206" i="46"/>
  <c r="A202" i="46"/>
  <c r="B207" i="46"/>
  <c r="A203" i="46"/>
  <c r="L74" i="47"/>
  <c r="L76" i="47"/>
  <c r="K76" i="47"/>
  <c r="K74" i="47"/>
  <c r="B196" i="46"/>
  <c r="A192" i="46"/>
  <c r="I6" i="47"/>
  <c r="I74" i="47"/>
  <c r="I76" i="47"/>
  <c r="I13" i="47"/>
  <c r="B269" i="46" l="1"/>
  <c r="A265" i="46"/>
  <c r="B210" i="46"/>
  <c r="A206" i="46"/>
  <c r="B200" i="46"/>
  <c r="A196" i="46"/>
  <c r="B211" i="46"/>
  <c r="A207" i="46"/>
  <c r="B273" i="46" l="1"/>
  <c r="A269" i="46"/>
  <c r="B215" i="46"/>
  <c r="A211" i="46"/>
  <c r="B204" i="46"/>
  <c r="A200" i="46"/>
  <c r="B214" i="46"/>
  <c r="A210" i="46"/>
  <c r="B277" i="46" l="1"/>
  <c r="A273" i="46"/>
  <c r="B208" i="46"/>
  <c r="A204" i="46"/>
  <c r="B219" i="46"/>
  <c r="A215" i="46"/>
  <c r="B218" i="46"/>
  <c r="A214" i="46"/>
  <c r="B281" i="46" l="1"/>
  <c r="A277" i="46"/>
  <c r="B222" i="46"/>
  <c r="A218" i="46"/>
  <c r="B212" i="46"/>
  <c r="A208" i="46"/>
  <c r="B223" i="46"/>
  <c r="A219" i="46"/>
  <c r="B285" i="46" l="1"/>
  <c r="A281" i="46"/>
  <c r="B227" i="46"/>
  <c r="A223" i="46"/>
  <c r="B216" i="46"/>
  <c r="A212" i="46"/>
  <c r="B226" i="46"/>
  <c r="A222" i="46"/>
  <c r="B289" i="46" l="1"/>
  <c r="A285" i="46"/>
  <c r="B231" i="46"/>
  <c r="A227" i="46"/>
  <c r="B220" i="46"/>
  <c r="A216" i="46"/>
  <c r="B230" i="46"/>
  <c r="A226" i="46"/>
  <c r="B293" i="46" l="1"/>
  <c r="A293" i="46" s="1"/>
  <c r="A289" i="46"/>
  <c r="B234" i="46"/>
  <c r="A230" i="46"/>
  <c r="B224" i="46"/>
  <c r="A220" i="46"/>
  <c r="B235" i="46"/>
  <c r="A231" i="46"/>
  <c r="B228" i="46" l="1"/>
  <c r="A224" i="46"/>
  <c r="B238" i="46"/>
  <c r="A234" i="46"/>
  <c r="B239" i="46"/>
  <c r="A235" i="46"/>
  <c r="B242" i="46" l="1"/>
  <c r="A238" i="46"/>
  <c r="B232" i="46"/>
  <c r="A228" i="46"/>
  <c r="B243" i="46"/>
  <c r="A239" i="46"/>
  <c r="B236" i="46" l="1"/>
  <c r="A232" i="46"/>
  <c r="B246" i="46"/>
  <c r="A242" i="46"/>
  <c r="B247" i="46"/>
  <c r="A243" i="46"/>
  <c r="B240" i="46" l="1"/>
  <c r="A236" i="46"/>
  <c r="B250" i="46"/>
  <c r="A246" i="46"/>
  <c r="B251" i="46"/>
  <c r="A247" i="46"/>
  <c r="B255" i="46" l="1"/>
  <c r="A251" i="46"/>
  <c r="B254" i="46"/>
  <c r="A250" i="46"/>
  <c r="B244" i="46"/>
  <c r="A240" i="46"/>
  <c r="B259" i="46" l="1"/>
  <c r="A255" i="46"/>
  <c r="B248" i="46"/>
  <c r="A244" i="46"/>
  <c r="B258" i="46"/>
  <c r="A254" i="46"/>
  <c r="B262" i="46" l="1"/>
  <c r="A258" i="46"/>
  <c r="B263" i="46"/>
  <c r="A259" i="46"/>
  <c r="B252" i="46"/>
  <c r="A248" i="46"/>
  <c r="B256" i="46" l="1"/>
  <c r="A252" i="46"/>
  <c r="B267" i="46"/>
  <c r="A263" i="46"/>
  <c r="B266" i="46"/>
  <c r="A262" i="46"/>
  <c r="B270" i="46" l="1"/>
  <c r="A266" i="46"/>
  <c r="B260" i="46"/>
  <c r="A256" i="46"/>
  <c r="B271" i="46"/>
  <c r="A267" i="46"/>
  <c r="B275" i="46" l="1"/>
  <c r="A271" i="46"/>
  <c r="B274" i="46"/>
  <c r="A270" i="46"/>
  <c r="B264" i="46"/>
  <c r="A260" i="46"/>
  <c r="B268" i="46" l="1"/>
  <c r="A264" i="46"/>
  <c r="B278" i="46"/>
  <c r="A274" i="46"/>
  <c r="B279" i="46"/>
  <c r="A275" i="46"/>
  <c r="B272" i="46" l="1"/>
  <c r="A268" i="46"/>
  <c r="B283" i="46"/>
  <c r="A279" i="46"/>
  <c r="B282" i="46"/>
  <c r="A278" i="46"/>
  <c r="B287" i="46" l="1"/>
  <c r="A283" i="46"/>
  <c r="B276" i="46"/>
  <c r="A272" i="46"/>
  <c r="B286" i="46"/>
  <c r="A282" i="46"/>
  <c r="B290" i="46" l="1"/>
  <c r="A290" i="46" s="1"/>
  <c r="A286" i="46"/>
  <c r="B280" i="46"/>
  <c r="A276" i="46"/>
  <c r="B291" i="46"/>
  <c r="A291" i="46" s="1"/>
  <c r="A287" i="46"/>
  <c r="B284" i="46" l="1"/>
  <c r="A280" i="46"/>
  <c r="B288" i="46" l="1"/>
  <c r="A284" i="46"/>
  <c r="B292" i="46" l="1"/>
  <c r="A288" i="46"/>
  <c r="A292" i="46" l="1"/>
  <c r="L15" i="47"/>
  <c r="K15" i="47"/>
  <c r="L20" i="47"/>
  <c r="K20" i="47"/>
  <c r="H20" i="47"/>
  <c r="H5" i="47" s="1"/>
  <c r="M20" i="47"/>
  <c r="I20" i="47"/>
  <c r="I5" i="47" s="1"/>
  <c r="J25" i="47"/>
  <c r="J6" i="47" s="1"/>
  <c r="M35" i="47"/>
  <c r="I35" i="47"/>
  <c r="I8" i="47" s="1"/>
  <c r="K35" i="47"/>
  <c r="H35" i="47"/>
  <c r="H8" i="47" s="1"/>
  <c r="J40" i="47"/>
  <c r="J9" i="47" s="1"/>
  <c r="L45" i="47"/>
</calcChain>
</file>

<file path=xl/comments1.xml><?xml version="1.0" encoding="utf-8"?>
<comments xmlns="http://schemas.openxmlformats.org/spreadsheetml/2006/main">
  <authors>
    <author>REBEKAH.PAUL</author>
    <author>MARGARET.SIMS</author>
  </authors>
  <commentList>
    <comment ref="AA151" authorId="0">
      <text>
        <r>
          <rPr>
            <b/>
            <sz val="8"/>
            <color indexed="81"/>
            <rFont val="Tahoma"/>
            <family val="2"/>
          </rPr>
          <t>REBEKAH.PAUL:</t>
        </r>
        <r>
          <rPr>
            <sz val="8"/>
            <color indexed="81"/>
            <rFont val="Tahoma"/>
            <family val="2"/>
          </rPr>
          <t xml:space="preserve">
This includes the 1 Deed of Arrangement</t>
        </r>
      </text>
    </comment>
    <comment ref="AU179" authorId="1">
      <text>
        <r>
          <rPr>
            <b/>
            <sz val="8"/>
            <color indexed="81"/>
            <rFont val="Tahoma"/>
            <family val="2"/>
          </rPr>
          <t>MARGARET.SIMS:</t>
        </r>
        <r>
          <rPr>
            <sz val="8"/>
            <color indexed="81"/>
            <rFont val="Tahoma"/>
            <family val="2"/>
          </rPr>
          <t xml:space="preserve">
No forms processed May or June</t>
        </r>
      </text>
    </comment>
    <comment ref="AU180" authorId="1">
      <text>
        <r>
          <rPr>
            <b/>
            <sz val="8"/>
            <color indexed="81"/>
            <rFont val="Tahoma"/>
            <family val="2"/>
          </rPr>
          <t>MARGARET.SIMS:</t>
        </r>
        <r>
          <rPr>
            <sz val="8"/>
            <color indexed="81"/>
            <rFont val="Tahoma"/>
            <family val="2"/>
          </rPr>
          <t xml:space="preserve">
No forms processed July-Sept (done in Q4)
</t>
        </r>
      </text>
    </comment>
    <comment ref="AV180" authorId="1">
      <text>
        <r>
          <rPr>
            <b/>
            <sz val="8"/>
            <color indexed="81"/>
            <rFont val="Tahoma"/>
            <family val="2"/>
          </rPr>
          <t>MARGARET.SIMS:</t>
        </r>
        <r>
          <rPr>
            <sz val="8"/>
            <color indexed="81"/>
            <rFont val="Tahoma"/>
            <family val="2"/>
          </rPr>
          <t xml:space="preserve">
May be revised</t>
        </r>
      </text>
    </comment>
    <comment ref="AW180" authorId="1">
      <text>
        <r>
          <rPr>
            <b/>
            <sz val="8"/>
            <color indexed="81"/>
            <rFont val="Tahoma"/>
            <family val="2"/>
          </rPr>
          <t>MARGARET.SIMS:</t>
        </r>
        <r>
          <rPr>
            <sz val="8"/>
            <color indexed="81"/>
            <rFont val="Tahoma"/>
            <family val="2"/>
          </rPr>
          <t xml:space="preserve">
Subject to change</t>
        </r>
      </text>
    </comment>
    <comment ref="AU181" authorId="1">
      <text>
        <r>
          <rPr>
            <b/>
            <sz val="8"/>
            <color indexed="81"/>
            <rFont val="Tahoma"/>
            <family val="2"/>
          </rPr>
          <t>MARGARET.SIMS:</t>
        </r>
        <r>
          <rPr>
            <sz val="8"/>
            <color indexed="81"/>
            <rFont val="Tahoma"/>
            <family val="2"/>
          </rPr>
          <t xml:space="preserve">
Includes late processing from May-Sept</t>
        </r>
      </text>
    </comment>
  </commentList>
</comments>
</file>

<file path=xl/comments2.xml><?xml version="1.0" encoding="utf-8"?>
<comments xmlns="http://schemas.openxmlformats.org/spreadsheetml/2006/main">
  <authors>
    <author>JOHN.PERRETT</author>
  </authors>
  <commentList>
    <comment ref="F4" authorId="0">
      <text>
        <r>
          <rPr>
            <b/>
            <sz val="8"/>
            <color indexed="81"/>
            <rFont val="Tahoma"/>
            <family val="2"/>
          </rPr>
          <t>JOHN.PERRETT:</t>
        </r>
        <r>
          <rPr>
            <sz val="8"/>
            <color indexed="81"/>
            <rFont val="Tahoma"/>
            <family val="2"/>
          </rPr>
          <t xml:space="preserve">
Brings back the last ten complete calendar years</t>
        </r>
      </text>
    </comment>
  </commentList>
</comments>
</file>

<file path=xl/sharedStrings.xml><?xml version="1.0" encoding="utf-8"?>
<sst xmlns="http://schemas.openxmlformats.org/spreadsheetml/2006/main" count="10709" uniqueCount="557">
  <si>
    <t>Company voluntary arrangements</t>
  </si>
  <si>
    <t>Q1</t>
  </si>
  <si>
    <t>Q2</t>
  </si>
  <si>
    <t>Q3</t>
  </si>
  <si>
    <t>Q4</t>
  </si>
  <si>
    <t>Total</t>
  </si>
  <si>
    <t>Total Liquidations</t>
  </si>
  <si>
    <t>Compulsory Liquidations</t>
  </si>
  <si>
    <t>Creditors Voluntary Liquidations</t>
  </si>
  <si>
    <t>Bankruptcy Orders</t>
  </si>
  <si>
    <t>Bankruptcy orders</t>
  </si>
  <si>
    <t>Individual Voluntary Arrangements</t>
  </si>
  <si>
    <t>Seasonally Adjusted</t>
  </si>
  <si>
    <t>Creditors Petitions</t>
  </si>
  <si>
    <t>Total Individual Insolvencies</t>
  </si>
  <si>
    <t>Sequestrians</t>
  </si>
  <si>
    <t>Protected trust deeds</t>
  </si>
  <si>
    <t>IPOs</t>
  </si>
  <si>
    <t>IPAs</t>
  </si>
  <si>
    <t>Scotland</t>
  </si>
  <si>
    <t>England &amp; Wales</t>
  </si>
  <si>
    <t>Northern Ireland</t>
  </si>
  <si>
    <t>Year</t>
  </si>
  <si>
    <t>Quarter</t>
  </si>
  <si>
    <t>Charts</t>
  </si>
  <si>
    <t>Tables</t>
  </si>
  <si>
    <t>Income Payments Orders</t>
  </si>
  <si>
    <t>Income Payments Agreements</t>
  </si>
  <si>
    <t>Creditors Petitions %</t>
  </si>
  <si>
    <t>Chart 1</t>
  </si>
  <si>
    <t>Chart 2</t>
  </si>
  <si>
    <t>-</t>
  </si>
  <si>
    <t>IVAs</t>
  </si>
  <si>
    <t>CVLs</t>
  </si>
  <si>
    <t>CVAs</t>
  </si>
  <si>
    <t>IVA</t>
  </si>
  <si>
    <t>Companies in Active Register</t>
  </si>
  <si>
    <t>Companies in Total Register</t>
  </si>
  <si>
    <t>Companies in Dissolution Register</t>
  </si>
  <si>
    <t>In Administration (Ent act)</t>
  </si>
  <si>
    <t>Receiver Appointments</t>
  </si>
  <si>
    <t>Admin Appointments</t>
  </si>
  <si>
    <t>Deeds of Arrangements</t>
  </si>
  <si>
    <t>Debtors Petitions</t>
  </si>
  <si>
    <t>Total IPO IPA</t>
  </si>
  <si>
    <t>Self Employed</t>
  </si>
  <si>
    <t>Other Individuals</t>
  </si>
  <si>
    <t>Not seasonally adjusted</t>
  </si>
  <si>
    <t>Seasonally adjusted</t>
  </si>
  <si>
    <t>Table 1</t>
  </si>
  <si>
    <t>Table 2</t>
  </si>
  <si>
    <t>Table 2b</t>
  </si>
  <si>
    <t>Debtors Petitions %</t>
  </si>
  <si>
    <t>Self Employed %</t>
  </si>
  <si>
    <t>Other Individuals %</t>
  </si>
  <si>
    <t>Table 6</t>
  </si>
  <si>
    <t>Table 7</t>
  </si>
  <si>
    <t>Active Register</t>
  </si>
  <si>
    <t>Total Register</t>
  </si>
  <si>
    <t>% of Active Register</t>
  </si>
  <si>
    <t>% of Total Register</t>
  </si>
  <si>
    <t>% of Active Register E&amp;W</t>
  </si>
  <si>
    <t>% of Total Register E&amp;W</t>
  </si>
  <si>
    <t>% of Active Register S</t>
  </si>
  <si>
    <t>% of Total Register S</t>
  </si>
  <si>
    <t>Qrt</t>
  </si>
  <si>
    <t>..</t>
  </si>
  <si>
    <t>:</t>
  </si>
  <si>
    <t>Chart 3</t>
  </si>
  <si>
    <t>Total Bankruptcies</t>
  </si>
  <si>
    <t>Admin to Creditors Vol</t>
  </si>
  <si>
    <t>LILA</t>
  </si>
  <si>
    <t>Chart 4</t>
  </si>
  <si>
    <t>Chart 5</t>
  </si>
  <si>
    <t>Chart 6</t>
  </si>
  <si>
    <t>Chart 7</t>
  </si>
  <si>
    <t>Chart 8</t>
  </si>
  <si>
    <t>Chart 9</t>
  </si>
  <si>
    <t>Table 2a</t>
  </si>
  <si>
    <t>Table 4</t>
  </si>
  <si>
    <t>Table 5</t>
  </si>
  <si>
    <t>Total growth</t>
  </si>
  <si>
    <t>Corporate</t>
  </si>
  <si>
    <t>Personal</t>
  </si>
  <si>
    <t>Quarterly Contribution to Growth</t>
  </si>
  <si>
    <t>Yearly Contribution to Growth</t>
  </si>
  <si>
    <t>Debt Releif Orders</t>
  </si>
  <si>
    <t>Debt relief orders</t>
  </si>
  <si>
    <t>DROs</t>
  </si>
  <si>
    <t>entered</t>
  </si>
  <si>
    <t>straight to</t>
  </si>
  <si>
    <t>new table in file</t>
  </si>
  <si>
    <t>Creditors' Voluntary Liquidations</t>
  </si>
  <si>
    <t>Administrations</t>
  </si>
  <si>
    <t>Year&amp;Qtr</t>
  </si>
  <si>
    <t>Latest q-q change</t>
  </si>
  <si>
    <t>change on 12m prev</t>
  </si>
  <si>
    <t>Column no. for quarterly change lookup</t>
  </si>
  <si>
    <t>Column no. for input data lookup</t>
  </si>
  <si>
    <t>Total Bankruptcy Orders</t>
  </si>
  <si>
    <t>Bankruptcy Orders where Income Payments Order obtained</t>
  </si>
  <si>
    <t>Bankruptcy Orders where Income Payments Agreement obtained</t>
  </si>
  <si>
    <t>Percentage of Bankruptcy Orders resulting in Income Payments</t>
  </si>
  <si>
    <t>Debt Relief Orders</t>
  </si>
  <si>
    <t>Table 1c</t>
  </si>
  <si>
    <t>Table 2c</t>
  </si>
  <si>
    <t>Total IPO / IPA</t>
  </si>
  <si>
    <t>Table 3</t>
  </si>
  <si>
    <t>Table 8</t>
  </si>
  <si>
    <t>Stats Pack</t>
  </si>
  <si>
    <t>CH</t>
  </si>
  <si>
    <t>Email</t>
  </si>
  <si>
    <t>TO BE CHANGED</t>
  </si>
  <si>
    <t>AiB</t>
  </si>
  <si>
    <t>DETINI</t>
  </si>
  <si>
    <t>DRO Unit</t>
  </si>
  <si>
    <t>Compulsory liquidations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</si>
  <si>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</si>
  <si>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</si>
  <si>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</si>
  <si>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</si>
  <si>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</si>
  <si>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</si>
  <si>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</si>
  <si>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</si>
  <si>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</si>
  <si>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</si>
  <si>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</si>
  <si>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Table 6a</t>
  </si>
  <si>
    <t>Other individuals</t>
  </si>
  <si>
    <t>Table 6b</t>
  </si>
  <si>
    <t>Table 7a</t>
  </si>
  <si>
    <t>Table 7b</t>
  </si>
  <si>
    <t>Table 9</t>
  </si>
  <si>
    <t>Table 10</t>
  </si>
  <si>
    <t>Rolling 12-month rate</t>
  </si>
  <si>
    <t>Table 11</t>
  </si>
  <si>
    <t>Total liquidations</t>
  </si>
  <si>
    <t>Table 12</t>
  </si>
  <si>
    <t>Table 13</t>
  </si>
  <si>
    <t xml:space="preserve"> </t>
  </si>
  <si>
    <t>Period</t>
  </si>
  <si>
    <t>Coverage</t>
  </si>
  <si>
    <t>Release date</t>
  </si>
  <si>
    <t>Frequency of release</t>
  </si>
  <si>
    <t>Next Update</t>
  </si>
  <si>
    <t>Media enquiries</t>
  </si>
  <si>
    <t>Ade Daramy</t>
  </si>
  <si>
    <t>+44 (0)20 7596 6187</t>
  </si>
  <si>
    <t>John Perrett</t>
  </si>
  <si>
    <t>statistics@insolvency.gsi.gov.uk</t>
  </si>
  <si>
    <t>Website</t>
  </si>
  <si>
    <t>https://www.gov.uk/government/collections/insolvency-service-official-statistics</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</si>
  <si>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</si>
  <si>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</si>
  <si>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</si>
  <si>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</si>
  <si>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</si>
  <si>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</si>
  <si>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</si>
  <si>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</si>
  <si>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</si>
  <si>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</si>
  <si>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</si>
  <si>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3</t>
  </si>
  <si>
    <t>Company liquidation rate</t>
  </si>
  <si>
    <t>England and Wales, rolling 12-month percentages of active companies</t>
  </si>
  <si>
    <t>CVL following administration</t>
  </si>
  <si>
    <t>4a</t>
  </si>
  <si>
    <t>Individual insolvencies</t>
  </si>
  <si>
    <t>4b</t>
  </si>
  <si>
    <t>5</t>
  </si>
  <si>
    <t>6a</t>
  </si>
  <si>
    <t>Petition type</t>
  </si>
  <si>
    <t>Self employment status</t>
  </si>
  <si>
    <t>Total bankruptcies</t>
  </si>
  <si>
    <t>No.</t>
  </si>
  <si>
    <t>%</t>
  </si>
  <si>
    <t>6b</t>
  </si>
  <si>
    <t>7a</t>
  </si>
  <si>
    <t>Income payment orders (IPOs) and agreements (IPAs)</t>
  </si>
  <si>
    <t>Based on date of bankruptcy order</t>
  </si>
  <si>
    <t>Bankruptcies resulting in income payment order or agreement</t>
  </si>
  <si>
    <t>Number</t>
  </si>
  <si>
    <t>7b</t>
  </si>
  <si>
    <t>Total IPOs and IPAs made in period</t>
  </si>
  <si>
    <t>Scotland, not seasonally adjusted</t>
  </si>
  <si>
    <t>9</t>
  </si>
  <si>
    <t>Scotland, rolling 12-month percentages of active companies</t>
  </si>
  <si>
    <t>10</t>
  </si>
  <si>
    <t>Northern Ireland, not seasonally adjusted</t>
  </si>
  <si>
    <t>11</t>
  </si>
  <si>
    <t>12</t>
  </si>
  <si>
    <t>Northern Ireland, rolling 12-month percentages of active companies</t>
  </si>
  <si>
    <t>13</t>
  </si>
  <si>
    <t>Quarterly</t>
  </si>
  <si>
    <t>p</t>
  </si>
  <si>
    <t>Table 8a</t>
  </si>
  <si>
    <t>Table 8b</t>
  </si>
  <si>
    <t>Table 14</t>
  </si>
  <si>
    <t>Bankruptcies by petition type</t>
  </si>
  <si>
    <t>8a</t>
  </si>
  <si>
    <t>8b</t>
  </si>
  <si>
    <t>14</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</si>
  <si>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</si>
  <si>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</si>
  <si>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</si>
  <si>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</si>
  <si>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</si>
  <si>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</si>
  <si>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</si>
  <si>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</si>
  <si>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</si>
  <si>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Company insolvencies in England and Wales</t>
  </si>
  <si>
    <t>Company insolvencies in Scotland</t>
  </si>
  <si>
    <t>Individual insolvencies in Scotland</t>
  </si>
  <si>
    <t>Individual insolvencies in Northern Ireland</t>
  </si>
  <si>
    <t>Company insolvencies in Northern Ireland</t>
  </si>
  <si>
    <t>Adjustment</t>
  </si>
  <si>
    <t>Bankruptcies by self-employment status</t>
  </si>
  <si>
    <t>Tables 1 and 3</t>
  </si>
  <si>
    <t>Tables 2c and 2d</t>
  </si>
  <si>
    <t>NA</t>
  </si>
  <si>
    <t>Tables 4 and 5</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</si>
  <si>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</si>
  <si>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</si>
  <si>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</si>
  <si>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</si>
  <si>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t>This column shows where the equivalent statistics were located under the previous table structure.</t>
  </si>
  <si>
    <t>Note 1: Commencing with the January to March 2015 statistics, these tables have been restructured and reordered.</t>
  </si>
  <si>
    <r>
      <t>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</si>
  <si>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</si>
  <si>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</si>
  <si>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</si>
  <si>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</si>
  <si>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</si>
  <si>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r>
      <t>Bankruptcies</t>
    </r>
    <r>
      <rPr>
        <vertAlign val="superscript"/>
        <sz val="10"/>
        <color indexed="8"/>
        <rFont val="Arial Unicode MS"/>
        <family val="2"/>
      </rPr>
      <t>1</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</si>
  <si>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</si>
  <si>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</si>
  <si>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</si>
  <si>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</si>
  <si>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</si>
  <si>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</si>
  <si>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</si>
  <si>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</si>
  <si>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</si>
  <si>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</si>
  <si>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</si>
  <si>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</si>
  <si>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</si>
  <si>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</si>
  <si>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</si>
  <si>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</si>
  <si>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</si>
  <si>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</si>
  <si>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</si>
  <si>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</si>
  <si>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</si>
  <si>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</si>
  <si>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</si>
  <si>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</si>
  <si>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</si>
  <si>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</si>
  <si>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</si>
  <si>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Sources: Insolvency Service (compulsory liquidations only); Companies House (all other insolvency types).</t>
  </si>
  <si>
    <t>Source: Companies House.</t>
  </si>
  <si>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3) but prior to 2010 it is not possible to separate these CVLs out.</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</si>
  <si>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</si>
  <si>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</si>
  <si>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t>Sources: Department for Enterprise, Trade and Investment Northern Ireland (compulsory liquidations); Companies House (CVLs and number of companies on the active register).</t>
  </si>
  <si>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</si>
  <si>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</si>
  <si>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</si>
  <si>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</si>
  <si>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</si>
  <si>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r>
      <t>Previously found in</t>
    </r>
    <r>
      <rPr>
        <b/>
        <vertAlign val="superscript"/>
        <sz val="12"/>
        <rFont val="Arial"/>
        <family val="2"/>
      </rPr>
      <t>1</t>
    </r>
  </si>
  <si>
    <t>NA: not applicable. These statistics were first presented in the January to March 2015 publication.</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</si>
  <si>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</si>
  <si>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</si>
  <si>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</si>
  <si>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</si>
  <si>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</si>
  <si>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</si>
  <si>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</si>
  <si>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</si>
  <si>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</si>
  <si>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</si>
  <si>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</si>
  <si>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</si>
  <si>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</si>
  <si>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</si>
  <si>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</si>
  <si>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</si>
  <si>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</si>
  <si>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</si>
  <si>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</si>
  <si>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</si>
  <si>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</si>
  <si>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Scotland are sourced from the Office of the Accountant in Bankruptcy (AiB). The Northern Ireland </t>
  </si>
  <si>
    <t xml:space="preserve">Companies House. The adult (18+) population data for England and Wales (used in the calculation </t>
  </si>
  <si>
    <t xml:space="preserve">of individual insolvency rates) are created using annual mid-year population estimates by single </t>
  </si>
  <si>
    <t xml:space="preserve">year of age sourced from the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</si>
  <si>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</si>
  <si>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</si>
  <si>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</si>
  <si>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</si>
  <si>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</si>
  <si>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</si>
  <si>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</si>
  <si>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</si>
  <si>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</si>
  <si>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</si>
  <si>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</si>
  <si>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</si>
  <si>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</si>
  <si>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</si>
  <si>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</si>
  <si>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</si>
  <si>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</si>
  <si>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</si>
  <si>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</si>
  <si>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</si>
  <si>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</si>
  <si>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</si>
  <si>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</si>
  <si>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</si>
  <si>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</si>
  <si>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</si>
  <si>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</si>
  <si>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</si>
  <si>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</si>
  <si>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</si>
  <si>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</si>
  <si>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</si>
  <si>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</si>
  <si>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</si>
  <si>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</si>
  <si>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</si>
  <si>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</si>
  <si>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</si>
  <si>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</si>
  <si>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</si>
  <si>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</si>
  <si>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</si>
  <si>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</si>
  <si>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</si>
  <si>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</si>
  <si>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</si>
  <si>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</si>
  <si>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</si>
  <si>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</si>
  <si>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</si>
  <si>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</si>
  <si>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</si>
  <si>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</si>
  <si>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</si>
  <si>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</si>
  <si>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</si>
  <si>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</si>
  <si>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</si>
  <si>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</si>
  <si>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</si>
  <si>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</si>
  <si>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</si>
  <si>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</si>
  <si>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</si>
  <si>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</si>
  <si>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</si>
  <si>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</si>
  <si>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</si>
  <si>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</si>
  <si>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</si>
  <si>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</si>
  <si>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</si>
  <si>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</si>
  <si>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</si>
  <si>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</si>
  <si>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</si>
  <si>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</si>
  <si>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</si>
  <si>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</si>
  <si>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</si>
  <si>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</si>
  <si>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</si>
  <si>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</si>
  <si>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</si>
  <si>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</si>
  <si>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</si>
  <si>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</si>
  <si>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</si>
  <si>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</si>
  <si>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r>
      <t>Debt relief orders</t>
    </r>
    <r>
      <rPr>
        <vertAlign val="superscript"/>
        <sz val="10"/>
        <color indexed="8"/>
        <rFont val="Arial Unicode MS"/>
        <family val="2"/>
      </rPr>
      <t>2,4</t>
    </r>
  </si>
  <si>
    <r>
      <rPr>
        <vertAlign val="superscript"/>
        <sz val="10"/>
        <color indexed="8"/>
        <rFont val="Arial Unicode MS"/>
        <family val="2"/>
      </rPr>
      <t>4</t>
    </r>
    <r>
      <rPr>
        <sz val="10"/>
        <color indexed="8"/>
        <rFont val="Arial Unicode MS"/>
        <family val="2"/>
      </rPr>
      <t xml:space="preserve"> The data for debt relief orders do not demonstrate a seasonal pattern. The seasonally adjusted data is therefore identical to the unadjusted data.</t>
    </r>
  </si>
  <si>
    <t>Views on the clarity of the publication are welcomed via the contact details on the cover page of this release.</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</si>
  <si>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</si>
  <si>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</si>
  <si>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</si>
  <si>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r>
      <t>Receivership appointments</t>
    </r>
    <r>
      <rPr>
        <vertAlign val="superscript"/>
        <sz val="10"/>
        <color indexed="8"/>
        <rFont val="Arial Unicode MS"/>
        <family val="2"/>
      </rPr>
      <t>9</t>
    </r>
  </si>
  <si>
    <r>
      <t>Company voluntary arrangements</t>
    </r>
    <r>
      <rPr>
        <vertAlign val="superscript"/>
        <sz val="10"/>
        <color indexed="8"/>
        <rFont val="Arial Unicode MS"/>
        <family val="2"/>
      </rPr>
      <t>8</t>
    </r>
  </si>
  <si>
    <r>
      <t>Administrations</t>
    </r>
    <r>
      <rPr>
        <vertAlign val="superscript"/>
        <sz val="10"/>
        <color indexed="8"/>
        <rFont val="Arial Unicode MS"/>
        <family val="2"/>
      </rPr>
      <t>5,6,7</t>
    </r>
  </si>
  <si>
    <r>
      <t>New creditors' voluntary liquidations</t>
    </r>
    <r>
      <rPr>
        <vertAlign val="superscript"/>
        <sz val="10"/>
        <color indexed="8"/>
        <rFont val="Arial Unicode MS"/>
        <family val="2"/>
      </rPr>
      <t>3</t>
    </r>
  </si>
  <si>
    <r>
      <t>Company insolvencies</t>
    </r>
    <r>
      <rPr>
        <b/>
        <vertAlign val="superscript"/>
        <sz val="14"/>
        <rFont val="Arial Unicode MS"/>
        <family val="2"/>
      </rPr>
      <t>1,2</t>
    </r>
  </si>
  <si>
    <r>
      <rPr>
        <vertAlign val="superscript"/>
        <sz val="10"/>
        <color indexed="8"/>
        <rFont val="Arial Unicode MS"/>
        <family val="2"/>
      </rPr>
      <t>4</t>
    </r>
    <r>
      <rPr>
        <sz val="10"/>
        <color indexed="8"/>
        <rFont val="Arial Unicode MS"/>
        <family val="2"/>
      </rPr>
      <t xml:space="preserve"> Figures from 2011 Q2 onwards based on the date the winding-up order was granted by the court.</t>
    </r>
  </si>
  <si>
    <r>
      <rPr>
        <vertAlign val="superscript"/>
        <sz val="10"/>
        <color indexed="8"/>
        <rFont val="Arial Unicode MS"/>
        <family val="2"/>
      </rPr>
      <t>5</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</si>
  <si>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6</t>
    </r>
    <r>
      <rPr>
        <sz val="10"/>
        <rFont val="Arial Unicode MS"/>
        <family val="2"/>
      </rPr>
      <t xml:space="preserve"> The figure for Q4 2006 includes 844 separate, limited companies created and managed by "Safe Solutions Accountancy Limited" for which Grant Thornton was appointed administrator.</t>
    </r>
  </si>
  <si>
    <r>
      <rPr>
        <vertAlign val="superscript"/>
        <sz val="10"/>
        <rFont val="Arial Unicode MS"/>
        <family val="2"/>
      </rPr>
      <t>8</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</si>
  <si>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t>e</t>
  </si>
  <si>
    <t>Estimate</t>
  </si>
  <si>
    <r>
      <rPr>
        <vertAlign val="superscript"/>
        <sz val="10"/>
        <rFont val="Arial Unicode MS"/>
        <family val="2"/>
      </rPr>
      <t>7</t>
    </r>
    <r>
      <rPr>
        <sz val="10"/>
        <rFont val="Arial Unicode MS"/>
        <family val="2"/>
      </rPr>
      <t xml:space="preserve"> The figure for Q3 2008 includes 728 separate managed service companies. </t>
    </r>
  </si>
  <si>
    <r>
      <rPr>
        <vertAlign val="superscript"/>
        <sz val="10"/>
        <color indexed="8"/>
        <rFont val="Arial Unicode MS"/>
        <family val="2"/>
      </rPr>
      <t>10</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</si>
  <si>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9,10</t>
    </r>
  </si>
  <si>
    <r>
      <t>Company voluntary arrangements</t>
    </r>
    <r>
      <rPr>
        <vertAlign val="superscript"/>
        <sz val="10"/>
        <color indexed="8"/>
        <rFont val="Arial Unicode MS"/>
        <family val="2"/>
      </rPr>
      <t>8,10</t>
    </r>
  </si>
  <si>
    <r>
      <t>Creditors' voluntary liquidations</t>
    </r>
    <r>
      <rPr>
        <vertAlign val="superscript"/>
        <sz val="10"/>
        <color indexed="8"/>
        <rFont val="Arial Unicode MS"/>
        <family val="2"/>
      </rPr>
      <t>3</t>
    </r>
  </si>
  <si>
    <r>
      <t>Creditors' voluntary liquidations following administration</t>
    </r>
    <r>
      <rPr>
        <b/>
        <vertAlign val="superscript"/>
        <sz val="14"/>
        <rFont val="Arial Unicode MS"/>
        <family val="2"/>
      </rPr>
      <t>1,2</t>
    </r>
  </si>
  <si>
    <r>
      <rPr>
        <vertAlign val="superscript"/>
        <sz val="10"/>
        <color indexed="8"/>
        <rFont val="Arial Unicode MS"/>
        <family val="2"/>
      </rPr>
      <t>3</t>
    </r>
    <r>
      <rPr>
        <sz val="10"/>
        <color indexed="8"/>
        <rFont val="Arial Unicode MS"/>
        <family val="2"/>
      </rPr>
      <t xml:space="preserve"> Releases prior to 2012 Q4 excluded CVLs following administration. The entire series was revised from 2013 Q1 to include these liquidations.</t>
    </r>
  </si>
  <si>
    <r>
      <t>Company liquidation rate</t>
    </r>
    <r>
      <rPr>
        <b/>
        <vertAlign val="superscript"/>
        <sz val="14"/>
        <rFont val="Arial Unicode MS"/>
        <family val="2"/>
      </rPr>
      <t>1,2,3</t>
    </r>
  </si>
  <si>
    <t>Total new company insolvencies4</t>
  </si>
  <si>
    <r>
      <t>Compulsory liquidations</t>
    </r>
    <r>
      <rPr>
        <vertAlign val="superscript"/>
        <sz val="10"/>
        <color indexed="8"/>
        <rFont val="Arial Unicode MS"/>
        <family val="2"/>
      </rPr>
      <t>3</t>
    </r>
  </si>
  <si>
    <r>
      <t>New creditors' voluntary liquidations</t>
    </r>
    <r>
      <rPr>
        <vertAlign val="superscript"/>
        <sz val="10"/>
        <color indexed="8"/>
        <rFont val="Arial Unicode MS"/>
        <family val="2"/>
      </rPr>
      <t>4,5</t>
    </r>
  </si>
  <si>
    <r>
      <rPr>
        <vertAlign val="superscript"/>
        <sz val="10"/>
        <color indexed="8"/>
        <rFont val="Arial Unicode MS"/>
        <family val="2"/>
      </rPr>
      <t>3</t>
    </r>
    <r>
      <rPr>
        <sz val="10"/>
        <color indexed="8"/>
        <rFont val="Arial Unicode MS"/>
        <family val="2"/>
      </rPr>
      <t xml:space="preserve"> Source: Department for Enterprise, Trade and Investment, Northern Ireland.</t>
    </r>
  </si>
  <si>
    <r>
      <rPr>
        <vertAlign val="superscript"/>
        <sz val="10"/>
        <color indexed="8"/>
        <rFont val="Arial Unicode MS"/>
        <family val="2"/>
      </rPr>
      <t>4</t>
    </r>
    <r>
      <rPr>
        <sz val="10"/>
        <color indexed="8"/>
        <rFont val="Arial Unicode MS"/>
        <family val="2"/>
      </rPr>
      <t xml:space="preserve"> Source: Companies House.</t>
    </r>
  </si>
  <si>
    <r>
      <t>Administrations</t>
    </r>
    <r>
      <rPr>
        <vertAlign val="superscript"/>
        <sz val="10"/>
        <color indexed="8"/>
        <rFont val="Arial Unicode MS"/>
        <family val="2"/>
      </rPr>
      <t>4</t>
    </r>
  </si>
  <si>
    <r>
      <t>Administrative receiverships</t>
    </r>
    <r>
      <rPr>
        <vertAlign val="superscript"/>
        <sz val="10"/>
        <color indexed="8"/>
        <rFont val="Arial Unicode MS"/>
        <family val="2"/>
      </rPr>
      <t>4</t>
    </r>
  </si>
  <si>
    <r>
      <t>Company voluntary arrangements</t>
    </r>
    <r>
      <rPr>
        <vertAlign val="superscript"/>
        <sz val="10"/>
        <color indexed="8"/>
        <rFont val="Arial Unicode MS"/>
        <family val="2"/>
      </rPr>
      <t>4</t>
    </r>
  </si>
  <si>
    <t>More information is available in a separate</t>
  </si>
  <si>
    <t>methodology document</t>
  </si>
  <si>
    <t xml:space="preserve">Other revisions tend to be made as a result of data being entered onto administrative systems after the cut-off date </t>
  </si>
  <si>
    <t xml:space="preserve">Figures sourced from Companies House are estimated in the first instance, then revised the following quarter </t>
  </si>
  <si>
    <t>to reflect cases being entered on to the administrative system at a later date. The size of such revisions will vary.</t>
  </si>
  <si>
    <t>More information can be found in the</t>
  </si>
  <si>
    <t>analysis of prediction errors.</t>
  </si>
  <si>
    <t xml:space="preserve">Figures sourced from Companies House were revised in 2015 to reflect a new method for counting company </t>
  </si>
  <si>
    <t xml:space="preserve">insolvencies. A time series on the new basis was provided back to 2007Q1 for England and Wales, and for Scotland. </t>
  </si>
  <si>
    <t xml:space="preserve">For Northern Ireland, the data required were only available back to 2010. However, it should also be noted that </t>
  </si>
  <si>
    <t xml:space="preserve">because the revised counts have been run against a live database, they do not exactly reflect the original numbers </t>
  </si>
  <si>
    <t>of new cases that would have been reported.</t>
  </si>
  <si>
    <t>Generally speaking, numbers of cases are based on the date of the order or agreement of the insolvency procedure,</t>
  </si>
  <si>
    <t xml:space="preserve">not on the date it was registered on the administrative recording system. The implication of this is that the published </t>
  </si>
  <si>
    <t xml:space="preserve">figures will be influenced by, for example, the late reporting of orders made leading to missing data.  The exceptions </t>
  </si>
  <si>
    <t xml:space="preserve">for England and Wales are: compulsory liquidations and bankruptcy orders before Q2 2011; individual voluntary </t>
  </si>
  <si>
    <t xml:space="preserve">arrangements; and corporate insolvencies before Q1 2007 (when the methodology changed). This should be noted </t>
  </si>
  <si>
    <t xml:space="preserve">when making comparisons of trends over time. Checks are in place to identify and remove duplication of cases, </t>
  </si>
  <si>
    <t>to ensure that returns cover all reporting areas, and to check consistency within tables and between related tables.</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</si>
  <si>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</si>
  <si>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</si>
  <si>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</si>
  <si>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</si>
  <si>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</si>
  <si>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</si>
  <si>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</si>
  <si>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</si>
  <si>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</si>
  <si>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</si>
  <si>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</si>
  <si>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</si>
  <si>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</si>
  <si>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</si>
  <si>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</si>
  <si>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</si>
  <si>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</si>
  <si>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</si>
  <si>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</si>
  <si>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rPr>
        <vertAlign val="superscript"/>
        <sz val="10"/>
        <color indexed="8"/>
        <rFont val="Arial Unicode MS"/>
        <family val="2"/>
      </rPr>
      <t>2</t>
    </r>
    <r>
      <rPr>
        <sz val="10"/>
        <color indexed="8"/>
        <rFont val="Arial Unicode MS"/>
        <family val="2"/>
      </rPr>
      <t xml:space="preserve"> Data from 2009Q4 are not consistent with earlier data because of a change to the methodology. This does not affect compulsory liquidations. Data for Northern Ireland prior to 2010 are not available under the new methodology.</t>
    </r>
  </si>
  <si>
    <r>
      <rPr>
        <vertAlign val="superscript"/>
        <sz val="10"/>
        <color indexed="8"/>
        <rFont val="Arial Unicode MS"/>
        <family val="2"/>
      </rPr>
      <t>5</t>
    </r>
    <r>
      <rPr>
        <sz val="10"/>
        <color indexed="8"/>
        <rFont val="Arial Unicode MS"/>
        <family val="2"/>
      </rPr>
      <t xml:space="preserve"> Data before 2009Q4 includes creditors' voluntary liquidations following administration as under the previous methodology it is not possible to separate these CVLs out.</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</si>
  <si>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</si>
  <si>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</si>
  <si>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2</t>
    </r>
    <r>
      <rPr>
        <sz val="10"/>
        <color indexed="8"/>
        <rFont val="Arial Unicode MS"/>
        <family val="2"/>
      </rPr>
      <t xml:space="preserve"> Excludes creditors' voluntary liquidations following administration (See Table 2).</t>
    </r>
  </si>
  <si>
    <r>
      <rPr>
        <vertAlign val="superscript"/>
        <sz val="10"/>
        <color indexed="8"/>
        <rFont val="Arial Unicode MS"/>
        <family val="2"/>
      </rPr>
      <t>3</t>
    </r>
    <r>
      <rPr>
        <sz val="10"/>
        <color indexed="8"/>
        <rFont val="Arial Unicode MS"/>
        <family val="2"/>
      </rPr>
      <t xml:space="preserve"> Includes partnership winding-up orders.</t>
    </r>
  </si>
  <si>
    <r>
      <t>Total new company insolvencies</t>
    </r>
    <r>
      <rPr>
        <b/>
        <vertAlign val="superscript"/>
        <sz val="10"/>
        <color indexed="8"/>
        <rFont val="Arial Unicode MS"/>
        <family val="2"/>
      </rPr>
      <t>2,3</t>
    </r>
  </si>
  <si>
    <r>
      <t>Compulsory liquidations</t>
    </r>
    <r>
      <rPr>
        <vertAlign val="superscript"/>
        <sz val="10"/>
        <color indexed="8"/>
        <rFont val="Arial Unicode MS"/>
        <family val="2"/>
      </rPr>
      <t>3,4,10</t>
    </r>
  </si>
  <si>
    <r>
      <t>New creditors' voluntary liquidations</t>
    </r>
    <r>
      <rPr>
        <vertAlign val="superscript"/>
        <sz val="10"/>
        <color indexed="8"/>
        <rFont val="Arial Unicode MS"/>
        <family val="2"/>
      </rPr>
      <t>2</t>
    </r>
  </si>
  <si>
    <r>
      <t>Compulsory liquidations</t>
    </r>
    <r>
      <rPr>
        <vertAlign val="superscript"/>
        <sz val="10"/>
        <color indexed="8"/>
        <rFont val="Arial Unicode MS"/>
        <family val="2"/>
      </rPr>
      <t>3,4</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</si>
  <si>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</si>
  <si>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</si>
  <si>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3</t>
    </r>
    <r>
      <rPr>
        <sz val="10"/>
        <color indexed="8"/>
        <rFont val="Arial Unicode MS"/>
        <family val="2"/>
      </rPr>
      <t xml:space="preserve"> Includes provisional liquidations.</t>
    </r>
  </si>
  <si>
    <r>
      <t>Company insolvencies</t>
    </r>
    <r>
      <rPr>
        <b/>
        <vertAlign val="superscript"/>
        <sz val="14"/>
        <rFont val="Arial Unicode MS"/>
        <family val="2"/>
      </rPr>
      <t>2</t>
    </r>
  </si>
  <si>
    <r>
      <t>Total new company insolvencies</t>
    </r>
    <r>
      <rPr>
        <b/>
        <vertAlign val="superscript"/>
        <sz val="10"/>
        <color indexed="8"/>
        <rFont val="Arial Unicode MS"/>
        <family val="2"/>
      </rPr>
      <t>2</t>
    </r>
  </si>
  <si>
    <r>
      <rPr>
        <vertAlign val="superscript"/>
        <sz val="10"/>
        <rFont val="Arial Unicode MS"/>
        <family val="2"/>
      </rPr>
      <t>9</t>
    </r>
    <r>
      <rPr>
        <sz val="10"/>
        <rFont val="Arial Unicode MS"/>
        <family val="2"/>
      </rPr>
      <t xml:space="preserve"> Data before 2000 Q1 include Law of Property Act and fixed charge receiverships, which are not insolvencies but which cannot be identified separately to insolvent receiverships under the previous methodology.  </t>
    </r>
  </si>
  <si>
    <r>
      <rPr>
        <vertAlign val="superscript"/>
        <sz val="10"/>
        <color indexed="8"/>
        <rFont val="Arial Unicode MS"/>
        <family val="2"/>
      </rPr>
      <t>2</t>
    </r>
    <r>
      <rPr>
        <sz val="10"/>
        <color indexed="8"/>
        <rFont val="Arial Unicode MS"/>
        <family val="2"/>
      </rPr>
      <t xml:space="preserve"> Data before 2000Q1 includes creditors' voluntary liquidations following administration as under the previous methodology it is not possible to separate these CVLs out.</t>
    </r>
  </si>
  <si>
    <r>
      <rPr>
        <vertAlign val="superscript"/>
        <sz val="10"/>
        <color indexed="8"/>
        <rFont val="Arial Unicode MS"/>
        <family val="2"/>
      </rPr>
      <t>3</t>
    </r>
    <r>
      <rPr>
        <sz val="10"/>
        <color indexed="8"/>
        <rFont val="Arial Unicode MS"/>
        <family val="2"/>
      </rPr>
      <t xml:space="preserve"> Data before 2000Q1 includes creditors' voluntary liquidations following administration as under the previous methodology it is not possible to separate these CVLs out.</t>
    </r>
  </si>
  <si>
    <r>
      <t>Debtor's applications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</si>
  <si>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</si>
  <si>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</si>
  <si>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r the Adjudicator.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</si>
  <si>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 From 6 April 2016, the process for people making themselves bankrupt moved online and out of the courts.</t>
    </r>
  </si>
  <si>
    <r>
      <rPr>
        <vertAlign val="superscript"/>
        <sz val="10"/>
        <color indexed="8"/>
        <rFont val="Arial Unicode MS"/>
        <family val="2"/>
      </rPr>
      <t>4</t>
    </r>
    <r>
      <rPr>
        <sz val="10"/>
        <color indexed="8"/>
        <rFont val="Arial Unicode MS"/>
        <family val="2"/>
      </rPr>
      <t xml:space="preserve"> From 6 April 2016, the process for people making themselves bankrupt moved online and out of the courts.</t>
    </r>
  </si>
  <si>
    <r>
      <t>Creditor's petitions</t>
    </r>
    <r>
      <rPr>
        <vertAlign val="superscript"/>
        <sz val="10"/>
        <color indexed="8"/>
        <rFont val="Arial Unicode MS"/>
        <family val="2"/>
      </rPr>
      <t>3</t>
    </r>
  </si>
  <si>
    <r>
      <t>Debtor's applications</t>
    </r>
    <r>
      <rPr>
        <vertAlign val="superscript"/>
        <sz val="10"/>
        <color indexed="8"/>
        <rFont val="Arial Unicode MS"/>
        <family val="2"/>
      </rPr>
      <t>4</t>
    </r>
  </si>
  <si>
    <r>
      <rPr>
        <vertAlign val="superscript"/>
        <sz val="10"/>
        <color indexed="8"/>
        <rFont val="Arial Unicode MS"/>
        <family val="2"/>
      </rPr>
      <t>2</t>
    </r>
    <r>
      <rPr>
        <sz val="10"/>
        <color indexed="8"/>
        <rFont val="Arial Unicode MS"/>
        <family val="2"/>
      </rPr>
      <t xml:space="preserve"> From October 2015, the minimum debt required to initiate a creditor petition bankruptcy increased from £750 to £5,000.</t>
    </r>
  </si>
  <si>
    <r>
      <t>Creditor's petitions</t>
    </r>
    <r>
      <rPr>
        <vertAlign val="superscript"/>
        <sz val="10"/>
        <color indexed="8"/>
        <rFont val="Arial Unicode MS"/>
        <family val="2"/>
      </rPr>
      <t>2</t>
    </r>
  </si>
  <si>
    <r>
      <rPr>
        <vertAlign val="superscript"/>
        <sz val="10"/>
        <color indexed="8"/>
        <rFont val="Arial Unicode MS"/>
        <family val="2"/>
      </rPr>
      <t>3</t>
    </r>
    <r>
      <rPr>
        <sz val="10"/>
        <color indexed="8"/>
        <rFont val="Arial Unicode MS"/>
        <family val="2"/>
      </rPr>
      <t xml:space="preserve"> From October 2015, the minimum debt required to initiate a creditor petition bankruptcy increased from £750 to £5,000.</t>
    </r>
  </si>
  <si>
    <t>Michael Gibbs</t>
  </si>
  <si>
    <t>+44 (0)20 7637 6304</t>
  </si>
  <si>
    <t xml:space="preserve">derived from administrative records at Companies House, while figures for individual insolvencies in </t>
  </si>
  <si>
    <t>Business, Energy and Industrial Strategy (BEIS). For Scotland, the company insolvency statistics are</t>
  </si>
  <si>
    <t xml:space="preserve">statistics are derived from administrative records of the Department of the Economy and from </t>
  </si>
  <si>
    <t>n.a.</t>
  </si>
  <si>
    <t>Author</t>
  </si>
  <si>
    <t>Lead statistician</t>
  </si>
  <si>
    <t>Insolvency Statistics, October to December 2017 (Q4 2017)</t>
  </si>
  <si>
    <t>Insolvency Statistics, October to December 2017</t>
  </si>
  <si>
    <t/>
  </si>
  <si>
    <t>Percentage change, latest quarter (2017 Q4) compared with:</t>
  </si>
  <si>
    <t>Percentage point change, 12 months ending latest quarter (2017 Q4) compared with:</t>
  </si>
  <si>
    <t>Change in rate per 10,000 adults, 12 months ending latest quarter (2017 Q4) compared with:</t>
  </si>
  <si>
    <t>Percentage change, latest quarter (2017 Q3) compared with:</t>
  </si>
  <si>
    <t>Percentage change, latest quarter (2017 Q2) compared with:</t>
  </si>
  <si>
    <t>(7,133)</t>
  </si>
  <si>
    <t>(8,776)</t>
  </si>
  <si>
    <t>(6,801)</t>
  </si>
  <si>
    <t>(4,798)</t>
  </si>
  <si>
    <t>(3,883)</t>
  </si>
  <si>
    <t>(2,729)</t>
  </si>
  <si>
    <t>(2,533)</t>
  </si>
  <si>
    <t>(1,499)</t>
  </si>
  <si>
    <t>(1,795)</t>
  </si>
  <si>
    <t>(1,916)</t>
  </si>
  <si>
    <t>(1,709)</t>
  </si>
  <si>
    <t>(2,773)</t>
  </si>
  <si>
    <t>(2,651)</t>
  </si>
  <si>
    <t>(2,284)</t>
  </si>
  <si>
    <t>(2,394)</t>
  </si>
  <si>
    <t>(2,107)</t>
  </si>
  <si>
    <t>(1,991)</t>
  </si>
  <si>
    <t>(1,905)</t>
  </si>
  <si>
    <t>(1,897)</t>
  </si>
  <si>
    <t>(1,631)</t>
  </si>
  <si>
    <t>(1,368)</t>
  </si>
  <si>
    <t>(1,190)</t>
  </si>
  <si>
    <t>(1,305)</t>
  </si>
  <si>
    <t>(1,223)</t>
  </si>
  <si>
    <t>(1,080)</t>
  </si>
  <si>
    <t>(1,060)</t>
  </si>
  <si>
    <t>(1,563)</t>
  </si>
  <si>
    <t>(653)</t>
  </si>
  <si>
    <t>(607)</t>
  </si>
  <si>
    <t>(658)</t>
  </si>
  <si>
    <t>(742)</t>
  </si>
  <si>
    <t>(671)</t>
  </si>
  <si>
    <t>(667)</t>
  </si>
  <si>
    <t>(648)</t>
  </si>
  <si>
    <t>(629)</t>
  </si>
  <si>
    <t>(589)</t>
  </si>
  <si>
    <t>(530)</t>
  </si>
  <si>
    <t>(220)</t>
  </si>
  <si>
    <t>(344)</t>
  </si>
  <si>
    <t>(405)</t>
  </si>
  <si>
    <t>(393)</t>
  </si>
  <si>
    <t>(480)</t>
  </si>
  <si>
    <t>(463)</t>
  </si>
  <si>
    <t>(459)</t>
  </si>
  <si>
    <t>(442)</t>
  </si>
  <si>
    <t>(499)</t>
  </si>
  <si>
    <t>(482)</t>
  </si>
  <si>
    <t>(493)</t>
  </si>
  <si>
    <t>Michael McDaid</t>
  </si>
  <si>
    <t>020 7637 6314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</si>
</sst>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 numFmtId="175" formatCode="#,##0.0000"/>
  </numFmts>
  <fonts count="57" x14ac:knownFonts="1">
    <font>
      <sz val="10"/>
      <name val="Arial"/>
    </font>
    <font>
      <sz val="11"/>
      <color theme="1"/>
      <name val="Calibri"/>
      <family val="2"/>
      <scheme val="minor"/>
    </font>
    <font>
      <sz val="10"/>
      <name val="Arial"/>
      <family val="2"/>
    </font>
    <font>
      <sz val="8"/>
      <name val="Arial"/>
      <family val="2"/>
    </font>
    <font>
      <sz val="10"/>
      <name val="Courier"/>
      <family val="3"/>
    </font>
    <font>
      <b/>
      <sz val="8"/>
      <name val="Arial"/>
      <family val="2"/>
    </font>
    <font>
      <b/>
      <sz val="14"/>
      <name val="Arial"/>
      <family val="2"/>
    </font>
    <font>
      <b/>
      <sz val="14"/>
      <color indexed="10"/>
      <name val="Arial"/>
      <family val="2"/>
    </font>
    <font>
      <b/>
      <sz val="12"/>
      <name val="Arial"/>
      <family val="2"/>
    </font>
    <font>
      <sz val="8"/>
      <color indexed="22"/>
      <name val="Arial"/>
      <family val="2"/>
    </font>
    <font>
      <b/>
      <sz val="6"/>
      <name val="Arial"/>
      <family val="2"/>
    </font>
    <font>
      <sz val="6"/>
      <name val="Arial"/>
      <family val="2"/>
    </font>
    <font>
      <sz val="8"/>
      <color indexed="48"/>
      <name val="Arial"/>
      <family val="2"/>
    </font>
    <font>
      <b/>
      <sz val="8"/>
      <color indexed="48"/>
      <name val="Arial"/>
      <family val="2"/>
    </font>
    <font>
      <b/>
      <sz val="10"/>
      <color indexed="48"/>
      <name val="Arial"/>
      <family val="2"/>
    </font>
    <font>
      <sz val="8"/>
      <color indexed="81"/>
      <name val="Tahoma"/>
      <family val="2"/>
    </font>
    <font>
      <b/>
      <sz val="8"/>
      <color indexed="81"/>
      <name val="Tahoma"/>
      <family val="2"/>
    </font>
    <font>
      <sz val="6"/>
      <color indexed="14"/>
      <name val="Arial"/>
      <family val="2"/>
    </font>
    <font>
      <b/>
      <sz val="8"/>
      <color indexed="10"/>
      <name val="Arial"/>
      <family val="2"/>
    </font>
    <font>
      <sz val="8"/>
      <color indexed="10"/>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2"/>
      <name val="Arial Unicode MS"/>
      <family val="2"/>
    </font>
    <font>
      <vertAlign val="superscript"/>
      <sz val="10"/>
      <name val="Arial Unicode MS"/>
      <family val="2"/>
    </font>
    <font>
      <b/>
      <vertAlign val="superscript"/>
      <sz val="12"/>
      <name val="Arial"/>
      <family val="2"/>
    </font>
    <font>
      <sz val="1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dotted">
        <color indexed="64"/>
      </right>
      <top/>
      <bottom/>
      <diagonal/>
    </border>
    <border>
      <left style="dotted">
        <color indexed="64"/>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2" fillId="0" borderId="0" applyFont="0" applyFill="0" applyBorder="0" applyAlignment="0" applyProtection="0"/>
    <xf numFmtId="164" fontId="4" fillId="0" borderId="0"/>
    <xf numFmtId="0" fontId="2" fillId="0" borderId="0"/>
    <xf numFmtId="9" fontId="20" fillId="0" borderId="0" applyFont="0" applyFill="0" applyBorder="0" applyAlignment="0" applyProtection="0"/>
    <xf numFmtId="165" fontId="4"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369">
    <xf numFmtId="0" fontId="0" fillId="0" borderId="0" xfId="0"/>
    <xf numFmtId="1" fontId="11" fillId="0" borderId="0" xfId="0" applyNumberFormat="1" applyFont="1" applyFill="1"/>
    <xf numFmtId="1" fontId="10" fillId="0" borderId="0" xfId="0" applyNumberFormat="1" applyFont="1" applyFill="1"/>
    <xf numFmtId="1" fontId="11" fillId="0" borderId="0" xfId="0" applyNumberFormat="1" applyFont="1"/>
    <xf numFmtId="1" fontId="11" fillId="0" borderId="0" xfId="0" applyNumberFormat="1" applyFont="1" applyFill="1" applyAlignment="1">
      <alignment horizontal="left" wrapText="1"/>
    </xf>
    <xf numFmtId="1" fontId="11" fillId="0" borderId="0" xfId="0" applyNumberFormat="1" applyFont="1" applyFill="1" applyAlignment="1">
      <alignment wrapText="1"/>
    </xf>
    <xf numFmtId="1" fontId="11" fillId="0" borderId="0" xfId="0" applyNumberFormat="1" applyFont="1" applyAlignment="1">
      <alignment wrapText="1"/>
    </xf>
    <xf numFmtId="166" fontId="11" fillId="0" borderId="0" xfId="0" applyNumberFormat="1" applyFont="1" applyFill="1"/>
    <xf numFmtId="2" fontId="11" fillId="0" borderId="0" xfId="0" applyNumberFormat="1" applyFont="1" applyFill="1"/>
    <xf numFmtId="1" fontId="11" fillId="0" borderId="0" xfId="0" applyNumberFormat="1" applyFont="1" applyFill="1" applyAlignment="1">
      <alignment horizontal="center"/>
    </xf>
    <xf numFmtId="0" fontId="3" fillId="2" borderId="0" xfId="0" applyFont="1" applyFill="1"/>
    <xf numFmtId="0" fontId="3" fillId="2" borderId="0" xfId="0" applyFont="1" applyFill="1" applyAlignment="1">
      <alignment horizontal="center"/>
    </xf>
    <xf numFmtId="0" fontId="5" fillId="2" borderId="0" xfId="0" applyFont="1" applyFill="1"/>
    <xf numFmtId="0" fontId="3" fillId="2" borderId="0" xfId="0" applyFont="1" applyFill="1" applyAlignment="1">
      <alignment horizontal="left" wrapText="1"/>
    </xf>
    <xf numFmtId="0" fontId="9" fillId="2" borderId="0" xfId="0" applyFont="1" applyFill="1"/>
    <xf numFmtId="0" fontId="3" fillId="2" borderId="0" xfId="0" applyFont="1" applyFill="1" applyBorder="1"/>
    <xf numFmtId="0" fontId="5" fillId="2" borderId="0" xfId="0" applyFont="1" applyFill="1" applyBorder="1"/>
    <xf numFmtId="0" fontId="3" fillId="2" borderId="1" xfId="0" applyFont="1" applyFill="1" applyBorder="1"/>
    <xf numFmtId="0" fontId="3" fillId="2" borderId="1" xfId="0" applyFont="1" applyFill="1" applyBorder="1" applyAlignment="1"/>
    <xf numFmtId="0" fontId="3" fillId="2" borderId="0" xfId="0" applyFont="1" applyFill="1" applyAlignment="1">
      <alignment horizontal="right" wrapText="1"/>
    </xf>
    <xf numFmtId="3" fontId="3" fillId="2" borderId="0" xfId="1" applyNumberFormat="1" applyFont="1" applyFill="1" applyAlignment="1" applyProtection="1">
      <alignment horizontal="right"/>
      <protection locked="0"/>
    </xf>
    <xf numFmtId="0" fontId="3" fillId="2" borderId="1" xfId="0" applyFont="1" applyFill="1" applyBorder="1" applyAlignment="1">
      <alignment horizontal="right" wrapText="1"/>
    </xf>
    <xf numFmtId="3" fontId="3" fillId="2" borderId="0" xfId="1" applyNumberFormat="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3" fontId="3" fillId="2" borderId="1" xfId="0" applyNumberFormat="1" applyFont="1" applyFill="1" applyBorder="1" applyAlignment="1">
      <alignment horizontal="right"/>
    </xf>
    <xf numFmtId="0" fontId="12" fillId="2" borderId="0" xfId="0" applyFont="1" applyFill="1" applyAlignment="1" applyProtection="1">
      <alignment horizontal="right" wrapText="1"/>
      <protection locked="0"/>
    </xf>
    <xf numFmtId="3" fontId="12" fillId="2" borderId="0" xfId="0" applyNumberFormat="1" applyFont="1" applyFill="1" applyAlignment="1">
      <alignment horizontal="right"/>
    </xf>
    <xf numFmtId="3" fontId="13" fillId="2" borderId="0" xfId="0" applyNumberFormat="1" applyFont="1" applyFill="1" applyAlignment="1">
      <alignment horizontal="right"/>
    </xf>
    <xf numFmtId="0" fontId="12" fillId="2" borderId="0" xfId="0" applyFont="1" applyFill="1" applyAlignment="1">
      <alignment horizontal="right" wrapText="1"/>
    </xf>
    <xf numFmtId="0" fontId="13" fillId="2" borderId="0" xfId="0" applyFont="1" applyFill="1" applyAlignment="1">
      <alignment horizontal="right" wrapText="1"/>
    </xf>
    <xf numFmtId="3" fontId="13" fillId="2" borderId="0" xfId="0" applyNumberFormat="1" applyFont="1" applyFill="1"/>
    <xf numFmtId="0" fontId="12" fillId="2" borderId="0" xfId="0" applyFont="1" applyFill="1"/>
    <xf numFmtId="0" fontId="12" fillId="2" borderId="0" xfId="0" applyFont="1" applyFill="1" applyAlignment="1" applyProtection="1">
      <alignment horizontal="center" wrapText="1"/>
      <protection locked="0"/>
    </xf>
    <xf numFmtId="3" fontId="12" fillId="2" borderId="0" xfId="1" applyNumberFormat="1" applyFont="1" applyFill="1" applyAlignment="1" applyProtection="1">
      <alignment horizontal="center"/>
      <protection locked="0"/>
    </xf>
    <xf numFmtId="3" fontId="12" fillId="2" borderId="0" xfId="0" applyNumberFormat="1" applyFont="1" applyFill="1" applyAlignment="1">
      <alignment horizontal="center"/>
    </xf>
    <xf numFmtId="3" fontId="12" fillId="2" borderId="0" xfId="1" applyNumberFormat="1" applyFont="1" applyFill="1" applyAlignment="1">
      <alignment horizontal="center"/>
    </xf>
    <xf numFmtId="0" fontId="12" fillId="2" borderId="0" xfId="0" applyFont="1" applyFill="1" applyBorder="1" applyAlignment="1" applyProtection="1">
      <alignment horizontal="right" wrapText="1"/>
      <protection locked="0"/>
    </xf>
    <xf numFmtId="3" fontId="12" fillId="2" borderId="0" xfId="1" applyNumberFormat="1" applyFont="1" applyFill="1" applyBorder="1" applyAlignment="1" applyProtection="1">
      <alignment horizontal="right"/>
      <protection locked="0"/>
    </xf>
    <xf numFmtId="3" fontId="12" fillId="2" borderId="0" xfId="0" applyNumberFormat="1" applyFont="1" applyFill="1" applyBorder="1" applyAlignment="1">
      <alignment horizontal="right"/>
    </xf>
    <xf numFmtId="3" fontId="12" fillId="2" borderId="0" xfId="1" applyNumberFormat="1" applyFont="1" applyFill="1" applyBorder="1" applyAlignment="1">
      <alignment horizontal="right"/>
    </xf>
    <xf numFmtId="0" fontId="12" fillId="2" borderId="0" xfId="0" applyFont="1" applyFill="1" applyBorder="1"/>
    <xf numFmtId="3" fontId="3" fillId="2" borderId="0" xfId="1" applyNumberFormat="1" applyFont="1" applyFill="1" applyAlignment="1">
      <alignment horizontal="right" indent="1"/>
    </xf>
    <xf numFmtId="3" fontId="3" fillId="2" borderId="0" xfId="0" applyNumberFormat="1" applyFont="1" applyFill="1" applyAlignment="1">
      <alignment horizontal="right" indent="1"/>
    </xf>
    <xf numFmtId="0" fontId="3" fillId="2" borderId="0" xfId="0" applyFont="1" applyFill="1" applyAlignment="1" applyProtection="1">
      <alignment horizontal="right" wrapText="1" indent="2"/>
      <protection locked="0"/>
    </xf>
    <xf numFmtId="3" fontId="3" fillId="2" borderId="0" xfId="1" applyNumberFormat="1" applyFont="1" applyFill="1" applyAlignment="1">
      <alignment horizontal="right" indent="2"/>
    </xf>
    <xf numFmtId="3" fontId="3" fillId="2" borderId="0" xfId="0" applyNumberFormat="1" applyFont="1" applyFill="1" applyAlignment="1">
      <alignment horizontal="right" indent="2"/>
    </xf>
    <xf numFmtId="0" fontId="3" fillId="2" borderId="0" xfId="0" applyFont="1" applyFill="1" applyAlignment="1">
      <alignment horizontal="right" indent="2"/>
    </xf>
    <xf numFmtId="0" fontId="3" fillId="2" borderId="0" xfId="0" applyFont="1" applyFill="1" applyAlignment="1">
      <alignment horizontal="right" indent="1"/>
    </xf>
    <xf numFmtId="3" fontId="3" fillId="2" borderId="0" xfId="1" applyNumberFormat="1" applyFont="1" applyFill="1" applyAlignment="1" applyProtection="1">
      <alignment horizontal="right" indent="1"/>
      <protection locked="0"/>
    </xf>
    <xf numFmtId="3" fontId="5" fillId="2" borderId="0" xfId="1" applyNumberFormat="1" applyFont="1" applyFill="1" applyAlignment="1" applyProtection="1">
      <alignment horizontal="right" indent="1"/>
      <protection locked="0"/>
    </xf>
    <xf numFmtId="3" fontId="3" fillId="2" borderId="0" xfId="1" applyNumberFormat="1" applyFont="1" applyFill="1" applyAlignment="1" applyProtection="1">
      <alignment horizontal="right" indent="2"/>
      <protection locked="0"/>
    </xf>
    <xf numFmtId="3" fontId="3" fillId="2" borderId="0" xfId="1" applyNumberFormat="1" applyFont="1" applyFill="1" applyBorder="1" applyAlignment="1" applyProtection="1">
      <alignment horizontal="right" indent="2"/>
      <protection locked="0"/>
    </xf>
    <xf numFmtId="3" fontId="3" fillId="2" borderId="0" xfId="2" applyNumberFormat="1" applyFont="1" applyFill="1" applyAlignment="1">
      <alignment horizontal="right" indent="2"/>
    </xf>
    <xf numFmtId="3" fontId="3" fillId="2" borderId="0" xfId="2" applyNumberFormat="1" applyFont="1" applyFill="1" applyAlignment="1" applyProtection="1">
      <alignment horizontal="right" indent="2"/>
      <protection locked="0"/>
    </xf>
    <xf numFmtId="0" fontId="5" fillId="2" borderId="0" xfId="0" applyFont="1" applyFill="1" applyAlignment="1">
      <alignment horizontal="right" indent="2"/>
    </xf>
    <xf numFmtId="0" fontId="3" fillId="2" borderId="0" xfId="0" applyFont="1" applyFill="1" applyAlignment="1">
      <alignment horizontal="center" wrapText="1"/>
    </xf>
    <xf numFmtId="0" fontId="3" fillId="2" borderId="0" xfId="0" applyFont="1" applyFill="1" applyAlignment="1" applyProtection="1">
      <alignment horizontal="center" wrapText="1"/>
      <protection locked="0"/>
    </xf>
    <xf numFmtId="0" fontId="5" fillId="2" borderId="0" xfId="0" applyFont="1" applyFill="1" applyAlignment="1" applyProtection="1">
      <alignment horizontal="center" wrapText="1"/>
      <protection locked="0"/>
    </xf>
    <xf numFmtId="0" fontId="3" fillId="2" borderId="0" xfId="0" applyFont="1" applyFill="1" applyBorder="1" applyAlignment="1">
      <alignment horizontal="center"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3" fillId="2" borderId="1" xfId="0" applyFont="1" applyFill="1" applyBorder="1" applyAlignment="1">
      <alignment horizontal="center" wrapText="1"/>
    </xf>
    <xf numFmtId="167" fontId="3" fillId="2" borderId="0" xfId="1" applyNumberFormat="1" applyFont="1" applyFill="1" applyAlignment="1" applyProtection="1">
      <alignment horizontal="right"/>
      <protection locked="0"/>
    </xf>
    <xf numFmtId="0" fontId="3" fillId="2" borderId="0" xfId="0" applyFont="1" applyFill="1" applyAlignment="1" applyProtection="1">
      <alignment horizontal="center"/>
      <protection locked="0"/>
    </xf>
    <xf numFmtId="167" fontId="3" fillId="2" borderId="1" xfId="1" applyNumberFormat="1" applyFont="1" applyFill="1" applyBorder="1" applyAlignment="1" applyProtection="1">
      <alignment horizontal="right"/>
      <protection locked="0"/>
    </xf>
    <xf numFmtId="1" fontId="11" fillId="0" borderId="0" xfId="0" applyNumberFormat="1" applyFont="1" applyAlignment="1">
      <alignment horizontal="center"/>
    </xf>
    <xf numFmtId="1" fontId="11" fillId="0" borderId="0" xfId="0" applyNumberFormat="1" applyFont="1" applyFill="1" applyAlignment="1">
      <alignment horizontal="right" wrapText="1"/>
    </xf>
    <xf numFmtId="1" fontId="11" fillId="0" borderId="0" xfId="0" applyNumberFormat="1" applyFont="1" applyFill="1" applyAlignment="1">
      <alignment horizontal="right"/>
    </xf>
    <xf numFmtId="166" fontId="11" fillId="0" borderId="0" xfId="0" applyNumberFormat="1" applyFont="1"/>
    <xf numFmtId="3" fontId="13" fillId="2" borderId="0" xfId="0" applyNumberFormat="1" applyFont="1" applyFill="1" applyBorder="1" applyAlignment="1">
      <alignment horizontal="right"/>
    </xf>
    <xf numFmtId="0" fontId="3" fillId="2" borderId="0" xfId="0" applyFont="1" applyFill="1" applyAlignment="1">
      <alignment horizontal="right" wrapText="1" indent="2"/>
    </xf>
    <xf numFmtId="0" fontId="3" fillId="2" borderId="0" xfId="0" applyFont="1" applyFill="1" applyAlignment="1">
      <alignment horizontal="right" wrapText="1" indent="3"/>
    </xf>
    <xf numFmtId="3" fontId="3" fillId="2" borderId="0" xfId="1" applyNumberFormat="1" applyFont="1" applyFill="1" applyAlignment="1" applyProtection="1">
      <alignment horizontal="right" indent="3"/>
      <protection locked="0"/>
    </xf>
    <xf numFmtId="3" fontId="5" fillId="2" borderId="0" xfId="1" applyNumberFormat="1" applyFont="1" applyFill="1" applyAlignment="1" applyProtection="1">
      <alignment horizontal="right" indent="3"/>
      <protection locked="0"/>
    </xf>
    <xf numFmtId="0" fontId="6" fillId="2" borderId="2" xfId="0" applyFont="1" applyFill="1" applyBorder="1"/>
    <xf numFmtId="0" fontId="7" fillId="2" borderId="3" xfId="0" applyFont="1" applyFill="1" applyBorder="1" applyAlignment="1">
      <alignment horizontal="center" vertical="center"/>
    </xf>
    <xf numFmtId="0" fontId="6" fillId="2" borderId="4" xfId="0" applyFont="1" applyFill="1" applyBorder="1"/>
    <xf numFmtId="0" fontId="7" fillId="2" borderId="5" xfId="0" applyFont="1" applyFill="1" applyBorder="1" applyAlignment="1">
      <alignment horizontal="center" vertical="center"/>
    </xf>
    <xf numFmtId="3" fontId="3" fillId="3" borderId="0" xfId="1" applyNumberFormat="1" applyFont="1" applyFill="1" applyAlignment="1" applyProtection="1">
      <alignment horizontal="right" indent="1"/>
      <protection locked="0"/>
    </xf>
    <xf numFmtId="3" fontId="3" fillId="0" borderId="0" xfId="2" applyNumberFormat="1" applyFont="1" applyFill="1" applyAlignment="1">
      <alignment horizontal="right" indent="2"/>
    </xf>
    <xf numFmtId="3" fontId="12" fillId="0" borderId="0" xfId="0" applyNumberFormat="1" applyFont="1" applyFill="1" applyBorder="1" applyAlignment="1">
      <alignment horizontal="right"/>
    </xf>
    <xf numFmtId="3" fontId="12" fillId="0" borderId="0" xfId="0" applyNumberFormat="1" applyFont="1" applyFill="1" applyAlignment="1">
      <alignment horizontal="center"/>
    </xf>
    <xf numFmtId="3" fontId="12" fillId="0" borderId="0" xfId="0" applyNumberFormat="1" applyFont="1" applyFill="1" applyAlignment="1">
      <alignment horizontal="right"/>
    </xf>
    <xf numFmtId="3" fontId="3" fillId="3" borderId="0" xfId="1" applyNumberFormat="1" applyFont="1" applyFill="1" applyAlignment="1" applyProtection="1">
      <alignment horizontal="left" indent="1"/>
      <protection locked="0"/>
    </xf>
    <xf numFmtId="3" fontId="12" fillId="2" borderId="6" xfId="0" applyNumberFormat="1" applyFont="1" applyFill="1" applyBorder="1" applyAlignment="1">
      <alignment horizontal="right"/>
    </xf>
    <xf numFmtId="0" fontId="5" fillId="4" borderId="0" xfId="0" applyFont="1" applyFill="1" applyAlignment="1">
      <alignment horizontal="right" indent="2"/>
    </xf>
    <xf numFmtId="0" fontId="5" fillId="4" borderId="0" xfId="0" applyFont="1" applyFill="1" applyAlignment="1" applyProtection="1">
      <alignment horizontal="center" wrapText="1"/>
      <protection locked="0"/>
    </xf>
    <xf numFmtId="3" fontId="5" fillId="4" borderId="0" xfId="1" applyNumberFormat="1" applyFont="1" applyFill="1" applyAlignment="1">
      <alignment horizontal="right" indent="2"/>
    </xf>
    <xf numFmtId="0" fontId="9" fillId="4" borderId="0" xfId="0" applyFont="1" applyFill="1"/>
    <xf numFmtId="0" fontId="3" fillId="4" borderId="0" xfId="0" applyFont="1" applyFill="1"/>
    <xf numFmtId="0" fontId="5" fillId="4" borderId="0" xfId="0" applyFont="1" applyFill="1"/>
    <xf numFmtId="0" fontId="3" fillId="4" borderId="0" xfId="0" applyFont="1" applyFill="1" applyAlignment="1" applyProtection="1">
      <alignment horizontal="center" wrapText="1"/>
      <protection locked="0"/>
    </xf>
    <xf numFmtId="3" fontId="3" fillId="4" borderId="0" xfId="0" applyNumberFormat="1" applyFont="1" applyFill="1" applyAlignment="1">
      <alignment horizontal="right" indent="1"/>
    </xf>
    <xf numFmtId="3" fontId="3" fillId="4" borderId="0" xfId="1" applyNumberFormat="1" applyFont="1" applyFill="1" applyAlignment="1">
      <alignment horizontal="right" indent="1"/>
    </xf>
    <xf numFmtId="3" fontId="5" fillId="4" borderId="0" xfId="1" applyNumberFormat="1" applyFont="1" applyFill="1" applyAlignment="1">
      <alignment horizontal="right" indent="1"/>
    </xf>
    <xf numFmtId="167" fontId="3" fillId="4" borderId="0" xfId="1" applyNumberFormat="1" applyFont="1" applyFill="1" applyAlignment="1">
      <alignment horizontal="right" indent="1"/>
    </xf>
    <xf numFmtId="3" fontId="3" fillId="4" borderId="0" xfId="0" applyNumberFormat="1" applyFont="1" applyFill="1" applyAlignment="1">
      <alignment horizontal="right" indent="2"/>
    </xf>
    <xf numFmtId="0" fontId="3" fillId="4" borderId="0" xfId="0" applyFont="1" applyFill="1" applyAlignment="1">
      <alignment horizontal="center" wrapText="1"/>
    </xf>
    <xf numFmtId="3" fontId="3" fillId="4" borderId="0" xfId="2" applyNumberFormat="1" applyFont="1" applyFill="1" applyAlignment="1">
      <alignment horizontal="right" indent="2"/>
    </xf>
    <xf numFmtId="3" fontId="3" fillId="4" borderId="0" xfId="2" applyNumberFormat="1" applyFont="1" applyFill="1" applyAlignment="1" applyProtection="1">
      <alignment horizontal="right" indent="2"/>
      <protection locked="0"/>
    </xf>
    <xf numFmtId="0" fontId="3" fillId="4" borderId="0" xfId="0" applyFont="1" applyFill="1" applyAlignment="1">
      <alignment horizontal="right" indent="1"/>
    </xf>
    <xf numFmtId="3" fontId="5" fillId="4" borderId="0" xfId="1" applyNumberFormat="1" applyFont="1" applyFill="1" applyAlignment="1" applyProtection="1">
      <alignment horizontal="right" indent="1"/>
      <protection locked="0"/>
    </xf>
    <xf numFmtId="3" fontId="3" fillId="4" borderId="0" xfId="1" applyNumberFormat="1" applyFont="1" applyFill="1" applyAlignment="1" applyProtection="1">
      <alignment horizontal="right" indent="2"/>
      <protection locked="0"/>
    </xf>
    <xf numFmtId="0" fontId="12" fillId="4" borderId="0" xfId="0" applyFont="1" applyFill="1" applyBorder="1"/>
    <xf numFmtId="0" fontId="5" fillId="4" borderId="0" xfId="0" applyFont="1" applyFill="1" applyAlignment="1">
      <alignment horizontal="center" wrapText="1"/>
    </xf>
    <xf numFmtId="3" fontId="5" fillId="4" borderId="0" xfId="2" applyNumberFormat="1" applyFont="1" applyFill="1" applyAlignment="1">
      <alignment horizontal="right" indent="2"/>
    </xf>
    <xf numFmtId="3" fontId="5" fillId="4" borderId="0" xfId="1" applyNumberFormat="1" applyFont="1" applyFill="1" applyAlignment="1" applyProtection="1">
      <alignment horizontal="right"/>
      <protection locked="0"/>
    </xf>
    <xf numFmtId="0" fontId="13" fillId="4" borderId="0" xfId="0" applyFont="1" applyFill="1" applyAlignment="1" applyProtection="1">
      <alignment horizontal="center" wrapText="1"/>
      <protection locked="0"/>
    </xf>
    <xf numFmtId="0" fontId="13" fillId="4" borderId="0" xfId="0" applyFont="1" applyFill="1" applyAlignment="1" applyProtection="1">
      <alignment horizontal="right" wrapText="1"/>
      <protection locked="0"/>
    </xf>
    <xf numFmtId="3" fontId="13" fillId="4" borderId="0" xfId="0" applyNumberFormat="1" applyFont="1" applyFill="1" applyAlignment="1">
      <alignment horizontal="right"/>
    </xf>
    <xf numFmtId="0" fontId="13" fillId="4" borderId="0" xfId="0" applyFont="1" applyFill="1"/>
    <xf numFmtId="0" fontId="3" fillId="4" borderId="0" xfId="0" applyFont="1" applyFill="1" applyAlignment="1">
      <alignment horizontal="right" wrapText="1"/>
    </xf>
    <xf numFmtId="3" fontId="3" fillId="4" borderId="0" xfId="1" applyNumberFormat="1" applyFont="1" applyFill="1" applyAlignment="1" applyProtection="1">
      <alignment horizontal="right"/>
      <protection locked="0"/>
    </xf>
    <xf numFmtId="0" fontId="3" fillId="4" borderId="0" xfId="0" applyFont="1" applyFill="1" applyBorder="1"/>
    <xf numFmtId="3" fontId="5" fillId="4" borderId="0" xfId="1" applyNumberFormat="1" applyFont="1" applyFill="1" applyAlignment="1" applyProtection="1">
      <alignment horizontal="right" indent="3"/>
      <protection locked="0"/>
    </xf>
    <xf numFmtId="0" fontId="9" fillId="4" borderId="0" xfId="0" applyFont="1" applyFill="1" applyAlignment="1">
      <alignment horizontal="center" vertical="center"/>
    </xf>
    <xf numFmtId="0" fontId="3" fillId="4" borderId="0" xfId="0" applyFont="1" applyFill="1" applyAlignment="1">
      <alignment horizontal="right" wrapText="1" indent="3"/>
    </xf>
    <xf numFmtId="3" fontId="5" fillId="4" borderId="0" xfId="1" applyNumberFormat="1" applyFont="1" applyFill="1" applyBorder="1" applyAlignment="1" applyProtection="1">
      <alignment horizontal="right"/>
      <protection locked="0"/>
    </xf>
    <xf numFmtId="167" fontId="3" fillId="4" borderId="0" xfId="1" applyNumberFormat="1" applyFont="1" applyFill="1" applyAlignment="1" applyProtection="1">
      <alignment horizontal="right"/>
      <protection locked="0"/>
    </xf>
    <xf numFmtId="1" fontId="11" fillId="3" borderId="0" xfId="0" applyNumberFormat="1" applyFont="1" applyFill="1"/>
    <xf numFmtId="1" fontId="10" fillId="3" borderId="0" xfId="0" applyNumberFormat="1" applyFont="1" applyFill="1"/>
    <xf numFmtId="1" fontId="11" fillId="3" borderId="0" xfId="0" applyNumberFormat="1" applyFont="1" applyFill="1" applyAlignment="1">
      <alignment wrapText="1"/>
    </xf>
    <xf numFmtId="166" fontId="11" fillId="3" borderId="0" xfId="0" applyNumberFormat="1" applyFont="1" applyFill="1"/>
    <xf numFmtId="1" fontId="11" fillId="3" borderId="0" xfId="0" applyNumberFormat="1" applyFont="1" applyFill="1" applyAlignment="1"/>
    <xf numFmtId="1" fontId="17" fillId="0" borderId="0" xfId="0" applyNumberFormat="1" applyFont="1" applyFill="1"/>
    <xf numFmtId="1" fontId="17" fillId="0" borderId="0" xfId="0" applyNumberFormat="1" applyFont="1" applyFill="1" applyAlignment="1">
      <alignment wrapText="1"/>
    </xf>
    <xf numFmtId="0" fontId="3" fillId="2" borderId="0" xfId="0" applyFont="1" applyFill="1" applyAlignment="1"/>
    <xf numFmtId="0" fontId="14" fillId="2" borderId="0" xfId="0" applyFont="1" applyFill="1" applyAlignment="1"/>
    <xf numFmtId="0" fontId="14" fillId="2" borderId="7" xfId="0" applyFont="1" applyFill="1" applyBorder="1" applyAlignment="1"/>
    <xf numFmtId="0" fontId="18" fillId="3" borderId="0" xfId="0" applyFont="1" applyFill="1" applyAlignment="1"/>
    <xf numFmtId="0" fontId="19" fillId="3" borderId="0" xfId="0" applyFont="1" applyFill="1" applyAlignment="1"/>
    <xf numFmtId="164" fontId="22" fillId="0" borderId="0" xfId="2" applyFont="1" applyAlignment="1">
      <alignment horizontal="right"/>
    </xf>
    <xf numFmtId="165" fontId="23" fillId="0" borderId="0" xfId="5" applyFont="1" applyBorder="1" applyAlignment="1">
      <alignment vertical="center"/>
    </xf>
    <xf numFmtId="165" fontId="23" fillId="0" borderId="0" xfId="5" applyFont="1" applyBorder="1" applyAlignment="1">
      <alignment horizontal="left" vertical="center"/>
    </xf>
    <xf numFmtId="165" fontId="24" fillId="0" borderId="0" xfId="5" applyFont="1" applyAlignment="1"/>
    <xf numFmtId="165" fontId="26" fillId="0" borderId="0" xfId="5" applyFont="1" applyBorder="1" applyAlignment="1">
      <alignment vertical="center"/>
    </xf>
    <xf numFmtId="165" fontId="27" fillId="0" borderId="0" xfId="5" applyFont="1" applyAlignment="1">
      <alignment horizontal="left"/>
    </xf>
    <xf numFmtId="0" fontId="24" fillId="0" borderId="12" xfId="0" applyFont="1" applyBorder="1" applyAlignment="1"/>
    <xf numFmtId="164" fontId="29" fillId="0" borderId="0" xfId="2" applyFont="1" applyAlignment="1">
      <alignment horizontal="right"/>
    </xf>
    <xf numFmtId="164" fontId="29" fillId="0" borderId="0" xfId="2" applyFont="1" applyBorder="1" applyAlignment="1">
      <alignment horizontal="right" wrapText="1"/>
    </xf>
    <xf numFmtId="164" fontId="29" fillId="0" borderId="0" xfId="2" applyFont="1" applyBorder="1" applyAlignment="1">
      <alignment horizontal="center" wrapText="1"/>
    </xf>
    <xf numFmtId="165" fontId="24" fillId="0" borderId="0" xfId="5" applyFont="1" applyAlignment="1">
      <alignment horizontal="center" wrapText="1"/>
    </xf>
    <xf numFmtId="165" fontId="24" fillId="0" borderId="0" xfId="5" applyFont="1" applyAlignment="1">
      <alignment vertical="center"/>
    </xf>
    <xf numFmtId="1" fontId="31" fillId="0" borderId="0" xfId="2" applyNumberFormat="1" applyFont="1" applyAlignment="1">
      <alignment horizontal="right" vertical="center"/>
    </xf>
    <xf numFmtId="3" fontId="32" fillId="0" borderId="0" xfId="5" applyNumberFormat="1" applyFont="1" applyAlignment="1" applyProtection="1">
      <alignment horizontal="right" vertical="center"/>
      <protection locked="0"/>
    </xf>
    <xf numFmtId="3" fontId="33" fillId="0" borderId="0" xfId="5" applyNumberFormat="1" applyFont="1" applyAlignment="1" applyProtection="1">
      <alignment horizontal="left"/>
      <protection locked="0"/>
    </xf>
    <xf numFmtId="165" fontId="32" fillId="0" borderId="0" xfId="5" applyFont="1" applyAlignment="1">
      <alignment vertical="center"/>
    </xf>
    <xf numFmtId="165" fontId="32" fillId="0" borderId="0" xfId="5" applyFont="1" applyAlignment="1">
      <alignment horizontal="center" vertical="center"/>
    </xf>
    <xf numFmtId="1" fontId="34" fillId="0" borderId="0" xfId="2" applyNumberFormat="1" applyFont="1" applyAlignment="1">
      <alignment horizontal="right" vertical="center"/>
    </xf>
    <xf numFmtId="3" fontId="35" fillId="0" borderId="0" xfId="5" applyNumberFormat="1" applyFont="1" applyAlignment="1" applyProtection="1">
      <alignment horizontal="right" vertical="center"/>
      <protection locked="0"/>
    </xf>
    <xf numFmtId="3" fontId="36" fillId="0" borderId="0" xfId="5" applyNumberFormat="1" applyFont="1" applyAlignment="1" applyProtection="1">
      <alignment horizontal="left" vertical="center"/>
      <protection locked="0"/>
    </xf>
    <xf numFmtId="1" fontId="37" fillId="0" borderId="0" xfId="2" applyNumberFormat="1" applyFont="1" applyAlignment="1">
      <alignment horizontal="right" vertical="center"/>
    </xf>
    <xf numFmtId="1" fontId="24" fillId="0" borderId="0" xfId="2" applyNumberFormat="1" applyFont="1" applyAlignment="1">
      <alignment horizontal="right" vertical="center"/>
    </xf>
    <xf numFmtId="3" fontId="36" fillId="0" borderId="0" xfId="5" applyNumberFormat="1" applyFont="1" applyAlignment="1" applyProtection="1">
      <alignment horizontal="right" vertical="center"/>
      <protection locked="0"/>
    </xf>
    <xf numFmtId="3" fontId="38" fillId="0" borderId="0" xfId="5" applyNumberFormat="1" applyFont="1" applyAlignment="1" applyProtection="1">
      <alignment horizontal="left"/>
      <protection locked="0"/>
    </xf>
    <xf numFmtId="167" fontId="36" fillId="0" borderId="0" xfId="5" applyNumberFormat="1" applyFont="1" applyAlignment="1" applyProtection="1">
      <alignment horizontal="right" vertical="center"/>
      <protection locked="0"/>
    </xf>
    <xf numFmtId="169" fontId="24" fillId="0" borderId="0" xfId="2" applyNumberFormat="1" applyFont="1" applyAlignment="1">
      <alignment horizontal="right" vertical="center"/>
    </xf>
    <xf numFmtId="1" fontId="39" fillId="0" borderId="12" xfId="5" applyNumberFormat="1" applyFont="1" applyBorder="1" applyAlignment="1" applyProtection="1">
      <alignment horizontal="right" vertical="center"/>
      <protection locked="0"/>
    </xf>
    <xf numFmtId="165" fontId="29" fillId="0" borderId="12" xfId="5" applyFont="1" applyBorder="1" applyAlignment="1">
      <alignment horizontal="right" vertical="center"/>
    </xf>
    <xf numFmtId="1" fontId="37" fillId="0" borderId="15" xfId="2" applyNumberFormat="1" applyFont="1" applyBorder="1" applyAlignment="1">
      <alignment vertical="center"/>
    </xf>
    <xf numFmtId="1" fontId="37" fillId="0" borderId="0" xfId="2" applyNumberFormat="1" applyFont="1" applyBorder="1" applyAlignment="1">
      <alignment vertical="center"/>
    </xf>
    <xf numFmtId="1" fontId="37" fillId="0" borderId="0" xfId="2" applyNumberFormat="1" applyFont="1" applyBorder="1" applyAlignment="1">
      <alignment horizontal="left" vertical="center"/>
    </xf>
    <xf numFmtId="1" fontId="39" fillId="0" borderId="0" xfId="5" applyNumberFormat="1" applyFont="1" applyBorder="1" applyAlignment="1" applyProtection="1">
      <alignment horizontal="right" vertical="center"/>
      <protection locked="0"/>
    </xf>
    <xf numFmtId="165" fontId="29" fillId="0" borderId="0" xfId="5" applyFont="1" applyBorder="1" applyAlignment="1">
      <alignment horizontal="right" vertical="center"/>
    </xf>
    <xf numFmtId="166" fontId="40" fillId="0" borderId="0" xfId="6" applyNumberFormat="1" applyFont="1" applyFill="1" applyBorder="1" applyAlignment="1" applyProtection="1">
      <alignment horizontal="right" vertical="center"/>
      <protection locked="0"/>
    </xf>
    <xf numFmtId="0" fontId="39" fillId="0" borderId="0" xfId="2" applyNumberFormat="1" applyFont="1" applyBorder="1" applyAlignment="1">
      <alignment horizontal="right" vertical="center"/>
    </xf>
    <xf numFmtId="164" fontId="29" fillId="0" borderId="0" xfId="2" applyFont="1" applyBorder="1" applyAlignment="1">
      <alignment horizontal="right" vertical="center"/>
    </xf>
    <xf numFmtId="164" fontId="36" fillId="0" borderId="0" xfId="2" applyFont="1" applyBorder="1" applyAlignment="1">
      <alignment horizontal="right" vertical="center"/>
    </xf>
    <xf numFmtId="166" fontId="40" fillId="0" borderId="12" xfId="6" applyNumberFormat="1" applyFont="1" applyFill="1" applyBorder="1" applyAlignment="1" applyProtection="1">
      <alignment horizontal="right" vertical="center"/>
      <protection locked="0"/>
    </xf>
    <xf numFmtId="164" fontId="24" fillId="0" borderId="0" xfId="2" applyFont="1" applyFill="1" applyBorder="1" applyAlignment="1">
      <alignment vertical="center"/>
    </xf>
    <xf numFmtId="164" fontId="24" fillId="0" borderId="0" xfId="2" applyFont="1"/>
    <xf numFmtId="165" fontId="24" fillId="0" borderId="0" xfId="5" applyFont="1" applyAlignment="1">
      <alignment horizontal="left"/>
    </xf>
    <xf numFmtId="164" fontId="22" fillId="0" borderId="0" xfId="2" applyFont="1" applyAlignment="1"/>
    <xf numFmtId="164" fontId="22" fillId="0" borderId="0" xfId="2" applyFont="1" applyAlignment="1">
      <alignment horizontal="center"/>
    </xf>
    <xf numFmtId="164" fontId="22" fillId="0" borderId="0" xfId="2" applyFont="1" applyAlignment="1">
      <alignment horizontal="left"/>
    </xf>
    <xf numFmtId="0" fontId="42" fillId="0" borderId="0" xfId="0" applyFont="1"/>
    <xf numFmtId="0" fontId="44" fillId="0" borderId="0" xfId="9" applyFont="1" applyAlignment="1" applyProtection="1"/>
    <xf numFmtId="0" fontId="45" fillId="0" borderId="0" xfId="0" applyFont="1"/>
    <xf numFmtId="0" fontId="2" fillId="0" borderId="0" xfId="0" applyFont="1"/>
    <xf numFmtId="0" fontId="0" fillId="5" borderId="0" xfId="0" applyFill="1"/>
    <xf numFmtId="0" fontId="46" fillId="5" borderId="0" xfId="0" applyFont="1" applyFill="1"/>
    <xf numFmtId="0" fontId="21" fillId="0" borderId="0" xfId="0" applyFont="1"/>
    <xf numFmtId="0" fontId="45" fillId="0" borderId="0" xfId="0" applyFont="1" applyAlignment="1">
      <alignment vertical="center"/>
    </xf>
    <xf numFmtId="0" fontId="43" fillId="0" borderId="0" xfId="9" applyAlignment="1" applyProtection="1">
      <alignment vertical="center"/>
    </xf>
    <xf numFmtId="0" fontId="43" fillId="0" borderId="0" xfId="9" applyAlignment="1" applyProtection="1"/>
    <xf numFmtId="0" fontId="43" fillId="0" borderId="0" xfId="9" applyAlignment="1" applyProtection="1">
      <alignment horizontal="left"/>
    </xf>
    <xf numFmtId="165" fontId="23" fillId="0" borderId="0" xfId="5" quotePrefix="1" applyFont="1" applyBorder="1" applyAlignment="1">
      <alignment horizontal="right" vertical="center"/>
    </xf>
    <xf numFmtId="165" fontId="27" fillId="0" borderId="0" xfId="5" applyFont="1" applyBorder="1" applyAlignment="1">
      <alignment vertical="center"/>
    </xf>
    <xf numFmtId="164" fontId="29" fillId="0" borderId="13" xfId="2" applyFont="1" applyBorder="1" applyAlignment="1" applyProtection="1">
      <alignment vertical="center"/>
      <protection locked="0"/>
    </xf>
    <xf numFmtId="165" fontId="43" fillId="0" borderId="0" xfId="9" quotePrefix="1" applyNumberFormat="1" applyBorder="1" applyAlignment="1" applyProtection="1">
      <alignment horizontal="left"/>
    </xf>
    <xf numFmtId="165" fontId="25" fillId="0" borderId="0" xfId="5" quotePrefix="1" applyFont="1" applyBorder="1" applyAlignment="1">
      <alignment horizontal="left" vertical="center"/>
    </xf>
    <xf numFmtId="165" fontId="25" fillId="0" borderId="0" xfId="5" quotePrefix="1" applyFont="1" applyBorder="1" applyAlignment="1">
      <alignment horizontal="left" vertical="center" indent="1"/>
    </xf>
    <xf numFmtId="165" fontId="25" fillId="0" borderId="0" xfId="5" quotePrefix="1" applyFont="1" applyFill="1" applyBorder="1" applyAlignment="1">
      <alignment horizontal="left" vertical="center" indent="1"/>
    </xf>
    <xf numFmtId="165" fontId="25" fillId="0" borderId="0" xfId="5" quotePrefix="1" applyFont="1" applyFill="1" applyBorder="1" applyAlignment="1">
      <alignment horizontal="left" vertical="center"/>
    </xf>
    <xf numFmtId="165" fontId="26" fillId="0" borderId="0" xfId="5" applyFont="1" applyFill="1" applyBorder="1" applyAlignment="1">
      <alignment vertical="center"/>
    </xf>
    <xf numFmtId="165" fontId="43" fillId="0" borderId="0" xfId="9" quotePrefix="1" applyNumberFormat="1" applyFill="1" applyBorder="1" applyAlignment="1" applyProtection="1">
      <alignment horizontal="left"/>
    </xf>
    <xf numFmtId="165" fontId="23" fillId="0" borderId="0" xfId="5" quotePrefix="1" applyFont="1" applyFill="1" applyBorder="1" applyAlignment="1">
      <alignment horizontal="right" vertical="center"/>
    </xf>
    <xf numFmtId="165" fontId="27" fillId="0" borderId="0" xfId="5" applyFont="1" applyFill="1" applyBorder="1" applyAlignment="1">
      <alignment vertical="center"/>
    </xf>
    <xf numFmtId="167" fontId="32" fillId="0" borderId="0" xfId="5" applyNumberFormat="1" applyFont="1" applyAlignment="1" applyProtection="1">
      <alignment horizontal="right" vertical="center"/>
      <protection locked="0"/>
    </xf>
    <xf numFmtId="167" fontId="35" fillId="0" borderId="0" xfId="5" applyNumberFormat="1" applyFont="1" applyAlignment="1" applyProtection="1">
      <alignment horizontal="right" vertical="center"/>
      <protection locked="0"/>
    </xf>
    <xf numFmtId="167" fontId="37" fillId="0" borderId="15" xfId="2" applyNumberFormat="1" applyFont="1" applyBorder="1" applyAlignment="1">
      <alignment vertical="center"/>
    </xf>
    <xf numFmtId="167" fontId="37" fillId="0" borderId="0" xfId="2" applyNumberFormat="1" applyFont="1" applyBorder="1" applyAlignment="1">
      <alignment vertical="center"/>
    </xf>
    <xf numFmtId="167" fontId="40" fillId="0" borderId="0" xfId="6" applyNumberFormat="1" applyFont="1" applyFill="1" applyBorder="1" applyAlignment="1" applyProtection="1">
      <alignment horizontal="right" vertical="center"/>
      <protection locked="0"/>
    </xf>
    <xf numFmtId="167" fontId="36" fillId="0" borderId="0" xfId="2" applyNumberFormat="1" applyFont="1" applyBorder="1" applyAlignment="1">
      <alignment horizontal="right" vertical="center"/>
    </xf>
    <xf numFmtId="167" fontId="40" fillId="0" borderId="12" xfId="6" applyNumberFormat="1" applyFont="1" applyFill="1" applyBorder="1" applyAlignment="1" applyProtection="1">
      <alignment horizontal="right" vertical="center"/>
      <protection locked="0"/>
    </xf>
    <xf numFmtId="4" fontId="36" fillId="0" borderId="0" xfId="5" applyNumberFormat="1" applyFont="1" applyAlignment="1" applyProtection="1">
      <alignment horizontal="right" vertical="center"/>
      <protection locked="0"/>
    </xf>
    <xf numFmtId="4" fontId="37" fillId="0" borderId="15" xfId="2" applyNumberFormat="1" applyFont="1" applyBorder="1" applyAlignment="1">
      <alignment vertical="center"/>
    </xf>
    <xf numFmtId="4" fontId="37" fillId="0" borderId="0" xfId="2" applyNumberFormat="1" applyFont="1" applyBorder="1" applyAlignment="1">
      <alignment vertical="center"/>
    </xf>
    <xf numFmtId="4" fontId="40" fillId="0" borderId="0" xfId="6" applyNumberFormat="1" applyFont="1" applyFill="1" applyBorder="1" applyAlignment="1" applyProtection="1">
      <alignment horizontal="right" vertical="center"/>
      <protection locked="0"/>
    </xf>
    <xf numFmtId="4" fontId="36" fillId="0" borderId="0" xfId="2" applyNumberFormat="1" applyFont="1" applyBorder="1" applyAlignment="1">
      <alignment horizontal="right" vertical="center"/>
    </xf>
    <xf numFmtId="4" fontId="40" fillId="0" borderId="12" xfId="6" applyNumberFormat="1" applyFont="1" applyFill="1" applyBorder="1" applyAlignment="1" applyProtection="1">
      <alignment horizontal="right" vertical="center"/>
      <protection locked="0"/>
    </xf>
    <xf numFmtId="1" fontId="32" fillId="0" borderId="0" xfId="2" applyNumberFormat="1" applyFont="1" applyAlignment="1">
      <alignment horizontal="right" vertical="center"/>
    </xf>
    <xf numFmtId="1" fontId="32" fillId="0" borderId="0" xfId="2" applyNumberFormat="1" applyFont="1" applyAlignment="1">
      <alignment horizontal="left" vertical="center"/>
    </xf>
    <xf numFmtId="165" fontId="23" fillId="0" borderId="0" xfId="5" quotePrefix="1" applyFont="1" applyFill="1" applyBorder="1" applyAlignment="1">
      <alignment horizontal="left" vertical="center"/>
    </xf>
    <xf numFmtId="0" fontId="24" fillId="0" borderId="12" xfId="0" applyFont="1" applyBorder="1" applyAlignment="1">
      <alignment horizontal="left"/>
    </xf>
    <xf numFmtId="164" fontId="29" fillId="0" borderId="0" xfId="2" applyFont="1" applyAlignment="1">
      <alignment horizontal="left"/>
    </xf>
    <xf numFmtId="165" fontId="32" fillId="0" borderId="0" xfId="5" applyFont="1" applyAlignment="1">
      <alignment horizontal="left" vertical="center"/>
    </xf>
    <xf numFmtId="1" fontId="34" fillId="0" borderId="0" xfId="2" applyNumberFormat="1" applyFont="1" applyAlignment="1">
      <alignment horizontal="left" vertical="center"/>
    </xf>
    <xf numFmtId="1" fontId="24" fillId="0" borderId="0" xfId="2" applyNumberFormat="1" applyFont="1" applyAlignment="1">
      <alignment horizontal="left" vertical="center"/>
    </xf>
    <xf numFmtId="169" fontId="24" fillId="0" borderId="0" xfId="2" applyNumberFormat="1" applyFont="1" applyAlignment="1">
      <alignment horizontal="left" vertical="center"/>
    </xf>
    <xf numFmtId="1" fontId="37" fillId="0" borderId="15" xfId="2" applyNumberFormat="1" applyFont="1" applyBorder="1" applyAlignment="1">
      <alignment horizontal="left" vertical="center"/>
    </xf>
    <xf numFmtId="165" fontId="29" fillId="0" borderId="0" xfId="5" applyFont="1" applyBorder="1" applyAlignment="1">
      <alignment horizontal="left" vertical="center"/>
    </xf>
    <xf numFmtId="164" fontId="29" fillId="0" borderId="0" xfId="2" applyFont="1" applyBorder="1" applyAlignment="1">
      <alignment horizontal="left" vertical="center"/>
    </xf>
    <xf numFmtId="165" fontId="29" fillId="0" borderId="12" xfId="5" applyFont="1" applyBorder="1" applyAlignment="1">
      <alignment horizontal="left" vertical="center"/>
    </xf>
    <xf numFmtId="165" fontId="23" fillId="0" borderId="0" xfId="5" quotePrefix="1" applyFont="1" applyBorder="1" applyAlignment="1">
      <alignment horizontal="left" vertical="center"/>
    </xf>
    <xf numFmtId="164" fontId="29" fillId="0" borderId="0" xfId="2" applyFont="1" applyBorder="1" applyAlignment="1">
      <alignment horizontal="left" wrapText="1"/>
    </xf>
    <xf numFmtId="164" fontId="29" fillId="0" borderId="13" xfId="2" applyFont="1" applyBorder="1" applyAlignment="1">
      <alignment horizontal="right" wrapText="1"/>
    </xf>
    <xf numFmtId="164" fontId="29" fillId="0" borderId="13" xfId="2" applyFont="1" applyBorder="1" applyAlignment="1">
      <alignment horizontal="center" wrapText="1"/>
    </xf>
    <xf numFmtId="164" fontId="29" fillId="0" borderId="12" xfId="2" applyFont="1" applyBorder="1" applyAlignment="1">
      <alignment horizontal="right" wrapText="1"/>
    </xf>
    <xf numFmtId="164" fontId="29" fillId="0" borderId="12" xfId="2" applyFont="1" applyBorder="1" applyAlignment="1">
      <alignment horizontal="center" wrapText="1"/>
    </xf>
    <xf numFmtId="164" fontId="29" fillId="0" borderId="13" xfId="2" applyFont="1" applyBorder="1" applyAlignment="1">
      <alignment horizontal="right"/>
    </xf>
    <xf numFmtId="164" fontId="29" fillId="0" borderId="13" xfId="2" applyFont="1" applyBorder="1" applyAlignment="1">
      <alignment horizontal="left"/>
    </xf>
    <xf numFmtId="164" fontId="29" fillId="0" borderId="15" xfId="2" applyFont="1" applyBorder="1" applyAlignment="1">
      <alignment horizontal="right"/>
    </xf>
    <xf numFmtId="164" fontId="29" fillId="0" borderId="15" xfId="2" applyFont="1" applyBorder="1" applyAlignment="1">
      <alignment horizontal="left"/>
    </xf>
    <xf numFmtId="164" fontId="29" fillId="0" borderId="12" xfId="2" applyFont="1" applyBorder="1" applyAlignment="1">
      <alignment horizontal="left" wrapText="1"/>
    </xf>
    <xf numFmtId="164" fontId="29" fillId="0" borderId="0" xfId="2" applyFont="1" applyBorder="1" applyAlignment="1" applyProtection="1">
      <alignment horizontal="center" vertical="center" wrapText="1"/>
      <protection locked="0"/>
    </xf>
    <xf numFmtId="164" fontId="29" fillId="0" borderId="0" xfId="2" applyFont="1" applyBorder="1" applyAlignment="1" applyProtection="1">
      <alignment vertical="center"/>
      <protection locked="0"/>
    </xf>
    <xf numFmtId="164" fontId="29" fillId="0" borderId="16" xfId="2" applyFont="1" applyBorder="1" applyAlignment="1" applyProtection="1">
      <alignment horizontal="center" vertical="center" wrapText="1"/>
      <protection locked="0"/>
    </xf>
    <xf numFmtId="164" fontId="30" fillId="0" borderId="12" xfId="2" applyFont="1" applyBorder="1" applyAlignment="1" applyProtection="1">
      <alignment horizontal="center" vertical="center" wrapText="1"/>
      <protection locked="0"/>
    </xf>
    <xf numFmtId="166" fontId="32" fillId="0" borderId="0" xfId="5" applyNumberFormat="1" applyFont="1" applyAlignment="1" applyProtection="1">
      <alignment horizontal="right" vertical="center"/>
      <protection locked="0"/>
    </xf>
    <xf numFmtId="166" fontId="35" fillId="0" borderId="0" xfId="5" applyNumberFormat="1" applyFont="1" applyAlignment="1" applyProtection="1">
      <alignment horizontal="right" vertical="center"/>
      <protection locked="0"/>
    </xf>
    <xf numFmtId="166" fontId="36" fillId="0" borderId="0" xfId="5" applyNumberFormat="1" applyFont="1" applyAlignment="1" applyProtection="1">
      <alignment horizontal="right" vertical="center"/>
      <protection locked="0"/>
    </xf>
    <xf numFmtId="166" fontId="37" fillId="0" borderId="15" xfId="2" applyNumberFormat="1" applyFont="1" applyBorder="1" applyAlignment="1">
      <alignment vertical="center"/>
    </xf>
    <xf numFmtId="166" fontId="37" fillId="0" borderId="0" xfId="2" applyNumberFormat="1" applyFont="1" applyBorder="1" applyAlignment="1">
      <alignment vertical="center"/>
    </xf>
    <xf numFmtId="166" fontId="36" fillId="0" borderId="0" xfId="2" applyNumberFormat="1" applyFont="1" applyBorder="1" applyAlignment="1">
      <alignment horizontal="right" vertical="center"/>
    </xf>
    <xf numFmtId="3" fontId="24" fillId="0" borderId="0" xfId="5" applyNumberFormat="1" applyFont="1" applyAlignment="1" applyProtection="1">
      <alignment horizontal="right" vertical="center"/>
      <protection locked="0"/>
    </xf>
    <xf numFmtId="165" fontId="25" fillId="0" borderId="0" xfId="5" quotePrefix="1" applyFont="1" applyFill="1" applyBorder="1" applyAlignment="1">
      <alignment vertical="center"/>
    </xf>
    <xf numFmtId="165" fontId="23" fillId="0" borderId="0" xfId="5" quotePrefix="1" applyFont="1" applyFill="1" applyBorder="1" applyAlignment="1">
      <alignment vertical="center"/>
    </xf>
    <xf numFmtId="164" fontId="24" fillId="0" borderId="15" xfId="2" applyFont="1" applyBorder="1" applyAlignment="1"/>
    <xf numFmtId="164" fontId="24" fillId="0" borderId="12" xfId="2" applyFont="1" applyBorder="1" applyAlignment="1">
      <alignment wrapText="1"/>
    </xf>
    <xf numFmtId="1" fontId="24" fillId="0" borderId="0" xfId="2" applyNumberFormat="1" applyFont="1" applyAlignment="1">
      <alignment vertical="center"/>
    </xf>
    <xf numFmtId="1" fontId="37" fillId="0" borderId="0" xfId="2" applyNumberFormat="1" applyFont="1" applyAlignment="1">
      <alignment vertical="center"/>
    </xf>
    <xf numFmtId="3" fontId="24" fillId="0" borderId="0" xfId="5" applyNumberFormat="1" applyFont="1" applyAlignment="1" applyProtection="1">
      <alignment vertical="center"/>
      <protection locked="0"/>
    </xf>
    <xf numFmtId="169" fontId="24" fillId="0" borderId="0" xfId="2" applyNumberFormat="1" applyFont="1" applyAlignment="1">
      <alignment vertical="center"/>
    </xf>
    <xf numFmtId="165" fontId="24" fillId="0" borderId="0" xfId="5" applyFont="1" applyBorder="1" applyAlignment="1">
      <alignment vertical="center"/>
    </xf>
    <xf numFmtId="164" fontId="24" fillId="0" borderId="0" xfId="2" applyFont="1" applyBorder="1" applyAlignment="1">
      <alignment vertical="center"/>
    </xf>
    <xf numFmtId="165" fontId="24" fillId="0" borderId="12" xfId="5" applyFont="1" applyBorder="1" applyAlignment="1">
      <alignment vertical="center"/>
    </xf>
    <xf numFmtId="164" fontId="24" fillId="0" borderId="0" xfId="2" applyFont="1" applyAlignment="1"/>
    <xf numFmtId="0" fontId="2" fillId="0" borderId="0" xfId="0" applyFont="1" applyAlignment="1">
      <alignment horizontal="right"/>
    </xf>
    <xf numFmtId="164" fontId="29" fillId="0" borderId="0" xfId="2" applyFont="1" applyBorder="1" applyAlignment="1">
      <alignment vertical="center" wrapText="1"/>
    </xf>
    <xf numFmtId="0" fontId="45" fillId="0" borderId="0" xfId="0" applyFont="1" applyAlignment="1"/>
    <xf numFmtId="0" fontId="2" fillId="0" borderId="0" xfId="0" applyFont="1" applyAlignment="1"/>
    <xf numFmtId="0" fontId="2" fillId="0" borderId="21" xfId="0" applyFont="1" applyBorder="1" applyAlignment="1"/>
    <xf numFmtId="0" fontId="2" fillId="0" borderId="11" xfId="0" applyFont="1" applyBorder="1" applyAlignment="1"/>
    <xf numFmtId="0" fontId="2" fillId="0" borderId="22" xfId="0" applyFont="1" applyBorder="1" applyAlignment="1"/>
    <xf numFmtId="0" fontId="45" fillId="0" borderId="23" xfId="0" applyFont="1" applyBorder="1" applyAlignment="1"/>
    <xf numFmtId="0" fontId="45" fillId="0" borderId="0" xfId="0" applyFont="1" applyBorder="1" applyAlignment="1"/>
    <xf numFmtId="0" fontId="2" fillId="0" borderId="0" xfId="0" applyFont="1" applyBorder="1" applyAlignment="1"/>
    <xf numFmtId="0" fontId="2" fillId="0" borderId="24" xfId="0" applyFont="1" applyBorder="1" applyAlignment="1"/>
    <xf numFmtId="0" fontId="45" fillId="0" borderId="23" xfId="0" applyFont="1" applyBorder="1" applyAlignment="1">
      <alignment horizontal="center"/>
    </xf>
    <xf numFmtId="0" fontId="45" fillId="0" borderId="0" xfId="0" applyFont="1" applyBorder="1" applyAlignment="1">
      <alignment horizontal="center"/>
    </xf>
    <xf numFmtId="0" fontId="2" fillId="0" borderId="25" xfId="0" applyFont="1" applyBorder="1" applyAlignment="1"/>
    <xf numFmtId="0" fontId="2" fillId="0" borderId="9" xfId="0" applyFont="1" applyBorder="1" applyAlignment="1"/>
    <xf numFmtId="0" fontId="2" fillId="0" borderId="26" xfId="0" applyFont="1" applyBorder="1" applyAlignment="1"/>
    <xf numFmtId="0" fontId="6" fillId="0" borderId="0" xfId="0" applyFont="1" applyAlignment="1"/>
    <xf numFmtId="0" fontId="8" fillId="0" borderId="0" xfId="0" applyFont="1" applyAlignment="1"/>
    <xf numFmtId="0" fontId="43" fillId="0" borderId="0" xfId="9" applyAlignment="1" applyProtection="1">
      <alignment horizontal="right"/>
    </xf>
    <xf numFmtId="0" fontId="56" fillId="0" borderId="0" xfId="0" applyFont="1" applyAlignment="1"/>
    <xf numFmtId="0" fontId="2" fillId="0" borderId="0" xfId="0" applyFont="1" applyAlignment="1">
      <alignment horizontal="left"/>
    </xf>
    <xf numFmtId="164" fontId="29" fillId="0" borderId="0" xfId="2" applyFont="1" applyBorder="1" applyAlignment="1">
      <alignment vertical="center" wrapText="1"/>
    </xf>
    <xf numFmtId="164" fontId="36" fillId="0" borderId="0" xfId="2" applyFont="1" applyBorder="1" applyAlignment="1">
      <alignment horizontal="left" vertical="center"/>
    </xf>
    <xf numFmtId="166" fontId="40" fillId="0" borderId="12" xfId="6" applyNumberFormat="1" applyFont="1" applyFill="1" applyBorder="1" applyAlignment="1" applyProtection="1">
      <alignment horizontal="left" vertical="center"/>
      <protection locked="0"/>
    </xf>
    <xf numFmtId="165" fontId="27" fillId="0" borderId="0" xfId="5" applyFont="1" applyBorder="1" applyAlignment="1">
      <alignment horizontal="left" vertical="center"/>
    </xf>
    <xf numFmtId="166" fontId="40" fillId="0" borderId="0" xfId="6" applyNumberFormat="1" applyFont="1" applyFill="1" applyBorder="1" applyAlignment="1" applyProtection="1">
      <alignment horizontal="left" vertical="center"/>
      <protection locked="0"/>
    </xf>
    <xf numFmtId="3" fontId="33" fillId="0" borderId="0" xfId="5" applyNumberFormat="1" applyFont="1" applyAlignment="1" applyProtection="1">
      <protection locked="0"/>
    </xf>
    <xf numFmtId="3" fontId="38" fillId="0" borderId="0" xfId="5" applyNumberFormat="1" applyFont="1" applyAlignment="1" applyProtection="1">
      <protection locked="0"/>
    </xf>
    <xf numFmtId="164" fontId="36" fillId="0" borderId="0" xfId="2" applyFont="1" applyBorder="1" applyAlignment="1">
      <alignment vertical="center"/>
    </xf>
    <xf numFmtId="166" fontId="40" fillId="0" borderId="12" xfId="6" applyNumberFormat="1" applyFont="1" applyFill="1" applyBorder="1" applyAlignment="1" applyProtection="1">
      <alignment vertical="center"/>
      <protection locked="0"/>
    </xf>
    <xf numFmtId="165" fontId="27" fillId="0" borderId="0" xfId="5" applyFont="1" applyFill="1" applyBorder="1" applyAlignment="1">
      <alignment horizontal="left" vertical="center"/>
    </xf>
    <xf numFmtId="164" fontId="29" fillId="0" borderId="16" xfId="2" applyFont="1" applyBorder="1" applyAlignment="1" applyProtection="1">
      <alignment horizontal="left" vertical="center" wrapText="1"/>
      <protection locked="0"/>
    </xf>
    <xf numFmtId="164" fontId="29" fillId="0" borderId="0" xfId="2" applyFont="1" applyBorder="1" applyAlignment="1" applyProtection="1">
      <alignment horizontal="left" vertical="center"/>
      <protection locked="0"/>
    </xf>
    <xf numFmtId="164" fontId="30" fillId="0" borderId="12" xfId="2" applyFont="1" applyBorder="1" applyAlignment="1" applyProtection="1">
      <alignment horizontal="left" vertical="center" wrapText="1"/>
      <protection locked="0"/>
    </xf>
    <xf numFmtId="3" fontId="32" fillId="0" borderId="0" xfId="5" applyNumberFormat="1" applyFont="1" applyAlignment="1" applyProtection="1">
      <alignment horizontal="left" vertical="center"/>
      <protection locked="0"/>
    </xf>
    <xf numFmtId="3" fontId="35" fillId="0" borderId="0" xfId="5" applyNumberFormat="1" applyFont="1" applyAlignment="1" applyProtection="1">
      <alignment horizontal="left" vertical="center"/>
      <protection locked="0"/>
    </xf>
    <xf numFmtId="0" fontId="47" fillId="5" borderId="0" xfId="0" applyFont="1" applyFill="1"/>
    <xf numFmtId="0" fontId="2" fillId="5" borderId="0" xfId="0" applyFont="1" applyFill="1"/>
    <xf numFmtId="0" fontId="45" fillId="5" borderId="0" xfId="0" applyFont="1" applyFill="1"/>
    <xf numFmtId="0" fontId="2" fillId="5" borderId="0" xfId="0" applyFont="1" applyFill="1" applyAlignment="1">
      <alignment horizontal="right"/>
    </xf>
    <xf numFmtId="0" fontId="8" fillId="5" borderId="17" xfId="0" applyFont="1" applyFill="1" applyBorder="1"/>
    <xf numFmtId="0" fontId="8" fillId="5" borderId="0" xfId="0" applyFont="1" applyFill="1"/>
    <xf numFmtId="0" fontId="48" fillId="5" borderId="18" xfId="0" applyFont="1" applyFill="1" applyBorder="1" applyAlignment="1"/>
    <xf numFmtId="0" fontId="55" fillId="5" borderId="19" xfId="0" applyFont="1" applyFill="1" applyBorder="1" applyAlignment="1"/>
    <xf numFmtId="0" fontId="55" fillId="5" borderId="20" xfId="0" applyFont="1" applyFill="1" applyBorder="1" applyAlignment="1"/>
    <xf numFmtId="0" fontId="55" fillId="5" borderId="0" xfId="0" applyFont="1" applyFill="1" applyAlignment="1"/>
    <xf numFmtId="0" fontId="2" fillId="5" borderId="17" xfId="0" applyFont="1" applyFill="1" applyBorder="1"/>
    <xf numFmtId="0" fontId="43" fillId="5" borderId="17" xfId="9" applyFill="1" applyBorder="1" applyAlignment="1" applyProtection="1"/>
    <xf numFmtId="0" fontId="0" fillId="5" borderId="17" xfId="0" applyFont="1" applyFill="1" applyBorder="1" applyAlignment="1"/>
    <xf numFmtId="0" fontId="2" fillId="5" borderId="17" xfId="0" applyFont="1" applyFill="1" applyBorder="1" applyAlignment="1"/>
    <xf numFmtId="0" fontId="2" fillId="5" borderId="0" xfId="0" applyFont="1" applyFill="1" applyBorder="1"/>
    <xf numFmtId="164" fontId="29" fillId="0" borderId="0" xfId="2" applyFont="1" applyBorder="1" applyAlignment="1">
      <alignment vertical="center" wrapText="1"/>
    </xf>
    <xf numFmtId="0" fontId="45" fillId="0" borderId="11" xfId="0" applyFont="1" applyBorder="1" applyAlignment="1"/>
    <xf numFmtId="0" fontId="2" fillId="0" borderId="23" xfId="0" applyFont="1" applyBorder="1" applyAlignment="1"/>
    <xf numFmtId="168" fontId="24" fillId="0" borderId="0" xfId="4" applyNumberFormat="1" applyFont="1" applyAlignment="1">
      <alignment vertical="center"/>
    </xf>
    <xf numFmtId="1" fontId="24" fillId="0" borderId="0" xfId="4" applyNumberFormat="1" applyFont="1" applyAlignment="1">
      <alignment vertical="center"/>
    </xf>
    <xf numFmtId="9" fontId="32" fillId="0" borderId="0" xfId="4" applyFont="1" applyAlignment="1">
      <alignment vertical="center"/>
    </xf>
    <xf numFmtId="0" fontId="45" fillId="0" borderId="0" xfId="0" applyFont="1" applyFill="1"/>
    <xf numFmtId="170" fontId="2" fillId="0" borderId="0" xfId="0" applyNumberFormat="1" applyFont="1" applyFill="1" applyAlignment="1">
      <alignment horizontal="left"/>
    </xf>
    <xf numFmtId="175" fontId="38" fillId="0" borderId="0" xfId="5" applyNumberFormat="1" applyFont="1" applyAlignment="1" applyProtection="1">
      <alignment horizontal="left"/>
      <protection locked="0"/>
    </xf>
    <xf numFmtId="167" fontId="38" fillId="0" borderId="0" xfId="5" applyNumberFormat="1" applyFont="1" applyAlignment="1" applyProtection="1">
      <alignment horizontal="left"/>
      <protection locked="0"/>
    </xf>
    <xf numFmtId="168" fontId="24" fillId="0" borderId="0" xfId="4" applyNumberFormat="1" applyFont="1" applyAlignment="1" applyProtection="1">
      <alignment horizontal="right" vertical="center"/>
      <protection locked="0"/>
    </xf>
    <xf numFmtId="3" fontId="28" fillId="0" borderId="0" xfId="5" applyNumberFormat="1" applyFont="1" applyAlignment="1" applyProtection="1">
      <alignment horizontal="left"/>
      <protection locked="0"/>
    </xf>
    <xf numFmtId="9" fontId="36" fillId="0" borderId="0" xfId="4" applyFont="1" applyAlignment="1" applyProtection="1">
      <alignment horizontal="right" vertical="center"/>
      <protection locked="0"/>
    </xf>
    <xf numFmtId="1" fontId="24" fillId="0" borderId="0" xfId="5" applyNumberFormat="1" applyFont="1" applyAlignment="1">
      <alignment vertical="center"/>
    </xf>
    <xf numFmtId="9" fontId="37" fillId="0" borderId="0" xfId="4" applyFont="1" applyBorder="1" applyAlignment="1">
      <alignment vertical="center"/>
    </xf>
    <xf numFmtId="0" fontId="8" fillId="4" borderId="8"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0" xfId="0" applyFont="1" applyFill="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1" fontId="11" fillId="3" borderId="0" xfId="0" applyNumberFormat="1" applyFont="1" applyFill="1" applyAlignment="1">
      <alignment horizontal="center"/>
    </xf>
    <xf numFmtId="1" fontId="11" fillId="0" borderId="0" xfId="0" applyNumberFormat="1" applyFont="1" applyAlignment="1">
      <alignment horizontal="center"/>
    </xf>
    <xf numFmtId="1" fontId="11" fillId="0" borderId="0" xfId="0" applyNumberFormat="1" applyFont="1" applyFill="1" applyAlignment="1">
      <alignment horizontal="center"/>
    </xf>
    <xf numFmtId="1" fontId="17" fillId="0" borderId="0" xfId="0" applyNumberFormat="1" applyFont="1" applyFill="1" applyAlignment="1">
      <alignment horizontal="center"/>
    </xf>
    <xf numFmtId="164" fontId="24" fillId="0" borderId="0" xfId="2" applyFont="1" applyBorder="1" applyAlignment="1">
      <alignment horizontal="left" vertical="center" wrapText="1"/>
    </xf>
    <xf numFmtId="164" fontId="24" fillId="0" borderId="0" xfId="2" applyFont="1" applyAlignment="1">
      <alignment horizontal="left" wrapText="1"/>
    </xf>
    <xf numFmtId="164" fontId="29" fillId="0" borderId="0" xfId="2" applyFont="1" applyBorder="1" applyAlignment="1">
      <alignment horizontal="left" vertical="center" wrapText="1"/>
    </xf>
    <xf numFmtId="165" fontId="28" fillId="0" borderId="12" xfId="5" applyFont="1" applyBorder="1" applyAlignment="1">
      <alignment horizontal="right" vertical="center" wrapText="1"/>
    </xf>
    <xf numFmtId="164" fontId="39" fillId="0" borderId="13" xfId="2" applyFont="1" applyBorder="1" applyAlignment="1" applyProtection="1">
      <alignment horizontal="center" wrapText="1"/>
      <protection locked="0"/>
    </xf>
    <xf numFmtId="164" fontId="29" fillId="0" borderId="0" xfId="2" applyFont="1" applyBorder="1" applyAlignment="1">
      <alignment horizontal="left" vertical="top" wrapText="1"/>
    </xf>
    <xf numFmtId="164" fontId="29" fillId="0" borderId="13" xfId="2" applyFont="1" applyBorder="1" applyAlignment="1" applyProtection="1">
      <alignment horizontal="center" wrapText="1"/>
      <protection locked="0"/>
    </xf>
    <xf numFmtId="164" fontId="41" fillId="0" borderId="15" xfId="2" applyFont="1" applyBorder="1" applyAlignment="1">
      <alignment horizontal="left" vertical="center" wrapText="1"/>
    </xf>
    <xf numFmtId="164" fontId="41" fillId="0" borderId="0" xfId="2" applyFont="1" applyBorder="1" applyAlignment="1">
      <alignment horizontal="left" vertical="center" wrapText="1"/>
    </xf>
    <xf numFmtId="164" fontId="3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protection locked="0"/>
    </xf>
    <xf numFmtId="164" fontId="39" fillId="0" borderId="15" xfId="2" applyFont="1" applyBorder="1" applyAlignment="1" applyProtection="1">
      <alignment horizontal="center" wrapText="1"/>
      <protection locked="0"/>
    </xf>
    <xf numFmtId="164" fontId="39" fillId="0" borderId="12" xfId="2" applyFont="1" applyBorder="1" applyAlignment="1" applyProtection="1">
      <alignment horizontal="center" wrapText="1"/>
      <protection locked="0"/>
    </xf>
    <xf numFmtId="164" fontId="29" fillId="0" borderId="16" xfId="2" applyFont="1" applyBorder="1" applyAlignment="1" applyProtection="1">
      <alignment horizontal="center" wrapText="1"/>
      <protection locked="0"/>
    </xf>
    <xf numFmtId="164" fontId="39" fillId="0" borderId="0" xfId="2" applyFont="1" applyBorder="1" applyAlignment="1" applyProtection="1">
      <alignment horizontal="center" wrapText="1"/>
      <protection locked="0"/>
    </xf>
    <xf numFmtId="164" fontId="29" fillId="0" borderId="14" xfId="2" applyFont="1" applyBorder="1" applyAlignment="1" applyProtection="1">
      <alignment horizontal="center" vertical="center"/>
      <protection locked="0"/>
    </xf>
    <xf numFmtId="164" fontId="29" fillId="0" borderId="14" xfId="2" applyFont="1" applyBorder="1" applyAlignment="1" applyProtection="1">
      <alignment horizontal="center" vertical="center" wrapText="1"/>
      <protection locked="0"/>
    </xf>
    <xf numFmtId="165" fontId="26" fillId="0" borderId="0" xfId="5" applyFont="1" applyFill="1" applyBorder="1" applyAlignment="1">
      <alignment vertical="center" wrapText="1"/>
    </xf>
    <xf numFmtId="164" fontId="29" fillId="0" borderId="15" xfId="2" applyFont="1" applyBorder="1" applyAlignment="1" applyProtection="1">
      <alignment horizontal="center" wrapText="1"/>
      <protection locked="0"/>
    </xf>
    <xf numFmtId="164" fontId="29" fillId="0" borderId="12" xfId="2" applyFont="1" applyBorder="1" applyAlignment="1" applyProtection="1">
      <alignment horizontal="center" wrapText="1"/>
      <protection locked="0"/>
    </xf>
    <xf numFmtId="164" fontId="29" fillId="0" borderId="15" xfId="2" applyFont="1" applyBorder="1" applyAlignment="1" applyProtection="1">
      <alignment horizontal="center" vertical="center" wrapText="1"/>
      <protection locked="0"/>
    </xf>
    <xf numFmtId="164" fontId="29" fillId="0" borderId="12" xfId="2" applyFont="1" applyBorder="1" applyAlignment="1" applyProtection="1">
      <alignment horizontal="center" vertical="center" wrapText="1"/>
      <protection locked="0"/>
    </xf>
    <xf numFmtId="164" fontId="29" fillId="0" borderId="15" xfId="2" applyFont="1" applyBorder="1" applyAlignment="1" applyProtection="1">
      <alignment horizontal="center" vertical="center"/>
      <protection locked="0"/>
    </xf>
    <xf numFmtId="164" fontId="29" fillId="0" borderId="12" xfId="2" applyFont="1" applyBorder="1" applyAlignment="1" applyProtection="1">
      <alignment horizontal="center" vertical="center"/>
      <protection locked="0"/>
    </xf>
    <xf numFmtId="164" fontId="29" fillId="0" borderId="15" xfId="2" applyFont="1" applyBorder="1" applyAlignment="1">
      <alignment horizontal="left" vertical="center" wrapText="1"/>
    </xf>
    <xf numFmtId="164" fontId="29" fillId="0" borderId="0" xfId="2" applyFont="1" applyBorder="1" applyAlignment="1">
      <alignment vertical="center" wrapText="1"/>
    </xf>
    <xf numFmtId="0" fontId="21" fillId="0" borderId="0" xfId="0" applyFont="1" applyFill="1"/>
    <xf numFmtId="0" fontId="45" fillId="0" borderId="0" xfId="0" applyFont="1" applyFill="1" applyAlignment="1">
      <alignment vertical="center"/>
    </xf>
    <xf numFmtId="0" fontId="2" fillId="0" borderId="0" xfId="0" applyFont="1" applyFill="1" applyAlignment="1">
      <alignment vertical="center"/>
    </xf>
    <xf numFmtId="0" fontId="2" fillId="0" borderId="0" xfId="0" applyFont="1" applyFill="1"/>
    <xf numFmtId="0" fontId="43" fillId="0" borderId="0" xfId="9" applyFill="1" applyAlignment="1" applyProtection="1">
      <alignment vertical="center"/>
    </xf>
    <xf numFmtId="0" fontId="0" fillId="0" borderId="0" xfId="0" applyFill="1"/>
  </cellXfs>
  <cellStyles count="10">
    <cellStyle name="Comma" xfId="1" builtinId="3"/>
    <cellStyle name="Comma 2" xfId="7"/>
    <cellStyle name="Hyperlink" xfId="9" builtinId="8"/>
    <cellStyle name="Normal" xfId="0" builtinId="0"/>
    <cellStyle name="Normal 2" xfId="3"/>
    <cellStyle name="Normal 3" xfId="8"/>
    <cellStyle name="Normal_TABLE1" xfId="5"/>
    <cellStyle name="Normal_TABLE2" xfId="2"/>
    <cellStyle name="Percent" xfId="4" builtinId="5"/>
    <cellStyle name="Percent 2" xfId="6"/>
  </cellStyles>
  <dxfs count="8">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si.gov.uk"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printerSettings" Target="../printerSettings/printerSettings5.bin"/><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publications/insolvency-statistics-policy-and-procedure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drawing" Target="../drawings/drawing3.xml"/><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378"/>
  <sheetViews>
    <sheetView zoomScaleNormal="100" workbookViewId="0">
      <pane xSplit="3" ySplit="5" topLeftCell="D177" activePane="bottomRight" state="frozenSplit"/>
      <selection activeCell="I60" sqref="I60"/>
      <selection pane="topRight" activeCell="I60" sqref="I60"/>
      <selection pane="bottomLeft" activeCell="I60" sqref="I60"/>
      <selection pane="bottomRight" activeCell="I60" sqref="I60"/>
    </sheetView>
  </sheetViews>
  <sheetFormatPr defaultRowHeight="11.25" x14ac:dyDescent="0.2"/>
  <cols>
    <col min="1" max="1" width="9.140625" style="10"/>
    <col min="2" max="2" width="11.42578125" style="10" bestFit="1" customWidth="1"/>
    <col min="3" max="3" width="11.28515625" style="11" customWidth="1"/>
    <col min="4" max="4" width="10.42578125" style="46" customWidth="1"/>
    <col min="5" max="5" width="9.28515625" style="46" bestFit="1" customWidth="1"/>
    <col min="6" max="6" width="10.85546875" style="85" bestFit="1" customWidth="1"/>
    <col min="7" max="8" width="11.42578125" style="54" customWidth="1"/>
    <col min="9" max="11" width="11.42578125" style="85" customWidth="1"/>
    <col min="12" max="16" width="10.7109375" style="54" customWidth="1"/>
    <col min="17" max="17" width="10.7109375" style="85" customWidth="1"/>
    <col min="18" max="19" width="10.7109375" style="54" customWidth="1"/>
    <col min="20" max="20" width="10.7109375" style="85" customWidth="1"/>
    <col min="21" max="21" width="10.7109375" style="54" customWidth="1"/>
    <col min="22" max="22" width="9.28515625" style="85" bestFit="1" customWidth="1"/>
    <col min="23" max="23" width="10.7109375" style="54" customWidth="1"/>
    <col min="24" max="24" width="10.7109375" style="85" customWidth="1"/>
    <col min="25" max="25" width="9.140625" style="85" bestFit="1"/>
    <col min="26" max="26" width="10" style="85" bestFit="1" customWidth="1"/>
    <col min="27" max="27" width="9.140625" style="54" bestFit="1"/>
    <col min="28" max="28" width="10.7109375" style="54" customWidth="1"/>
    <col min="29" max="29" width="11.85546875" style="85" customWidth="1"/>
    <col min="30" max="30" width="7" style="47" bestFit="1" customWidth="1"/>
    <col min="31" max="31" width="8.85546875" style="47" bestFit="1" customWidth="1"/>
    <col min="32" max="32" width="9" style="47" bestFit="1" customWidth="1"/>
    <col min="33" max="33" width="11.85546875" style="40" customWidth="1"/>
    <col min="34" max="34" width="11.85546875" style="31" customWidth="1"/>
    <col min="35" max="35" width="11.85546875" style="110" customWidth="1"/>
    <col min="36" max="37" width="11.85546875" style="10" customWidth="1"/>
    <col min="38" max="38" width="11.85546875" style="12" customWidth="1"/>
    <col min="39" max="39" width="6.140625" style="17" customWidth="1"/>
    <col min="40" max="41" width="11.7109375" style="10" customWidth="1"/>
    <col min="42" max="42" width="11.7109375" style="90" customWidth="1"/>
    <col min="43" max="44" width="9.7109375" style="12" customWidth="1"/>
    <col min="45" max="45" width="9.140625" style="90" bestFit="1"/>
    <col min="46" max="46" width="8" style="90" bestFit="1" customWidth="1"/>
    <col min="47" max="47" width="10.28515625" style="10" customWidth="1"/>
    <col min="48" max="48" width="10.5703125" style="10" customWidth="1"/>
    <col min="49" max="49" width="12.140625" style="10" customWidth="1"/>
    <col min="50" max="53" width="11.85546875" style="15" customWidth="1"/>
    <col min="54" max="54" width="11.85546875" style="113" customWidth="1"/>
    <col min="55" max="55" width="6.140625" style="17" customWidth="1"/>
    <col min="56" max="56" width="9.140625" style="10"/>
    <col min="57" max="57" width="7.7109375" style="10" customWidth="1"/>
    <col min="58" max="58" width="11.7109375" style="90" customWidth="1"/>
    <col min="59" max="63" width="11.7109375" style="12" customWidth="1"/>
    <col min="64" max="64" width="11.7109375" style="90" customWidth="1"/>
    <col min="65" max="16384" width="9.140625" style="10"/>
  </cols>
  <sheetData>
    <row r="1" spans="1:64" ht="24.75" customHeight="1" x14ac:dyDescent="0.25">
      <c r="B1" s="74" t="s">
        <v>22</v>
      </c>
      <c r="C1" s="75">
        <v>2013</v>
      </c>
      <c r="D1" s="330"/>
      <c r="E1" s="331"/>
      <c r="I1" s="88"/>
      <c r="J1" s="88"/>
      <c r="K1" s="96"/>
      <c r="L1" s="14"/>
      <c r="M1" s="45"/>
      <c r="N1" s="14"/>
      <c r="O1" s="14"/>
      <c r="P1" s="45"/>
      <c r="Q1" s="88"/>
      <c r="R1" s="14"/>
      <c r="S1" s="45"/>
      <c r="T1" s="88"/>
      <c r="U1" s="14"/>
      <c r="V1" s="105"/>
      <c r="W1" s="47"/>
      <c r="X1" s="100"/>
      <c r="Y1" s="101"/>
      <c r="Z1" s="103"/>
      <c r="AA1" s="31"/>
      <c r="AB1" s="30"/>
      <c r="AC1" s="89"/>
      <c r="AD1" s="10"/>
      <c r="AE1" s="16"/>
      <c r="AF1" s="15"/>
      <c r="AG1" s="15"/>
      <c r="AH1" s="10"/>
      <c r="AI1" s="106"/>
      <c r="AJ1" s="12"/>
      <c r="AK1" s="12"/>
      <c r="AL1" s="62"/>
      <c r="AM1" s="64"/>
      <c r="AN1" s="12"/>
      <c r="AP1" s="89"/>
      <c r="AQ1" s="15"/>
      <c r="AR1" s="15"/>
      <c r="AS1" s="113"/>
      <c r="AT1" s="117"/>
      <c r="AU1" s="15"/>
      <c r="AV1" s="15"/>
      <c r="AX1" s="23"/>
      <c r="BD1" s="12"/>
      <c r="BF1" s="89"/>
      <c r="BG1" s="10"/>
      <c r="BH1" s="10"/>
      <c r="BI1" s="10"/>
      <c r="BJ1" s="10"/>
      <c r="BK1" s="10"/>
      <c r="BL1" s="115">
        <f>($C$1-$B$126)*4+$C$2-1</f>
        <v>61</v>
      </c>
    </row>
    <row r="2" spans="1:64" ht="24.75" customHeight="1" thickBot="1" x14ac:dyDescent="0.3">
      <c r="B2" s="76" t="s">
        <v>23</v>
      </c>
      <c r="C2" s="77">
        <v>2</v>
      </c>
      <c r="D2" s="331"/>
      <c r="E2" s="331"/>
      <c r="G2" s="10"/>
      <c r="H2" s="10"/>
      <c r="I2" s="89"/>
      <c r="J2" s="89"/>
      <c r="K2" s="89"/>
      <c r="L2" s="10" t="str">
        <f ca="1">CELL("filename")</f>
        <v/>
      </c>
      <c r="M2" s="10"/>
      <c r="N2" s="10"/>
      <c r="O2" s="10"/>
      <c r="P2" s="10"/>
      <c r="Q2" s="89"/>
      <c r="R2" s="10"/>
      <c r="S2" s="10"/>
      <c r="T2" s="89"/>
      <c r="U2" s="10"/>
      <c r="V2" s="89"/>
      <c r="W2" s="10"/>
      <c r="X2" s="89"/>
      <c r="Y2" s="89"/>
      <c r="Z2" s="89"/>
      <c r="AA2" s="10"/>
      <c r="AB2" s="10"/>
      <c r="AC2" s="89"/>
      <c r="AD2" s="10"/>
      <c r="AE2" s="10"/>
      <c r="AF2" s="10"/>
      <c r="AG2" s="16"/>
      <c r="AH2" s="10"/>
      <c r="AI2" s="89"/>
      <c r="AJ2" s="12"/>
      <c r="AL2" s="10"/>
      <c r="AN2" s="12"/>
      <c r="AP2" s="89"/>
      <c r="AQ2" s="10"/>
      <c r="AR2" s="10"/>
      <c r="AS2" s="89"/>
      <c r="AT2" s="89"/>
      <c r="BD2" s="12"/>
      <c r="BF2" s="89"/>
      <c r="BG2" s="10"/>
      <c r="BH2" s="10"/>
      <c r="BI2" s="10"/>
      <c r="BJ2" s="10"/>
      <c r="BK2" s="10"/>
      <c r="BL2" s="89"/>
    </row>
    <row r="3" spans="1:64" ht="15.75" x14ac:dyDescent="0.25">
      <c r="C3" s="10" t="str">
        <f>C1&amp;"Q"&amp;C2</f>
        <v>2013Q2</v>
      </c>
      <c r="D3" s="329" t="s">
        <v>20</v>
      </c>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6"/>
      <c r="AN3" s="324" t="s">
        <v>19</v>
      </c>
      <c r="AO3" s="325"/>
      <c r="AP3" s="325"/>
      <c r="AQ3" s="325"/>
      <c r="AR3" s="325"/>
      <c r="AS3" s="325"/>
      <c r="AT3" s="325"/>
      <c r="AU3" s="325"/>
      <c r="AV3" s="325"/>
      <c r="AW3" s="325"/>
      <c r="AX3" s="325"/>
      <c r="AY3" s="325"/>
      <c r="AZ3" s="325"/>
      <c r="BA3" s="325"/>
      <c r="BB3" s="326"/>
      <c r="BD3" s="327" t="s">
        <v>21</v>
      </c>
      <c r="BE3" s="328"/>
      <c r="BF3" s="328"/>
      <c r="BG3" s="328"/>
      <c r="BH3" s="328"/>
      <c r="BI3" s="328"/>
      <c r="BJ3" s="328"/>
      <c r="BK3" s="328"/>
      <c r="BL3" s="328"/>
    </row>
    <row r="4" spans="1:64" ht="12.75" customHeight="1" x14ac:dyDescent="0.2">
      <c r="C4" s="10"/>
      <c r="D4" s="126" t="s">
        <v>109</v>
      </c>
      <c r="E4" s="126" t="s">
        <v>110</v>
      </c>
      <c r="F4" s="126"/>
      <c r="G4" s="12" t="s">
        <v>110</v>
      </c>
      <c r="H4" s="12" t="s">
        <v>110</v>
      </c>
      <c r="I4" s="90"/>
      <c r="J4" s="90"/>
      <c r="K4" s="90"/>
      <c r="L4" s="12" t="s">
        <v>110</v>
      </c>
      <c r="M4" s="12" t="s">
        <v>110</v>
      </c>
      <c r="N4" s="12" t="s">
        <v>110</v>
      </c>
      <c r="O4" s="12" t="s">
        <v>110</v>
      </c>
      <c r="P4" s="12" t="s">
        <v>110</v>
      </c>
      <c r="Q4" s="90"/>
      <c r="R4" s="12" t="s">
        <v>115</v>
      </c>
      <c r="S4" s="12" t="s">
        <v>109</v>
      </c>
      <c r="T4" s="90"/>
      <c r="U4" s="12" t="s">
        <v>109</v>
      </c>
      <c r="V4" s="90"/>
      <c r="W4" s="12" t="s">
        <v>109</v>
      </c>
      <c r="X4" s="90"/>
      <c r="Y4" s="90"/>
      <c r="Z4" s="90"/>
      <c r="AA4" s="12" t="s">
        <v>111</v>
      </c>
      <c r="AB4" s="12"/>
      <c r="AC4" s="90"/>
      <c r="AD4" s="129" t="s">
        <v>112</v>
      </c>
      <c r="AE4" s="130"/>
      <c r="AF4" s="126"/>
      <c r="AG4" s="127" t="s">
        <v>12</v>
      </c>
      <c r="AH4" s="127"/>
      <c r="AI4" s="127"/>
      <c r="AJ4" s="127"/>
      <c r="AK4" s="127"/>
      <c r="AL4" s="128"/>
      <c r="AN4" s="10" t="s">
        <v>110</v>
      </c>
      <c r="AO4" s="10" t="s">
        <v>110</v>
      </c>
      <c r="AP4" s="89"/>
      <c r="AQ4" s="10" t="s">
        <v>110</v>
      </c>
      <c r="AR4" s="10" t="s">
        <v>110</v>
      </c>
      <c r="AS4" s="89"/>
      <c r="AT4" s="89"/>
      <c r="AU4" s="10" t="s">
        <v>110</v>
      </c>
      <c r="AV4" s="10" t="s">
        <v>110</v>
      </c>
      <c r="AW4" s="10" t="s">
        <v>110</v>
      </c>
      <c r="AX4" s="15" t="s">
        <v>110</v>
      </c>
      <c r="AY4" s="15" t="s">
        <v>113</v>
      </c>
      <c r="AZ4" s="15" t="s">
        <v>113</v>
      </c>
      <c r="BA4" s="15" t="s">
        <v>113</v>
      </c>
      <c r="BC4" s="18"/>
      <c r="BD4" s="10" t="s">
        <v>114</v>
      </c>
      <c r="BE4" s="10" t="s">
        <v>110</v>
      </c>
      <c r="BF4" s="89"/>
      <c r="BG4" s="10" t="s">
        <v>110</v>
      </c>
      <c r="BH4" s="10" t="s">
        <v>110</v>
      </c>
      <c r="BI4" s="10" t="s">
        <v>114</v>
      </c>
      <c r="BJ4" s="10" t="s">
        <v>114</v>
      </c>
      <c r="BK4" s="10" t="s">
        <v>114</v>
      </c>
      <c r="BL4" s="89"/>
    </row>
    <row r="5" spans="1:64" s="55" customFormat="1" ht="33.75" x14ac:dyDescent="0.2">
      <c r="A5" s="55" t="s">
        <v>94</v>
      </c>
      <c r="B5" s="55" t="s">
        <v>22</v>
      </c>
      <c r="C5" s="55" t="s">
        <v>65</v>
      </c>
      <c r="D5" s="56" t="s">
        <v>7</v>
      </c>
      <c r="E5" s="56" t="s">
        <v>8</v>
      </c>
      <c r="F5" s="86" t="s">
        <v>6</v>
      </c>
      <c r="G5" s="56" t="s">
        <v>36</v>
      </c>
      <c r="H5" s="56" t="s">
        <v>37</v>
      </c>
      <c r="I5" s="91" t="s">
        <v>38</v>
      </c>
      <c r="J5" s="91" t="s">
        <v>59</v>
      </c>
      <c r="K5" s="91" t="s">
        <v>60</v>
      </c>
      <c r="L5" s="55" t="s">
        <v>40</v>
      </c>
      <c r="M5" s="55" t="s">
        <v>41</v>
      </c>
      <c r="N5" s="55" t="s">
        <v>39</v>
      </c>
      <c r="O5" s="55" t="s">
        <v>70</v>
      </c>
      <c r="P5" s="58" t="s">
        <v>34</v>
      </c>
      <c r="Q5" s="97" t="s">
        <v>10</v>
      </c>
      <c r="R5" s="55" t="s">
        <v>87</v>
      </c>
      <c r="S5" s="56" t="s">
        <v>43</v>
      </c>
      <c r="T5" s="91" t="s">
        <v>52</v>
      </c>
      <c r="U5" s="56" t="s">
        <v>13</v>
      </c>
      <c r="V5" s="91" t="s">
        <v>28</v>
      </c>
      <c r="W5" s="56" t="s">
        <v>45</v>
      </c>
      <c r="X5" s="91" t="s">
        <v>53</v>
      </c>
      <c r="Y5" s="91" t="s">
        <v>46</v>
      </c>
      <c r="Z5" s="91" t="s">
        <v>54</v>
      </c>
      <c r="AA5" s="55" t="s">
        <v>32</v>
      </c>
      <c r="AB5" s="56" t="s">
        <v>42</v>
      </c>
      <c r="AC5" s="104" t="s">
        <v>14</v>
      </c>
      <c r="AD5" s="55" t="s">
        <v>17</v>
      </c>
      <c r="AE5" s="55" t="s">
        <v>18</v>
      </c>
      <c r="AF5" s="57" t="s">
        <v>44</v>
      </c>
      <c r="AG5" s="36" t="s">
        <v>7</v>
      </c>
      <c r="AH5" s="32" t="s">
        <v>33</v>
      </c>
      <c r="AI5" s="107" t="s">
        <v>6</v>
      </c>
      <c r="AJ5" s="59" t="s">
        <v>9</v>
      </c>
      <c r="AK5" s="32" t="s">
        <v>35</v>
      </c>
      <c r="AL5" s="60" t="s">
        <v>14</v>
      </c>
      <c r="AM5" s="61"/>
      <c r="AN5" s="55" t="s">
        <v>7</v>
      </c>
      <c r="AO5" s="55" t="s">
        <v>33</v>
      </c>
      <c r="AP5" s="104" t="s">
        <v>6</v>
      </c>
      <c r="AQ5" s="55" t="s">
        <v>57</v>
      </c>
      <c r="AR5" s="55" t="s">
        <v>58</v>
      </c>
      <c r="AS5" s="91" t="s">
        <v>59</v>
      </c>
      <c r="AT5" s="91" t="s">
        <v>60</v>
      </c>
      <c r="AU5" s="55" t="s">
        <v>40</v>
      </c>
      <c r="AV5" s="55" t="s">
        <v>41</v>
      </c>
      <c r="AW5" s="55" t="s">
        <v>39</v>
      </c>
      <c r="AX5" s="58" t="s">
        <v>34</v>
      </c>
      <c r="AY5" s="58" t="s">
        <v>15</v>
      </c>
      <c r="AZ5" s="58" t="s">
        <v>71</v>
      </c>
      <c r="BA5" s="55" t="s">
        <v>16</v>
      </c>
      <c r="BB5" s="104" t="s">
        <v>14</v>
      </c>
      <c r="BC5" s="61"/>
      <c r="BD5" s="56" t="s">
        <v>7</v>
      </c>
      <c r="BE5" s="56" t="s">
        <v>33</v>
      </c>
      <c r="BF5" s="86" t="s">
        <v>6</v>
      </c>
      <c r="BG5" s="55" t="s">
        <v>57</v>
      </c>
      <c r="BH5" s="55" t="s">
        <v>58</v>
      </c>
      <c r="BI5" s="55" t="s">
        <v>10</v>
      </c>
      <c r="BJ5" s="55" t="s">
        <v>32</v>
      </c>
      <c r="BK5" s="55" t="s">
        <v>88</v>
      </c>
      <c r="BL5" s="104" t="s">
        <v>14</v>
      </c>
    </row>
    <row r="6" spans="1:64" s="13" customFormat="1" x14ac:dyDescent="0.2">
      <c r="A6" s="13" t="str">
        <f t="shared" ref="A6:A69" si="0">B6&amp;C6</f>
        <v>1968Q1</v>
      </c>
      <c r="B6" s="11">
        <v>1968</v>
      </c>
      <c r="C6" s="63" t="s">
        <v>1</v>
      </c>
      <c r="D6" s="43">
        <v>307</v>
      </c>
      <c r="E6" s="43">
        <v>590</v>
      </c>
      <c r="F6" s="87">
        <f t="shared" ref="F6:F69" si="1">D6+E6</f>
        <v>897</v>
      </c>
      <c r="G6" s="42" t="s">
        <v>66</v>
      </c>
      <c r="H6" s="42" t="s">
        <v>66</v>
      </c>
      <c r="I6" s="92" t="s">
        <v>66</v>
      </c>
      <c r="J6" s="92" t="s">
        <v>66</v>
      </c>
      <c r="K6" s="92" t="s">
        <v>66</v>
      </c>
      <c r="L6" s="42" t="s">
        <v>66</v>
      </c>
      <c r="M6" s="42" t="s">
        <v>66</v>
      </c>
      <c r="N6" s="42" t="s">
        <v>67</v>
      </c>
      <c r="O6" s="42" t="s">
        <v>67</v>
      </c>
      <c r="P6" s="42" t="s">
        <v>66</v>
      </c>
      <c r="Q6" s="98">
        <v>1190</v>
      </c>
      <c r="R6" s="42" t="s">
        <v>67</v>
      </c>
      <c r="S6" s="42" t="s">
        <v>66</v>
      </c>
      <c r="T6" s="92" t="s">
        <v>66</v>
      </c>
      <c r="U6" s="42" t="s">
        <v>66</v>
      </c>
      <c r="V6" s="92" t="s">
        <v>66</v>
      </c>
      <c r="W6" s="42" t="s">
        <v>66</v>
      </c>
      <c r="X6" s="92" t="s">
        <v>66</v>
      </c>
      <c r="Y6" s="92" t="s">
        <v>66</v>
      </c>
      <c r="Z6" s="92" t="s">
        <v>66</v>
      </c>
      <c r="AA6" s="48" t="s">
        <v>67</v>
      </c>
      <c r="AB6" s="52">
        <v>41</v>
      </c>
      <c r="AC6" s="105">
        <f t="shared" ref="AC6:AC37" si="2">IF(AA6=":",Q6+AB6,Q6+AA6+AB6)</f>
        <v>1231</v>
      </c>
      <c r="AD6" s="42" t="s">
        <v>66</v>
      </c>
      <c r="AE6" s="48" t="s">
        <v>67</v>
      </c>
      <c r="AF6" s="49" t="str">
        <f t="shared" ref="AF6:AF37" si="3">IF(AE6=":",AD6,AD6+AE6)</f>
        <v>..</v>
      </c>
      <c r="AG6" s="36"/>
      <c r="AH6" s="32"/>
      <c r="AI6" s="108"/>
      <c r="AJ6" s="28"/>
      <c r="AK6" s="25"/>
      <c r="AL6" s="29"/>
      <c r="AM6" s="21"/>
      <c r="AN6" s="19" t="s">
        <v>66</v>
      </c>
      <c r="AO6" s="19" t="s">
        <v>66</v>
      </c>
      <c r="AP6" s="111" t="s">
        <v>66</v>
      </c>
      <c r="AQ6" s="19" t="s">
        <v>66</v>
      </c>
      <c r="AR6" s="19" t="s">
        <v>66</v>
      </c>
      <c r="AS6" s="112" t="s">
        <v>31</v>
      </c>
      <c r="AT6" s="112" t="s">
        <v>31</v>
      </c>
      <c r="AU6" s="19" t="s">
        <v>66</v>
      </c>
      <c r="AV6" s="19" t="s">
        <v>66</v>
      </c>
      <c r="AW6" s="19" t="s">
        <v>67</v>
      </c>
      <c r="AX6" s="19" t="s">
        <v>66</v>
      </c>
      <c r="AY6" s="19" t="s">
        <v>66</v>
      </c>
      <c r="AZ6" s="22" t="s">
        <v>67</v>
      </c>
      <c r="BA6" s="19" t="s">
        <v>67</v>
      </c>
      <c r="BB6" s="106" t="str">
        <f t="shared" ref="BB6:BB69" si="4">IF(BA6=":",AY6,AY6+BA6)</f>
        <v>..</v>
      </c>
      <c r="BC6" s="21"/>
      <c r="BD6" s="70" t="s">
        <v>66</v>
      </c>
      <c r="BE6" s="70" t="s">
        <v>66</v>
      </c>
      <c r="BF6" s="114" t="str">
        <f t="shared" ref="BF6:BF69" si="5">IF(BE6="..","..",BD6+BE6)</f>
        <v>..</v>
      </c>
      <c r="BG6" s="73"/>
      <c r="BH6" s="73"/>
      <c r="BI6" s="71" t="s">
        <v>66</v>
      </c>
      <c r="BJ6" s="71" t="s">
        <v>66</v>
      </c>
      <c r="BK6" s="71" t="s">
        <v>66</v>
      </c>
      <c r="BL6" s="116" t="s">
        <v>66</v>
      </c>
    </row>
    <row r="7" spans="1:64" s="13" customFormat="1" x14ac:dyDescent="0.2">
      <c r="A7" s="13" t="str">
        <f t="shared" si="0"/>
        <v>1968Q2</v>
      </c>
      <c r="B7" s="11">
        <f>B6</f>
        <v>1968</v>
      </c>
      <c r="C7" s="11" t="s">
        <v>2</v>
      </c>
      <c r="D7" s="43">
        <v>279</v>
      </c>
      <c r="E7" s="43">
        <v>496</v>
      </c>
      <c r="F7" s="87">
        <f t="shared" si="1"/>
        <v>775</v>
      </c>
      <c r="G7" s="42" t="s">
        <v>66</v>
      </c>
      <c r="H7" s="42" t="s">
        <v>66</v>
      </c>
      <c r="I7" s="92" t="s">
        <v>66</v>
      </c>
      <c r="J7" s="92" t="s">
        <v>66</v>
      </c>
      <c r="K7" s="92" t="s">
        <v>66</v>
      </c>
      <c r="L7" s="42" t="s">
        <v>66</v>
      </c>
      <c r="M7" s="42" t="s">
        <v>66</v>
      </c>
      <c r="N7" s="42" t="s">
        <v>67</v>
      </c>
      <c r="O7" s="42" t="s">
        <v>67</v>
      </c>
      <c r="P7" s="42" t="s">
        <v>66</v>
      </c>
      <c r="Q7" s="98">
        <v>985</v>
      </c>
      <c r="R7" s="42" t="s">
        <v>67</v>
      </c>
      <c r="S7" s="42" t="s">
        <v>66</v>
      </c>
      <c r="T7" s="92" t="s">
        <v>66</v>
      </c>
      <c r="U7" s="42" t="s">
        <v>66</v>
      </c>
      <c r="V7" s="92" t="s">
        <v>66</v>
      </c>
      <c r="W7" s="42" t="s">
        <v>66</v>
      </c>
      <c r="X7" s="92" t="s">
        <v>66</v>
      </c>
      <c r="Y7" s="92" t="s">
        <v>66</v>
      </c>
      <c r="Z7" s="92" t="s">
        <v>66</v>
      </c>
      <c r="AA7" s="48" t="s">
        <v>67</v>
      </c>
      <c r="AB7" s="52">
        <v>39</v>
      </c>
      <c r="AC7" s="105">
        <f t="shared" si="2"/>
        <v>1024</v>
      </c>
      <c r="AD7" s="42" t="s">
        <v>66</v>
      </c>
      <c r="AE7" s="48" t="s">
        <v>67</v>
      </c>
      <c r="AF7" s="49" t="str">
        <f t="shared" si="3"/>
        <v>..</v>
      </c>
      <c r="AG7" s="36"/>
      <c r="AH7" s="32"/>
      <c r="AI7" s="108"/>
      <c r="AJ7" s="28"/>
      <c r="AK7" s="25"/>
      <c r="AL7" s="29"/>
      <c r="AM7" s="21"/>
      <c r="AN7" s="19" t="s">
        <v>66</v>
      </c>
      <c r="AO7" s="19" t="s">
        <v>66</v>
      </c>
      <c r="AP7" s="111" t="s">
        <v>66</v>
      </c>
      <c r="AQ7" s="19" t="s">
        <v>66</v>
      </c>
      <c r="AR7" s="19" t="s">
        <v>66</v>
      </c>
      <c r="AS7" s="112" t="s">
        <v>31</v>
      </c>
      <c r="AT7" s="112" t="s">
        <v>31</v>
      </c>
      <c r="AU7" s="19" t="s">
        <v>66</v>
      </c>
      <c r="AV7" s="19" t="s">
        <v>66</v>
      </c>
      <c r="AW7" s="19" t="s">
        <v>67</v>
      </c>
      <c r="AX7" s="19" t="s">
        <v>66</v>
      </c>
      <c r="AY7" s="19" t="s">
        <v>66</v>
      </c>
      <c r="AZ7" s="22" t="s">
        <v>67</v>
      </c>
      <c r="BA7" s="19" t="s">
        <v>67</v>
      </c>
      <c r="BB7" s="106" t="str">
        <f t="shared" si="4"/>
        <v>..</v>
      </c>
      <c r="BC7" s="21"/>
      <c r="BD7" s="70" t="s">
        <v>66</v>
      </c>
      <c r="BE7" s="70" t="s">
        <v>66</v>
      </c>
      <c r="BF7" s="114" t="str">
        <f t="shared" si="5"/>
        <v>..</v>
      </c>
      <c r="BG7" s="73"/>
      <c r="BH7" s="73"/>
      <c r="BI7" s="71" t="s">
        <v>66</v>
      </c>
      <c r="BJ7" s="71" t="s">
        <v>66</v>
      </c>
      <c r="BK7" s="71" t="s">
        <v>66</v>
      </c>
      <c r="BL7" s="116" t="s">
        <v>66</v>
      </c>
    </row>
    <row r="8" spans="1:64" s="13" customFormat="1" x14ac:dyDescent="0.2">
      <c r="A8" s="13" t="str">
        <f t="shared" si="0"/>
        <v>1968Q3</v>
      </c>
      <c r="B8" s="11">
        <f>B7</f>
        <v>1968</v>
      </c>
      <c r="C8" s="11" t="s">
        <v>3</v>
      </c>
      <c r="D8" s="43">
        <v>148</v>
      </c>
      <c r="E8" s="43">
        <v>438</v>
      </c>
      <c r="F8" s="87">
        <f t="shared" si="1"/>
        <v>586</v>
      </c>
      <c r="G8" s="42" t="s">
        <v>66</v>
      </c>
      <c r="H8" s="42" t="s">
        <v>66</v>
      </c>
      <c r="I8" s="92" t="s">
        <v>66</v>
      </c>
      <c r="J8" s="92" t="s">
        <v>66</v>
      </c>
      <c r="K8" s="92" t="s">
        <v>66</v>
      </c>
      <c r="L8" s="42" t="s">
        <v>66</v>
      </c>
      <c r="M8" s="42" t="s">
        <v>66</v>
      </c>
      <c r="N8" s="42" t="s">
        <v>67</v>
      </c>
      <c r="O8" s="42" t="s">
        <v>67</v>
      </c>
      <c r="P8" s="42" t="s">
        <v>66</v>
      </c>
      <c r="Q8" s="98">
        <v>907</v>
      </c>
      <c r="R8" s="42" t="s">
        <v>67</v>
      </c>
      <c r="S8" s="42" t="s">
        <v>66</v>
      </c>
      <c r="T8" s="92" t="s">
        <v>66</v>
      </c>
      <c r="U8" s="42" t="s">
        <v>66</v>
      </c>
      <c r="V8" s="92" t="s">
        <v>66</v>
      </c>
      <c r="W8" s="42" t="s">
        <v>66</v>
      </c>
      <c r="X8" s="92" t="s">
        <v>66</v>
      </c>
      <c r="Y8" s="92" t="s">
        <v>66</v>
      </c>
      <c r="Z8" s="92" t="s">
        <v>66</v>
      </c>
      <c r="AA8" s="48" t="s">
        <v>67</v>
      </c>
      <c r="AB8" s="52">
        <v>25</v>
      </c>
      <c r="AC8" s="105">
        <f t="shared" si="2"/>
        <v>932</v>
      </c>
      <c r="AD8" s="42" t="s">
        <v>66</v>
      </c>
      <c r="AE8" s="48" t="s">
        <v>67</v>
      </c>
      <c r="AF8" s="49" t="str">
        <f t="shared" si="3"/>
        <v>..</v>
      </c>
      <c r="AG8" s="36"/>
      <c r="AH8" s="32"/>
      <c r="AI8" s="108"/>
      <c r="AJ8" s="28"/>
      <c r="AK8" s="25"/>
      <c r="AL8" s="29"/>
      <c r="AM8" s="21"/>
      <c r="AN8" s="19" t="s">
        <v>66</v>
      </c>
      <c r="AO8" s="19" t="s">
        <v>66</v>
      </c>
      <c r="AP8" s="111" t="s">
        <v>66</v>
      </c>
      <c r="AQ8" s="19" t="s">
        <v>66</v>
      </c>
      <c r="AR8" s="19" t="s">
        <v>66</v>
      </c>
      <c r="AS8" s="112" t="s">
        <v>31</v>
      </c>
      <c r="AT8" s="112" t="s">
        <v>31</v>
      </c>
      <c r="AU8" s="19" t="s">
        <v>66</v>
      </c>
      <c r="AV8" s="19" t="s">
        <v>66</v>
      </c>
      <c r="AW8" s="19" t="s">
        <v>67</v>
      </c>
      <c r="AX8" s="19" t="s">
        <v>66</v>
      </c>
      <c r="AY8" s="19" t="s">
        <v>66</v>
      </c>
      <c r="AZ8" s="22" t="s">
        <v>67</v>
      </c>
      <c r="BA8" s="19" t="s">
        <v>67</v>
      </c>
      <c r="BB8" s="106" t="str">
        <f t="shared" si="4"/>
        <v>..</v>
      </c>
      <c r="BC8" s="21"/>
      <c r="BD8" s="70" t="s">
        <v>66</v>
      </c>
      <c r="BE8" s="70" t="s">
        <v>66</v>
      </c>
      <c r="BF8" s="114" t="str">
        <f t="shared" si="5"/>
        <v>..</v>
      </c>
      <c r="BG8" s="73"/>
      <c r="BH8" s="73"/>
      <c r="BI8" s="71" t="s">
        <v>66</v>
      </c>
      <c r="BJ8" s="71" t="s">
        <v>66</v>
      </c>
      <c r="BK8" s="71" t="s">
        <v>66</v>
      </c>
      <c r="BL8" s="116" t="s">
        <v>66</v>
      </c>
    </row>
    <row r="9" spans="1:64" s="13" customFormat="1" x14ac:dyDescent="0.2">
      <c r="A9" s="13" t="str">
        <f t="shared" si="0"/>
        <v>1968Q4</v>
      </c>
      <c r="B9" s="11">
        <f>B8</f>
        <v>1968</v>
      </c>
      <c r="C9" s="11" t="s">
        <v>4</v>
      </c>
      <c r="D9" s="43">
        <v>374</v>
      </c>
      <c r="E9" s="43">
        <v>533</v>
      </c>
      <c r="F9" s="87">
        <f t="shared" si="1"/>
        <v>907</v>
      </c>
      <c r="G9" s="42" t="s">
        <v>66</v>
      </c>
      <c r="H9" s="42" t="s">
        <v>66</v>
      </c>
      <c r="I9" s="92" t="s">
        <v>66</v>
      </c>
      <c r="J9" s="92" t="s">
        <v>66</v>
      </c>
      <c r="K9" s="92" t="s">
        <v>66</v>
      </c>
      <c r="L9" s="42" t="s">
        <v>66</v>
      </c>
      <c r="M9" s="42" t="s">
        <v>66</v>
      </c>
      <c r="N9" s="42" t="s">
        <v>67</v>
      </c>
      <c r="O9" s="42" t="s">
        <v>67</v>
      </c>
      <c r="P9" s="42" t="s">
        <v>66</v>
      </c>
      <c r="Q9" s="98">
        <v>1068</v>
      </c>
      <c r="R9" s="42" t="s">
        <v>67</v>
      </c>
      <c r="S9" s="42" t="s">
        <v>66</v>
      </c>
      <c r="T9" s="92" t="s">
        <v>66</v>
      </c>
      <c r="U9" s="42" t="s">
        <v>66</v>
      </c>
      <c r="V9" s="92" t="s">
        <v>66</v>
      </c>
      <c r="W9" s="42" t="s">
        <v>66</v>
      </c>
      <c r="X9" s="92" t="s">
        <v>66</v>
      </c>
      <c r="Y9" s="92" t="s">
        <v>66</v>
      </c>
      <c r="Z9" s="92" t="s">
        <v>66</v>
      </c>
      <c r="AA9" s="48" t="s">
        <v>67</v>
      </c>
      <c r="AB9" s="52">
        <v>43</v>
      </c>
      <c r="AC9" s="105">
        <f t="shared" si="2"/>
        <v>1111</v>
      </c>
      <c r="AD9" s="42" t="s">
        <v>66</v>
      </c>
      <c r="AE9" s="48" t="s">
        <v>67</v>
      </c>
      <c r="AF9" s="49" t="str">
        <f t="shared" si="3"/>
        <v>..</v>
      </c>
      <c r="AG9" s="36"/>
      <c r="AH9" s="32"/>
      <c r="AI9" s="108"/>
      <c r="AJ9" s="28"/>
      <c r="AK9" s="25"/>
      <c r="AL9" s="29"/>
      <c r="AM9" s="21"/>
      <c r="AN9" s="19" t="s">
        <v>66</v>
      </c>
      <c r="AO9" s="19" t="s">
        <v>66</v>
      </c>
      <c r="AP9" s="111" t="s">
        <v>66</v>
      </c>
      <c r="AQ9" s="19" t="s">
        <v>66</v>
      </c>
      <c r="AR9" s="19" t="s">
        <v>66</v>
      </c>
      <c r="AS9" s="112" t="s">
        <v>31</v>
      </c>
      <c r="AT9" s="112" t="s">
        <v>31</v>
      </c>
      <c r="AU9" s="19" t="s">
        <v>66</v>
      </c>
      <c r="AV9" s="19" t="s">
        <v>66</v>
      </c>
      <c r="AW9" s="19" t="s">
        <v>67</v>
      </c>
      <c r="AX9" s="19" t="s">
        <v>66</v>
      </c>
      <c r="AY9" s="19" t="s">
        <v>66</v>
      </c>
      <c r="AZ9" s="22" t="s">
        <v>67</v>
      </c>
      <c r="BA9" s="19" t="s">
        <v>67</v>
      </c>
      <c r="BB9" s="106" t="str">
        <f t="shared" si="4"/>
        <v>..</v>
      </c>
      <c r="BC9" s="21"/>
      <c r="BD9" s="70" t="s">
        <v>66</v>
      </c>
      <c r="BE9" s="70" t="s">
        <v>66</v>
      </c>
      <c r="BF9" s="114" t="str">
        <f t="shared" si="5"/>
        <v>..</v>
      </c>
      <c r="BG9" s="73"/>
      <c r="BH9" s="73"/>
      <c r="BI9" s="71" t="s">
        <v>66</v>
      </c>
      <c r="BJ9" s="71" t="s">
        <v>66</v>
      </c>
      <c r="BK9" s="71" t="s">
        <v>66</v>
      </c>
      <c r="BL9" s="116" t="s">
        <v>66</v>
      </c>
    </row>
    <row r="10" spans="1:64" s="13" customFormat="1" x14ac:dyDescent="0.2">
      <c r="A10" s="13" t="str">
        <f t="shared" si="0"/>
        <v>1969Q1</v>
      </c>
      <c r="B10" s="11">
        <v>1969</v>
      </c>
      <c r="C10" s="63" t="s">
        <v>1</v>
      </c>
      <c r="D10" s="43">
        <v>318</v>
      </c>
      <c r="E10" s="43">
        <v>554</v>
      </c>
      <c r="F10" s="87">
        <f t="shared" si="1"/>
        <v>872</v>
      </c>
      <c r="G10" s="42" t="s">
        <v>66</v>
      </c>
      <c r="H10" s="42" t="s">
        <v>66</v>
      </c>
      <c r="I10" s="92" t="s">
        <v>66</v>
      </c>
      <c r="J10" s="92" t="s">
        <v>66</v>
      </c>
      <c r="K10" s="92" t="s">
        <v>66</v>
      </c>
      <c r="L10" s="42" t="s">
        <v>66</v>
      </c>
      <c r="M10" s="42" t="s">
        <v>66</v>
      </c>
      <c r="N10" s="42" t="s">
        <v>67</v>
      </c>
      <c r="O10" s="42" t="s">
        <v>67</v>
      </c>
      <c r="P10" s="42" t="s">
        <v>66</v>
      </c>
      <c r="Q10" s="98">
        <v>1173</v>
      </c>
      <c r="R10" s="42" t="s">
        <v>67</v>
      </c>
      <c r="S10" s="42" t="s">
        <v>66</v>
      </c>
      <c r="T10" s="92" t="s">
        <v>66</v>
      </c>
      <c r="U10" s="42" t="s">
        <v>66</v>
      </c>
      <c r="V10" s="92" t="s">
        <v>66</v>
      </c>
      <c r="W10" s="42" t="s">
        <v>66</v>
      </c>
      <c r="X10" s="92" t="s">
        <v>66</v>
      </c>
      <c r="Y10" s="92" t="s">
        <v>66</v>
      </c>
      <c r="Z10" s="92" t="s">
        <v>66</v>
      </c>
      <c r="AA10" s="48" t="s">
        <v>67</v>
      </c>
      <c r="AB10" s="52">
        <v>58</v>
      </c>
      <c r="AC10" s="105">
        <f t="shared" si="2"/>
        <v>1231</v>
      </c>
      <c r="AD10" s="42" t="s">
        <v>66</v>
      </c>
      <c r="AE10" s="48" t="s">
        <v>67</v>
      </c>
      <c r="AF10" s="49" t="str">
        <f t="shared" si="3"/>
        <v>..</v>
      </c>
      <c r="AG10" s="36"/>
      <c r="AH10" s="32"/>
      <c r="AI10" s="108"/>
      <c r="AJ10" s="28"/>
      <c r="AK10" s="25"/>
      <c r="AL10" s="29"/>
      <c r="AM10" s="21"/>
      <c r="AN10" s="19" t="s">
        <v>66</v>
      </c>
      <c r="AO10" s="19" t="s">
        <v>66</v>
      </c>
      <c r="AP10" s="111" t="s">
        <v>66</v>
      </c>
      <c r="AQ10" s="19" t="s">
        <v>66</v>
      </c>
      <c r="AR10" s="19" t="s">
        <v>66</v>
      </c>
      <c r="AS10" s="112" t="s">
        <v>31</v>
      </c>
      <c r="AT10" s="112" t="s">
        <v>31</v>
      </c>
      <c r="AU10" s="19" t="s">
        <v>66</v>
      </c>
      <c r="AV10" s="19" t="s">
        <v>66</v>
      </c>
      <c r="AW10" s="19" t="s">
        <v>67</v>
      </c>
      <c r="AX10" s="19" t="s">
        <v>66</v>
      </c>
      <c r="AY10" s="19" t="s">
        <v>66</v>
      </c>
      <c r="AZ10" s="22" t="s">
        <v>67</v>
      </c>
      <c r="BA10" s="19" t="s">
        <v>67</v>
      </c>
      <c r="BB10" s="106" t="str">
        <f t="shared" si="4"/>
        <v>..</v>
      </c>
      <c r="BC10" s="21"/>
      <c r="BD10" s="70" t="s">
        <v>66</v>
      </c>
      <c r="BE10" s="70" t="s">
        <v>66</v>
      </c>
      <c r="BF10" s="114" t="str">
        <f t="shared" si="5"/>
        <v>..</v>
      </c>
      <c r="BG10" s="73"/>
      <c r="BH10" s="73"/>
      <c r="BI10" s="71" t="s">
        <v>66</v>
      </c>
      <c r="BJ10" s="71" t="s">
        <v>66</v>
      </c>
      <c r="BK10" s="71" t="s">
        <v>66</v>
      </c>
      <c r="BL10" s="116" t="s">
        <v>66</v>
      </c>
    </row>
    <row r="11" spans="1:64" s="13" customFormat="1" x14ac:dyDescent="0.2">
      <c r="A11" s="13" t="str">
        <f t="shared" si="0"/>
        <v>1969Q2</v>
      </c>
      <c r="B11" s="11">
        <f>B10</f>
        <v>1969</v>
      </c>
      <c r="C11" s="11" t="s">
        <v>2</v>
      </c>
      <c r="D11" s="43">
        <v>308</v>
      </c>
      <c r="E11" s="43">
        <v>563</v>
      </c>
      <c r="F11" s="87">
        <f t="shared" si="1"/>
        <v>871</v>
      </c>
      <c r="G11" s="42" t="s">
        <v>66</v>
      </c>
      <c r="H11" s="42" t="s">
        <v>66</v>
      </c>
      <c r="I11" s="92" t="s">
        <v>66</v>
      </c>
      <c r="J11" s="92" t="s">
        <v>66</v>
      </c>
      <c r="K11" s="92" t="s">
        <v>66</v>
      </c>
      <c r="L11" s="42" t="s">
        <v>66</v>
      </c>
      <c r="M11" s="42" t="s">
        <v>66</v>
      </c>
      <c r="N11" s="42" t="s">
        <v>67</v>
      </c>
      <c r="O11" s="42" t="s">
        <v>67</v>
      </c>
      <c r="P11" s="42" t="s">
        <v>66</v>
      </c>
      <c r="Q11" s="98">
        <v>1055</v>
      </c>
      <c r="R11" s="42" t="s">
        <v>67</v>
      </c>
      <c r="S11" s="42" t="s">
        <v>66</v>
      </c>
      <c r="T11" s="92" t="s">
        <v>66</v>
      </c>
      <c r="U11" s="42" t="s">
        <v>66</v>
      </c>
      <c r="V11" s="92" t="s">
        <v>66</v>
      </c>
      <c r="W11" s="42" t="s">
        <v>66</v>
      </c>
      <c r="X11" s="92" t="s">
        <v>66</v>
      </c>
      <c r="Y11" s="92" t="s">
        <v>66</v>
      </c>
      <c r="Z11" s="92" t="s">
        <v>66</v>
      </c>
      <c r="AA11" s="48" t="s">
        <v>67</v>
      </c>
      <c r="AB11" s="52">
        <v>40</v>
      </c>
      <c r="AC11" s="105">
        <f t="shared" si="2"/>
        <v>1095</v>
      </c>
      <c r="AD11" s="42" t="s">
        <v>66</v>
      </c>
      <c r="AE11" s="48" t="s">
        <v>67</v>
      </c>
      <c r="AF11" s="49" t="str">
        <f t="shared" si="3"/>
        <v>..</v>
      </c>
      <c r="AG11" s="36"/>
      <c r="AH11" s="32"/>
      <c r="AI11" s="108"/>
      <c r="AJ11" s="28"/>
      <c r="AK11" s="25"/>
      <c r="AL11" s="29"/>
      <c r="AM11" s="21"/>
      <c r="AN11" s="19" t="s">
        <v>66</v>
      </c>
      <c r="AO11" s="19" t="s">
        <v>66</v>
      </c>
      <c r="AP11" s="111" t="s">
        <v>66</v>
      </c>
      <c r="AQ11" s="19" t="s">
        <v>66</v>
      </c>
      <c r="AR11" s="19" t="s">
        <v>66</v>
      </c>
      <c r="AS11" s="112" t="s">
        <v>31</v>
      </c>
      <c r="AT11" s="112" t="s">
        <v>31</v>
      </c>
      <c r="AU11" s="19" t="s">
        <v>66</v>
      </c>
      <c r="AV11" s="19" t="s">
        <v>66</v>
      </c>
      <c r="AW11" s="19" t="s">
        <v>67</v>
      </c>
      <c r="AX11" s="19" t="s">
        <v>66</v>
      </c>
      <c r="AY11" s="19" t="s">
        <v>66</v>
      </c>
      <c r="AZ11" s="22" t="s">
        <v>67</v>
      </c>
      <c r="BA11" s="19" t="s">
        <v>67</v>
      </c>
      <c r="BB11" s="106" t="str">
        <f t="shared" si="4"/>
        <v>..</v>
      </c>
      <c r="BC11" s="21"/>
      <c r="BD11" s="70" t="s">
        <v>66</v>
      </c>
      <c r="BE11" s="70" t="s">
        <v>66</v>
      </c>
      <c r="BF11" s="114" t="str">
        <f t="shared" si="5"/>
        <v>..</v>
      </c>
      <c r="BG11" s="73"/>
      <c r="BH11" s="73"/>
      <c r="BI11" s="71" t="s">
        <v>66</v>
      </c>
      <c r="BJ11" s="71" t="s">
        <v>66</v>
      </c>
      <c r="BK11" s="71" t="s">
        <v>66</v>
      </c>
      <c r="BL11" s="116" t="s">
        <v>66</v>
      </c>
    </row>
    <row r="12" spans="1:64" s="13" customFormat="1" x14ac:dyDescent="0.2">
      <c r="A12" s="13" t="str">
        <f t="shared" si="0"/>
        <v>1969Q3</v>
      </c>
      <c r="B12" s="11">
        <f>B11</f>
        <v>1969</v>
      </c>
      <c r="C12" s="11" t="s">
        <v>3</v>
      </c>
      <c r="D12" s="43">
        <v>171</v>
      </c>
      <c r="E12" s="43">
        <v>627</v>
      </c>
      <c r="F12" s="87">
        <f t="shared" si="1"/>
        <v>798</v>
      </c>
      <c r="G12" s="42" t="s">
        <v>66</v>
      </c>
      <c r="H12" s="42" t="s">
        <v>66</v>
      </c>
      <c r="I12" s="92" t="s">
        <v>66</v>
      </c>
      <c r="J12" s="92" t="s">
        <v>66</v>
      </c>
      <c r="K12" s="92" t="s">
        <v>66</v>
      </c>
      <c r="L12" s="42" t="s">
        <v>66</v>
      </c>
      <c r="M12" s="42" t="s">
        <v>66</v>
      </c>
      <c r="N12" s="42" t="s">
        <v>67</v>
      </c>
      <c r="O12" s="42" t="s">
        <v>67</v>
      </c>
      <c r="P12" s="42" t="s">
        <v>66</v>
      </c>
      <c r="Q12" s="98">
        <v>1157</v>
      </c>
      <c r="R12" s="42" t="s">
        <v>67</v>
      </c>
      <c r="S12" s="42" t="s">
        <v>66</v>
      </c>
      <c r="T12" s="92" t="s">
        <v>66</v>
      </c>
      <c r="U12" s="42" t="s">
        <v>66</v>
      </c>
      <c r="V12" s="92" t="s">
        <v>66</v>
      </c>
      <c r="W12" s="42" t="s">
        <v>66</v>
      </c>
      <c r="X12" s="92" t="s">
        <v>66</v>
      </c>
      <c r="Y12" s="92" t="s">
        <v>66</v>
      </c>
      <c r="Z12" s="92" t="s">
        <v>66</v>
      </c>
      <c r="AA12" s="48" t="s">
        <v>67</v>
      </c>
      <c r="AB12" s="52">
        <v>58</v>
      </c>
      <c r="AC12" s="105">
        <f t="shared" si="2"/>
        <v>1215</v>
      </c>
      <c r="AD12" s="42" t="s">
        <v>66</v>
      </c>
      <c r="AE12" s="48" t="s">
        <v>67</v>
      </c>
      <c r="AF12" s="49" t="str">
        <f t="shared" si="3"/>
        <v>..</v>
      </c>
      <c r="AG12" s="36"/>
      <c r="AH12" s="32"/>
      <c r="AI12" s="108"/>
      <c r="AJ12" s="28"/>
      <c r="AK12" s="25"/>
      <c r="AL12" s="29"/>
      <c r="AM12" s="21"/>
      <c r="AN12" s="19" t="s">
        <v>66</v>
      </c>
      <c r="AO12" s="19" t="s">
        <v>66</v>
      </c>
      <c r="AP12" s="111" t="s">
        <v>66</v>
      </c>
      <c r="AQ12" s="19" t="s">
        <v>66</v>
      </c>
      <c r="AR12" s="19" t="s">
        <v>66</v>
      </c>
      <c r="AS12" s="112" t="s">
        <v>31</v>
      </c>
      <c r="AT12" s="112" t="s">
        <v>31</v>
      </c>
      <c r="AU12" s="19" t="s">
        <v>66</v>
      </c>
      <c r="AV12" s="19" t="s">
        <v>66</v>
      </c>
      <c r="AW12" s="19" t="s">
        <v>67</v>
      </c>
      <c r="AX12" s="19" t="s">
        <v>66</v>
      </c>
      <c r="AY12" s="19" t="s">
        <v>66</v>
      </c>
      <c r="AZ12" s="22" t="s">
        <v>67</v>
      </c>
      <c r="BA12" s="19" t="s">
        <v>67</v>
      </c>
      <c r="BB12" s="106" t="str">
        <f t="shared" si="4"/>
        <v>..</v>
      </c>
      <c r="BC12" s="21"/>
      <c r="BD12" s="70" t="s">
        <v>66</v>
      </c>
      <c r="BE12" s="70" t="s">
        <v>66</v>
      </c>
      <c r="BF12" s="114" t="str">
        <f t="shared" si="5"/>
        <v>..</v>
      </c>
      <c r="BG12" s="73"/>
      <c r="BH12" s="73"/>
      <c r="BI12" s="71" t="s">
        <v>66</v>
      </c>
      <c r="BJ12" s="71" t="s">
        <v>66</v>
      </c>
      <c r="BK12" s="71" t="s">
        <v>66</v>
      </c>
      <c r="BL12" s="116" t="s">
        <v>66</v>
      </c>
    </row>
    <row r="13" spans="1:64" s="13" customFormat="1" x14ac:dyDescent="0.2">
      <c r="A13" s="13" t="str">
        <f t="shared" si="0"/>
        <v>1969Q4</v>
      </c>
      <c r="B13" s="11">
        <f>B12</f>
        <v>1969</v>
      </c>
      <c r="C13" s="11" t="s">
        <v>4</v>
      </c>
      <c r="D13" s="43">
        <v>384</v>
      </c>
      <c r="E13" s="43">
        <v>585</v>
      </c>
      <c r="F13" s="87">
        <f t="shared" si="1"/>
        <v>969</v>
      </c>
      <c r="G13" s="42" t="s">
        <v>66</v>
      </c>
      <c r="H13" s="42" t="s">
        <v>66</v>
      </c>
      <c r="I13" s="92" t="s">
        <v>66</v>
      </c>
      <c r="J13" s="92" t="s">
        <v>66</v>
      </c>
      <c r="K13" s="92" t="s">
        <v>66</v>
      </c>
      <c r="L13" s="42" t="s">
        <v>66</v>
      </c>
      <c r="M13" s="42" t="s">
        <v>66</v>
      </c>
      <c r="N13" s="42" t="s">
        <v>67</v>
      </c>
      <c r="O13" s="42" t="s">
        <v>67</v>
      </c>
      <c r="P13" s="42" t="s">
        <v>66</v>
      </c>
      <c r="Q13" s="98">
        <v>1167</v>
      </c>
      <c r="R13" s="42" t="s">
        <v>67</v>
      </c>
      <c r="S13" s="42" t="s">
        <v>66</v>
      </c>
      <c r="T13" s="92" t="s">
        <v>66</v>
      </c>
      <c r="U13" s="42" t="s">
        <v>66</v>
      </c>
      <c r="V13" s="92" t="s">
        <v>66</v>
      </c>
      <c r="W13" s="42" t="s">
        <v>66</v>
      </c>
      <c r="X13" s="92" t="s">
        <v>66</v>
      </c>
      <c r="Y13" s="92" t="s">
        <v>66</v>
      </c>
      <c r="Z13" s="92" t="s">
        <v>66</v>
      </c>
      <c r="AA13" s="48" t="s">
        <v>67</v>
      </c>
      <c r="AB13" s="52">
        <v>64</v>
      </c>
      <c r="AC13" s="105">
        <f t="shared" si="2"/>
        <v>1231</v>
      </c>
      <c r="AD13" s="42" t="s">
        <v>66</v>
      </c>
      <c r="AE13" s="48" t="s">
        <v>67</v>
      </c>
      <c r="AF13" s="49" t="str">
        <f t="shared" si="3"/>
        <v>..</v>
      </c>
      <c r="AG13" s="36"/>
      <c r="AH13" s="32"/>
      <c r="AI13" s="108"/>
      <c r="AJ13" s="28"/>
      <c r="AK13" s="25"/>
      <c r="AL13" s="29"/>
      <c r="AM13" s="21"/>
      <c r="AN13" s="19" t="s">
        <v>66</v>
      </c>
      <c r="AO13" s="19" t="s">
        <v>66</v>
      </c>
      <c r="AP13" s="111" t="s">
        <v>66</v>
      </c>
      <c r="AQ13" s="19" t="s">
        <v>66</v>
      </c>
      <c r="AR13" s="19" t="s">
        <v>66</v>
      </c>
      <c r="AS13" s="112" t="s">
        <v>31</v>
      </c>
      <c r="AT13" s="112" t="s">
        <v>31</v>
      </c>
      <c r="AU13" s="19" t="s">
        <v>66</v>
      </c>
      <c r="AV13" s="19" t="s">
        <v>66</v>
      </c>
      <c r="AW13" s="19" t="s">
        <v>67</v>
      </c>
      <c r="AX13" s="19" t="s">
        <v>66</v>
      </c>
      <c r="AY13" s="19" t="s">
        <v>66</v>
      </c>
      <c r="AZ13" s="22" t="s">
        <v>67</v>
      </c>
      <c r="BA13" s="19" t="s">
        <v>67</v>
      </c>
      <c r="BB13" s="106" t="str">
        <f t="shared" si="4"/>
        <v>..</v>
      </c>
      <c r="BC13" s="21"/>
      <c r="BD13" s="70" t="s">
        <v>66</v>
      </c>
      <c r="BE13" s="70" t="s">
        <v>66</v>
      </c>
      <c r="BF13" s="114" t="str">
        <f t="shared" si="5"/>
        <v>..</v>
      </c>
      <c r="BG13" s="73"/>
      <c r="BH13" s="73"/>
      <c r="BI13" s="71" t="s">
        <v>66</v>
      </c>
      <c r="BJ13" s="71" t="s">
        <v>66</v>
      </c>
      <c r="BK13" s="71" t="s">
        <v>66</v>
      </c>
      <c r="BL13" s="116" t="s">
        <v>66</v>
      </c>
    </row>
    <row r="14" spans="1:64" s="13" customFormat="1" x14ac:dyDescent="0.2">
      <c r="A14" s="13" t="str">
        <f t="shared" si="0"/>
        <v>1970Q1</v>
      </c>
      <c r="B14" s="11">
        <v>1970</v>
      </c>
      <c r="C14" s="63" t="s">
        <v>1</v>
      </c>
      <c r="D14" s="43">
        <v>318</v>
      </c>
      <c r="E14" s="43">
        <v>663</v>
      </c>
      <c r="F14" s="87">
        <f t="shared" si="1"/>
        <v>981</v>
      </c>
      <c r="G14" s="42" t="s">
        <v>66</v>
      </c>
      <c r="H14" s="42" t="s">
        <v>66</v>
      </c>
      <c r="I14" s="92" t="s">
        <v>66</v>
      </c>
      <c r="J14" s="92" t="s">
        <v>66</v>
      </c>
      <c r="K14" s="92" t="s">
        <v>66</v>
      </c>
      <c r="L14" s="42" t="s">
        <v>66</v>
      </c>
      <c r="M14" s="42" t="s">
        <v>66</v>
      </c>
      <c r="N14" s="42" t="s">
        <v>67</v>
      </c>
      <c r="O14" s="42" t="s">
        <v>67</v>
      </c>
      <c r="P14" s="42" t="s">
        <v>66</v>
      </c>
      <c r="Q14" s="98">
        <v>1273</v>
      </c>
      <c r="R14" s="42" t="s">
        <v>67</v>
      </c>
      <c r="S14" s="42" t="s">
        <v>66</v>
      </c>
      <c r="T14" s="92" t="s">
        <v>66</v>
      </c>
      <c r="U14" s="42" t="s">
        <v>66</v>
      </c>
      <c r="V14" s="92" t="s">
        <v>66</v>
      </c>
      <c r="W14" s="42" t="s">
        <v>66</v>
      </c>
      <c r="X14" s="92" t="s">
        <v>66</v>
      </c>
      <c r="Y14" s="92" t="s">
        <v>66</v>
      </c>
      <c r="Z14" s="92" t="s">
        <v>66</v>
      </c>
      <c r="AA14" s="48" t="s">
        <v>67</v>
      </c>
      <c r="AB14" s="52">
        <v>41</v>
      </c>
      <c r="AC14" s="105">
        <f t="shared" si="2"/>
        <v>1314</v>
      </c>
      <c r="AD14" s="42" t="s">
        <v>66</v>
      </c>
      <c r="AE14" s="48" t="s">
        <v>67</v>
      </c>
      <c r="AF14" s="49" t="str">
        <f t="shared" si="3"/>
        <v>..</v>
      </c>
      <c r="AG14" s="36"/>
      <c r="AH14" s="32"/>
      <c r="AI14" s="108"/>
      <c r="AJ14" s="28"/>
      <c r="AK14" s="25"/>
      <c r="AL14" s="29"/>
      <c r="AM14" s="21"/>
      <c r="AN14" s="19" t="s">
        <v>66</v>
      </c>
      <c r="AO14" s="19" t="s">
        <v>66</v>
      </c>
      <c r="AP14" s="111" t="s">
        <v>66</v>
      </c>
      <c r="AQ14" s="19" t="s">
        <v>66</v>
      </c>
      <c r="AR14" s="19" t="s">
        <v>66</v>
      </c>
      <c r="AS14" s="112" t="s">
        <v>31</v>
      </c>
      <c r="AT14" s="112" t="s">
        <v>31</v>
      </c>
      <c r="AU14" s="19" t="s">
        <v>66</v>
      </c>
      <c r="AV14" s="19" t="s">
        <v>66</v>
      </c>
      <c r="AW14" s="19" t="s">
        <v>67</v>
      </c>
      <c r="AX14" s="19" t="s">
        <v>66</v>
      </c>
      <c r="AY14" s="19" t="s">
        <v>66</v>
      </c>
      <c r="AZ14" s="22" t="s">
        <v>67</v>
      </c>
      <c r="BA14" s="19" t="s">
        <v>67</v>
      </c>
      <c r="BB14" s="106" t="str">
        <f t="shared" si="4"/>
        <v>..</v>
      </c>
      <c r="BC14" s="21"/>
      <c r="BD14" s="70" t="s">
        <v>66</v>
      </c>
      <c r="BE14" s="70" t="s">
        <v>66</v>
      </c>
      <c r="BF14" s="114" t="str">
        <f t="shared" si="5"/>
        <v>..</v>
      </c>
      <c r="BG14" s="73"/>
      <c r="BH14" s="73"/>
      <c r="BI14" s="71" t="s">
        <v>66</v>
      </c>
      <c r="BJ14" s="71" t="s">
        <v>66</v>
      </c>
      <c r="BK14" s="71" t="s">
        <v>66</v>
      </c>
      <c r="BL14" s="116" t="s">
        <v>66</v>
      </c>
    </row>
    <row r="15" spans="1:64" s="13" customFormat="1" x14ac:dyDescent="0.2">
      <c r="A15" s="13" t="str">
        <f t="shared" si="0"/>
        <v>1970Q2</v>
      </c>
      <c r="B15" s="11">
        <f>B14</f>
        <v>1970</v>
      </c>
      <c r="C15" s="11" t="s">
        <v>2</v>
      </c>
      <c r="D15" s="43">
        <v>339</v>
      </c>
      <c r="E15" s="43">
        <v>627</v>
      </c>
      <c r="F15" s="87">
        <f t="shared" si="1"/>
        <v>966</v>
      </c>
      <c r="G15" s="42" t="s">
        <v>66</v>
      </c>
      <c r="H15" s="42" t="s">
        <v>66</v>
      </c>
      <c r="I15" s="92" t="s">
        <v>66</v>
      </c>
      <c r="J15" s="92" t="s">
        <v>66</v>
      </c>
      <c r="K15" s="92" t="s">
        <v>66</v>
      </c>
      <c r="L15" s="42" t="s">
        <v>66</v>
      </c>
      <c r="M15" s="42" t="s">
        <v>66</v>
      </c>
      <c r="N15" s="42" t="s">
        <v>67</v>
      </c>
      <c r="O15" s="42" t="s">
        <v>67</v>
      </c>
      <c r="P15" s="42" t="s">
        <v>66</v>
      </c>
      <c r="Q15" s="98">
        <v>1280</v>
      </c>
      <c r="R15" s="42" t="s">
        <v>67</v>
      </c>
      <c r="S15" s="42" t="s">
        <v>66</v>
      </c>
      <c r="T15" s="92" t="s">
        <v>66</v>
      </c>
      <c r="U15" s="42" t="s">
        <v>66</v>
      </c>
      <c r="V15" s="92" t="s">
        <v>66</v>
      </c>
      <c r="W15" s="42" t="s">
        <v>66</v>
      </c>
      <c r="X15" s="92" t="s">
        <v>66</v>
      </c>
      <c r="Y15" s="92" t="s">
        <v>66</v>
      </c>
      <c r="Z15" s="92" t="s">
        <v>66</v>
      </c>
      <c r="AA15" s="48" t="s">
        <v>67</v>
      </c>
      <c r="AB15" s="52">
        <v>41</v>
      </c>
      <c r="AC15" s="105">
        <f t="shared" si="2"/>
        <v>1321</v>
      </c>
      <c r="AD15" s="42" t="s">
        <v>66</v>
      </c>
      <c r="AE15" s="48" t="s">
        <v>67</v>
      </c>
      <c r="AF15" s="49" t="str">
        <f t="shared" si="3"/>
        <v>..</v>
      </c>
      <c r="AG15" s="36"/>
      <c r="AH15" s="32"/>
      <c r="AI15" s="108"/>
      <c r="AJ15" s="28"/>
      <c r="AK15" s="25"/>
      <c r="AL15" s="29"/>
      <c r="AM15" s="21"/>
      <c r="AN15" s="19" t="s">
        <v>66</v>
      </c>
      <c r="AO15" s="19" t="s">
        <v>66</v>
      </c>
      <c r="AP15" s="111" t="s">
        <v>66</v>
      </c>
      <c r="AQ15" s="19" t="s">
        <v>66</v>
      </c>
      <c r="AR15" s="19" t="s">
        <v>66</v>
      </c>
      <c r="AS15" s="112" t="s">
        <v>31</v>
      </c>
      <c r="AT15" s="112" t="s">
        <v>31</v>
      </c>
      <c r="AU15" s="19" t="s">
        <v>66</v>
      </c>
      <c r="AV15" s="19" t="s">
        <v>66</v>
      </c>
      <c r="AW15" s="19" t="s">
        <v>67</v>
      </c>
      <c r="AX15" s="19" t="s">
        <v>66</v>
      </c>
      <c r="AY15" s="19" t="s">
        <v>66</v>
      </c>
      <c r="AZ15" s="22" t="s">
        <v>67</v>
      </c>
      <c r="BA15" s="19" t="s">
        <v>67</v>
      </c>
      <c r="BB15" s="106" t="str">
        <f t="shared" si="4"/>
        <v>..</v>
      </c>
      <c r="BC15" s="21"/>
      <c r="BD15" s="70" t="s">
        <v>66</v>
      </c>
      <c r="BE15" s="70" t="s">
        <v>66</v>
      </c>
      <c r="BF15" s="114" t="str">
        <f t="shared" si="5"/>
        <v>..</v>
      </c>
      <c r="BG15" s="73"/>
      <c r="BH15" s="73"/>
      <c r="BI15" s="71" t="s">
        <v>66</v>
      </c>
      <c r="BJ15" s="71" t="s">
        <v>66</v>
      </c>
      <c r="BK15" s="71" t="s">
        <v>66</v>
      </c>
      <c r="BL15" s="116" t="s">
        <v>66</v>
      </c>
    </row>
    <row r="16" spans="1:64" s="13" customFormat="1" x14ac:dyDescent="0.2">
      <c r="A16" s="13" t="str">
        <f t="shared" si="0"/>
        <v>1970Q3</v>
      </c>
      <c r="B16" s="11">
        <f>B15</f>
        <v>1970</v>
      </c>
      <c r="C16" s="11" t="s">
        <v>3</v>
      </c>
      <c r="D16" s="43">
        <v>169</v>
      </c>
      <c r="E16" s="43">
        <v>575</v>
      </c>
      <c r="F16" s="87">
        <f t="shared" si="1"/>
        <v>744</v>
      </c>
      <c r="G16" s="42" t="s">
        <v>66</v>
      </c>
      <c r="H16" s="42" t="s">
        <v>66</v>
      </c>
      <c r="I16" s="92" t="s">
        <v>66</v>
      </c>
      <c r="J16" s="92" t="s">
        <v>66</v>
      </c>
      <c r="K16" s="92" t="s">
        <v>66</v>
      </c>
      <c r="L16" s="42" t="s">
        <v>66</v>
      </c>
      <c r="M16" s="42" t="s">
        <v>66</v>
      </c>
      <c r="N16" s="42" t="s">
        <v>67</v>
      </c>
      <c r="O16" s="42" t="s">
        <v>67</v>
      </c>
      <c r="P16" s="42" t="s">
        <v>66</v>
      </c>
      <c r="Q16" s="98">
        <v>1174</v>
      </c>
      <c r="R16" s="42" t="s">
        <v>67</v>
      </c>
      <c r="S16" s="42" t="s">
        <v>66</v>
      </c>
      <c r="T16" s="92" t="s">
        <v>66</v>
      </c>
      <c r="U16" s="42" t="s">
        <v>66</v>
      </c>
      <c r="V16" s="92" t="s">
        <v>66</v>
      </c>
      <c r="W16" s="42" t="s">
        <v>66</v>
      </c>
      <c r="X16" s="92" t="s">
        <v>66</v>
      </c>
      <c r="Y16" s="92" t="s">
        <v>66</v>
      </c>
      <c r="Z16" s="92" t="s">
        <v>66</v>
      </c>
      <c r="AA16" s="48" t="s">
        <v>67</v>
      </c>
      <c r="AB16" s="52">
        <v>45</v>
      </c>
      <c r="AC16" s="105">
        <f t="shared" si="2"/>
        <v>1219</v>
      </c>
      <c r="AD16" s="42" t="s">
        <v>66</v>
      </c>
      <c r="AE16" s="48" t="s">
        <v>67</v>
      </c>
      <c r="AF16" s="49" t="str">
        <f t="shared" si="3"/>
        <v>..</v>
      </c>
      <c r="AG16" s="36"/>
      <c r="AH16" s="32"/>
      <c r="AI16" s="108"/>
      <c r="AJ16" s="28"/>
      <c r="AK16" s="25"/>
      <c r="AL16" s="29"/>
      <c r="AM16" s="21"/>
      <c r="AN16" s="19" t="s">
        <v>66</v>
      </c>
      <c r="AO16" s="19" t="s">
        <v>66</v>
      </c>
      <c r="AP16" s="111" t="s">
        <v>66</v>
      </c>
      <c r="AQ16" s="19" t="s">
        <v>66</v>
      </c>
      <c r="AR16" s="19" t="s">
        <v>66</v>
      </c>
      <c r="AS16" s="112" t="s">
        <v>31</v>
      </c>
      <c r="AT16" s="112" t="s">
        <v>31</v>
      </c>
      <c r="AU16" s="19" t="s">
        <v>66</v>
      </c>
      <c r="AV16" s="19" t="s">
        <v>66</v>
      </c>
      <c r="AW16" s="19" t="s">
        <v>67</v>
      </c>
      <c r="AX16" s="19" t="s">
        <v>66</v>
      </c>
      <c r="AY16" s="19" t="s">
        <v>66</v>
      </c>
      <c r="AZ16" s="22" t="s">
        <v>67</v>
      </c>
      <c r="BA16" s="19" t="s">
        <v>67</v>
      </c>
      <c r="BB16" s="106" t="str">
        <f t="shared" si="4"/>
        <v>..</v>
      </c>
      <c r="BC16" s="21"/>
      <c r="BD16" s="70" t="s">
        <v>66</v>
      </c>
      <c r="BE16" s="70" t="s">
        <v>66</v>
      </c>
      <c r="BF16" s="114" t="str">
        <f t="shared" si="5"/>
        <v>..</v>
      </c>
      <c r="BG16" s="73"/>
      <c r="BH16" s="73"/>
      <c r="BI16" s="71" t="s">
        <v>66</v>
      </c>
      <c r="BJ16" s="71" t="s">
        <v>66</v>
      </c>
      <c r="BK16" s="71" t="s">
        <v>66</v>
      </c>
      <c r="BL16" s="116" t="s">
        <v>66</v>
      </c>
    </row>
    <row r="17" spans="1:64" s="13" customFormat="1" x14ac:dyDescent="0.2">
      <c r="A17" s="13" t="str">
        <f t="shared" si="0"/>
        <v>1970Q4</v>
      </c>
      <c r="B17" s="11">
        <f>B16</f>
        <v>1970</v>
      </c>
      <c r="C17" s="11" t="s">
        <v>4</v>
      </c>
      <c r="D17" s="43">
        <v>443</v>
      </c>
      <c r="E17" s="43">
        <v>555</v>
      </c>
      <c r="F17" s="87">
        <f t="shared" si="1"/>
        <v>998</v>
      </c>
      <c r="G17" s="42" t="s">
        <v>66</v>
      </c>
      <c r="H17" s="42" t="s">
        <v>66</v>
      </c>
      <c r="I17" s="92" t="s">
        <v>66</v>
      </c>
      <c r="J17" s="92" t="s">
        <v>66</v>
      </c>
      <c r="K17" s="92" t="s">
        <v>66</v>
      </c>
      <c r="L17" s="42" t="s">
        <v>66</v>
      </c>
      <c r="M17" s="42" t="s">
        <v>66</v>
      </c>
      <c r="N17" s="42" t="s">
        <v>67</v>
      </c>
      <c r="O17" s="42" t="s">
        <v>67</v>
      </c>
      <c r="P17" s="42" t="s">
        <v>66</v>
      </c>
      <c r="Q17" s="98">
        <v>1180</v>
      </c>
      <c r="R17" s="42" t="s">
        <v>67</v>
      </c>
      <c r="S17" s="42" t="s">
        <v>66</v>
      </c>
      <c r="T17" s="92" t="s">
        <v>66</v>
      </c>
      <c r="U17" s="42" t="s">
        <v>66</v>
      </c>
      <c r="V17" s="92" t="s">
        <v>66</v>
      </c>
      <c r="W17" s="42" t="s">
        <v>66</v>
      </c>
      <c r="X17" s="92" t="s">
        <v>66</v>
      </c>
      <c r="Y17" s="92" t="s">
        <v>66</v>
      </c>
      <c r="Z17" s="92" t="s">
        <v>66</v>
      </c>
      <c r="AA17" s="48" t="s">
        <v>67</v>
      </c>
      <c r="AB17" s="52">
        <v>53</v>
      </c>
      <c r="AC17" s="105">
        <f t="shared" si="2"/>
        <v>1233</v>
      </c>
      <c r="AD17" s="42" t="s">
        <v>66</v>
      </c>
      <c r="AE17" s="48" t="s">
        <v>67</v>
      </c>
      <c r="AF17" s="49" t="str">
        <f t="shared" si="3"/>
        <v>..</v>
      </c>
      <c r="AG17" s="36"/>
      <c r="AH17" s="32"/>
      <c r="AI17" s="108"/>
      <c r="AJ17" s="28"/>
      <c r="AK17" s="25"/>
      <c r="AL17" s="29"/>
      <c r="AM17" s="21"/>
      <c r="AN17" s="19" t="s">
        <v>66</v>
      </c>
      <c r="AO17" s="19" t="s">
        <v>66</v>
      </c>
      <c r="AP17" s="111" t="s">
        <v>66</v>
      </c>
      <c r="AQ17" s="19" t="s">
        <v>66</v>
      </c>
      <c r="AR17" s="19" t="s">
        <v>66</v>
      </c>
      <c r="AS17" s="112" t="s">
        <v>31</v>
      </c>
      <c r="AT17" s="112" t="s">
        <v>31</v>
      </c>
      <c r="AU17" s="19" t="s">
        <v>66</v>
      </c>
      <c r="AV17" s="19" t="s">
        <v>66</v>
      </c>
      <c r="AW17" s="19" t="s">
        <v>67</v>
      </c>
      <c r="AX17" s="19" t="s">
        <v>66</v>
      </c>
      <c r="AY17" s="19" t="s">
        <v>66</v>
      </c>
      <c r="AZ17" s="22" t="s">
        <v>67</v>
      </c>
      <c r="BA17" s="19" t="s">
        <v>67</v>
      </c>
      <c r="BB17" s="106" t="str">
        <f t="shared" si="4"/>
        <v>..</v>
      </c>
      <c r="BC17" s="21"/>
      <c r="BD17" s="70" t="s">
        <v>66</v>
      </c>
      <c r="BE17" s="70" t="s">
        <v>66</v>
      </c>
      <c r="BF17" s="114" t="str">
        <f t="shared" si="5"/>
        <v>..</v>
      </c>
      <c r="BG17" s="73"/>
      <c r="BH17" s="73"/>
      <c r="BI17" s="71" t="s">
        <v>66</v>
      </c>
      <c r="BJ17" s="71" t="s">
        <v>66</v>
      </c>
      <c r="BK17" s="71" t="s">
        <v>66</v>
      </c>
      <c r="BL17" s="116" t="s">
        <v>66</v>
      </c>
    </row>
    <row r="18" spans="1:64" s="13" customFormat="1" x14ac:dyDescent="0.2">
      <c r="A18" s="13" t="str">
        <f t="shared" si="0"/>
        <v>1971Q1</v>
      </c>
      <c r="B18" s="11">
        <v>1971</v>
      </c>
      <c r="C18" s="63" t="s">
        <v>1</v>
      </c>
      <c r="D18" s="43">
        <v>310</v>
      </c>
      <c r="E18" s="43">
        <v>450</v>
      </c>
      <c r="F18" s="87">
        <f t="shared" si="1"/>
        <v>760</v>
      </c>
      <c r="G18" s="42" t="s">
        <v>66</v>
      </c>
      <c r="H18" s="42" t="s">
        <v>66</v>
      </c>
      <c r="I18" s="92" t="s">
        <v>66</v>
      </c>
      <c r="J18" s="92" t="s">
        <v>66</v>
      </c>
      <c r="K18" s="92" t="s">
        <v>66</v>
      </c>
      <c r="L18" s="42" t="s">
        <v>66</v>
      </c>
      <c r="M18" s="42" t="s">
        <v>66</v>
      </c>
      <c r="N18" s="42" t="s">
        <v>67</v>
      </c>
      <c r="O18" s="42" t="s">
        <v>67</v>
      </c>
      <c r="P18" s="42" t="s">
        <v>66</v>
      </c>
      <c r="Q18" s="98">
        <v>1145</v>
      </c>
      <c r="R18" s="42" t="s">
        <v>67</v>
      </c>
      <c r="S18" s="42" t="s">
        <v>66</v>
      </c>
      <c r="T18" s="92" t="s">
        <v>66</v>
      </c>
      <c r="U18" s="42" t="s">
        <v>66</v>
      </c>
      <c r="V18" s="92" t="s">
        <v>66</v>
      </c>
      <c r="W18" s="42" t="s">
        <v>66</v>
      </c>
      <c r="X18" s="92" t="s">
        <v>66</v>
      </c>
      <c r="Y18" s="92" t="s">
        <v>66</v>
      </c>
      <c r="Z18" s="92" t="s">
        <v>66</v>
      </c>
      <c r="AA18" s="48" t="s">
        <v>67</v>
      </c>
      <c r="AB18" s="52">
        <v>26</v>
      </c>
      <c r="AC18" s="105">
        <f t="shared" si="2"/>
        <v>1171</v>
      </c>
      <c r="AD18" s="42" t="s">
        <v>66</v>
      </c>
      <c r="AE18" s="48" t="s">
        <v>67</v>
      </c>
      <c r="AF18" s="49" t="str">
        <f t="shared" si="3"/>
        <v>..</v>
      </c>
      <c r="AG18" s="36"/>
      <c r="AH18" s="32"/>
      <c r="AI18" s="108"/>
      <c r="AJ18" s="28"/>
      <c r="AK18" s="25"/>
      <c r="AL18" s="29"/>
      <c r="AM18" s="21"/>
      <c r="AN18" s="19" t="s">
        <v>66</v>
      </c>
      <c r="AO18" s="19" t="s">
        <v>66</v>
      </c>
      <c r="AP18" s="111" t="s">
        <v>66</v>
      </c>
      <c r="AQ18" s="19" t="s">
        <v>66</v>
      </c>
      <c r="AR18" s="19" t="s">
        <v>66</v>
      </c>
      <c r="AS18" s="112" t="s">
        <v>31</v>
      </c>
      <c r="AT18" s="112" t="s">
        <v>31</v>
      </c>
      <c r="AU18" s="19" t="s">
        <v>66</v>
      </c>
      <c r="AV18" s="19" t="s">
        <v>66</v>
      </c>
      <c r="AW18" s="19" t="s">
        <v>67</v>
      </c>
      <c r="AX18" s="19" t="s">
        <v>66</v>
      </c>
      <c r="AY18" s="19" t="s">
        <v>66</v>
      </c>
      <c r="AZ18" s="22" t="s">
        <v>67</v>
      </c>
      <c r="BA18" s="19" t="s">
        <v>67</v>
      </c>
      <c r="BB18" s="106" t="str">
        <f t="shared" si="4"/>
        <v>..</v>
      </c>
      <c r="BC18" s="21"/>
      <c r="BD18" s="70" t="s">
        <v>66</v>
      </c>
      <c r="BE18" s="70" t="s">
        <v>66</v>
      </c>
      <c r="BF18" s="114" t="str">
        <f t="shared" si="5"/>
        <v>..</v>
      </c>
      <c r="BG18" s="73"/>
      <c r="BH18" s="73"/>
      <c r="BI18" s="71" t="s">
        <v>66</v>
      </c>
      <c r="BJ18" s="71" t="s">
        <v>66</v>
      </c>
      <c r="BK18" s="71" t="s">
        <v>66</v>
      </c>
      <c r="BL18" s="116" t="s">
        <v>66</v>
      </c>
    </row>
    <row r="19" spans="1:64" s="13" customFormat="1" x14ac:dyDescent="0.2">
      <c r="A19" s="13" t="str">
        <f t="shared" si="0"/>
        <v>1971Q2</v>
      </c>
      <c r="B19" s="11">
        <f>B18</f>
        <v>1971</v>
      </c>
      <c r="C19" s="11" t="s">
        <v>2</v>
      </c>
      <c r="D19" s="43">
        <v>285</v>
      </c>
      <c r="E19" s="43">
        <v>660</v>
      </c>
      <c r="F19" s="87">
        <f t="shared" si="1"/>
        <v>945</v>
      </c>
      <c r="G19" s="42" t="s">
        <v>66</v>
      </c>
      <c r="H19" s="42" t="s">
        <v>66</v>
      </c>
      <c r="I19" s="92" t="s">
        <v>66</v>
      </c>
      <c r="J19" s="92" t="s">
        <v>66</v>
      </c>
      <c r="K19" s="92" t="s">
        <v>66</v>
      </c>
      <c r="L19" s="42" t="s">
        <v>66</v>
      </c>
      <c r="M19" s="42" t="s">
        <v>66</v>
      </c>
      <c r="N19" s="42" t="s">
        <v>67</v>
      </c>
      <c r="O19" s="42" t="s">
        <v>67</v>
      </c>
      <c r="P19" s="42" t="s">
        <v>66</v>
      </c>
      <c r="Q19" s="98">
        <v>1205</v>
      </c>
      <c r="R19" s="42" t="s">
        <v>67</v>
      </c>
      <c r="S19" s="42" t="s">
        <v>66</v>
      </c>
      <c r="T19" s="92" t="s">
        <v>66</v>
      </c>
      <c r="U19" s="42" t="s">
        <v>66</v>
      </c>
      <c r="V19" s="92" t="s">
        <v>66</v>
      </c>
      <c r="W19" s="42" t="s">
        <v>66</v>
      </c>
      <c r="X19" s="92" t="s">
        <v>66</v>
      </c>
      <c r="Y19" s="92" t="s">
        <v>66</v>
      </c>
      <c r="Z19" s="92" t="s">
        <v>66</v>
      </c>
      <c r="AA19" s="48" t="s">
        <v>67</v>
      </c>
      <c r="AB19" s="52">
        <v>48</v>
      </c>
      <c r="AC19" s="105">
        <f t="shared" si="2"/>
        <v>1253</v>
      </c>
      <c r="AD19" s="42" t="s">
        <v>66</v>
      </c>
      <c r="AE19" s="48" t="s">
        <v>67</v>
      </c>
      <c r="AF19" s="49" t="str">
        <f t="shared" si="3"/>
        <v>..</v>
      </c>
      <c r="AG19" s="36"/>
      <c r="AH19" s="32"/>
      <c r="AI19" s="108"/>
      <c r="AJ19" s="28"/>
      <c r="AK19" s="25"/>
      <c r="AL19" s="29"/>
      <c r="AM19" s="21"/>
      <c r="AN19" s="19" t="s">
        <v>66</v>
      </c>
      <c r="AO19" s="19" t="s">
        <v>66</v>
      </c>
      <c r="AP19" s="111" t="s">
        <v>66</v>
      </c>
      <c r="AQ19" s="19" t="s">
        <v>66</v>
      </c>
      <c r="AR19" s="19" t="s">
        <v>66</v>
      </c>
      <c r="AS19" s="112" t="s">
        <v>31</v>
      </c>
      <c r="AT19" s="112" t="s">
        <v>31</v>
      </c>
      <c r="AU19" s="19" t="s">
        <v>66</v>
      </c>
      <c r="AV19" s="19" t="s">
        <v>66</v>
      </c>
      <c r="AW19" s="19" t="s">
        <v>67</v>
      </c>
      <c r="AX19" s="19" t="s">
        <v>66</v>
      </c>
      <c r="AY19" s="19" t="s">
        <v>66</v>
      </c>
      <c r="AZ19" s="22" t="s">
        <v>67</v>
      </c>
      <c r="BA19" s="19" t="s">
        <v>67</v>
      </c>
      <c r="BB19" s="106" t="str">
        <f t="shared" si="4"/>
        <v>..</v>
      </c>
      <c r="BC19" s="21"/>
      <c r="BD19" s="70" t="s">
        <v>66</v>
      </c>
      <c r="BE19" s="70" t="s">
        <v>66</v>
      </c>
      <c r="BF19" s="114" t="str">
        <f t="shared" si="5"/>
        <v>..</v>
      </c>
      <c r="BG19" s="73"/>
      <c r="BH19" s="73"/>
      <c r="BI19" s="71" t="s">
        <v>66</v>
      </c>
      <c r="BJ19" s="71" t="s">
        <v>66</v>
      </c>
      <c r="BK19" s="71" t="s">
        <v>66</v>
      </c>
      <c r="BL19" s="116" t="s">
        <v>66</v>
      </c>
    </row>
    <row r="20" spans="1:64" s="13" customFormat="1" x14ac:dyDescent="0.2">
      <c r="A20" s="13" t="str">
        <f t="shared" si="0"/>
        <v>1971Q3</v>
      </c>
      <c r="B20" s="11">
        <f>B19</f>
        <v>1971</v>
      </c>
      <c r="C20" s="11" t="s">
        <v>3</v>
      </c>
      <c r="D20" s="43">
        <v>172</v>
      </c>
      <c r="E20" s="43">
        <v>605</v>
      </c>
      <c r="F20" s="87">
        <f t="shared" si="1"/>
        <v>777</v>
      </c>
      <c r="G20" s="42" t="s">
        <v>66</v>
      </c>
      <c r="H20" s="42" t="s">
        <v>66</v>
      </c>
      <c r="I20" s="92" t="s">
        <v>66</v>
      </c>
      <c r="J20" s="92" t="s">
        <v>66</v>
      </c>
      <c r="K20" s="92" t="s">
        <v>66</v>
      </c>
      <c r="L20" s="42" t="s">
        <v>66</v>
      </c>
      <c r="M20" s="42" t="s">
        <v>66</v>
      </c>
      <c r="N20" s="42" t="s">
        <v>67</v>
      </c>
      <c r="O20" s="42" t="s">
        <v>67</v>
      </c>
      <c r="P20" s="42" t="s">
        <v>66</v>
      </c>
      <c r="Q20" s="98">
        <v>1092</v>
      </c>
      <c r="R20" s="42" t="s">
        <v>67</v>
      </c>
      <c r="S20" s="42" t="s">
        <v>66</v>
      </c>
      <c r="T20" s="92" t="s">
        <v>66</v>
      </c>
      <c r="U20" s="42" t="s">
        <v>66</v>
      </c>
      <c r="V20" s="92" t="s">
        <v>66</v>
      </c>
      <c r="W20" s="42" t="s">
        <v>66</v>
      </c>
      <c r="X20" s="92" t="s">
        <v>66</v>
      </c>
      <c r="Y20" s="92" t="s">
        <v>66</v>
      </c>
      <c r="Z20" s="92" t="s">
        <v>66</v>
      </c>
      <c r="AA20" s="48" t="s">
        <v>67</v>
      </c>
      <c r="AB20" s="52">
        <v>45</v>
      </c>
      <c r="AC20" s="105">
        <f t="shared" si="2"/>
        <v>1137</v>
      </c>
      <c r="AD20" s="42" t="s">
        <v>66</v>
      </c>
      <c r="AE20" s="48" t="s">
        <v>67</v>
      </c>
      <c r="AF20" s="49" t="str">
        <f t="shared" si="3"/>
        <v>..</v>
      </c>
      <c r="AG20" s="36"/>
      <c r="AH20" s="32"/>
      <c r="AI20" s="108"/>
      <c r="AJ20" s="28"/>
      <c r="AK20" s="25"/>
      <c r="AL20" s="29"/>
      <c r="AM20" s="21"/>
      <c r="AN20" s="19" t="s">
        <v>66</v>
      </c>
      <c r="AO20" s="19" t="s">
        <v>66</v>
      </c>
      <c r="AP20" s="111" t="s">
        <v>66</v>
      </c>
      <c r="AQ20" s="19" t="s">
        <v>66</v>
      </c>
      <c r="AR20" s="19" t="s">
        <v>66</v>
      </c>
      <c r="AS20" s="112" t="s">
        <v>31</v>
      </c>
      <c r="AT20" s="112" t="s">
        <v>31</v>
      </c>
      <c r="AU20" s="19" t="s">
        <v>66</v>
      </c>
      <c r="AV20" s="19" t="s">
        <v>66</v>
      </c>
      <c r="AW20" s="19" t="s">
        <v>67</v>
      </c>
      <c r="AX20" s="19" t="s">
        <v>66</v>
      </c>
      <c r="AY20" s="19" t="s">
        <v>66</v>
      </c>
      <c r="AZ20" s="22" t="s">
        <v>67</v>
      </c>
      <c r="BA20" s="19" t="s">
        <v>67</v>
      </c>
      <c r="BB20" s="106" t="str">
        <f t="shared" si="4"/>
        <v>..</v>
      </c>
      <c r="BC20" s="21"/>
      <c r="BD20" s="70" t="s">
        <v>66</v>
      </c>
      <c r="BE20" s="70" t="s">
        <v>66</v>
      </c>
      <c r="BF20" s="114" t="str">
        <f t="shared" si="5"/>
        <v>..</v>
      </c>
      <c r="BG20" s="73"/>
      <c r="BH20" s="73"/>
      <c r="BI20" s="71" t="s">
        <v>66</v>
      </c>
      <c r="BJ20" s="71" t="s">
        <v>66</v>
      </c>
      <c r="BK20" s="71" t="s">
        <v>66</v>
      </c>
      <c r="BL20" s="116" t="s">
        <v>66</v>
      </c>
    </row>
    <row r="21" spans="1:64" s="13" customFormat="1" x14ac:dyDescent="0.2">
      <c r="A21" s="13" t="str">
        <f t="shared" si="0"/>
        <v>1971Q4</v>
      </c>
      <c r="B21" s="11">
        <f>B20</f>
        <v>1971</v>
      </c>
      <c r="C21" s="11" t="s">
        <v>4</v>
      </c>
      <c r="D21" s="43">
        <v>399</v>
      </c>
      <c r="E21" s="43">
        <v>625</v>
      </c>
      <c r="F21" s="87">
        <f t="shared" si="1"/>
        <v>1024</v>
      </c>
      <c r="G21" s="42" t="s">
        <v>66</v>
      </c>
      <c r="H21" s="42" t="s">
        <v>66</v>
      </c>
      <c r="I21" s="92" t="s">
        <v>66</v>
      </c>
      <c r="J21" s="92" t="s">
        <v>66</v>
      </c>
      <c r="K21" s="92" t="s">
        <v>66</v>
      </c>
      <c r="L21" s="42" t="s">
        <v>66</v>
      </c>
      <c r="M21" s="42" t="s">
        <v>66</v>
      </c>
      <c r="N21" s="42" t="s">
        <v>67</v>
      </c>
      <c r="O21" s="42" t="s">
        <v>67</v>
      </c>
      <c r="P21" s="42" t="s">
        <v>66</v>
      </c>
      <c r="Q21" s="98">
        <v>1201</v>
      </c>
      <c r="R21" s="42" t="s">
        <v>67</v>
      </c>
      <c r="S21" s="42" t="s">
        <v>66</v>
      </c>
      <c r="T21" s="92" t="s">
        <v>66</v>
      </c>
      <c r="U21" s="42" t="s">
        <v>66</v>
      </c>
      <c r="V21" s="92" t="s">
        <v>66</v>
      </c>
      <c r="W21" s="42" t="s">
        <v>66</v>
      </c>
      <c r="X21" s="92" t="s">
        <v>66</v>
      </c>
      <c r="Y21" s="92" t="s">
        <v>66</v>
      </c>
      <c r="Z21" s="92" t="s">
        <v>66</v>
      </c>
      <c r="AA21" s="48" t="s">
        <v>67</v>
      </c>
      <c r="AB21" s="52">
        <v>31</v>
      </c>
      <c r="AC21" s="105">
        <f t="shared" si="2"/>
        <v>1232</v>
      </c>
      <c r="AD21" s="42" t="s">
        <v>66</v>
      </c>
      <c r="AE21" s="48" t="s">
        <v>67</v>
      </c>
      <c r="AF21" s="49" t="str">
        <f t="shared" si="3"/>
        <v>..</v>
      </c>
      <c r="AG21" s="36"/>
      <c r="AH21" s="32"/>
      <c r="AI21" s="108"/>
      <c r="AJ21" s="28"/>
      <c r="AK21" s="25"/>
      <c r="AL21" s="29"/>
      <c r="AM21" s="21"/>
      <c r="AN21" s="19" t="s">
        <v>66</v>
      </c>
      <c r="AO21" s="19" t="s">
        <v>66</v>
      </c>
      <c r="AP21" s="111" t="s">
        <v>66</v>
      </c>
      <c r="AQ21" s="19" t="s">
        <v>66</v>
      </c>
      <c r="AR21" s="19" t="s">
        <v>66</v>
      </c>
      <c r="AS21" s="112" t="s">
        <v>31</v>
      </c>
      <c r="AT21" s="112" t="s">
        <v>31</v>
      </c>
      <c r="AU21" s="19" t="s">
        <v>66</v>
      </c>
      <c r="AV21" s="19" t="s">
        <v>66</v>
      </c>
      <c r="AW21" s="19" t="s">
        <v>67</v>
      </c>
      <c r="AX21" s="19" t="s">
        <v>66</v>
      </c>
      <c r="AY21" s="19" t="s">
        <v>66</v>
      </c>
      <c r="AZ21" s="22" t="s">
        <v>67</v>
      </c>
      <c r="BA21" s="19" t="s">
        <v>67</v>
      </c>
      <c r="BB21" s="106" t="str">
        <f t="shared" si="4"/>
        <v>..</v>
      </c>
      <c r="BC21" s="21"/>
      <c r="BD21" s="70" t="s">
        <v>66</v>
      </c>
      <c r="BE21" s="70" t="s">
        <v>66</v>
      </c>
      <c r="BF21" s="114" t="str">
        <f t="shared" si="5"/>
        <v>..</v>
      </c>
      <c r="BG21" s="73"/>
      <c r="BH21" s="73"/>
      <c r="BI21" s="71" t="s">
        <v>66</v>
      </c>
      <c r="BJ21" s="71" t="s">
        <v>66</v>
      </c>
      <c r="BK21" s="71" t="s">
        <v>66</v>
      </c>
      <c r="BL21" s="116" t="s">
        <v>66</v>
      </c>
    </row>
    <row r="22" spans="1:64" s="13" customFormat="1" x14ac:dyDescent="0.2">
      <c r="A22" s="13" t="str">
        <f t="shared" si="0"/>
        <v>1972Q1</v>
      </c>
      <c r="B22" s="11">
        <v>1972</v>
      </c>
      <c r="C22" s="63" t="s">
        <v>1</v>
      </c>
      <c r="D22" s="43">
        <v>291</v>
      </c>
      <c r="E22" s="43">
        <v>586</v>
      </c>
      <c r="F22" s="87">
        <f t="shared" si="1"/>
        <v>877</v>
      </c>
      <c r="G22" s="42" t="s">
        <v>66</v>
      </c>
      <c r="H22" s="42" t="s">
        <v>66</v>
      </c>
      <c r="I22" s="92" t="s">
        <v>66</v>
      </c>
      <c r="J22" s="92" t="s">
        <v>66</v>
      </c>
      <c r="K22" s="92" t="s">
        <v>66</v>
      </c>
      <c r="L22" s="42" t="s">
        <v>66</v>
      </c>
      <c r="M22" s="42" t="s">
        <v>66</v>
      </c>
      <c r="N22" s="42" t="s">
        <v>67</v>
      </c>
      <c r="O22" s="42" t="s">
        <v>67</v>
      </c>
      <c r="P22" s="42" t="s">
        <v>66</v>
      </c>
      <c r="Q22" s="98">
        <v>1197</v>
      </c>
      <c r="R22" s="42" t="s">
        <v>67</v>
      </c>
      <c r="S22" s="42" t="s">
        <v>66</v>
      </c>
      <c r="T22" s="92" t="s">
        <v>66</v>
      </c>
      <c r="U22" s="42" t="s">
        <v>66</v>
      </c>
      <c r="V22" s="92" t="s">
        <v>66</v>
      </c>
      <c r="W22" s="42" t="s">
        <v>66</v>
      </c>
      <c r="X22" s="92" t="s">
        <v>66</v>
      </c>
      <c r="Y22" s="92" t="s">
        <v>66</v>
      </c>
      <c r="Z22" s="92" t="s">
        <v>66</v>
      </c>
      <c r="AA22" s="48" t="s">
        <v>67</v>
      </c>
      <c r="AB22" s="52">
        <v>25</v>
      </c>
      <c r="AC22" s="105">
        <f t="shared" si="2"/>
        <v>1222</v>
      </c>
      <c r="AD22" s="42" t="s">
        <v>66</v>
      </c>
      <c r="AE22" s="48" t="s">
        <v>67</v>
      </c>
      <c r="AF22" s="49" t="str">
        <f t="shared" si="3"/>
        <v>..</v>
      </c>
      <c r="AG22" s="36"/>
      <c r="AH22" s="32"/>
      <c r="AI22" s="108"/>
      <c r="AJ22" s="28"/>
      <c r="AK22" s="25"/>
      <c r="AL22" s="29"/>
      <c r="AM22" s="21"/>
      <c r="AN22" s="19" t="s">
        <v>66</v>
      </c>
      <c r="AO22" s="19" t="s">
        <v>66</v>
      </c>
      <c r="AP22" s="111" t="s">
        <v>66</v>
      </c>
      <c r="AQ22" s="19" t="s">
        <v>66</v>
      </c>
      <c r="AR22" s="19" t="s">
        <v>66</v>
      </c>
      <c r="AS22" s="112" t="s">
        <v>31</v>
      </c>
      <c r="AT22" s="112" t="s">
        <v>31</v>
      </c>
      <c r="AU22" s="19" t="s">
        <v>66</v>
      </c>
      <c r="AV22" s="19" t="s">
        <v>66</v>
      </c>
      <c r="AW22" s="19" t="s">
        <v>67</v>
      </c>
      <c r="AX22" s="19" t="s">
        <v>66</v>
      </c>
      <c r="AY22" s="19" t="s">
        <v>66</v>
      </c>
      <c r="AZ22" s="22" t="s">
        <v>67</v>
      </c>
      <c r="BA22" s="19" t="s">
        <v>67</v>
      </c>
      <c r="BB22" s="106" t="str">
        <f t="shared" si="4"/>
        <v>..</v>
      </c>
      <c r="BC22" s="21"/>
      <c r="BD22" s="70" t="s">
        <v>66</v>
      </c>
      <c r="BE22" s="70" t="s">
        <v>66</v>
      </c>
      <c r="BF22" s="114" t="str">
        <f t="shared" si="5"/>
        <v>..</v>
      </c>
      <c r="BG22" s="73"/>
      <c r="BH22" s="73"/>
      <c r="BI22" s="71" t="s">
        <v>66</v>
      </c>
      <c r="BJ22" s="71" t="s">
        <v>66</v>
      </c>
      <c r="BK22" s="71" t="s">
        <v>66</v>
      </c>
      <c r="BL22" s="116" t="s">
        <v>66</v>
      </c>
    </row>
    <row r="23" spans="1:64" s="13" customFormat="1" x14ac:dyDescent="0.2">
      <c r="A23" s="13" t="str">
        <f t="shared" si="0"/>
        <v>1972Q2</v>
      </c>
      <c r="B23" s="11">
        <f>B22</f>
        <v>1972</v>
      </c>
      <c r="C23" s="11" t="s">
        <v>2</v>
      </c>
      <c r="D23" s="43">
        <v>293</v>
      </c>
      <c r="E23" s="43">
        <v>506</v>
      </c>
      <c r="F23" s="87">
        <f t="shared" si="1"/>
        <v>799</v>
      </c>
      <c r="G23" s="42" t="s">
        <v>66</v>
      </c>
      <c r="H23" s="42" t="s">
        <v>66</v>
      </c>
      <c r="I23" s="92" t="s">
        <v>66</v>
      </c>
      <c r="J23" s="92" t="s">
        <v>66</v>
      </c>
      <c r="K23" s="92" t="s">
        <v>66</v>
      </c>
      <c r="L23" s="42" t="s">
        <v>66</v>
      </c>
      <c r="M23" s="42" t="s">
        <v>66</v>
      </c>
      <c r="N23" s="42" t="s">
        <v>67</v>
      </c>
      <c r="O23" s="42" t="s">
        <v>67</v>
      </c>
      <c r="P23" s="42" t="s">
        <v>66</v>
      </c>
      <c r="Q23" s="98">
        <v>1175</v>
      </c>
      <c r="R23" s="42" t="s">
        <v>67</v>
      </c>
      <c r="S23" s="42" t="s">
        <v>66</v>
      </c>
      <c r="T23" s="92" t="s">
        <v>66</v>
      </c>
      <c r="U23" s="42" t="s">
        <v>66</v>
      </c>
      <c r="V23" s="92" t="s">
        <v>66</v>
      </c>
      <c r="W23" s="42" t="s">
        <v>66</v>
      </c>
      <c r="X23" s="92" t="s">
        <v>66</v>
      </c>
      <c r="Y23" s="92" t="s">
        <v>66</v>
      </c>
      <c r="Z23" s="92" t="s">
        <v>66</v>
      </c>
      <c r="AA23" s="48" t="s">
        <v>67</v>
      </c>
      <c r="AB23" s="52">
        <v>25</v>
      </c>
      <c r="AC23" s="105">
        <f t="shared" si="2"/>
        <v>1200</v>
      </c>
      <c r="AD23" s="42" t="s">
        <v>66</v>
      </c>
      <c r="AE23" s="48" t="s">
        <v>67</v>
      </c>
      <c r="AF23" s="49" t="str">
        <f t="shared" si="3"/>
        <v>..</v>
      </c>
      <c r="AG23" s="36"/>
      <c r="AH23" s="32"/>
      <c r="AI23" s="108"/>
      <c r="AJ23" s="28"/>
      <c r="AK23" s="25"/>
      <c r="AL23" s="29"/>
      <c r="AM23" s="21"/>
      <c r="AN23" s="19" t="s">
        <v>66</v>
      </c>
      <c r="AO23" s="19" t="s">
        <v>66</v>
      </c>
      <c r="AP23" s="111" t="s">
        <v>66</v>
      </c>
      <c r="AQ23" s="19" t="s">
        <v>66</v>
      </c>
      <c r="AR23" s="19" t="s">
        <v>66</v>
      </c>
      <c r="AS23" s="112" t="s">
        <v>31</v>
      </c>
      <c r="AT23" s="112" t="s">
        <v>31</v>
      </c>
      <c r="AU23" s="19" t="s">
        <v>66</v>
      </c>
      <c r="AV23" s="19" t="s">
        <v>66</v>
      </c>
      <c r="AW23" s="19" t="s">
        <v>67</v>
      </c>
      <c r="AX23" s="19" t="s">
        <v>66</v>
      </c>
      <c r="AY23" s="19" t="s">
        <v>66</v>
      </c>
      <c r="AZ23" s="22" t="s">
        <v>67</v>
      </c>
      <c r="BA23" s="19" t="s">
        <v>67</v>
      </c>
      <c r="BB23" s="106" t="str">
        <f t="shared" si="4"/>
        <v>..</v>
      </c>
      <c r="BC23" s="21"/>
      <c r="BD23" s="70" t="s">
        <v>66</v>
      </c>
      <c r="BE23" s="70" t="s">
        <v>66</v>
      </c>
      <c r="BF23" s="114" t="str">
        <f t="shared" si="5"/>
        <v>..</v>
      </c>
      <c r="BG23" s="73"/>
      <c r="BH23" s="73"/>
      <c r="BI23" s="71" t="s">
        <v>66</v>
      </c>
      <c r="BJ23" s="71" t="s">
        <v>66</v>
      </c>
      <c r="BK23" s="71" t="s">
        <v>66</v>
      </c>
      <c r="BL23" s="116" t="s">
        <v>66</v>
      </c>
    </row>
    <row r="24" spans="1:64" s="13" customFormat="1" x14ac:dyDescent="0.2">
      <c r="A24" s="13" t="str">
        <f t="shared" si="0"/>
        <v>1972Q3</v>
      </c>
      <c r="B24" s="11">
        <f>B23</f>
        <v>1972</v>
      </c>
      <c r="C24" s="11" t="s">
        <v>3</v>
      </c>
      <c r="D24" s="43">
        <v>160</v>
      </c>
      <c r="E24" s="43">
        <v>454</v>
      </c>
      <c r="F24" s="87">
        <f t="shared" si="1"/>
        <v>614</v>
      </c>
      <c r="G24" s="42" t="s">
        <v>66</v>
      </c>
      <c r="H24" s="42" t="s">
        <v>66</v>
      </c>
      <c r="I24" s="92" t="s">
        <v>66</v>
      </c>
      <c r="J24" s="92" t="s">
        <v>66</v>
      </c>
      <c r="K24" s="92" t="s">
        <v>66</v>
      </c>
      <c r="L24" s="42" t="s">
        <v>66</v>
      </c>
      <c r="M24" s="42" t="s">
        <v>66</v>
      </c>
      <c r="N24" s="42" t="s">
        <v>67</v>
      </c>
      <c r="O24" s="42" t="s">
        <v>67</v>
      </c>
      <c r="P24" s="42" t="s">
        <v>66</v>
      </c>
      <c r="Q24" s="98">
        <v>844</v>
      </c>
      <c r="R24" s="42" t="s">
        <v>67</v>
      </c>
      <c r="S24" s="42" t="s">
        <v>66</v>
      </c>
      <c r="T24" s="92" t="s">
        <v>66</v>
      </c>
      <c r="U24" s="42" t="s">
        <v>66</v>
      </c>
      <c r="V24" s="92" t="s">
        <v>66</v>
      </c>
      <c r="W24" s="42" t="s">
        <v>66</v>
      </c>
      <c r="X24" s="92" t="s">
        <v>66</v>
      </c>
      <c r="Y24" s="92" t="s">
        <v>66</v>
      </c>
      <c r="Z24" s="92" t="s">
        <v>66</v>
      </c>
      <c r="AA24" s="48" t="s">
        <v>67</v>
      </c>
      <c r="AB24" s="52">
        <v>22</v>
      </c>
      <c r="AC24" s="105">
        <f t="shared" si="2"/>
        <v>866</v>
      </c>
      <c r="AD24" s="42" t="s">
        <v>66</v>
      </c>
      <c r="AE24" s="48" t="s">
        <v>67</v>
      </c>
      <c r="AF24" s="49" t="str">
        <f t="shared" si="3"/>
        <v>..</v>
      </c>
      <c r="AG24" s="36"/>
      <c r="AH24" s="32"/>
      <c r="AI24" s="108"/>
      <c r="AJ24" s="28"/>
      <c r="AK24" s="25"/>
      <c r="AL24" s="29"/>
      <c r="AM24" s="21"/>
      <c r="AN24" s="19" t="s">
        <v>66</v>
      </c>
      <c r="AO24" s="19" t="s">
        <v>66</v>
      </c>
      <c r="AP24" s="111" t="s">
        <v>66</v>
      </c>
      <c r="AQ24" s="19" t="s">
        <v>66</v>
      </c>
      <c r="AR24" s="19" t="s">
        <v>66</v>
      </c>
      <c r="AS24" s="112" t="s">
        <v>31</v>
      </c>
      <c r="AT24" s="112" t="s">
        <v>31</v>
      </c>
      <c r="AU24" s="19" t="s">
        <v>66</v>
      </c>
      <c r="AV24" s="19" t="s">
        <v>66</v>
      </c>
      <c r="AW24" s="19" t="s">
        <v>67</v>
      </c>
      <c r="AX24" s="19" t="s">
        <v>66</v>
      </c>
      <c r="AY24" s="19" t="s">
        <v>66</v>
      </c>
      <c r="AZ24" s="22" t="s">
        <v>67</v>
      </c>
      <c r="BA24" s="19" t="s">
        <v>67</v>
      </c>
      <c r="BB24" s="106" t="str">
        <f t="shared" si="4"/>
        <v>..</v>
      </c>
      <c r="BC24" s="21"/>
      <c r="BD24" s="70" t="s">
        <v>66</v>
      </c>
      <c r="BE24" s="70" t="s">
        <v>66</v>
      </c>
      <c r="BF24" s="114" t="str">
        <f t="shared" si="5"/>
        <v>..</v>
      </c>
      <c r="BG24" s="73"/>
      <c r="BH24" s="73"/>
      <c r="BI24" s="71" t="s">
        <v>66</v>
      </c>
      <c r="BJ24" s="71" t="s">
        <v>66</v>
      </c>
      <c r="BK24" s="71" t="s">
        <v>66</v>
      </c>
      <c r="BL24" s="116" t="s">
        <v>66</v>
      </c>
    </row>
    <row r="25" spans="1:64" s="13" customFormat="1" x14ac:dyDescent="0.2">
      <c r="A25" s="13" t="str">
        <f t="shared" si="0"/>
        <v>1972Q4</v>
      </c>
      <c r="B25" s="11">
        <f>B24</f>
        <v>1972</v>
      </c>
      <c r="C25" s="11" t="s">
        <v>4</v>
      </c>
      <c r="D25" s="43">
        <v>406</v>
      </c>
      <c r="E25" s="43">
        <v>367</v>
      </c>
      <c r="F25" s="87">
        <f t="shared" si="1"/>
        <v>773</v>
      </c>
      <c r="G25" s="42" t="s">
        <v>66</v>
      </c>
      <c r="H25" s="42" t="s">
        <v>66</v>
      </c>
      <c r="I25" s="92" t="s">
        <v>66</v>
      </c>
      <c r="J25" s="92" t="s">
        <v>66</v>
      </c>
      <c r="K25" s="92" t="s">
        <v>66</v>
      </c>
      <c r="L25" s="42" t="s">
        <v>66</v>
      </c>
      <c r="M25" s="42" t="s">
        <v>66</v>
      </c>
      <c r="N25" s="42" t="s">
        <v>67</v>
      </c>
      <c r="O25" s="42" t="s">
        <v>67</v>
      </c>
      <c r="P25" s="42" t="s">
        <v>66</v>
      </c>
      <c r="Q25" s="98">
        <v>1028</v>
      </c>
      <c r="R25" s="42" t="s">
        <v>67</v>
      </c>
      <c r="S25" s="42" t="s">
        <v>66</v>
      </c>
      <c r="T25" s="92" t="s">
        <v>66</v>
      </c>
      <c r="U25" s="42" t="s">
        <v>66</v>
      </c>
      <c r="V25" s="92" t="s">
        <v>66</v>
      </c>
      <c r="W25" s="42" t="s">
        <v>66</v>
      </c>
      <c r="X25" s="92" t="s">
        <v>66</v>
      </c>
      <c r="Y25" s="92" t="s">
        <v>66</v>
      </c>
      <c r="Z25" s="92" t="s">
        <v>66</v>
      </c>
      <c r="AA25" s="48" t="s">
        <v>67</v>
      </c>
      <c r="AB25" s="52">
        <v>21</v>
      </c>
      <c r="AC25" s="105">
        <f t="shared" si="2"/>
        <v>1049</v>
      </c>
      <c r="AD25" s="42" t="s">
        <v>66</v>
      </c>
      <c r="AE25" s="48" t="s">
        <v>67</v>
      </c>
      <c r="AF25" s="49" t="str">
        <f t="shared" si="3"/>
        <v>..</v>
      </c>
      <c r="AG25" s="36"/>
      <c r="AH25" s="32"/>
      <c r="AI25" s="108"/>
      <c r="AJ25" s="28"/>
      <c r="AK25" s="25"/>
      <c r="AL25" s="29"/>
      <c r="AM25" s="21"/>
      <c r="AN25" s="19" t="s">
        <v>66</v>
      </c>
      <c r="AO25" s="19" t="s">
        <v>66</v>
      </c>
      <c r="AP25" s="111" t="s">
        <v>66</v>
      </c>
      <c r="AQ25" s="19" t="s">
        <v>66</v>
      </c>
      <c r="AR25" s="19" t="s">
        <v>66</v>
      </c>
      <c r="AS25" s="112" t="s">
        <v>31</v>
      </c>
      <c r="AT25" s="112" t="s">
        <v>31</v>
      </c>
      <c r="AU25" s="19" t="s">
        <v>66</v>
      </c>
      <c r="AV25" s="19" t="s">
        <v>66</v>
      </c>
      <c r="AW25" s="19" t="s">
        <v>67</v>
      </c>
      <c r="AX25" s="19" t="s">
        <v>66</v>
      </c>
      <c r="AY25" s="19" t="s">
        <v>66</v>
      </c>
      <c r="AZ25" s="22" t="s">
        <v>67</v>
      </c>
      <c r="BA25" s="19" t="s">
        <v>67</v>
      </c>
      <c r="BB25" s="106" t="str">
        <f t="shared" si="4"/>
        <v>..</v>
      </c>
      <c r="BC25" s="21"/>
      <c r="BD25" s="70" t="s">
        <v>66</v>
      </c>
      <c r="BE25" s="70" t="s">
        <v>66</v>
      </c>
      <c r="BF25" s="114" t="str">
        <f t="shared" si="5"/>
        <v>..</v>
      </c>
      <c r="BG25" s="73"/>
      <c r="BH25" s="73"/>
      <c r="BI25" s="71" t="s">
        <v>66</v>
      </c>
      <c r="BJ25" s="71" t="s">
        <v>66</v>
      </c>
      <c r="BK25" s="71" t="s">
        <v>66</v>
      </c>
      <c r="BL25" s="116" t="s">
        <v>66</v>
      </c>
    </row>
    <row r="26" spans="1:64" s="13" customFormat="1" x14ac:dyDescent="0.2">
      <c r="A26" s="13" t="str">
        <f t="shared" si="0"/>
        <v>1973Q1</v>
      </c>
      <c r="B26" s="11">
        <v>1973</v>
      </c>
      <c r="C26" s="63" t="s">
        <v>1</v>
      </c>
      <c r="D26" s="43">
        <v>273</v>
      </c>
      <c r="E26" s="43">
        <v>437</v>
      </c>
      <c r="F26" s="87">
        <f t="shared" si="1"/>
        <v>710</v>
      </c>
      <c r="G26" s="42" t="s">
        <v>66</v>
      </c>
      <c r="H26" s="42" t="s">
        <v>66</v>
      </c>
      <c r="I26" s="92" t="s">
        <v>66</v>
      </c>
      <c r="J26" s="92" t="s">
        <v>66</v>
      </c>
      <c r="K26" s="92" t="s">
        <v>66</v>
      </c>
      <c r="L26" s="42" t="s">
        <v>66</v>
      </c>
      <c r="M26" s="42" t="s">
        <v>66</v>
      </c>
      <c r="N26" s="42" t="s">
        <v>67</v>
      </c>
      <c r="O26" s="42" t="s">
        <v>67</v>
      </c>
      <c r="P26" s="42" t="s">
        <v>66</v>
      </c>
      <c r="Q26" s="98">
        <v>982</v>
      </c>
      <c r="R26" s="42" t="s">
        <v>67</v>
      </c>
      <c r="S26" s="42" t="s">
        <v>66</v>
      </c>
      <c r="T26" s="92" t="s">
        <v>66</v>
      </c>
      <c r="U26" s="42" t="s">
        <v>66</v>
      </c>
      <c r="V26" s="92" t="s">
        <v>66</v>
      </c>
      <c r="W26" s="42" t="s">
        <v>66</v>
      </c>
      <c r="X26" s="92" t="s">
        <v>66</v>
      </c>
      <c r="Y26" s="92" t="s">
        <v>66</v>
      </c>
      <c r="Z26" s="92" t="s">
        <v>66</v>
      </c>
      <c r="AA26" s="48" t="s">
        <v>67</v>
      </c>
      <c r="AB26" s="52">
        <v>29</v>
      </c>
      <c r="AC26" s="105">
        <f t="shared" si="2"/>
        <v>1011</v>
      </c>
      <c r="AD26" s="42" t="s">
        <v>66</v>
      </c>
      <c r="AE26" s="48" t="s">
        <v>67</v>
      </c>
      <c r="AF26" s="49" t="str">
        <f t="shared" si="3"/>
        <v>..</v>
      </c>
      <c r="AG26" s="36"/>
      <c r="AH26" s="32"/>
      <c r="AI26" s="108"/>
      <c r="AJ26" s="28"/>
      <c r="AK26" s="25"/>
      <c r="AL26" s="29"/>
      <c r="AM26" s="21"/>
      <c r="AN26" s="19" t="s">
        <v>66</v>
      </c>
      <c r="AO26" s="19" t="s">
        <v>66</v>
      </c>
      <c r="AP26" s="111" t="s">
        <v>66</v>
      </c>
      <c r="AQ26" s="19" t="s">
        <v>66</v>
      </c>
      <c r="AR26" s="19" t="s">
        <v>66</v>
      </c>
      <c r="AS26" s="112" t="s">
        <v>31</v>
      </c>
      <c r="AT26" s="112" t="s">
        <v>31</v>
      </c>
      <c r="AU26" s="19" t="s">
        <v>66</v>
      </c>
      <c r="AV26" s="19" t="s">
        <v>66</v>
      </c>
      <c r="AW26" s="19" t="s">
        <v>67</v>
      </c>
      <c r="AX26" s="19" t="s">
        <v>66</v>
      </c>
      <c r="AY26" s="19" t="s">
        <v>66</v>
      </c>
      <c r="AZ26" s="22" t="s">
        <v>67</v>
      </c>
      <c r="BA26" s="19" t="s">
        <v>67</v>
      </c>
      <c r="BB26" s="106" t="str">
        <f t="shared" si="4"/>
        <v>..</v>
      </c>
      <c r="BC26" s="21"/>
      <c r="BD26" s="70" t="s">
        <v>66</v>
      </c>
      <c r="BE26" s="70" t="s">
        <v>66</v>
      </c>
      <c r="BF26" s="114" t="str">
        <f t="shared" si="5"/>
        <v>..</v>
      </c>
      <c r="BG26" s="73"/>
      <c r="BH26" s="73"/>
      <c r="BI26" s="71" t="s">
        <v>66</v>
      </c>
      <c r="BJ26" s="71" t="s">
        <v>66</v>
      </c>
      <c r="BK26" s="71" t="s">
        <v>66</v>
      </c>
      <c r="BL26" s="116" t="s">
        <v>66</v>
      </c>
    </row>
    <row r="27" spans="1:64" s="13" customFormat="1" x14ac:dyDescent="0.2">
      <c r="A27" s="13" t="str">
        <f t="shared" si="0"/>
        <v>1973Q2</v>
      </c>
      <c r="B27" s="11">
        <f>B26</f>
        <v>1973</v>
      </c>
      <c r="C27" s="11" t="s">
        <v>2</v>
      </c>
      <c r="D27" s="43">
        <v>308</v>
      </c>
      <c r="E27" s="43">
        <v>345</v>
      </c>
      <c r="F27" s="87">
        <f t="shared" si="1"/>
        <v>653</v>
      </c>
      <c r="G27" s="42" t="s">
        <v>66</v>
      </c>
      <c r="H27" s="42" t="s">
        <v>66</v>
      </c>
      <c r="I27" s="92" t="s">
        <v>66</v>
      </c>
      <c r="J27" s="92" t="s">
        <v>66</v>
      </c>
      <c r="K27" s="92" t="s">
        <v>66</v>
      </c>
      <c r="L27" s="42" t="s">
        <v>66</v>
      </c>
      <c r="M27" s="42" t="s">
        <v>66</v>
      </c>
      <c r="N27" s="42" t="s">
        <v>67</v>
      </c>
      <c r="O27" s="42" t="s">
        <v>67</v>
      </c>
      <c r="P27" s="42" t="s">
        <v>66</v>
      </c>
      <c r="Q27" s="98">
        <v>919</v>
      </c>
      <c r="R27" s="42" t="s">
        <v>67</v>
      </c>
      <c r="S27" s="42" t="s">
        <v>66</v>
      </c>
      <c r="T27" s="92" t="s">
        <v>66</v>
      </c>
      <c r="U27" s="42" t="s">
        <v>66</v>
      </c>
      <c r="V27" s="92" t="s">
        <v>66</v>
      </c>
      <c r="W27" s="42" t="s">
        <v>66</v>
      </c>
      <c r="X27" s="92" t="s">
        <v>66</v>
      </c>
      <c r="Y27" s="92" t="s">
        <v>66</v>
      </c>
      <c r="Z27" s="92" t="s">
        <v>66</v>
      </c>
      <c r="AA27" s="48" t="s">
        <v>67</v>
      </c>
      <c r="AB27" s="52">
        <v>33</v>
      </c>
      <c r="AC27" s="105">
        <f t="shared" si="2"/>
        <v>952</v>
      </c>
      <c r="AD27" s="42" t="s">
        <v>66</v>
      </c>
      <c r="AE27" s="48" t="s">
        <v>67</v>
      </c>
      <c r="AF27" s="49" t="str">
        <f t="shared" si="3"/>
        <v>..</v>
      </c>
      <c r="AG27" s="36"/>
      <c r="AH27" s="32"/>
      <c r="AI27" s="108"/>
      <c r="AJ27" s="28"/>
      <c r="AK27" s="25"/>
      <c r="AL27" s="29"/>
      <c r="AM27" s="21"/>
      <c r="AN27" s="19" t="s">
        <v>66</v>
      </c>
      <c r="AO27" s="19" t="s">
        <v>66</v>
      </c>
      <c r="AP27" s="111" t="s">
        <v>66</v>
      </c>
      <c r="AQ27" s="19" t="s">
        <v>66</v>
      </c>
      <c r="AR27" s="19" t="s">
        <v>66</v>
      </c>
      <c r="AS27" s="112" t="s">
        <v>31</v>
      </c>
      <c r="AT27" s="112" t="s">
        <v>31</v>
      </c>
      <c r="AU27" s="19" t="s">
        <v>66</v>
      </c>
      <c r="AV27" s="19" t="s">
        <v>66</v>
      </c>
      <c r="AW27" s="19" t="s">
        <v>67</v>
      </c>
      <c r="AX27" s="19" t="s">
        <v>66</v>
      </c>
      <c r="AY27" s="19" t="s">
        <v>66</v>
      </c>
      <c r="AZ27" s="22" t="s">
        <v>67</v>
      </c>
      <c r="BA27" s="19" t="s">
        <v>67</v>
      </c>
      <c r="BB27" s="106" t="str">
        <f t="shared" si="4"/>
        <v>..</v>
      </c>
      <c r="BC27" s="21"/>
      <c r="BD27" s="70" t="s">
        <v>66</v>
      </c>
      <c r="BE27" s="70" t="s">
        <v>66</v>
      </c>
      <c r="BF27" s="114" t="str">
        <f t="shared" si="5"/>
        <v>..</v>
      </c>
      <c r="BG27" s="73"/>
      <c r="BH27" s="73"/>
      <c r="BI27" s="71" t="s">
        <v>66</v>
      </c>
      <c r="BJ27" s="71" t="s">
        <v>66</v>
      </c>
      <c r="BK27" s="71" t="s">
        <v>66</v>
      </c>
      <c r="BL27" s="116" t="s">
        <v>66</v>
      </c>
    </row>
    <row r="28" spans="1:64" s="13" customFormat="1" x14ac:dyDescent="0.2">
      <c r="A28" s="13" t="str">
        <f t="shared" si="0"/>
        <v>1973Q3</v>
      </c>
      <c r="B28" s="11">
        <f>B27</f>
        <v>1973</v>
      </c>
      <c r="C28" s="11" t="s">
        <v>3</v>
      </c>
      <c r="D28" s="43">
        <v>130</v>
      </c>
      <c r="E28" s="43">
        <v>333</v>
      </c>
      <c r="F28" s="87">
        <f t="shared" si="1"/>
        <v>463</v>
      </c>
      <c r="G28" s="42" t="s">
        <v>66</v>
      </c>
      <c r="H28" s="42" t="s">
        <v>66</v>
      </c>
      <c r="I28" s="92" t="s">
        <v>66</v>
      </c>
      <c r="J28" s="92" t="s">
        <v>66</v>
      </c>
      <c r="K28" s="92" t="s">
        <v>66</v>
      </c>
      <c r="L28" s="42" t="s">
        <v>66</v>
      </c>
      <c r="M28" s="42" t="s">
        <v>66</v>
      </c>
      <c r="N28" s="42" t="s">
        <v>67</v>
      </c>
      <c r="O28" s="42" t="s">
        <v>67</v>
      </c>
      <c r="P28" s="42" t="s">
        <v>66</v>
      </c>
      <c r="Q28" s="98">
        <v>858</v>
      </c>
      <c r="R28" s="42" t="s">
        <v>67</v>
      </c>
      <c r="S28" s="42" t="s">
        <v>66</v>
      </c>
      <c r="T28" s="92" t="s">
        <v>66</v>
      </c>
      <c r="U28" s="42" t="s">
        <v>66</v>
      </c>
      <c r="V28" s="92" t="s">
        <v>66</v>
      </c>
      <c r="W28" s="42" t="s">
        <v>66</v>
      </c>
      <c r="X28" s="92" t="s">
        <v>66</v>
      </c>
      <c r="Y28" s="92" t="s">
        <v>66</v>
      </c>
      <c r="Z28" s="92" t="s">
        <v>66</v>
      </c>
      <c r="AA28" s="48" t="s">
        <v>67</v>
      </c>
      <c r="AB28" s="52">
        <v>17</v>
      </c>
      <c r="AC28" s="105">
        <f t="shared" si="2"/>
        <v>875</v>
      </c>
      <c r="AD28" s="42" t="s">
        <v>66</v>
      </c>
      <c r="AE28" s="48" t="s">
        <v>67</v>
      </c>
      <c r="AF28" s="49" t="str">
        <f t="shared" si="3"/>
        <v>..</v>
      </c>
      <c r="AG28" s="36"/>
      <c r="AH28" s="32"/>
      <c r="AI28" s="108"/>
      <c r="AJ28" s="28"/>
      <c r="AK28" s="25"/>
      <c r="AL28" s="29"/>
      <c r="AM28" s="21"/>
      <c r="AN28" s="19" t="s">
        <v>66</v>
      </c>
      <c r="AO28" s="19" t="s">
        <v>66</v>
      </c>
      <c r="AP28" s="111" t="s">
        <v>66</v>
      </c>
      <c r="AQ28" s="19" t="s">
        <v>66</v>
      </c>
      <c r="AR28" s="19" t="s">
        <v>66</v>
      </c>
      <c r="AS28" s="112" t="s">
        <v>31</v>
      </c>
      <c r="AT28" s="112" t="s">
        <v>31</v>
      </c>
      <c r="AU28" s="19" t="s">
        <v>66</v>
      </c>
      <c r="AV28" s="19" t="s">
        <v>66</v>
      </c>
      <c r="AW28" s="19" t="s">
        <v>67</v>
      </c>
      <c r="AX28" s="19" t="s">
        <v>66</v>
      </c>
      <c r="AY28" s="19" t="s">
        <v>66</v>
      </c>
      <c r="AZ28" s="22" t="s">
        <v>67</v>
      </c>
      <c r="BA28" s="19" t="s">
        <v>67</v>
      </c>
      <c r="BB28" s="106" t="str">
        <f t="shared" si="4"/>
        <v>..</v>
      </c>
      <c r="BC28" s="21"/>
      <c r="BD28" s="70" t="s">
        <v>66</v>
      </c>
      <c r="BE28" s="70" t="s">
        <v>66</v>
      </c>
      <c r="BF28" s="114" t="str">
        <f t="shared" si="5"/>
        <v>..</v>
      </c>
      <c r="BG28" s="73"/>
      <c r="BH28" s="73"/>
      <c r="BI28" s="71" t="s">
        <v>66</v>
      </c>
      <c r="BJ28" s="71" t="s">
        <v>66</v>
      </c>
      <c r="BK28" s="71" t="s">
        <v>66</v>
      </c>
      <c r="BL28" s="116" t="s">
        <v>66</v>
      </c>
    </row>
    <row r="29" spans="1:64" s="13" customFormat="1" x14ac:dyDescent="0.2">
      <c r="A29" s="13" t="str">
        <f t="shared" si="0"/>
        <v>1973Q4</v>
      </c>
      <c r="B29" s="11">
        <f>B28</f>
        <v>1973</v>
      </c>
      <c r="C29" s="11" t="s">
        <v>4</v>
      </c>
      <c r="D29" s="43">
        <v>369</v>
      </c>
      <c r="E29" s="43">
        <v>380</v>
      </c>
      <c r="F29" s="87">
        <f t="shared" si="1"/>
        <v>749</v>
      </c>
      <c r="G29" s="42" t="s">
        <v>66</v>
      </c>
      <c r="H29" s="42" t="s">
        <v>66</v>
      </c>
      <c r="I29" s="92" t="s">
        <v>66</v>
      </c>
      <c r="J29" s="92" t="s">
        <v>66</v>
      </c>
      <c r="K29" s="92" t="s">
        <v>66</v>
      </c>
      <c r="L29" s="42" t="s">
        <v>66</v>
      </c>
      <c r="M29" s="42" t="s">
        <v>66</v>
      </c>
      <c r="N29" s="42" t="s">
        <v>67</v>
      </c>
      <c r="O29" s="42" t="s">
        <v>67</v>
      </c>
      <c r="P29" s="42" t="s">
        <v>66</v>
      </c>
      <c r="Q29" s="98">
        <v>1058</v>
      </c>
      <c r="R29" s="42" t="s">
        <v>67</v>
      </c>
      <c r="S29" s="42" t="s">
        <v>66</v>
      </c>
      <c r="T29" s="92" t="s">
        <v>66</v>
      </c>
      <c r="U29" s="42" t="s">
        <v>66</v>
      </c>
      <c r="V29" s="92" t="s">
        <v>66</v>
      </c>
      <c r="W29" s="42" t="s">
        <v>66</v>
      </c>
      <c r="X29" s="92" t="s">
        <v>66</v>
      </c>
      <c r="Y29" s="92" t="s">
        <v>66</v>
      </c>
      <c r="Z29" s="92" t="s">
        <v>66</v>
      </c>
      <c r="AA29" s="48" t="s">
        <v>67</v>
      </c>
      <c r="AB29" s="52">
        <v>21</v>
      </c>
      <c r="AC29" s="105">
        <f t="shared" si="2"/>
        <v>1079</v>
      </c>
      <c r="AD29" s="42" t="s">
        <v>66</v>
      </c>
      <c r="AE29" s="48" t="s">
        <v>67</v>
      </c>
      <c r="AF29" s="49" t="str">
        <f t="shared" si="3"/>
        <v>..</v>
      </c>
      <c r="AG29" s="36"/>
      <c r="AH29" s="32"/>
      <c r="AI29" s="108"/>
      <c r="AJ29" s="28"/>
      <c r="AK29" s="25"/>
      <c r="AL29" s="29"/>
      <c r="AM29" s="21"/>
      <c r="AN29" s="19" t="s">
        <v>66</v>
      </c>
      <c r="AO29" s="19" t="s">
        <v>66</v>
      </c>
      <c r="AP29" s="111" t="s">
        <v>66</v>
      </c>
      <c r="AQ29" s="19" t="s">
        <v>66</v>
      </c>
      <c r="AR29" s="19" t="s">
        <v>66</v>
      </c>
      <c r="AS29" s="112" t="s">
        <v>31</v>
      </c>
      <c r="AT29" s="112" t="s">
        <v>31</v>
      </c>
      <c r="AU29" s="19" t="s">
        <v>66</v>
      </c>
      <c r="AV29" s="19" t="s">
        <v>66</v>
      </c>
      <c r="AW29" s="19" t="s">
        <v>67</v>
      </c>
      <c r="AX29" s="19" t="s">
        <v>66</v>
      </c>
      <c r="AY29" s="19" t="s">
        <v>66</v>
      </c>
      <c r="AZ29" s="22" t="s">
        <v>67</v>
      </c>
      <c r="BA29" s="19" t="s">
        <v>67</v>
      </c>
      <c r="BB29" s="106" t="str">
        <f t="shared" si="4"/>
        <v>..</v>
      </c>
      <c r="BC29" s="21"/>
      <c r="BD29" s="70" t="s">
        <v>66</v>
      </c>
      <c r="BE29" s="70" t="s">
        <v>66</v>
      </c>
      <c r="BF29" s="114" t="str">
        <f t="shared" si="5"/>
        <v>..</v>
      </c>
      <c r="BG29" s="73"/>
      <c r="BH29" s="73"/>
      <c r="BI29" s="71" t="s">
        <v>66</v>
      </c>
      <c r="BJ29" s="71" t="s">
        <v>66</v>
      </c>
      <c r="BK29" s="71" t="s">
        <v>66</v>
      </c>
      <c r="BL29" s="116" t="s">
        <v>66</v>
      </c>
    </row>
    <row r="30" spans="1:64" s="13" customFormat="1" x14ac:dyDescent="0.2">
      <c r="A30" s="13" t="str">
        <f t="shared" si="0"/>
        <v>1974Q1</v>
      </c>
      <c r="B30" s="11">
        <v>1974</v>
      </c>
      <c r="C30" s="63" t="s">
        <v>1</v>
      </c>
      <c r="D30" s="43">
        <v>264</v>
      </c>
      <c r="E30" s="43">
        <v>449</v>
      </c>
      <c r="F30" s="87">
        <f t="shared" si="1"/>
        <v>713</v>
      </c>
      <c r="G30" s="42" t="s">
        <v>66</v>
      </c>
      <c r="H30" s="42" t="s">
        <v>66</v>
      </c>
      <c r="I30" s="92" t="s">
        <v>66</v>
      </c>
      <c r="J30" s="92" t="s">
        <v>66</v>
      </c>
      <c r="K30" s="92" t="s">
        <v>66</v>
      </c>
      <c r="L30" s="42" t="s">
        <v>66</v>
      </c>
      <c r="M30" s="42" t="s">
        <v>66</v>
      </c>
      <c r="N30" s="42" t="s">
        <v>67</v>
      </c>
      <c r="O30" s="42" t="s">
        <v>67</v>
      </c>
      <c r="P30" s="42" t="s">
        <v>66</v>
      </c>
      <c r="Q30" s="98">
        <v>1296</v>
      </c>
      <c r="R30" s="42" t="s">
        <v>67</v>
      </c>
      <c r="S30" s="42" t="s">
        <v>66</v>
      </c>
      <c r="T30" s="92" t="s">
        <v>66</v>
      </c>
      <c r="U30" s="42" t="s">
        <v>66</v>
      </c>
      <c r="V30" s="92" t="s">
        <v>66</v>
      </c>
      <c r="W30" s="42" t="s">
        <v>66</v>
      </c>
      <c r="X30" s="92" t="s">
        <v>66</v>
      </c>
      <c r="Y30" s="92" t="s">
        <v>66</v>
      </c>
      <c r="Z30" s="92" t="s">
        <v>66</v>
      </c>
      <c r="AA30" s="48" t="s">
        <v>67</v>
      </c>
      <c r="AB30" s="52">
        <v>26</v>
      </c>
      <c r="AC30" s="105">
        <f t="shared" si="2"/>
        <v>1322</v>
      </c>
      <c r="AD30" s="42" t="s">
        <v>66</v>
      </c>
      <c r="AE30" s="48" t="s">
        <v>67</v>
      </c>
      <c r="AF30" s="49" t="str">
        <f t="shared" si="3"/>
        <v>..</v>
      </c>
      <c r="AG30" s="36"/>
      <c r="AH30" s="32"/>
      <c r="AI30" s="108"/>
      <c r="AJ30" s="28"/>
      <c r="AK30" s="25"/>
      <c r="AL30" s="29"/>
      <c r="AM30" s="21"/>
      <c r="AN30" s="19" t="s">
        <v>66</v>
      </c>
      <c r="AO30" s="19" t="s">
        <v>66</v>
      </c>
      <c r="AP30" s="111" t="s">
        <v>66</v>
      </c>
      <c r="AQ30" s="19" t="s">
        <v>66</v>
      </c>
      <c r="AR30" s="19" t="s">
        <v>66</v>
      </c>
      <c r="AS30" s="112" t="s">
        <v>31</v>
      </c>
      <c r="AT30" s="112" t="s">
        <v>31</v>
      </c>
      <c r="AU30" s="19" t="s">
        <v>66</v>
      </c>
      <c r="AV30" s="19" t="s">
        <v>66</v>
      </c>
      <c r="AW30" s="19" t="s">
        <v>67</v>
      </c>
      <c r="AX30" s="19" t="s">
        <v>66</v>
      </c>
      <c r="AY30" s="19" t="s">
        <v>66</v>
      </c>
      <c r="AZ30" s="22" t="s">
        <v>67</v>
      </c>
      <c r="BA30" s="19" t="s">
        <v>67</v>
      </c>
      <c r="BB30" s="106" t="str">
        <f t="shared" si="4"/>
        <v>..</v>
      </c>
      <c r="BC30" s="21"/>
      <c r="BD30" s="70" t="s">
        <v>66</v>
      </c>
      <c r="BE30" s="70" t="s">
        <v>66</v>
      </c>
      <c r="BF30" s="114" t="str">
        <f t="shared" si="5"/>
        <v>..</v>
      </c>
      <c r="BG30" s="73"/>
      <c r="BH30" s="73"/>
      <c r="BI30" s="71" t="s">
        <v>66</v>
      </c>
      <c r="BJ30" s="71" t="s">
        <v>66</v>
      </c>
      <c r="BK30" s="71" t="s">
        <v>66</v>
      </c>
      <c r="BL30" s="116" t="s">
        <v>66</v>
      </c>
    </row>
    <row r="31" spans="1:64" s="13" customFormat="1" x14ac:dyDescent="0.2">
      <c r="A31" s="13" t="str">
        <f t="shared" si="0"/>
        <v>1974Q2</v>
      </c>
      <c r="B31" s="11">
        <f>B30</f>
        <v>1974</v>
      </c>
      <c r="C31" s="11" t="s">
        <v>2</v>
      </c>
      <c r="D31" s="43">
        <v>309</v>
      </c>
      <c r="E31" s="43">
        <v>535</v>
      </c>
      <c r="F31" s="87">
        <f t="shared" si="1"/>
        <v>844</v>
      </c>
      <c r="G31" s="42" t="s">
        <v>66</v>
      </c>
      <c r="H31" s="42" t="s">
        <v>66</v>
      </c>
      <c r="I31" s="92" t="s">
        <v>66</v>
      </c>
      <c r="J31" s="92" t="s">
        <v>66</v>
      </c>
      <c r="K31" s="92" t="s">
        <v>66</v>
      </c>
      <c r="L31" s="42" t="s">
        <v>66</v>
      </c>
      <c r="M31" s="42" t="s">
        <v>66</v>
      </c>
      <c r="N31" s="42" t="s">
        <v>67</v>
      </c>
      <c r="O31" s="42" t="s">
        <v>67</v>
      </c>
      <c r="P31" s="42" t="s">
        <v>66</v>
      </c>
      <c r="Q31" s="98">
        <v>1314</v>
      </c>
      <c r="R31" s="42" t="s">
        <v>67</v>
      </c>
      <c r="S31" s="42" t="s">
        <v>66</v>
      </c>
      <c r="T31" s="92" t="s">
        <v>66</v>
      </c>
      <c r="U31" s="42" t="s">
        <v>66</v>
      </c>
      <c r="V31" s="92" t="s">
        <v>66</v>
      </c>
      <c r="W31" s="42" t="s">
        <v>66</v>
      </c>
      <c r="X31" s="92" t="s">
        <v>66</v>
      </c>
      <c r="Y31" s="92" t="s">
        <v>66</v>
      </c>
      <c r="Z31" s="92" t="s">
        <v>66</v>
      </c>
      <c r="AA31" s="48" t="s">
        <v>67</v>
      </c>
      <c r="AB31" s="52">
        <v>27</v>
      </c>
      <c r="AC31" s="105">
        <f t="shared" si="2"/>
        <v>1341</v>
      </c>
      <c r="AD31" s="42" t="s">
        <v>66</v>
      </c>
      <c r="AE31" s="48" t="s">
        <v>67</v>
      </c>
      <c r="AF31" s="49" t="str">
        <f t="shared" si="3"/>
        <v>..</v>
      </c>
      <c r="AG31" s="36"/>
      <c r="AH31" s="32"/>
      <c r="AI31" s="108"/>
      <c r="AJ31" s="28"/>
      <c r="AK31" s="25"/>
      <c r="AL31" s="29"/>
      <c r="AM31" s="21"/>
      <c r="AN31" s="19" t="s">
        <v>66</v>
      </c>
      <c r="AO31" s="19" t="s">
        <v>66</v>
      </c>
      <c r="AP31" s="111" t="s">
        <v>66</v>
      </c>
      <c r="AQ31" s="19" t="s">
        <v>66</v>
      </c>
      <c r="AR31" s="19" t="s">
        <v>66</v>
      </c>
      <c r="AS31" s="112" t="s">
        <v>31</v>
      </c>
      <c r="AT31" s="112" t="s">
        <v>31</v>
      </c>
      <c r="AU31" s="19" t="s">
        <v>66</v>
      </c>
      <c r="AV31" s="19" t="s">
        <v>66</v>
      </c>
      <c r="AW31" s="19" t="s">
        <v>67</v>
      </c>
      <c r="AX31" s="19" t="s">
        <v>66</v>
      </c>
      <c r="AY31" s="19" t="s">
        <v>66</v>
      </c>
      <c r="AZ31" s="22" t="s">
        <v>67</v>
      </c>
      <c r="BA31" s="19" t="s">
        <v>67</v>
      </c>
      <c r="BB31" s="106" t="str">
        <f t="shared" si="4"/>
        <v>..</v>
      </c>
      <c r="BC31" s="21"/>
      <c r="BD31" s="70" t="s">
        <v>66</v>
      </c>
      <c r="BE31" s="70" t="s">
        <v>66</v>
      </c>
      <c r="BF31" s="114" t="str">
        <f t="shared" si="5"/>
        <v>..</v>
      </c>
      <c r="BG31" s="73"/>
      <c r="BH31" s="73"/>
      <c r="BI31" s="71" t="s">
        <v>66</v>
      </c>
      <c r="BJ31" s="71" t="s">
        <v>66</v>
      </c>
      <c r="BK31" s="71" t="s">
        <v>66</v>
      </c>
      <c r="BL31" s="116" t="s">
        <v>66</v>
      </c>
    </row>
    <row r="32" spans="1:64" s="13" customFormat="1" x14ac:dyDescent="0.2">
      <c r="A32" s="13" t="str">
        <f t="shared" si="0"/>
        <v>1974Q3</v>
      </c>
      <c r="B32" s="11">
        <f>B31</f>
        <v>1974</v>
      </c>
      <c r="C32" s="11" t="s">
        <v>3</v>
      </c>
      <c r="D32" s="43">
        <v>224</v>
      </c>
      <c r="E32" s="43">
        <v>605</v>
      </c>
      <c r="F32" s="87">
        <f t="shared" si="1"/>
        <v>829</v>
      </c>
      <c r="G32" s="42" t="s">
        <v>66</v>
      </c>
      <c r="H32" s="42" t="s">
        <v>66</v>
      </c>
      <c r="I32" s="92" t="s">
        <v>66</v>
      </c>
      <c r="J32" s="92" t="s">
        <v>66</v>
      </c>
      <c r="K32" s="92" t="s">
        <v>66</v>
      </c>
      <c r="L32" s="42" t="s">
        <v>66</v>
      </c>
      <c r="M32" s="42" t="s">
        <v>66</v>
      </c>
      <c r="N32" s="42" t="s">
        <v>67</v>
      </c>
      <c r="O32" s="42" t="s">
        <v>67</v>
      </c>
      <c r="P32" s="42" t="s">
        <v>66</v>
      </c>
      <c r="Q32" s="98">
        <v>1355</v>
      </c>
      <c r="R32" s="42" t="s">
        <v>67</v>
      </c>
      <c r="S32" s="42" t="s">
        <v>66</v>
      </c>
      <c r="T32" s="92" t="s">
        <v>66</v>
      </c>
      <c r="U32" s="42" t="s">
        <v>66</v>
      </c>
      <c r="V32" s="92" t="s">
        <v>66</v>
      </c>
      <c r="W32" s="42" t="s">
        <v>66</v>
      </c>
      <c r="X32" s="92" t="s">
        <v>66</v>
      </c>
      <c r="Y32" s="92" t="s">
        <v>66</v>
      </c>
      <c r="Z32" s="92" t="s">
        <v>66</v>
      </c>
      <c r="AA32" s="48" t="s">
        <v>67</v>
      </c>
      <c r="AB32" s="52">
        <v>22</v>
      </c>
      <c r="AC32" s="105">
        <f t="shared" si="2"/>
        <v>1377</v>
      </c>
      <c r="AD32" s="42" t="s">
        <v>66</v>
      </c>
      <c r="AE32" s="48" t="s">
        <v>67</v>
      </c>
      <c r="AF32" s="49" t="str">
        <f t="shared" si="3"/>
        <v>..</v>
      </c>
      <c r="AG32" s="36"/>
      <c r="AH32" s="32"/>
      <c r="AI32" s="108"/>
      <c r="AJ32" s="28"/>
      <c r="AK32" s="25"/>
      <c r="AL32" s="29"/>
      <c r="AM32" s="21"/>
      <c r="AN32" s="19" t="s">
        <v>66</v>
      </c>
      <c r="AO32" s="19" t="s">
        <v>66</v>
      </c>
      <c r="AP32" s="111" t="s">
        <v>66</v>
      </c>
      <c r="AQ32" s="19" t="s">
        <v>66</v>
      </c>
      <c r="AR32" s="19" t="s">
        <v>66</v>
      </c>
      <c r="AS32" s="112" t="s">
        <v>31</v>
      </c>
      <c r="AT32" s="112" t="s">
        <v>31</v>
      </c>
      <c r="AU32" s="19" t="s">
        <v>66</v>
      </c>
      <c r="AV32" s="19" t="s">
        <v>66</v>
      </c>
      <c r="AW32" s="19" t="s">
        <v>67</v>
      </c>
      <c r="AX32" s="19" t="s">
        <v>66</v>
      </c>
      <c r="AY32" s="19" t="s">
        <v>66</v>
      </c>
      <c r="AZ32" s="22" t="s">
        <v>67</v>
      </c>
      <c r="BA32" s="19" t="s">
        <v>67</v>
      </c>
      <c r="BB32" s="106" t="str">
        <f t="shared" si="4"/>
        <v>..</v>
      </c>
      <c r="BC32" s="21"/>
      <c r="BD32" s="70" t="s">
        <v>66</v>
      </c>
      <c r="BE32" s="70" t="s">
        <v>66</v>
      </c>
      <c r="BF32" s="114" t="str">
        <f t="shared" si="5"/>
        <v>..</v>
      </c>
      <c r="BG32" s="73"/>
      <c r="BH32" s="73"/>
      <c r="BI32" s="71" t="s">
        <v>66</v>
      </c>
      <c r="BJ32" s="71" t="s">
        <v>66</v>
      </c>
      <c r="BK32" s="71" t="s">
        <v>66</v>
      </c>
      <c r="BL32" s="116" t="s">
        <v>66</v>
      </c>
    </row>
    <row r="33" spans="1:64" s="13" customFormat="1" x14ac:dyDescent="0.2">
      <c r="A33" s="13" t="str">
        <f t="shared" si="0"/>
        <v>1974Q4</v>
      </c>
      <c r="B33" s="11">
        <f>B32</f>
        <v>1974</v>
      </c>
      <c r="C33" s="11" t="s">
        <v>4</v>
      </c>
      <c r="D33" s="43">
        <v>598</v>
      </c>
      <c r="E33" s="43">
        <v>736</v>
      </c>
      <c r="F33" s="87">
        <f t="shared" si="1"/>
        <v>1334</v>
      </c>
      <c r="G33" s="42" t="s">
        <v>66</v>
      </c>
      <c r="H33" s="42" t="s">
        <v>66</v>
      </c>
      <c r="I33" s="92" t="s">
        <v>66</v>
      </c>
      <c r="J33" s="92" t="s">
        <v>66</v>
      </c>
      <c r="K33" s="92" t="s">
        <v>66</v>
      </c>
      <c r="L33" s="42" t="s">
        <v>66</v>
      </c>
      <c r="M33" s="42" t="s">
        <v>66</v>
      </c>
      <c r="N33" s="42" t="s">
        <v>67</v>
      </c>
      <c r="O33" s="42" t="s">
        <v>67</v>
      </c>
      <c r="P33" s="42" t="s">
        <v>66</v>
      </c>
      <c r="Q33" s="98">
        <v>1643</v>
      </c>
      <c r="R33" s="42" t="s">
        <v>67</v>
      </c>
      <c r="S33" s="42" t="s">
        <v>66</v>
      </c>
      <c r="T33" s="92" t="s">
        <v>66</v>
      </c>
      <c r="U33" s="42" t="s">
        <v>66</v>
      </c>
      <c r="V33" s="92" t="s">
        <v>66</v>
      </c>
      <c r="W33" s="42" t="s">
        <v>66</v>
      </c>
      <c r="X33" s="92" t="s">
        <v>66</v>
      </c>
      <c r="Y33" s="92" t="s">
        <v>66</v>
      </c>
      <c r="Z33" s="92" t="s">
        <v>66</v>
      </c>
      <c r="AA33" s="48" t="s">
        <v>67</v>
      </c>
      <c r="AB33" s="52">
        <v>35</v>
      </c>
      <c r="AC33" s="105">
        <f t="shared" si="2"/>
        <v>1678</v>
      </c>
      <c r="AD33" s="42" t="s">
        <v>66</v>
      </c>
      <c r="AE33" s="48" t="s">
        <v>67</v>
      </c>
      <c r="AF33" s="49" t="str">
        <f t="shared" si="3"/>
        <v>..</v>
      </c>
      <c r="AG33" s="36"/>
      <c r="AH33" s="32"/>
      <c r="AI33" s="108"/>
      <c r="AJ33" s="28"/>
      <c r="AK33" s="25"/>
      <c r="AL33" s="29"/>
      <c r="AM33" s="21"/>
      <c r="AN33" s="19" t="s">
        <v>66</v>
      </c>
      <c r="AO33" s="19" t="s">
        <v>66</v>
      </c>
      <c r="AP33" s="111" t="s">
        <v>66</v>
      </c>
      <c r="AQ33" s="19" t="s">
        <v>66</v>
      </c>
      <c r="AR33" s="19" t="s">
        <v>66</v>
      </c>
      <c r="AS33" s="112" t="s">
        <v>31</v>
      </c>
      <c r="AT33" s="112" t="s">
        <v>31</v>
      </c>
      <c r="AU33" s="19" t="s">
        <v>66</v>
      </c>
      <c r="AV33" s="19" t="s">
        <v>66</v>
      </c>
      <c r="AW33" s="19" t="s">
        <v>67</v>
      </c>
      <c r="AX33" s="19" t="s">
        <v>66</v>
      </c>
      <c r="AY33" s="19" t="s">
        <v>66</v>
      </c>
      <c r="AZ33" s="22" t="s">
        <v>67</v>
      </c>
      <c r="BA33" s="19" t="s">
        <v>67</v>
      </c>
      <c r="BB33" s="106" t="str">
        <f t="shared" si="4"/>
        <v>..</v>
      </c>
      <c r="BC33" s="21"/>
      <c r="BD33" s="70" t="s">
        <v>66</v>
      </c>
      <c r="BE33" s="70" t="s">
        <v>66</v>
      </c>
      <c r="BF33" s="114" t="str">
        <f t="shared" si="5"/>
        <v>..</v>
      </c>
      <c r="BG33" s="73"/>
      <c r="BH33" s="73"/>
      <c r="BI33" s="71" t="s">
        <v>66</v>
      </c>
      <c r="BJ33" s="71" t="s">
        <v>66</v>
      </c>
      <c r="BK33" s="71" t="s">
        <v>66</v>
      </c>
      <c r="BL33" s="116" t="s">
        <v>66</v>
      </c>
    </row>
    <row r="34" spans="1:64" s="13" customFormat="1" x14ac:dyDescent="0.2">
      <c r="A34" s="13" t="str">
        <f t="shared" si="0"/>
        <v>1975Q1</v>
      </c>
      <c r="B34" s="11">
        <v>1975</v>
      </c>
      <c r="C34" s="63" t="s">
        <v>1</v>
      </c>
      <c r="D34" s="43">
        <v>540</v>
      </c>
      <c r="E34" s="43">
        <v>698</v>
      </c>
      <c r="F34" s="87">
        <f t="shared" si="1"/>
        <v>1238</v>
      </c>
      <c r="G34" s="42" t="s">
        <v>66</v>
      </c>
      <c r="H34" s="42" t="s">
        <v>66</v>
      </c>
      <c r="I34" s="92" t="s">
        <v>66</v>
      </c>
      <c r="J34" s="92" t="s">
        <v>66</v>
      </c>
      <c r="K34" s="92" t="s">
        <v>66</v>
      </c>
      <c r="L34" s="42" t="s">
        <v>66</v>
      </c>
      <c r="M34" s="42" t="s">
        <v>66</v>
      </c>
      <c r="N34" s="42" t="s">
        <v>67</v>
      </c>
      <c r="O34" s="42" t="s">
        <v>67</v>
      </c>
      <c r="P34" s="42" t="s">
        <v>66</v>
      </c>
      <c r="Q34" s="98">
        <v>1900</v>
      </c>
      <c r="R34" s="42" t="s">
        <v>67</v>
      </c>
      <c r="S34" s="42" t="s">
        <v>66</v>
      </c>
      <c r="T34" s="92" t="s">
        <v>66</v>
      </c>
      <c r="U34" s="42" t="s">
        <v>66</v>
      </c>
      <c r="V34" s="92" t="s">
        <v>66</v>
      </c>
      <c r="W34" s="42" t="s">
        <v>66</v>
      </c>
      <c r="X34" s="92" t="s">
        <v>66</v>
      </c>
      <c r="Y34" s="92" t="s">
        <v>66</v>
      </c>
      <c r="Z34" s="92" t="s">
        <v>66</v>
      </c>
      <c r="AA34" s="48" t="s">
        <v>67</v>
      </c>
      <c r="AB34" s="52">
        <v>38</v>
      </c>
      <c r="AC34" s="105">
        <f t="shared" si="2"/>
        <v>1938</v>
      </c>
      <c r="AD34" s="42" t="s">
        <v>66</v>
      </c>
      <c r="AE34" s="48" t="s">
        <v>67</v>
      </c>
      <c r="AF34" s="49" t="str">
        <f t="shared" si="3"/>
        <v>..</v>
      </c>
      <c r="AG34" s="36"/>
      <c r="AH34" s="32"/>
      <c r="AI34" s="108"/>
      <c r="AJ34" s="28"/>
      <c r="AK34" s="25"/>
      <c r="AL34" s="29"/>
      <c r="AM34" s="21"/>
      <c r="AN34" s="19" t="s">
        <v>66</v>
      </c>
      <c r="AO34" s="19" t="s">
        <v>66</v>
      </c>
      <c r="AP34" s="111" t="s">
        <v>66</v>
      </c>
      <c r="AQ34" s="19" t="s">
        <v>66</v>
      </c>
      <c r="AR34" s="19" t="s">
        <v>66</v>
      </c>
      <c r="AS34" s="112" t="s">
        <v>31</v>
      </c>
      <c r="AT34" s="112" t="s">
        <v>31</v>
      </c>
      <c r="AU34" s="19" t="s">
        <v>66</v>
      </c>
      <c r="AV34" s="19" t="s">
        <v>66</v>
      </c>
      <c r="AW34" s="19" t="s">
        <v>67</v>
      </c>
      <c r="AX34" s="19" t="s">
        <v>66</v>
      </c>
      <c r="AY34" s="19" t="s">
        <v>66</v>
      </c>
      <c r="AZ34" s="22" t="s">
        <v>67</v>
      </c>
      <c r="BA34" s="19" t="s">
        <v>67</v>
      </c>
      <c r="BB34" s="106" t="str">
        <f t="shared" si="4"/>
        <v>..</v>
      </c>
      <c r="BC34" s="21"/>
      <c r="BD34" s="70" t="s">
        <v>66</v>
      </c>
      <c r="BE34" s="70" t="s">
        <v>66</v>
      </c>
      <c r="BF34" s="114" t="str">
        <f t="shared" si="5"/>
        <v>..</v>
      </c>
      <c r="BG34" s="73"/>
      <c r="BH34" s="73"/>
      <c r="BI34" s="71" t="s">
        <v>66</v>
      </c>
      <c r="BJ34" s="71" t="s">
        <v>66</v>
      </c>
      <c r="BK34" s="71" t="s">
        <v>66</v>
      </c>
      <c r="BL34" s="116" t="s">
        <v>66</v>
      </c>
    </row>
    <row r="35" spans="1:64" s="13" customFormat="1" x14ac:dyDescent="0.2">
      <c r="A35" s="13" t="str">
        <f t="shared" si="0"/>
        <v>1975Q2</v>
      </c>
      <c r="B35" s="11">
        <f>B34</f>
        <v>1975</v>
      </c>
      <c r="C35" s="11" t="s">
        <v>2</v>
      </c>
      <c r="D35" s="43">
        <v>593</v>
      </c>
      <c r="E35" s="43">
        <v>724</v>
      </c>
      <c r="F35" s="87">
        <f t="shared" si="1"/>
        <v>1317</v>
      </c>
      <c r="G35" s="42" t="s">
        <v>66</v>
      </c>
      <c r="H35" s="42" t="s">
        <v>66</v>
      </c>
      <c r="I35" s="92" t="s">
        <v>66</v>
      </c>
      <c r="J35" s="92" t="s">
        <v>66</v>
      </c>
      <c r="K35" s="92" t="s">
        <v>66</v>
      </c>
      <c r="L35" s="42" t="s">
        <v>66</v>
      </c>
      <c r="M35" s="42" t="s">
        <v>66</v>
      </c>
      <c r="N35" s="42" t="s">
        <v>67</v>
      </c>
      <c r="O35" s="42" t="s">
        <v>67</v>
      </c>
      <c r="P35" s="42" t="s">
        <v>66</v>
      </c>
      <c r="Q35" s="98">
        <v>1783</v>
      </c>
      <c r="R35" s="42" t="s">
        <v>67</v>
      </c>
      <c r="S35" s="42" t="s">
        <v>66</v>
      </c>
      <c r="T35" s="92" t="s">
        <v>66</v>
      </c>
      <c r="U35" s="42" t="s">
        <v>66</v>
      </c>
      <c r="V35" s="92" t="s">
        <v>66</v>
      </c>
      <c r="W35" s="42" t="s">
        <v>66</v>
      </c>
      <c r="X35" s="92" t="s">
        <v>66</v>
      </c>
      <c r="Y35" s="92" t="s">
        <v>66</v>
      </c>
      <c r="Z35" s="92" t="s">
        <v>66</v>
      </c>
      <c r="AA35" s="48" t="s">
        <v>67</v>
      </c>
      <c r="AB35" s="52">
        <v>33</v>
      </c>
      <c r="AC35" s="105">
        <f t="shared" si="2"/>
        <v>1816</v>
      </c>
      <c r="AD35" s="42" t="s">
        <v>66</v>
      </c>
      <c r="AE35" s="48" t="s">
        <v>67</v>
      </c>
      <c r="AF35" s="49" t="str">
        <f t="shared" si="3"/>
        <v>..</v>
      </c>
      <c r="AG35" s="36"/>
      <c r="AH35" s="32"/>
      <c r="AI35" s="108"/>
      <c r="AJ35" s="28"/>
      <c r="AK35" s="25"/>
      <c r="AL35" s="29"/>
      <c r="AM35" s="21"/>
      <c r="AN35" s="19" t="s">
        <v>66</v>
      </c>
      <c r="AO35" s="19" t="s">
        <v>66</v>
      </c>
      <c r="AP35" s="111" t="s">
        <v>66</v>
      </c>
      <c r="AQ35" s="19" t="s">
        <v>66</v>
      </c>
      <c r="AR35" s="19" t="s">
        <v>66</v>
      </c>
      <c r="AS35" s="112" t="s">
        <v>31</v>
      </c>
      <c r="AT35" s="112" t="s">
        <v>31</v>
      </c>
      <c r="AU35" s="19" t="s">
        <v>66</v>
      </c>
      <c r="AV35" s="19" t="s">
        <v>66</v>
      </c>
      <c r="AW35" s="19" t="s">
        <v>67</v>
      </c>
      <c r="AX35" s="19" t="s">
        <v>66</v>
      </c>
      <c r="AY35" s="19" t="s">
        <v>66</v>
      </c>
      <c r="AZ35" s="22" t="s">
        <v>67</v>
      </c>
      <c r="BA35" s="19" t="s">
        <v>67</v>
      </c>
      <c r="BB35" s="106" t="str">
        <f t="shared" si="4"/>
        <v>..</v>
      </c>
      <c r="BC35" s="21"/>
      <c r="BD35" s="70" t="s">
        <v>66</v>
      </c>
      <c r="BE35" s="70" t="s">
        <v>66</v>
      </c>
      <c r="BF35" s="114" t="str">
        <f t="shared" si="5"/>
        <v>..</v>
      </c>
      <c r="BG35" s="73"/>
      <c r="BH35" s="73"/>
      <c r="BI35" s="71" t="s">
        <v>66</v>
      </c>
      <c r="BJ35" s="71" t="s">
        <v>66</v>
      </c>
      <c r="BK35" s="71" t="s">
        <v>66</v>
      </c>
      <c r="BL35" s="116" t="s">
        <v>66</v>
      </c>
    </row>
    <row r="36" spans="1:64" s="13" customFormat="1" x14ac:dyDescent="0.2">
      <c r="A36" s="13" t="str">
        <f t="shared" si="0"/>
        <v>1975Q3</v>
      </c>
      <c r="B36" s="11">
        <f>B35</f>
        <v>1975</v>
      </c>
      <c r="C36" s="11" t="s">
        <v>3</v>
      </c>
      <c r="D36" s="43">
        <v>279</v>
      </c>
      <c r="E36" s="43">
        <v>859</v>
      </c>
      <c r="F36" s="87">
        <f t="shared" si="1"/>
        <v>1138</v>
      </c>
      <c r="G36" s="42" t="s">
        <v>66</v>
      </c>
      <c r="H36" s="42" t="s">
        <v>66</v>
      </c>
      <c r="I36" s="92" t="s">
        <v>66</v>
      </c>
      <c r="J36" s="92" t="s">
        <v>66</v>
      </c>
      <c r="K36" s="92" t="s">
        <v>66</v>
      </c>
      <c r="L36" s="42" t="s">
        <v>66</v>
      </c>
      <c r="M36" s="42" t="s">
        <v>66</v>
      </c>
      <c r="N36" s="42" t="s">
        <v>67</v>
      </c>
      <c r="O36" s="42" t="s">
        <v>67</v>
      </c>
      <c r="P36" s="42" t="s">
        <v>66</v>
      </c>
      <c r="Q36" s="98">
        <v>1693</v>
      </c>
      <c r="R36" s="42" t="s">
        <v>67</v>
      </c>
      <c r="S36" s="42" t="s">
        <v>66</v>
      </c>
      <c r="T36" s="92" t="s">
        <v>66</v>
      </c>
      <c r="U36" s="42" t="s">
        <v>66</v>
      </c>
      <c r="V36" s="92" t="s">
        <v>66</v>
      </c>
      <c r="W36" s="42" t="s">
        <v>66</v>
      </c>
      <c r="X36" s="92" t="s">
        <v>66</v>
      </c>
      <c r="Y36" s="92" t="s">
        <v>66</v>
      </c>
      <c r="Z36" s="92" t="s">
        <v>66</v>
      </c>
      <c r="AA36" s="48" t="s">
        <v>67</v>
      </c>
      <c r="AB36" s="52">
        <v>26</v>
      </c>
      <c r="AC36" s="105">
        <f t="shared" si="2"/>
        <v>1719</v>
      </c>
      <c r="AD36" s="42" t="s">
        <v>66</v>
      </c>
      <c r="AE36" s="48" t="s">
        <v>67</v>
      </c>
      <c r="AF36" s="49" t="str">
        <f t="shared" si="3"/>
        <v>..</v>
      </c>
      <c r="AG36" s="36"/>
      <c r="AH36" s="32"/>
      <c r="AI36" s="108"/>
      <c r="AJ36" s="28"/>
      <c r="AK36" s="25"/>
      <c r="AL36" s="29"/>
      <c r="AM36" s="21"/>
      <c r="AN36" s="19" t="s">
        <v>66</v>
      </c>
      <c r="AO36" s="19" t="s">
        <v>66</v>
      </c>
      <c r="AP36" s="111" t="s">
        <v>66</v>
      </c>
      <c r="AQ36" s="19" t="s">
        <v>66</v>
      </c>
      <c r="AR36" s="19" t="s">
        <v>66</v>
      </c>
      <c r="AS36" s="111" t="s">
        <v>66</v>
      </c>
      <c r="AT36" s="111" t="s">
        <v>66</v>
      </c>
      <c r="AU36" s="19" t="s">
        <v>66</v>
      </c>
      <c r="AV36" s="19" t="s">
        <v>66</v>
      </c>
      <c r="AW36" s="19" t="s">
        <v>67</v>
      </c>
      <c r="AX36" s="19" t="s">
        <v>66</v>
      </c>
      <c r="AY36" s="19" t="s">
        <v>66</v>
      </c>
      <c r="AZ36" s="22" t="s">
        <v>67</v>
      </c>
      <c r="BA36" s="19" t="s">
        <v>67</v>
      </c>
      <c r="BB36" s="106" t="str">
        <f t="shared" si="4"/>
        <v>..</v>
      </c>
      <c r="BC36" s="21"/>
      <c r="BD36" s="70" t="s">
        <v>66</v>
      </c>
      <c r="BE36" s="70" t="s">
        <v>66</v>
      </c>
      <c r="BF36" s="114" t="str">
        <f t="shared" si="5"/>
        <v>..</v>
      </c>
      <c r="BG36" s="73"/>
      <c r="BH36" s="73"/>
      <c r="BI36" s="71" t="s">
        <v>66</v>
      </c>
      <c r="BJ36" s="71" t="s">
        <v>66</v>
      </c>
      <c r="BK36" s="71" t="s">
        <v>66</v>
      </c>
      <c r="BL36" s="116" t="s">
        <v>66</v>
      </c>
    </row>
    <row r="37" spans="1:64" s="13" customFormat="1" x14ac:dyDescent="0.2">
      <c r="A37" s="13" t="str">
        <f t="shared" si="0"/>
        <v>1975Q4</v>
      </c>
      <c r="B37" s="11">
        <f>B36</f>
        <v>1975</v>
      </c>
      <c r="C37" s="11" t="s">
        <v>4</v>
      </c>
      <c r="D37" s="43">
        <v>875</v>
      </c>
      <c r="E37" s="43">
        <v>830</v>
      </c>
      <c r="F37" s="87">
        <f t="shared" si="1"/>
        <v>1705</v>
      </c>
      <c r="G37" s="42" t="s">
        <v>66</v>
      </c>
      <c r="H37" s="42" t="s">
        <v>66</v>
      </c>
      <c r="I37" s="92" t="s">
        <v>66</v>
      </c>
      <c r="J37" s="92" t="s">
        <v>66</v>
      </c>
      <c r="K37" s="92" t="s">
        <v>66</v>
      </c>
      <c r="L37" s="42" t="s">
        <v>66</v>
      </c>
      <c r="M37" s="42" t="s">
        <v>66</v>
      </c>
      <c r="N37" s="42" t="s">
        <v>67</v>
      </c>
      <c r="O37" s="42" t="s">
        <v>67</v>
      </c>
      <c r="P37" s="42" t="s">
        <v>66</v>
      </c>
      <c r="Q37" s="98">
        <v>1767</v>
      </c>
      <c r="R37" s="42" t="s">
        <v>67</v>
      </c>
      <c r="S37" s="42" t="s">
        <v>66</v>
      </c>
      <c r="T37" s="92" t="s">
        <v>66</v>
      </c>
      <c r="U37" s="42" t="s">
        <v>66</v>
      </c>
      <c r="V37" s="92" t="s">
        <v>66</v>
      </c>
      <c r="W37" s="42" t="s">
        <v>66</v>
      </c>
      <c r="X37" s="92" t="s">
        <v>66</v>
      </c>
      <c r="Y37" s="92" t="s">
        <v>66</v>
      </c>
      <c r="Z37" s="92" t="s">
        <v>66</v>
      </c>
      <c r="AA37" s="48" t="s">
        <v>67</v>
      </c>
      <c r="AB37" s="52">
        <v>31</v>
      </c>
      <c r="AC37" s="105">
        <f t="shared" si="2"/>
        <v>1798</v>
      </c>
      <c r="AD37" s="42" t="s">
        <v>66</v>
      </c>
      <c r="AE37" s="48" t="s">
        <v>67</v>
      </c>
      <c r="AF37" s="49" t="str">
        <f t="shared" si="3"/>
        <v>..</v>
      </c>
      <c r="AG37" s="36"/>
      <c r="AH37" s="32"/>
      <c r="AI37" s="108"/>
      <c r="AJ37" s="28"/>
      <c r="AK37" s="25"/>
      <c r="AL37" s="29"/>
      <c r="AM37" s="21"/>
      <c r="AN37" s="19" t="s">
        <v>66</v>
      </c>
      <c r="AO37" s="19" t="s">
        <v>66</v>
      </c>
      <c r="AP37" s="111" t="s">
        <v>66</v>
      </c>
      <c r="AQ37" s="19" t="s">
        <v>66</v>
      </c>
      <c r="AR37" s="19" t="s">
        <v>66</v>
      </c>
      <c r="AS37" s="112" t="s">
        <v>31</v>
      </c>
      <c r="AT37" s="112" t="s">
        <v>31</v>
      </c>
      <c r="AU37" s="19" t="s">
        <v>66</v>
      </c>
      <c r="AV37" s="19" t="s">
        <v>66</v>
      </c>
      <c r="AW37" s="19" t="s">
        <v>67</v>
      </c>
      <c r="AX37" s="19" t="s">
        <v>66</v>
      </c>
      <c r="AY37" s="19" t="s">
        <v>66</v>
      </c>
      <c r="AZ37" s="22" t="s">
        <v>67</v>
      </c>
      <c r="BA37" s="19" t="s">
        <v>67</v>
      </c>
      <c r="BB37" s="106" t="str">
        <f t="shared" si="4"/>
        <v>..</v>
      </c>
      <c r="BC37" s="21"/>
      <c r="BD37" s="70" t="s">
        <v>66</v>
      </c>
      <c r="BE37" s="70" t="s">
        <v>66</v>
      </c>
      <c r="BF37" s="114" t="str">
        <f t="shared" si="5"/>
        <v>..</v>
      </c>
      <c r="BG37" s="73"/>
      <c r="BH37" s="73"/>
      <c r="BI37" s="71" t="s">
        <v>66</v>
      </c>
      <c r="BJ37" s="71" t="s">
        <v>66</v>
      </c>
      <c r="BK37" s="71" t="s">
        <v>66</v>
      </c>
      <c r="BL37" s="116" t="s">
        <v>66</v>
      </c>
    </row>
    <row r="38" spans="1:64" s="13" customFormat="1" x14ac:dyDescent="0.2">
      <c r="A38" s="13" t="str">
        <f t="shared" si="0"/>
        <v>1976Q1</v>
      </c>
      <c r="B38" s="11">
        <v>1976</v>
      </c>
      <c r="C38" s="63" t="s">
        <v>1</v>
      </c>
      <c r="D38" s="43">
        <v>687</v>
      </c>
      <c r="E38" s="43">
        <v>867</v>
      </c>
      <c r="F38" s="87">
        <f t="shared" si="1"/>
        <v>1554</v>
      </c>
      <c r="G38" s="42" t="s">
        <v>66</v>
      </c>
      <c r="H38" s="42" t="s">
        <v>66</v>
      </c>
      <c r="I38" s="92" t="s">
        <v>66</v>
      </c>
      <c r="J38" s="92" t="s">
        <v>66</v>
      </c>
      <c r="K38" s="92" t="s">
        <v>66</v>
      </c>
      <c r="L38" s="42" t="s">
        <v>66</v>
      </c>
      <c r="M38" s="42" t="s">
        <v>66</v>
      </c>
      <c r="N38" s="42" t="s">
        <v>67</v>
      </c>
      <c r="O38" s="42" t="s">
        <v>67</v>
      </c>
      <c r="P38" s="42" t="s">
        <v>66</v>
      </c>
      <c r="Q38" s="98">
        <v>1891</v>
      </c>
      <c r="R38" s="42" t="s">
        <v>67</v>
      </c>
      <c r="S38" s="42" t="s">
        <v>66</v>
      </c>
      <c r="T38" s="92" t="s">
        <v>66</v>
      </c>
      <c r="U38" s="42" t="s">
        <v>66</v>
      </c>
      <c r="V38" s="92" t="s">
        <v>66</v>
      </c>
      <c r="W38" s="42" t="s">
        <v>66</v>
      </c>
      <c r="X38" s="92" t="s">
        <v>66</v>
      </c>
      <c r="Y38" s="92" t="s">
        <v>66</v>
      </c>
      <c r="Z38" s="92" t="s">
        <v>66</v>
      </c>
      <c r="AA38" s="48" t="s">
        <v>67</v>
      </c>
      <c r="AB38" s="52">
        <v>30</v>
      </c>
      <c r="AC38" s="105">
        <f t="shared" ref="AC38:AC69" si="6">IF(AA38=":",Q38+AB38,Q38+AA38+AB38)</f>
        <v>1921</v>
      </c>
      <c r="AD38" s="42" t="s">
        <v>66</v>
      </c>
      <c r="AE38" s="48" t="s">
        <v>67</v>
      </c>
      <c r="AF38" s="49" t="str">
        <f t="shared" ref="AF38:AF69" si="7">IF(AE38=":",AD38,AD38+AE38)</f>
        <v>..</v>
      </c>
      <c r="AG38" s="36"/>
      <c r="AH38" s="32"/>
      <c r="AI38" s="108"/>
      <c r="AJ38" s="28"/>
      <c r="AK38" s="25"/>
      <c r="AL38" s="29"/>
      <c r="AM38" s="21"/>
      <c r="AN38" s="19" t="s">
        <v>66</v>
      </c>
      <c r="AO38" s="19" t="s">
        <v>66</v>
      </c>
      <c r="AP38" s="111" t="s">
        <v>66</v>
      </c>
      <c r="AQ38" s="19" t="s">
        <v>66</v>
      </c>
      <c r="AR38" s="19" t="s">
        <v>66</v>
      </c>
      <c r="AS38" s="112" t="s">
        <v>31</v>
      </c>
      <c r="AT38" s="112" t="s">
        <v>31</v>
      </c>
      <c r="AU38" s="19" t="s">
        <v>66</v>
      </c>
      <c r="AV38" s="19" t="s">
        <v>66</v>
      </c>
      <c r="AW38" s="19" t="s">
        <v>67</v>
      </c>
      <c r="AX38" s="19" t="s">
        <v>66</v>
      </c>
      <c r="AY38" s="19" t="s">
        <v>66</v>
      </c>
      <c r="AZ38" s="22" t="s">
        <v>67</v>
      </c>
      <c r="BA38" s="19" t="s">
        <v>67</v>
      </c>
      <c r="BB38" s="106" t="str">
        <f t="shared" si="4"/>
        <v>..</v>
      </c>
      <c r="BC38" s="21"/>
      <c r="BD38" s="70" t="s">
        <v>66</v>
      </c>
      <c r="BE38" s="70" t="s">
        <v>66</v>
      </c>
      <c r="BF38" s="114" t="str">
        <f t="shared" si="5"/>
        <v>..</v>
      </c>
      <c r="BG38" s="73"/>
      <c r="BH38" s="73"/>
      <c r="BI38" s="71" t="s">
        <v>66</v>
      </c>
      <c r="BJ38" s="71" t="s">
        <v>66</v>
      </c>
      <c r="BK38" s="71" t="s">
        <v>66</v>
      </c>
      <c r="BL38" s="116" t="s">
        <v>66</v>
      </c>
    </row>
    <row r="39" spans="1:64" s="13" customFormat="1" x14ac:dyDescent="0.2">
      <c r="A39" s="13" t="str">
        <f t="shared" si="0"/>
        <v>1976Q2</v>
      </c>
      <c r="B39" s="11">
        <f>B38</f>
        <v>1976</v>
      </c>
      <c r="C39" s="11" t="s">
        <v>2</v>
      </c>
      <c r="D39" s="43">
        <v>653</v>
      </c>
      <c r="E39" s="43">
        <v>837</v>
      </c>
      <c r="F39" s="87">
        <f t="shared" si="1"/>
        <v>1490</v>
      </c>
      <c r="G39" s="42" t="s">
        <v>66</v>
      </c>
      <c r="H39" s="42" t="s">
        <v>66</v>
      </c>
      <c r="I39" s="92" t="s">
        <v>66</v>
      </c>
      <c r="J39" s="92" t="s">
        <v>66</v>
      </c>
      <c r="K39" s="92" t="s">
        <v>66</v>
      </c>
      <c r="L39" s="42" t="s">
        <v>66</v>
      </c>
      <c r="M39" s="42" t="s">
        <v>66</v>
      </c>
      <c r="N39" s="42" t="s">
        <v>67</v>
      </c>
      <c r="O39" s="42" t="s">
        <v>67</v>
      </c>
      <c r="P39" s="42" t="s">
        <v>66</v>
      </c>
      <c r="Q39" s="98">
        <v>1785</v>
      </c>
      <c r="R39" s="42" t="s">
        <v>67</v>
      </c>
      <c r="S39" s="42" t="s">
        <v>66</v>
      </c>
      <c r="T39" s="92" t="s">
        <v>66</v>
      </c>
      <c r="U39" s="42" t="s">
        <v>66</v>
      </c>
      <c r="V39" s="92" t="s">
        <v>66</v>
      </c>
      <c r="W39" s="42" t="s">
        <v>66</v>
      </c>
      <c r="X39" s="92" t="s">
        <v>66</v>
      </c>
      <c r="Y39" s="92" t="s">
        <v>66</v>
      </c>
      <c r="Z39" s="92" t="s">
        <v>66</v>
      </c>
      <c r="AA39" s="48" t="s">
        <v>67</v>
      </c>
      <c r="AB39" s="52">
        <v>22</v>
      </c>
      <c r="AC39" s="105">
        <f t="shared" si="6"/>
        <v>1807</v>
      </c>
      <c r="AD39" s="42" t="s">
        <v>66</v>
      </c>
      <c r="AE39" s="48" t="s">
        <v>67</v>
      </c>
      <c r="AF39" s="49" t="str">
        <f t="shared" si="7"/>
        <v>..</v>
      </c>
      <c r="AG39" s="36"/>
      <c r="AH39" s="32"/>
      <c r="AI39" s="108"/>
      <c r="AJ39" s="28"/>
      <c r="AK39" s="25"/>
      <c r="AL39" s="29"/>
      <c r="AM39" s="21"/>
      <c r="AN39" s="19" t="s">
        <v>66</v>
      </c>
      <c r="AO39" s="19" t="s">
        <v>66</v>
      </c>
      <c r="AP39" s="111" t="s">
        <v>66</v>
      </c>
      <c r="AQ39" s="19" t="s">
        <v>66</v>
      </c>
      <c r="AR39" s="19" t="s">
        <v>66</v>
      </c>
      <c r="AS39" s="112" t="s">
        <v>31</v>
      </c>
      <c r="AT39" s="112" t="s">
        <v>31</v>
      </c>
      <c r="AU39" s="19" t="s">
        <v>66</v>
      </c>
      <c r="AV39" s="19" t="s">
        <v>66</v>
      </c>
      <c r="AW39" s="19" t="s">
        <v>67</v>
      </c>
      <c r="AX39" s="19" t="s">
        <v>66</v>
      </c>
      <c r="AY39" s="19" t="s">
        <v>66</v>
      </c>
      <c r="AZ39" s="22" t="s">
        <v>67</v>
      </c>
      <c r="BA39" s="19" t="s">
        <v>67</v>
      </c>
      <c r="BB39" s="106" t="str">
        <f t="shared" si="4"/>
        <v>..</v>
      </c>
      <c r="BC39" s="21"/>
      <c r="BD39" s="70" t="s">
        <v>66</v>
      </c>
      <c r="BE39" s="70" t="s">
        <v>66</v>
      </c>
      <c r="BF39" s="114" t="str">
        <f t="shared" si="5"/>
        <v>..</v>
      </c>
      <c r="BG39" s="73"/>
      <c r="BH39" s="73"/>
      <c r="BI39" s="71" t="s">
        <v>66</v>
      </c>
      <c r="BJ39" s="71" t="s">
        <v>66</v>
      </c>
      <c r="BK39" s="71" t="s">
        <v>66</v>
      </c>
      <c r="BL39" s="116" t="s">
        <v>66</v>
      </c>
    </row>
    <row r="40" spans="1:64" s="13" customFormat="1" x14ac:dyDescent="0.2">
      <c r="A40" s="13" t="str">
        <f t="shared" si="0"/>
        <v>1976Q3</v>
      </c>
      <c r="B40" s="11">
        <f>B39</f>
        <v>1976</v>
      </c>
      <c r="C40" s="11" t="s">
        <v>3</v>
      </c>
      <c r="D40" s="43">
        <v>324</v>
      </c>
      <c r="E40" s="43">
        <v>826</v>
      </c>
      <c r="F40" s="87">
        <f t="shared" si="1"/>
        <v>1150</v>
      </c>
      <c r="G40" s="42" t="s">
        <v>66</v>
      </c>
      <c r="H40" s="42" t="s">
        <v>66</v>
      </c>
      <c r="I40" s="92" t="s">
        <v>66</v>
      </c>
      <c r="J40" s="92" t="s">
        <v>66</v>
      </c>
      <c r="K40" s="92" t="s">
        <v>66</v>
      </c>
      <c r="L40" s="42" t="s">
        <v>66</v>
      </c>
      <c r="M40" s="42" t="s">
        <v>66</v>
      </c>
      <c r="N40" s="42" t="s">
        <v>67</v>
      </c>
      <c r="O40" s="42" t="s">
        <v>67</v>
      </c>
      <c r="P40" s="42" t="s">
        <v>66</v>
      </c>
      <c r="Q40" s="98">
        <v>1571</v>
      </c>
      <c r="R40" s="42" t="s">
        <v>67</v>
      </c>
      <c r="S40" s="42" t="s">
        <v>66</v>
      </c>
      <c r="T40" s="92" t="s">
        <v>66</v>
      </c>
      <c r="U40" s="42" t="s">
        <v>66</v>
      </c>
      <c r="V40" s="92" t="s">
        <v>66</v>
      </c>
      <c r="W40" s="42" t="s">
        <v>66</v>
      </c>
      <c r="X40" s="92" t="s">
        <v>66</v>
      </c>
      <c r="Y40" s="92" t="s">
        <v>66</v>
      </c>
      <c r="Z40" s="92" t="s">
        <v>66</v>
      </c>
      <c r="AA40" s="48" t="s">
        <v>67</v>
      </c>
      <c r="AB40" s="52">
        <v>21</v>
      </c>
      <c r="AC40" s="105">
        <f t="shared" si="6"/>
        <v>1592</v>
      </c>
      <c r="AD40" s="42" t="s">
        <v>66</v>
      </c>
      <c r="AE40" s="48" t="s">
        <v>67</v>
      </c>
      <c r="AF40" s="49" t="str">
        <f t="shared" si="7"/>
        <v>..</v>
      </c>
      <c r="AG40" s="36"/>
      <c r="AH40" s="32"/>
      <c r="AI40" s="108"/>
      <c r="AJ40" s="28"/>
      <c r="AK40" s="25"/>
      <c r="AL40" s="29"/>
      <c r="AM40" s="21"/>
      <c r="AN40" s="19" t="s">
        <v>66</v>
      </c>
      <c r="AO40" s="19" t="s">
        <v>66</v>
      </c>
      <c r="AP40" s="111" t="s">
        <v>66</v>
      </c>
      <c r="AQ40" s="19" t="s">
        <v>66</v>
      </c>
      <c r="AR40" s="19" t="s">
        <v>66</v>
      </c>
      <c r="AS40" s="112" t="s">
        <v>31</v>
      </c>
      <c r="AT40" s="112" t="s">
        <v>31</v>
      </c>
      <c r="AU40" s="19" t="s">
        <v>66</v>
      </c>
      <c r="AV40" s="19" t="s">
        <v>66</v>
      </c>
      <c r="AW40" s="19" t="s">
        <v>67</v>
      </c>
      <c r="AX40" s="19" t="s">
        <v>66</v>
      </c>
      <c r="AY40" s="19" t="s">
        <v>66</v>
      </c>
      <c r="AZ40" s="22" t="s">
        <v>67</v>
      </c>
      <c r="BA40" s="19" t="s">
        <v>67</v>
      </c>
      <c r="BB40" s="106" t="str">
        <f t="shared" si="4"/>
        <v>..</v>
      </c>
      <c r="BC40" s="21"/>
      <c r="BD40" s="70" t="s">
        <v>66</v>
      </c>
      <c r="BE40" s="70" t="s">
        <v>66</v>
      </c>
      <c r="BF40" s="114" t="str">
        <f t="shared" si="5"/>
        <v>..</v>
      </c>
      <c r="BG40" s="73"/>
      <c r="BH40" s="73"/>
      <c r="BI40" s="71" t="s">
        <v>66</v>
      </c>
      <c r="BJ40" s="71" t="s">
        <v>66</v>
      </c>
      <c r="BK40" s="71" t="s">
        <v>66</v>
      </c>
      <c r="BL40" s="116" t="s">
        <v>66</v>
      </c>
    </row>
    <row r="41" spans="1:64" s="13" customFormat="1" x14ac:dyDescent="0.2">
      <c r="A41" s="13" t="str">
        <f t="shared" si="0"/>
        <v>1976Q4</v>
      </c>
      <c r="B41" s="11">
        <f>B40</f>
        <v>1976</v>
      </c>
      <c r="C41" s="11" t="s">
        <v>4</v>
      </c>
      <c r="D41" s="43">
        <v>847</v>
      </c>
      <c r="E41" s="43">
        <v>898</v>
      </c>
      <c r="F41" s="87">
        <f t="shared" si="1"/>
        <v>1745</v>
      </c>
      <c r="G41" s="42" t="s">
        <v>66</v>
      </c>
      <c r="H41" s="42" t="s">
        <v>66</v>
      </c>
      <c r="I41" s="92" t="s">
        <v>66</v>
      </c>
      <c r="J41" s="92" t="s">
        <v>66</v>
      </c>
      <c r="K41" s="92" t="s">
        <v>66</v>
      </c>
      <c r="L41" s="42" t="s">
        <v>66</v>
      </c>
      <c r="M41" s="42" t="s">
        <v>66</v>
      </c>
      <c r="N41" s="42" t="s">
        <v>67</v>
      </c>
      <c r="O41" s="42" t="s">
        <v>67</v>
      </c>
      <c r="P41" s="42" t="s">
        <v>66</v>
      </c>
      <c r="Q41" s="98">
        <v>1861</v>
      </c>
      <c r="R41" s="42" t="s">
        <v>67</v>
      </c>
      <c r="S41" s="42" t="s">
        <v>66</v>
      </c>
      <c r="T41" s="92" t="s">
        <v>66</v>
      </c>
      <c r="U41" s="42" t="s">
        <v>66</v>
      </c>
      <c r="V41" s="92" t="s">
        <v>66</v>
      </c>
      <c r="W41" s="42" t="s">
        <v>66</v>
      </c>
      <c r="X41" s="92" t="s">
        <v>66</v>
      </c>
      <c r="Y41" s="92" t="s">
        <v>66</v>
      </c>
      <c r="Z41" s="92" t="s">
        <v>66</v>
      </c>
      <c r="AA41" s="48" t="s">
        <v>67</v>
      </c>
      <c r="AB41" s="52">
        <v>26</v>
      </c>
      <c r="AC41" s="105">
        <f t="shared" si="6"/>
        <v>1887</v>
      </c>
      <c r="AD41" s="42" t="s">
        <v>66</v>
      </c>
      <c r="AE41" s="48" t="s">
        <v>67</v>
      </c>
      <c r="AF41" s="49" t="str">
        <f t="shared" si="7"/>
        <v>..</v>
      </c>
      <c r="AG41" s="36"/>
      <c r="AH41" s="32"/>
      <c r="AI41" s="108"/>
      <c r="AJ41" s="28"/>
      <c r="AK41" s="25"/>
      <c r="AL41" s="29"/>
      <c r="AM41" s="21"/>
      <c r="AN41" s="19" t="s">
        <v>66</v>
      </c>
      <c r="AO41" s="19" t="s">
        <v>66</v>
      </c>
      <c r="AP41" s="111" t="s">
        <v>66</v>
      </c>
      <c r="AQ41" s="19" t="s">
        <v>66</v>
      </c>
      <c r="AR41" s="19" t="s">
        <v>66</v>
      </c>
      <c r="AS41" s="112" t="s">
        <v>31</v>
      </c>
      <c r="AT41" s="112" t="s">
        <v>31</v>
      </c>
      <c r="AU41" s="19" t="s">
        <v>66</v>
      </c>
      <c r="AV41" s="19" t="s">
        <v>66</v>
      </c>
      <c r="AW41" s="19" t="s">
        <v>67</v>
      </c>
      <c r="AX41" s="19" t="s">
        <v>66</v>
      </c>
      <c r="AY41" s="19" t="s">
        <v>66</v>
      </c>
      <c r="AZ41" s="22" t="s">
        <v>67</v>
      </c>
      <c r="BA41" s="19" t="s">
        <v>67</v>
      </c>
      <c r="BB41" s="106" t="str">
        <f t="shared" si="4"/>
        <v>..</v>
      </c>
      <c r="BC41" s="21"/>
      <c r="BD41" s="70" t="s">
        <v>66</v>
      </c>
      <c r="BE41" s="70" t="s">
        <v>66</v>
      </c>
      <c r="BF41" s="114" t="str">
        <f t="shared" si="5"/>
        <v>..</v>
      </c>
      <c r="BG41" s="73"/>
      <c r="BH41" s="73"/>
      <c r="BI41" s="71" t="s">
        <v>66</v>
      </c>
      <c r="BJ41" s="71" t="s">
        <v>66</v>
      </c>
      <c r="BK41" s="71" t="s">
        <v>66</v>
      </c>
      <c r="BL41" s="116" t="s">
        <v>66</v>
      </c>
    </row>
    <row r="42" spans="1:64" s="13" customFormat="1" x14ac:dyDescent="0.2">
      <c r="A42" s="13" t="str">
        <f t="shared" si="0"/>
        <v>1977Q1</v>
      </c>
      <c r="B42" s="11">
        <v>1977</v>
      </c>
      <c r="C42" s="63" t="s">
        <v>1</v>
      </c>
      <c r="D42" s="43">
        <v>653</v>
      </c>
      <c r="E42" s="43">
        <v>889</v>
      </c>
      <c r="F42" s="87">
        <f t="shared" si="1"/>
        <v>1542</v>
      </c>
      <c r="G42" s="42" t="s">
        <v>66</v>
      </c>
      <c r="H42" s="42" t="s">
        <v>66</v>
      </c>
      <c r="I42" s="92" t="s">
        <v>66</v>
      </c>
      <c r="J42" s="92" t="s">
        <v>66</v>
      </c>
      <c r="K42" s="92" t="s">
        <v>66</v>
      </c>
      <c r="L42" s="42" t="s">
        <v>66</v>
      </c>
      <c r="M42" s="42" t="s">
        <v>66</v>
      </c>
      <c r="N42" s="42" t="s">
        <v>67</v>
      </c>
      <c r="O42" s="42" t="s">
        <v>67</v>
      </c>
      <c r="P42" s="42" t="s">
        <v>66</v>
      </c>
      <c r="Q42" s="98">
        <v>1350</v>
      </c>
      <c r="R42" s="42" t="s">
        <v>67</v>
      </c>
      <c r="S42" s="42" t="s">
        <v>66</v>
      </c>
      <c r="T42" s="92" t="s">
        <v>66</v>
      </c>
      <c r="U42" s="42" t="s">
        <v>66</v>
      </c>
      <c r="V42" s="92" t="s">
        <v>66</v>
      </c>
      <c r="W42" s="42" t="s">
        <v>66</v>
      </c>
      <c r="X42" s="92" t="s">
        <v>66</v>
      </c>
      <c r="Y42" s="92" t="s">
        <v>66</v>
      </c>
      <c r="Z42" s="92" t="s">
        <v>66</v>
      </c>
      <c r="AA42" s="48" t="s">
        <v>67</v>
      </c>
      <c r="AB42" s="52">
        <v>23</v>
      </c>
      <c r="AC42" s="105">
        <f t="shared" si="6"/>
        <v>1373</v>
      </c>
      <c r="AD42" s="42" t="s">
        <v>66</v>
      </c>
      <c r="AE42" s="48" t="s">
        <v>67</v>
      </c>
      <c r="AF42" s="49" t="str">
        <f t="shared" si="7"/>
        <v>..</v>
      </c>
      <c r="AG42" s="36"/>
      <c r="AH42" s="32"/>
      <c r="AI42" s="108"/>
      <c r="AJ42" s="28"/>
      <c r="AK42" s="25"/>
      <c r="AL42" s="29"/>
      <c r="AM42" s="21"/>
      <c r="AN42" s="19" t="s">
        <v>66</v>
      </c>
      <c r="AO42" s="19" t="s">
        <v>66</v>
      </c>
      <c r="AP42" s="111" t="s">
        <v>66</v>
      </c>
      <c r="AQ42" s="19" t="s">
        <v>66</v>
      </c>
      <c r="AR42" s="19" t="s">
        <v>66</v>
      </c>
      <c r="AS42" s="112" t="s">
        <v>31</v>
      </c>
      <c r="AT42" s="112" t="s">
        <v>31</v>
      </c>
      <c r="AU42" s="19" t="s">
        <v>66</v>
      </c>
      <c r="AV42" s="19" t="s">
        <v>66</v>
      </c>
      <c r="AW42" s="19" t="s">
        <v>67</v>
      </c>
      <c r="AX42" s="19" t="s">
        <v>66</v>
      </c>
      <c r="AY42" s="19" t="s">
        <v>66</v>
      </c>
      <c r="AZ42" s="22" t="s">
        <v>67</v>
      </c>
      <c r="BA42" s="19" t="s">
        <v>67</v>
      </c>
      <c r="BB42" s="106" t="str">
        <f t="shared" si="4"/>
        <v>..</v>
      </c>
      <c r="BC42" s="21"/>
      <c r="BD42" s="70" t="s">
        <v>66</v>
      </c>
      <c r="BE42" s="70" t="s">
        <v>66</v>
      </c>
      <c r="BF42" s="114" t="str">
        <f t="shared" si="5"/>
        <v>..</v>
      </c>
      <c r="BG42" s="73"/>
      <c r="BH42" s="73"/>
      <c r="BI42" s="71" t="s">
        <v>66</v>
      </c>
      <c r="BJ42" s="71" t="s">
        <v>66</v>
      </c>
      <c r="BK42" s="71" t="s">
        <v>66</v>
      </c>
      <c r="BL42" s="116" t="s">
        <v>66</v>
      </c>
    </row>
    <row r="43" spans="1:64" s="13" customFormat="1" x14ac:dyDescent="0.2">
      <c r="A43" s="13" t="str">
        <f t="shared" si="0"/>
        <v>1977Q2</v>
      </c>
      <c r="B43" s="11">
        <f>B42</f>
        <v>1977</v>
      </c>
      <c r="C43" s="11" t="s">
        <v>2</v>
      </c>
      <c r="D43" s="43">
        <v>602</v>
      </c>
      <c r="E43" s="43">
        <v>931</v>
      </c>
      <c r="F43" s="87">
        <f t="shared" si="1"/>
        <v>1533</v>
      </c>
      <c r="G43" s="42" t="s">
        <v>66</v>
      </c>
      <c r="H43" s="42" t="s">
        <v>66</v>
      </c>
      <c r="I43" s="92" t="s">
        <v>66</v>
      </c>
      <c r="J43" s="92" t="s">
        <v>66</v>
      </c>
      <c r="K43" s="92" t="s">
        <v>66</v>
      </c>
      <c r="L43" s="42" t="s">
        <v>66</v>
      </c>
      <c r="M43" s="42" t="s">
        <v>66</v>
      </c>
      <c r="N43" s="42" t="s">
        <v>67</v>
      </c>
      <c r="O43" s="42" t="s">
        <v>67</v>
      </c>
      <c r="P43" s="42" t="s">
        <v>66</v>
      </c>
      <c r="Q43" s="98">
        <v>1067</v>
      </c>
      <c r="R43" s="42" t="s">
        <v>67</v>
      </c>
      <c r="S43" s="42" t="s">
        <v>66</v>
      </c>
      <c r="T43" s="92" t="s">
        <v>66</v>
      </c>
      <c r="U43" s="42" t="s">
        <v>66</v>
      </c>
      <c r="V43" s="92" t="s">
        <v>66</v>
      </c>
      <c r="W43" s="42" t="s">
        <v>66</v>
      </c>
      <c r="X43" s="92" t="s">
        <v>66</v>
      </c>
      <c r="Y43" s="92" t="s">
        <v>66</v>
      </c>
      <c r="Z43" s="92" t="s">
        <v>66</v>
      </c>
      <c r="AA43" s="48" t="s">
        <v>67</v>
      </c>
      <c r="AB43" s="52">
        <v>25</v>
      </c>
      <c r="AC43" s="105">
        <f t="shared" si="6"/>
        <v>1092</v>
      </c>
      <c r="AD43" s="42" t="s">
        <v>66</v>
      </c>
      <c r="AE43" s="48" t="s">
        <v>67</v>
      </c>
      <c r="AF43" s="49" t="str">
        <f t="shared" si="7"/>
        <v>..</v>
      </c>
      <c r="AG43" s="36"/>
      <c r="AH43" s="32"/>
      <c r="AI43" s="108"/>
      <c r="AJ43" s="28"/>
      <c r="AK43" s="25"/>
      <c r="AL43" s="29"/>
      <c r="AM43" s="21"/>
      <c r="AN43" s="19" t="s">
        <v>66</v>
      </c>
      <c r="AO43" s="19" t="s">
        <v>66</v>
      </c>
      <c r="AP43" s="111" t="s">
        <v>66</v>
      </c>
      <c r="AQ43" s="19" t="s">
        <v>66</v>
      </c>
      <c r="AR43" s="19" t="s">
        <v>66</v>
      </c>
      <c r="AS43" s="112" t="s">
        <v>31</v>
      </c>
      <c r="AT43" s="112" t="s">
        <v>31</v>
      </c>
      <c r="AU43" s="19" t="s">
        <v>66</v>
      </c>
      <c r="AV43" s="19" t="s">
        <v>66</v>
      </c>
      <c r="AW43" s="19" t="s">
        <v>67</v>
      </c>
      <c r="AX43" s="19" t="s">
        <v>66</v>
      </c>
      <c r="AY43" s="19" t="s">
        <v>66</v>
      </c>
      <c r="AZ43" s="22" t="s">
        <v>67</v>
      </c>
      <c r="BA43" s="19" t="s">
        <v>67</v>
      </c>
      <c r="BB43" s="106" t="str">
        <f t="shared" si="4"/>
        <v>..</v>
      </c>
      <c r="BC43" s="21"/>
      <c r="BD43" s="70" t="s">
        <v>66</v>
      </c>
      <c r="BE43" s="70" t="s">
        <v>66</v>
      </c>
      <c r="BF43" s="114" t="str">
        <f t="shared" si="5"/>
        <v>..</v>
      </c>
      <c r="BG43" s="73"/>
      <c r="BH43" s="73"/>
      <c r="BI43" s="71" t="s">
        <v>66</v>
      </c>
      <c r="BJ43" s="71" t="s">
        <v>66</v>
      </c>
      <c r="BK43" s="71" t="s">
        <v>66</v>
      </c>
      <c r="BL43" s="116" t="s">
        <v>66</v>
      </c>
    </row>
    <row r="44" spans="1:64" s="13" customFormat="1" x14ac:dyDescent="0.2">
      <c r="A44" s="13" t="str">
        <f t="shared" si="0"/>
        <v>1977Q3</v>
      </c>
      <c r="B44" s="11">
        <f>B43</f>
        <v>1977</v>
      </c>
      <c r="C44" s="11" t="s">
        <v>3</v>
      </c>
      <c r="D44" s="43">
        <v>336</v>
      </c>
      <c r="E44" s="43">
        <v>789</v>
      </c>
      <c r="F44" s="87">
        <f t="shared" si="1"/>
        <v>1125</v>
      </c>
      <c r="G44" s="42" t="s">
        <v>66</v>
      </c>
      <c r="H44" s="42" t="s">
        <v>66</v>
      </c>
      <c r="I44" s="92" t="s">
        <v>66</v>
      </c>
      <c r="J44" s="92" t="s">
        <v>66</v>
      </c>
      <c r="K44" s="92" t="s">
        <v>66</v>
      </c>
      <c r="L44" s="42" t="s">
        <v>66</v>
      </c>
      <c r="M44" s="42" t="s">
        <v>66</v>
      </c>
      <c r="N44" s="42" t="s">
        <v>67</v>
      </c>
      <c r="O44" s="42" t="s">
        <v>67</v>
      </c>
      <c r="P44" s="42" t="s">
        <v>66</v>
      </c>
      <c r="Q44" s="98">
        <v>980</v>
      </c>
      <c r="R44" s="42" t="s">
        <v>67</v>
      </c>
      <c r="S44" s="42" t="s">
        <v>66</v>
      </c>
      <c r="T44" s="92" t="s">
        <v>66</v>
      </c>
      <c r="U44" s="42" t="s">
        <v>66</v>
      </c>
      <c r="V44" s="92" t="s">
        <v>66</v>
      </c>
      <c r="W44" s="42" t="s">
        <v>66</v>
      </c>
      <c r="X44" s="92" t="s">
        <v>66</v>
      </c>
      <c r="Y44" s="92" t="s">
        <v>66</v>
      </c>
      <c r="Z44" s="92" t="s">
        <v>66</v>
      </c>
      <c r="AA44" s="48" t="s">
        <v>67</v>
      </c>
      <c r="AB44" s="52">
        <v>22</v>
      </c>
      <c r="AC44" s="105">
        <f t="shared" si="6"/>
        <v>1002</v>
      </c>
      <c r="AD44" s="42" t="s">
        <v>66</v>
      </c>
      <c r="AE44" s="48" t="s">
        <v>67</v>
      </c>
      <c r="AF44" s="49" t="str">
        <f t="shared" si="7"/>
        <v>..</v>
      </c>
      <c r="AG44" s="36"/>
      <c r="AH44" s="32"/>
      <c r="AI44" s="108"/>
      <c r="AJ44" s="28"/>
      <c r="AK44" s="25"/>
      <c r="AL44" s="29"/>
      <c r="AM44" s="21"/>
      <c r="AN44" s="19" t="s">
        <v>66</v>
      </c>
      <c r="AO44" s="19" t="s">
        <v>66</v>
      </c>
      <c r="AP44" s="111" t="s">
        <v>66</v>
      </c>
      <c r="AQ44" s="19" t="s">
        <v>66</v>
      </c>
      <c r="AR44" s="19" t="s">
        <v>66</v>
      </c>
      <c r="AS44" s="112" t="s">
        <v>31</v>
      </c>
      <c r="AT44" s="112" t="s">
        <v>31</v>
      </c>
      <c r="AU44" s="19" t="s">
        <v>66</v>
      </c>
      <c r="AV44" s="19" t="s">
        <v>66</v>
      </c>
      <c r="AW44" s="19" t="s">
        <v>67</v>
      </c>
      <c r="AX44" s="19" t="s">
        <v>66</v>
      </c>
      <c r="AY44" s="19" t="s">
        <v>66</v>
      </c>
      <c r="AZ44" s="22" t="s">
        <v>67</v>
      </c>
      <c r="BA44" s="19" t="s">
        <v>67</v>
      </c>
      <c r="BB44" s="106" t="str">
        <f t="shared" si="4"/>
        <v>..</v>
      </c>
      <c r="BC44" s="21"/>
      <c r="BD44" s="70" t="s">
        <v>66</v>
      </c>
      <c r="BE44" s="70" t="s">
        <v>66</v>
      </c>
      <c r="BF44" s="114" t="str">
        <f t="shared" si="5"/>
        <v>..</v>
      </c>
      <c r="BG44" s="73"/>
      <c r="BH44" s="73"/>
      <c r="BI44" s="71" t="s">
        <v>66</v>
      </c>
      <c r="BJ44" s="71" t="s">
        <v>66</v>
      </c>
      <c r="BK44" s="71" t="s">
        <v>66</v>
      </c>
      <c r="BL44" s="116" t="s">
        <v>66</v>
      </c>
    </row>
    <row r="45" spans="1:64" s="13" customFormat="1" x14ac:dyDescent="0.2">
      <c r="A45" s="13" t="str">
        <f t="shared" si="0"/>
        <v>1977Q4</v>
      </c>
      <c r="B45" s="11">
        <f>B44</f>
        <v>1977</v>
      </c>
      <c r="C45" s="11" t="s">
        <v>4</v>
      </c>
      <c r="D45" s="43">
        <v>834</v>
      </c>
      <c r="E45" s="43">
        <v>797</v>
      </c>
      <c r="F45" s="87">
        <f t="shared" si="1"/>
        <v>1631</v>
      </c>
      <c r="G45" s="42" t="s">
        <v>66</v>
      </c>
      <c r="H45" s="42" t="s">
        <v>66</v>
      </c>
      <c r="I45" s="92" t="s">
        <v>66</v>
      </c>
      <c r="J45" s="92" t="s">
        <v>66</v>
      </c>
      <c r="K45" s="92" t="s">
        <v>66</v>
      </c>
      <c r="L45" s="42" t="s">
        <v>66</v>
      </c>
      <c r="M45" s="42" t="s">
        <v>66</v>
      </c>
      <c r="N45" s="42" t="s">
        <v>67</v>
      </c>
      <c r="O45" s="42" t="s">
        <v>67</v>
      </c>
      <c r="P45" s="42" t="s">
        <v>66</v>
      </c>
      <c r="Q45" s="98">
        <v>1006</v>
      </c>
      <c r="R45" s="42" t="s">
        <v>67</v>
      </c>
      <c r="S45" s="42" t="s">
        <v>66</v>
      </c>
      <c r="T45" s="92" t="s">
        <v>66</v>
      </c>
      <c r="U45" s="42" t="s">
        <v>66</v>
      </c>
      <c r="V45" s="92" t="s">
        <v>66</v>
      </c>
      <c r="W45" s="42" t="s">
        <v>66</v>
      </c>
      <c r="X45" s="92" t="s">
        <v>66</v>
      </c>
      <c r="Y45" s="92" t="s">
        <v>66</v>
      </c>
      <c r="Z45" s="92" t="s">
        <v>66</v>
      </c>
      <c r="AA45" s="48" t="s">
        <v>67</v>
      </c>
      <c r="AB45" s="52">
        <v>12</v>
      </c>
      <c r="AC45" s="105">
        <f t="shared" si="6"/>
        <v>1018</v>
      </c>
      <c r="AD45" s="42" t="s">
        <v>66</v>
      </c>
      <c r="AE45" s="48" t="s">
        <v>67</v>
      </c>
      <c r="AF45" s="49" t="str">
        <f t="shared" si="7"/>
        <v>..</v>
      </c>
      <c r="AG45" s="36"/>
      <c r="AH45" s="32"/>
      <c r="AI45" s="108"/>
      <c r="AJ45" s="28"/>
      <c r="AK45" s="25"/>
      <c r="AL45" s="29"/>
      <c r="AM45" s="21"/>
      <c r="AN45" s="19" t="s">
        <v>66</v>
      </c>
      <c r="AO45" s="19" t="s">
        <v>66</v>
      </c>
      <c r="AP45" s="111" t="s">
        <v>66</v>
      </c>
      <c r="AQ45" s="19" t="s">
        <v>66</v>
      </c>
      <c r="AR45" s="19" t="s">
        <v>66</v>
      </c>
      <c r="AS45" s="112" t="s">
        <v>31</v>
      </c>
      <c r="AT45" s="112" t="s">
        <v>31</v>
      </c>
      <c r="AU45" s="19" t="s">
        <v>66</v>
      </c>
      <c r="AV45" s="19" t="s">
        <v>66</v>
      </c>
      <c r="AW45" s="19" t="s">
        <v>67</v>
      </c>
      <c r="AX45" s="19" t="s">
        <v>66</v>
      </c>
      <c r="AY45" s="19" t="s">
        <v>66</v>
      </c>
      <c r="AZ45" s="22" t="s">
        <v>67</v>
      </c>
      <c r="BA45" s="19" t="s">
        <v>67</v>
      </c>
      <c r="BB45" s="106" t="str">
        <f t="shared" si="4"/>
        <v>..</v>
      </c>
      <c r="BC45" s="21"/>
      <c r="BD45" s="70" t="s">
        <v>66</v>
      </c>
      <c r="BE45" s="70" t="s">
        <v>66</v>
      </c>
      <c r="BF45" s="114" t="str">
        <f t="shared" si="5"/>
        <v>..</v>
      </c>
      <c r="BG45" s="73"/>
      <c r="BH45" s="73"/>
      <c r="BI45" s="71" t="s">
        <v>66</v>
      </c>
      <c r="BJ45" s="71" t="s">
        <v>66</v>
      </c>
      <c r="BK45" s="71" t="s">
        <v>66</v>
      </c>
      <c r="BL45" s="116" t="s">
        <v>66</v>
      </c>
    </row>
    <row r="46" spans="1:64" s="13" customFormat="1" x14ac:dyDescent="0.2">
      <c r="A46" s="13" t="str">
        <f t="shared" si="0"/>
        <v>1978Q1</v>
      </c>
      <c r="B46" s="11">
        <v>1978</v>
      </c>
      <c r="C46" s="63" t="s">
        <v>1</v>
      </c>
      <c r="D46" s="43">
        <v>549</v>
      </c>
      <c r="E46" s="43">
        <v>792</v>
      </c>
      <c r="F46" s="87">
        <f t="shared" si="1"/>
        <v>1341</v>
      </c>
      <c r="G46" s="42" t="s">
        <v>66</v>
      </c>
      <c r="H46" s="42" t="s">
        <v>66</v>
      </c>
      <c r="I46" s="92" t="s">
        <v>66</v>
      </c>
      <c r="J46" s="92" t="s">
        <v>66</v>
      </c>
      <c r="K46" s="92" t="s">
        <v>66</v>
      </c>
      <c r="L46" s="42" t="s">
        <v>66</v>
      </c>
      <c r="M46" s="42" t="s">
        <v>66</v>
      </c>
      <c r="N46" s="42" t="s">
        <v>67</v>
      </c>
      <c r="O46" s="42" t="s">
        <v>67</v>
      </c>
      <c r="P46" s="42" t="s">
        <v>66</v>
      </c>
      <c r="Q46" s="98">
        <v>1027</v>
      </c>
      <c r="R46" s="42" t="s">
        <v>67</v>
      </c>
      <c r="S46" s="42" t="s">
        <v>66</v>
      </c>
      <c r="T46" s="92" t="s">
        <v>66</v>
      </c>
      <c r="U46" s="42" t="s">
        <v>66</v>
      </c>
      <c r="V46" s="92" t="s">
        <v>66</v>
      </c>
      <c r="W46" s="42" t="s">
        <v>66</v>
      </c>
      <c r="X46" s="92" t="s">
        <v>66</v>
      </c>
      <c r="Y46" s="92" t="s">
        <v>66</v>
      </c>
      <c r="Z46" s="92" t="s">
        <v>66</v>
      </c>
      <c r="AA46" s="48" t="s">
        <v>67</v>
      </c>
      <c r="AB46" s="52">
        <v>15</v>
      </c>
      <c r="AC46" s="105">
        <f t="shared" si="6"/>
        <v>1042</v>
      </c>
      <c r="AD46" s="42" t="s">
        <v>66</v>
      </c>
      <c r="AE46" s="48" t="s">
        <v>67</v>
      </c>
      <c r="AF46" s="49" t="str">
        <f t="shared" si="7"/>
        <v>..</v>
      </c>
      <c r="AG46" s="36"/>
      <c r="AH46" s="32"/>
      <c r="AI46" s="108"/>
      <c r="AJ46" s="28"/>
      <c r="AK46" s="25"/>
      <c r="AL46" s="29"/>
      <c r="AM46" s="21"/>
      <c r="AN46" s="19" t="s">
        <v>66</v>
      </c>
      <c r="AO46" s="19" t="s">
        <v>66</v>
      </c>
      <c r="AP46" s="111" t="s">
        <v>66</v>
      </c>
      <c r="AQ46" s="19" t="s">
        <v>66</v>
      </c>
      <c r="AR46" s="19" t="s">
        <v>66</v>
      </c>
      <c r="AS46" s="112" t="s">
        <v>31</v>
      </c>
      <c r="AT46" s="112" t="s">
        <v>31</v>
      </c>
      <c r="AU46" s="19" t="s">
        <v>66</v>
      </c>
      <c r="AV46" s="19" t="s">
        <v>66</v>
      </c>
      <c r="AW46" s="19" t="s">
        <v>67</v>
      </c>
      <c r="AX46" s="19" t="s">
        <v>66</v>
      </c>
      <c r="AY46" s="19" t="s">
        <v>66</v>
      </c>
      <c r="AZ46" s="22" t="s">
        <v>67</v>
      </c>
      <c r="BA46" s="19" t="s">
        <v>67</v>
      </c>
      <c r="BB46" s="106" t="str">
        <f t="shared" si="4"/>
        <v>..</v>
      </c>
      <c r="BC46" s="21"/>
      <c r="BD46" s="70" t="s">
        <v>66</v>
      </c>
      <c r="BE46" s="70" t="s">
        <v>66</v>
      </c>
      <c r="BF46" s="114" t="str">
        <f t="shared" si="5"/>
        <v>..</v>
      </c>
      <c r="BG46" s="73"/>
      <c r="BH46" s="73"/>
      <c r="BI46" s="71" t="s">
        <v>66</v>
      </c>
      <c r="BJ46" s="71" t="s">
        <v>66</v>
      </c>
      <c r="BK46" s="71" t="s">
        <v>66</v>
      </c>
      <c r="BL46" s="116" t="s">
        <v>66</v>
      </c>
    </row>
    <row r="47" spans="1:64" s="13" customFormat="1" x14ac:dyDescent="0.2">
      <c r="A47" s="13" t="str">
        <f t="shared" si="0"/>
        <v>1978Q2</v>
      </c>
      <c r="B47" s="11">
        <f>B46</f>
        <v>1978</v>
      </c>
      <c r="C47" s="11" t="s">
        <v>2</v>
      </c>
      <c r="D47" s="43">
        <v>610</v>
      </c>
      <c r="E47" s="43">
        <v>763</v>
      </c>
      <c r="F47" s="87">
        <f t="shared" si="1"/>
        <v>1373</v>
      </c>
      <c r="G47" s="42" t="s">
        <v>66</v>
      </c>
      <c r="H47" s="42" t="s">
        <v>66</v>
      </c>
      <c r="I47" s="92" t="s">
        <v>66</v>
      </c>
      <c r="J47" s="92" t="s">
        <v>66</v>
      </c>
      <c r="K47" s="92" t="s">
        <v>66</v>
      </c>
      <c r="L47" s="42" t="s">
        <v>66</v>
      </c>
      <c r="M47" s="42" t="s">
        <v>66</v>
      </c>
      <c r="N47" s="42" t="s">
        <v>67</v>
      </c>
      <c r="O47" s="42" t="s">
        <v>67</v>
      </c>
      <c r="P47" s="42" t="s">
        <v>66</v>
      </c>
      <c r="Q47" s="98">
        <v>1028</v>
      </c>
      <c r="R47" s="42" t="s">
        <v>67</v>
      </c>
      <c r="S47" s="42" t="s">
        <v>66</v>
      </c>
      <c r="T47" s="92" t="s">
        <v>66</v>
      </c>
      <c r="U47" s="42" t="s">
        <v>66</v>
      </c>
      <c r="V47" s="92" t="s">
        <v>66</v>
      </c>
      <c r="W47" s="42" t="s">
        <v>66</v>
      </c>
      <c r="X47" s="92" t="s">
        <v>66</v>
      </c>
      <c r="Y47" s="92" t="s">
        <v>66</v>
      </c>
      <c r="Z47" s="92" t="s">
        <v>66</v>
      </c>
      <c r="AA47" s="48" t="s">
        <v>67</v>
      </c>
      <c r="AB47" s="52">
        <v>22</v>
      </c>
      <c r="AC47" s="105">
        <f t="shared" si="6"/>
        <v>1050</v>
      </c>
      <c r="AD47" s="42" t="s">
        <v>66</v>
      </c>
      <c r="AE47" s="48" t="s">
        <v>67</v>
      </c>
      <c r="AF47" s="49" t="str">
        <f t="shared" si="7"/>
        <v>..</v>
      </c>
      <c r="AG47" s="36"/>
      <c r="AH47" s="32"/>
      <c r="AI47" s="108"/>
      <c r="AJ47" s="28"/>
      <c r="AK47" s="25"/>
      <c r="AL47" s="29"/>
      <c r="AM47" s="21"/>
      <c r="AN47" s="19" t="s">
        <v>66</v>
      </c>
      <c r="AO47" s="19" t="s">
        <v>66</v>
      </c>
      <c r="AP47" s="111" t="s">
        <v>66</v>
      </c>
      <c r="AQ47" s="19" t="s">
        <v>66</v>
      </c>
      <c r="AR47" s="19" t="s">
        <v>66</v>
      </c>
      <c r="AS47" s="112" t="s">
        <v>31</v>
      </c>
      <c r="AT47" s="112" t="s">
        <v>31</v>
      </c>
      <c r="AU47" s="19" t="s">
        <v>66</v>
      </c>
      <c r="AV47" s="19" t="s">
        <v>66</v>
      </c>
      <c r="AW47" s="19" t="s">
        <v>67</v>
      </c>
      <c r="AX47" s="19" t="s">
        <v>66</v>
      </c>
      <c r="AY47" s="19" t="s">
        <v>66</v>
      </c>
      <c r="AZ47" s="22" t="s">
        <v>67</v>
      </c>
      <c r="BA47" s="19" t="s">
        <v>67</v>
      </c>
      <c r="BB47" s="106" t="str">
        <f t="shared" si="4"/>
        <v>..</v>
      </c>
      <c r="BC47" s="21"/>
      <c r="BD47" s="70" t="s">
        <v>66</v>
      </c>
      <c r="BE47" s="70" t="s">
        <v>66</v>
      </c>
      <c r="BF47" s="114" t="str">
        <f t="shared" si="5"/>
        <v>..</v>
      </c>
      <c r="BG47" s="73"/>
      <c r="BH47" s="73"/>
      <c r="BI47" s="71" t="s">
        <v>66</v>
      </c>
      <c r="BJ47" s="71" t="s">
        <v>66</v>
      </c>
      <c r="BK47" s="71" t="s">
        <v>66</v>
      </c>
      <c r="BL47" s="116" t="s">
        <v>66</v>
      </c>
    </row>
    <row r="48" spans="1:64" s="13" customFormat="1" x14ac:dyDescent="0.2">
      <c r="A48" s="13" t="str">
        <f t="shared" si="0"/>
        <v>1978Q3</v>
      </c>
      <c r="B48" s="11">
        <f>B47</f>
        <v>1978</v>
      </c>
      <c r="C48" s="11" t="s">
        <v>3</v>
      </c>
      <c r="D48" s="43">
        <v>281</v>
      </c>
      <c r="E48" s="43">
        <v>696</v>
      </c>
      <c r="F48" s="87">
        <f t="shared" si="1"/>
        <v>977</v>
      </c>
      <c r="G48" s="42" t="s">
        <v>66</v>
      </c>
      <c r="H48" s="42" t="s">
        <v>66</v>
      </c>
      <c r="I48" s="92" t="s">
        <v>66</v>
      </c>
      <c r="J48" s="92" t="s">
        <v>66</v>
      </c>
      <c r="K48" s="92" t="s">
        <v>66</v>
      </c>
      <c r="L48" s="42" t="s">
        <v>66</v>
      </c>
      <c r="M48" s="42" t="s">
        <v>66</v>
      </c>
      <c r="N48" s="42" t="s">
        <v>67</v>
      </c>
      <c r="O48" s="42" t="s">
        <v>67</v>
      </c>
      <c r="P48" s="42" t="s">
        <v>66</v>
      </c>
      <c r="Q48" s="98">
        <v>762</v>
      </c>
      <c r="R48" s="42" t="s">
        <v>67</v>
      </c>
      <c r="S48" s="42" t="s">
        <v>66</v>
      </c>
      <c r="T48" s="92" t="s">
        <v>66</v>
      </c>
      <c r="U48" s="42" t="s">
        <v>66</v>
      </c>
      <c r="V48" s="92" t="s">
        <v>66</v>
      </c>
      <c r="W48" s="42" t="s">
        <v>66</v>
      </c>
      <c r="X48" s="92" t="s">
        <v>66</v>
      </c>
      <c r="Y48" s="92" t="s">
        <v>66</v>
      </c>
      <c r="Z48" s="92" t="s">
        <v>66</v>
      </c>
      <c r="AA48" s="48" t="s">
        <v>67</v>
      </c>
      <c r="AB48" s="52">
        <v>12</v>
      </c>
      <c r="AC48" s="105">
        <f t="shared" si="6"/>
        <v>774</v>
      </c>
      <c r="AD48" s="42" t="s">
        <v>66</v>
      </c>
      <c r="AE48" s="48" t="s">
        <v>67</v>
      </c>
      <c r="AF48" s="49" t="str">
        <f t="shared" si="7"/>
        <v>..</v>
      </c>
      <c r="AG48" s="36"/>
      <c r="AH48" s="32"/>
      <c r="AI48" s="108"/>
      <c r="AJ48" s="28"/>
      <c r="AK48" s="25"/>
      <c r="AL48" s="29"/>
      <c r="AM48" s="21"/>
      <c r="AN48" s="19" t="s">
        <v>66</v>
      </c>
      <c r="AO48" s="19" t="s">
        <v>66</v>
      </c>
      <c r="AP48" s="111" t="s">
        <v>66</v>
      </c>
      <c r="AQ48" s="19" t="s">
        <v>66</v>
      </c>
      <c r="AR48" s="19" t="s">
        <v>66</v>
      </c>
      <c r="AS48" s="112" t="s">
        <v>31</v>
      </c>
      <c r="AT48" s="112" t="s">
        <v>31</v>
      </c>
      <c r="AU48" s="19" t="s">
        <v>66</v>
      </c>
      <c r="AV48" s="19" t="s">
        <v>66</v>
      </c>
      <c r="AW48" s="19" t="s">
        <v>67</v>
      </c>
      <c r="AX48" s="19" t="s">
        <v>66</v>
      </c>
      <c r="AY48" s="19" t="s">
        <v>66</v>
      </c>
      <c r="AZ48" s="22" t="s">
        <v>67</v>
      </c>
      <c r="BA48" s="19" t="s">
        <v>67</v>
      </c>
      <c r="BB48" s="106" t="str">
        <f t="shared" si="4"/>
        <v>..</v>
      </c>
      <c r="BC48" s="21"/>
      <c r="BD48" s="70" t="s">
        <v>66</v>
      </c>
      <c r="BE48" s="70" t="s">
        <v>66</v>
      </c>
      <c r="BF48" s="114" t="str">
        <f t="shared" si="5"/>
        <v>..</v>
      </c>
      <c r="BG48" s="73"/>
      <c r="BH48" s="73"/>
      <c r="BI48" s="71" t="s">
        <v>66</v>
      </c>
      <c r="BJ48" s="71" t="s">
        <v>66</v>
      </c>
      <c r="BK48" s="71" t="s">
        <v>66</v>
      </c>
      <c r="BL48" s="116" t="s">
        <v>66</v>
      </c>
    </row>
    <row r="49" spans="1:64" s="13" customFormat="1" x14ac:dyDescent="0.2">
      <c r="A49" s="13" t="str">
        <f t="shared" si="0"/>
        <v>1978Q4</v>
      </c>
      <c r="B49" s="11">
        <f>B48</f>
        <v>1978</v>
      </c>
      <c r="C49" s="11" t="s">
        <v>4</v>
      </c>
      <c r="D49" s="43">
        <v>825</v>
      </c>
      <c r="E49" s="43">
        <v>570</v>
      </c>
      <c r="F49" s="87">
        <f t="shared" si="1"/>
        <v>1395</v>
      </c>
      <c r="G49" s="42" t="s">
        <v>66</v>
      </c>
      <c r="H49" s="42" t="s">
        <v>66</v>
      </c>
      <c r="I49" s="92" t="s">
        <v>66</v>
      </c>
      <c r="J49" s="92" t="s">
        <v>66</v>
      </c>
      <c r="K49" s="92" t="s">
        <v>66</v>
      </c>
      <c r="L49" s="42" t="s">
        <v>66</v>
      </c>
      <c r="M49" s="42" t="s">
        <v>66</v>
      </c>
      <c r="N49" s="42" t="s">
        <v>67</v>
      </c>
      <c r="O49" s="42" t="s">
        <v>67</v>
      </c>
      <c r="P49" s="42" t="s">
        <v>66</v>
      </c>
      <c r="Q49" s="98">
        <v>1009</v>
      </c>
      <c r="R49" s="42" t="s">
        <v>67</v>
      </c>
      <c r="S49" s="42" t="s">
        <v>66</v>
      </c>
      <c r="T49" s="92" t="s">
        <v>66</v>
      </c>
      <c r="U49" s="42" t="s">
        <v>66</v>
      </c>
      <c r="V49" s="92" t="s">
        <v>66</v>
      </c>
      <c r="W49" s="42" t="s">
        <v>66</v>
      </c>
      <c r="X49" s="92" t="s">
        <v>66</v>
      </c>
      <c r="Y49" s="92" t="s">
        <v>66</v>
      </c>
      <c r="Z49" s="92" t="s">
        <v>66</v>
      </c>
      <c r="AA49" s="48" t="s">
        <v>67</v>
      </c>
      <c r="AB49" s="52">
        <v>27</v>
      </c>
      <c r="AC49" s="105">
        <f t="shared" si="6"/>
        <v>1036</v>
      </c>
      <c r="AD49" s="42" t="s">
        <v>66</v>
      </c>
      <c r="AE49" s="48" t="s">
        <v>67</v>
      </c>
      <c r="AF49" s="49" t="str">
        <f t="shared" si="7"/>
        <v>..</v>
      </c>
      <c r="AG49" s="36"/>
      <c r="AH49" s="32"/>
      <c r="AI49" s="108"/>
      <c r="AJ49" s="28"/>
      <c r="AK49" s="25"/>
      <c r="AL49" s="29"/>
      <c r="AM49" s="21"/>
      <c r="AN49" s="19" t="s">
        <v>66</v>
      </c>
      <c r="AO49" s="19" t="s">
        <v>66</v>
      </c>
      <c r="AP49" s="111" t="s">
        <v>66</v>
      </c>
      <c r="AQ49" s="19" t="s">
        <v>66</v>
      </c>
      <c r="AR49" s="19" t="s">
        <v>66</v>
      </c>
      <c r="AS49" s="112" t="s">
        <v>31</v>
      </c>
      <c r="AT49" s="112" t="s">
        <v>31</v>
      </c>
      <c r="AU49" s="19" t="s">
        <v>66</v>
      </c>
      <c r="AV49" s="19" t="s">
        <v>66</v>
      </c>
      <c r="AW49" s="19" t="s">
        <v>67</v>
      </c>
      <c r="AX49" s="19" t="s">
        <v>66</v>
      </c>
      <c r="AY49" s="19" t="s">
        <v>66</v>
      </c>
      <c r="AZ49" s="22" t="s">
        <v>67</v>
      </c>
      <c r="BA49" s="19" t="s">
        <v>67</v>
      </c>
      <c r="BB49" s="106" t="str">
        <f t="shared" si="4"/>
        <v>..</v>
      </c>
      <c r="BC49" s="21"/>
      <c r="BD49" s="70" t="s">
        <v>66</v>
      </c>
      <c r="BE49" s="70" t="s">
        <v>66</v>
      </c>
      <c r="BF49" s="114" t="str">
        <f t="shared" si="5"/>
        <v>..</v>
      </c>
      <c r="BG49" s="73"/>
      <c r="BH49" s="73"/>
      <c r="BI49" s="71" t="s">
        <v>66</v>
      </c>
      <c r="BJ49" s="71" t="s">
        <v>66</v>
      </c>
      <c r="BK49" s="71" t="s">
        <v>66</v>
      </c>
      <c r="BL49" s="116" t="s">
        <v>66</v>
      </c>
    </row>
    <row r="50" spans="1:64" s="13" customFormat="1" x14ac:dyDescent="0.2">
      <c r="A50" s="13" t="str">
        <f t="shared" si="0"/>
        <v>1979Q1</v>
      </c>
      <c r="B50" s="11">
        <v>1979</v>
      </c>
      <c r="C50" s="63" t="s">
        <v>1</v>
      </c>
      <c r="D50" s="43">
        <v>599</v>
      </c>
      <c r="E50" s="43">
        <v>675</v>
      </c>
      <c r="F50" s="87">
        <f t="shared" si="1"/>
        <v>1274</v>
      </c>
      <c r="G50" s="42" t="s">
        <v>66</v>
      </c>
      <c r="H50" s="42" t="s">
        <v>66</v>
      </c>
      <c r="I50" s="92" t="s">
        <v>66</v>
      </c>
      <c r="J50" s="92" t="s">
        <v>66</v>
      </c>
      <c r="K50" s="92" t="s">
        <v>66</v>
      </c>
      <c r="L50" s="42" t="s">
        <v>66</v>
      </c>
      <c r="M50" s="42" t="s">
        <v>66</v>
      </c>
      <c r="N50" s="42" t="s">
        <v>67</v>
      </c>
      <c r="O50" s="42" t="s">
        <v>67</v>
      </c>
      <c r="P50" s="42" t="s">
        <v>66</v>
      </c>
      <c r="Q50" s="98">
        <v>955</v>
      </c>
      <c r="R50" s="42" t="s">
        <v>67</v>
      </c>
      <c r="S50" s="42" t="s">
        <v>66</v>
      </c>
      <c r="T50" s="92" t="s">
        <v>66</v>
      </c>
      <c r="U50" s="42" t="s">
        <v>66</v>
      </c>
      <c r="V50" s="92" t="s">
        <v>66</v>
      </c>
      <c r="W50" s="42" t="s">
        <v>66</v>
      </c>
      <c r="X50" s="92" t="s">
        <v>66</v>
      </c>
      <c r="Y50" s="92" t="s">
        <v>66</v>
      </c>
      <c r="Z50" s="92" t="s">
        <v>66</v>
      </c>
      <c r="AA50" s="48" t="s">
        <v>67</v>
      </c>
      <c r="AB50" s="52">
        <v>18</v>
      </c>
      <c r="AC50" s="105">
        <f t="shared" si="6"/>
        <v>973</v>
      </c>
      <c r="AD50" s="42" t="s">
        <v>66</v>
      </c>
      <c r="AE50" s="48" t="s">
        <v>67</v>
      </c>
      <c r="AF50" s="49" t="str">
        <f t="shared" si="7"/>
        <v>..</v>
      </c>
      <c r="AG50" s="36"/>
      <c r="AH50" s="32"/>
      <c r="AI50" s="108"/>
      <c r="AJ50" s="28"/>
      <c r="AK50" s="25"/>
      <c r="AL50" s="29"/>
      <c r="AM50" s="21"/>
      <c r="AN50" s="19" t="s">
        <v>66</v>
      </c>
      <c r="AO50" s="19" t="s">
        <v>66</v>
      </c>
      <c r="AP50" s="111" t="s">
        <v>66</v>
      </c>
      <c r="AQ50" s="19" t="s">
        <v>66</v>
      </c>
      <c r="AR50" s="19" t="s">
        <v>66</v>
      </c>
      <c r="AS50" s="112" t="s">
        <v>31</v>
      </c>
      <c r="AT50" s="112" t="s">
        <v>31</v>
      </c>
      <c r="AU50" s="19" t="s">
        <v>66</v>
      </c>
      <c r="AV50" s="19" t="s">
        <v>66</v>
      </c>
      <c r="AW50" s="19" t="s">
        <v>67</v>
      </c>
      <c r="AX50" s="19" t="s">
        <v>66</v>
      </c>
      <c r="AY50" s="19" t="s">
        <v>66</v>
      </c>
      <c r="AZ50" s="22" t="s">
        <v>67</v>
      </c>
      <c r="BA50" s="19" t="s">
        <v>67</v>
      </c>
      <c r="BB50" s="106" t="str">
        <f t="shared" si="4"/>
        <v>..</v>
      </c>
      <c r="BC50" s="21"/>
      <c r="BD50" s="70" t="s">
        <v>66</v>
      </c>
      <c r="BE50" s="70" t="s">
        <v>66</v>
      </c>
      <c r="BF50" s="114" t="str">
        <f t="shared" si="5"/>
        <v>..</v>
      </c>
      <c r="BG50" s="73"/>
      <c r="BH50" s="73"/>
      <c r="BI50" s="71" t="s">
        <v>66</v>
      </c>
      <c r="BJ50" s="71" t="s">
        <v>66</v>
      </c>
      <c r="BK50" s="71" t="s">
        <v>66</v>
      </c>
      <c r="BL50" s="116" t="s">
        <v>66</v>
      </c>
    </row>
    <row r="51" spans="1:64" s="13" customFormat="1" x14ac:dyDescent="0.2">
      <c r="A51" s="13" t="str">
        <f t="shared" si="0"/>
        <v>1979Q2</v>
      </c>
      <c r="B51" s="11">
        <f>B50</f>
        <v>1979</v>
      </c>
      <c r="C51" s="11" t="s">
        <v>2</v>
      </c>
      <c r="D51" s="43">
        <v>329</v>
      </c>
      <c r="E51" s="43">
        <v>603</v>
      </c>
      <c r="F51" s="87">
        <f t="shared" si="1"/>
        <v>932</v>
      </c>
      <c r="G51" s="42" t="s">
        <v>66</v>
      </c>
      <c r="H51" s="42" t="s">
        <v>66</v>
      </c>
      <c r="I51" s="92" t="s">
        <v>66</v>
      </c>
      <c r="J51" s="92" t="s">
        <v>66</v>
      </c>
      <c r="K51" s="92" t="s">
        <v>66</v>
      </c>
      <c r="L51" s="42" t="s">
        <v>66</v>
      </c>
      <c r="M51" s="42" t="s">
        <v>66</v>
      </c>
      <c r="N51" s="42" t="s">
        <v>67</v>
      </c>
      <c r="O51" s="42" t="s">
        <v>67</v>
      </c>
      <c r="P51" s="42" t="s">
        <v>66</v>
      </c>
      <c r="Q51" s="98">
        <v>847</v>
      </c>
      <c r="R51" s="42" t="s">
        <v>67</v>
      </c>
      <c r="S51" s="42" t="s">
        <v>66</v>
      </c>
      <c r="T51" s="92" t="s">
        <v>66</v>
      </c>
      <c r="U51" s="42" t="s">
        <v>66</v>
      </c>
      <c r="V51" s="92" t="s">
        <v>66</v>
      </c>
      <c r="W51" s="42" t="s">
        <v>66</v>
      </c>
      <c r="X51" s="92" t="s">
        <v>66</v>
      </c>
      <c r="Y51" s="92" t="s">
        <v>66</v>
      </c>
      <c r="Z51" s="92" t="s">
        <v>66</v>
      </c>
      <c r="AA51" s="48" t="s">
        <v>67</v>
      </c>
      <c r="AB51" s="52">
        <v>8</v>
      </c>
      <c r="AC51" s="105">
        <f t="shared" si="6"/>
        <v>855</v>
      </c>
      <c r="AD51" s="42" t="s">
        <v>66</v>
      </c>
      <c r="AE51" s="48" t="s">
        <v>67</v>
      </c>
      <c r="AF51" s="49" t="str">
        <f t="shared" si="7"/>
        <v>..</v>
      </c>
      <c r="AG51" s="36"/>
      <c r="AH51" s="32"/>
      <c r="AI51" s="108"/>
      <c r="AJ51" s="28"/>
      <c r="AK51" s="25"/>
      <c r="AL51" s="29"/>
      <c r="AM51" s="21"/>
      <c r="AN51" s="19" t="s">
        <v>66</v>
      </c>
      <c r="AO51" s="19" t="s">
        <v>66</v>
      </c>
      <c r="AP51" s="111" t="s">
        <v>66</v>
      </c>
      <c r="AQ51" s="19" t="s">
        <v>66</v>
      </c>
      <c r="AR51" s="19" t="s">
        <v>66</v>
      </c>
      <c r="AS51" s="112" t="s">
        <v>31</v>
      </c>
      <c r="AT51" s="112" t="s">
        <v>31</v>
      </c>
      <c r="AU51" s="19" t="s">
        <v>66</v>
      </c>
      <c r="AV51" s="19" t="s">
        <v>66</v>
      </c>
      <c r="AW51" s="19" t="s">
        <v>67</v>
      </c>
      <c r="AX51" s="19" t="s">
        <v>66</v>
      </c>
      <c r="AY51" s="19" t="s">
        <v>66</v>
      </c>
      <c r="AZ51" s="22" t="s">
        <v>67</v>
      </c>
      <c r="BA51" s="19" t="s">
        <v>67</v>
      </c>
      <c r="BB51" s="106" t="str">
        <f t="shared" si="4"/>
        <v>..</v>
      </c>
      <c r="BC51" s="21"/>
      <c r="BD51" s="70" t="s">
        <v>66</v>
      </c>
      <c r="BE51" s="70" t="s">
        <v>66</v>
      </c>
      <c r="BF51" s="114" t="str">
        <f t="shared" si="5"/>
        <v>..</v>
      </c>
      <c r="BG51" s="73"/>
      <c r="BH51" s="73"/>
      <c r="BI51" s="71" t="s">
        <v>66</v>
      </c>
      <c r="BJ51" s="71" t="s">
        <v>66</v>
      </c>
      <c r="BK51" s="71" t="s">
        <v>66</v>
      </c>
      <c r="BL51" s="116" t="s">
        <v>66</v>
      </c>
    </row>
    <row r="52" spans="1:64" s="13" customFormat="1" x14ac:dyDescent="0.2">
      <c r="A52" s="13" t="str">
        <f t="shared" si="0"/>
        <v>1979Q3</v>
      </c>
      <c r="B52" s="11">
        <f>B51</f>
        <v>1979</v>
      </c>
      <c r="C52" s="11" t="s">
        <v>3</v>
      </c>
      <c r="D52" s="43">
        <v>215</v>
      </c>
      <c r="E52" s="43">
        <v>614</v>
      </c>
      <c r="F52" s="87">
        <f t="shared" si="1"/>
        <v>829</v>
      </c>
      <c r="G52" s="42" t="s">
        <v>66</v>
      </c>
      <c r="H52" s="42" t="s">
        <v>66</v>
      </c>
      <c r="I52" s="92" t="s">
        <v>66</v>
      </c>
      <c r="J52" s="92" t="s">
        <v>66</v>
      </c>
      <c r="K52" s="92" t="s">
        <v>66</v>
      </c>
      <c r="L52" s="42" t="s">
        <v>66</v>
      </c>
      <c r="M52" s="42" t="s">
        <v>66</v>
      </c>
      <c r="N52" s="42" t="s">
        <v>67</v>
      </c>
      <c r="O52" s="42" t="s">
        <v>67</v>
      </c>
      <c r="P52" s="42" t="s">
        <v>66</v>
      </c>
      <c r="Q52" s="98">
        <v>713</v>
      </c>
      <c r="R52" s="42" t="s">
        <v>67</v>
      </c>
      <c r="S52" s="42" t="s">
        <v>66</v>
      </c>
      <c r="T52" s="92" t="s">
        <v>66</v>
      </c>
      <c r="U52" s="42" t="s">
        <v>66</v>
      </c>
      <c r="V52" s="92" t="s">
        <v>66</v>
      </c>
      <c r="W52" s="42" t="s">
        <v>66</v>
      </c>
      <c r="X52" s="92" t="s">
        <v>66</v>
      </c>
      <c r="Y52" s="92" t="s">
        <v>66</v>
      </c>
      <c r="Z52" s="92" t="s">
        <v>66</v>
      </c>
      <c r="AA52" s="48" t="s">
        <v>67</v>
      </c>
      <c r="AB52" s="52">
        <v>10</v>
      </c>
      <c r="AC52" s="105">
        <f t="shared" si="6"/>
        <v>723</v>
      </c>
      <c r="AD52" s="42" t="s">
        <v>66</v>
      </c>
      <c r="AE52" s="48" t="s">
        <v>67</v>
      </c>
      <c r="AF52" s="49" t="str">
        <f t="shared" si="7"/>
        <v>..</v>
      </c>
      <c r="AG52" s="36"/>
      <c r="AH52" s="32"/>
      <c r="AI52" s="108"/>
      <c r="AJ52" s="28"/>
      <c r="AK52" s="25"/>
      <c r="AL52" s="29"/>
      <c r="AM52" s="21"/>
      <c r="AN52" s="19" t="s">
        <v>66</v>
      </c>
      <c r="AO52" s="19" t="s">
        <v>66</v>
      </c>
      <c r="AP52" s="111" t="s">
        <v>66</v>
      </c>
      <c r="AQ52" s="19" t="s">
        <v>66</v>
      </c>
      <c r="AR52" s="19" t="s">
        <v>66</v>
      </c>
      <c r="AS52" s="112" t="s">
        <v>31</v>
      </c>
      <c r="AT52" s="112" t="s">
        <v>31</v>
      </c>
      <c r="AU52" s="19" t="s">
        <v>66</v>
      </c>
      <c r="AV52" s="19" t="s">
        <v>66</v>
      </c>
      <c r="AW52" s="19" t="s">
        <v>67</v>
      </c>
      <c r="AX52" s="19" t="s">
        <v>66</v>
      </c>
      <c r="AY52" s="19" t="s">
        <v>66</v>
      </c>
      <c r="AZ52" s="22" t="s">
        <v>67</v>
      </c>
      <c r="BA52" s="19" t="s">
        <v>67</v>
      </c>
      <c r="BB52" s="106" t="str">
        <f t="shared" si="4"/>
        <v>..</v>
      </c>
      <c r="BC52" s="21"/>
      <c r="BD52" s="70" t="s">
        <v>66</v>
      </c>
      <c r="BE52" s="70" t="s">
        <v>66</v>
      </c>
      <c r="BF52" s="114" t="str">
        <f t="shared" si="5"/>
        <v>..</v>
      </c>
      <c r="BG52" s="73"/>
      <c r="BH52" s="73"/>
      <c r="BI52" s="71" t="s">
        <v>66</v>
      </c>
      <c r="BJ52" s="71" t="s">
        <v>66</v>
      </c>
      <c r="BK52" s="71" t="s">
        <v>66</v>
      </c>
      <c r="BL52" s="116" t="s">
        <v>66</v>
      </c>
    </row>
    <row r="53" spans="1:64" s="13" customFormat="1" x14ac:dyDescent="0.2">
      <c r="A53" s="13" t="str">
        <f t="shared" si="0"/>
        <v>1979Q4</v>
      </c>
      <c r="B53" s="11">
        <f>B52</f>
        <v>1979</v>
      </c>
      <c r="C53" s="11" t="s">
        <v>4</v>
      </c>
      <c r="D53" s="43">
        <v>921</v>
      </c>
      <c r="E53" s="43">
        <v>581</v>
      </c>
      <c r="F53" s="87">
        <f t="shared" si="1"/>
        <v>1502</v>
      </c>
      <c r="G53" s="42" t="s">
        <v>66</v>
      </c>
      <c r="H53" s="42" t="s">
        <v>66</v>
      </c>
      <c r="I53" s="92" t="s">
        <v>66</v>
      </c>
      <c r="J53" s="92" t="s">
        <v>66</v>
      </c>
      <c r="K53" s="92" t="s">
        <v>66</v>
      </c>
      <c r="L53" s="42" t="s">
        <v>66</v>
      </c>
      <c r="M53" s="42" t="s">
        <v>66</v>
      </c>
      <c r="N53" s="42" t="s">
        <v>67</v>
      </c>
      <c r="O53" s="42" t="s">
        <v>67</v>
      </c>
      <c r="P53" s="42" t="s">
        <v>66</v>
      </c>
      <c r="Q53" s="98">
        <v>941</v>
      </c>
      <c r="R53" s="42" t="s">
        <v>67</v>
      </c>
      <c r="S53" s="42" t="s">
        <v>66</v>
      </c>
      <c r="T53" s="92" t="s">
        <v>66</v>
      </c>
      <c r="U53" s="42" t="s">
        <v>66</v>
      </c>
      <c r="V53" s="92" t="s">
        <v>66</v>
      </c>
      <c r="W53" s="42" t="s">
        <v>66</v>
      </c>
      <c r="X53" s="92" t="s">
        <v>66</v>
      </c>
      <c r="Y53" s="92" t="s">
        <v>66</v>
      </c>
      <c r="Z53" s="92" t="s">
        <v>66</v>
      </c>
      <c r="AA53" s="48" t="s">
        <v>67</v>
      </c>
      <c r="AB53" s="52">
        <v>8</v>
      </c>
      <c r="AC53" s="105">
        <f t="shared" si="6"/>
        <v>949</v>
      </c>
      <c r="AD53" s="42" t="s">
        <v>66</v>
      </c>
      <c r="AE53" s="48" t="s">
        <v>67</v>
      </c>
      <c r="AF53" s="49" t="str">
        <f t="shared" si="7"/>
        <v>..</v>
      </c>
      <c r="AG53" s="36"/>
      <c r="AH53" s="32"/>
      <c r="AI53" s="108"/>
      <c r="AJ53" s="28"/>
      <c r="AK53" s="25"/>
      <c r="AL53" s="29"/>
      <c r="AM53" s="21"/>
      <c r="AN53" s="20" t="s">
        <v>31</v>
      </c>
      <c r="AO53" s="20" t="s">
        <v>31</v>
      </c>
      <c r="AP53" s="112" t="s">
        <v>31</v>
      </c>
      <c r="AQ53" s="19" t="s">
        <v>66</v>
      </c>
      <c r="AR53" s="19" t="s">
        <v>66</v>
      </c>
      <c r="AS53" s="112" t="s">
        <v>31</v>
      </c>
      <c r="AT53" s="112" t="s">
        <v>31</v>
      </c>
      <c r="AU53" s="19" t="s">
        <v>66</v>
      </c>
      <c r="AV53" s="19" t="s">
        <v>66</v>
      </c>
      <c r="AW53" s="19" t="s">
        <v>67</v>
      </c>
      <c r="AX53" s="19" t="s">
        <v>66</v>
      </c>
      <c r="AY53" s="19" t="s">
        <v>66</v>
      </c>
      <c r="AZ53" s="22" t="s">
        <v>67</v>
      </c>
      <c r="BA53" s="19" t="s">
        <v>67</v>
      </c>
      <c r="BB53" s="106" t="str">
        <f t="shared" si="4"/>
        <v>..</v>
      </c>
      <c r="BC53" s="21"/>
      <c r="BD53" s="70" t="s">
        <v>66</v>
      </c>
      <c r="BE53" s="70" t="s">
        <v>66</v>
      </c>
      <c r="BF53" s="114" t="str">
        <f t="shared" si="5"/>
        <v>..</v>
      </c>
      <c r="BG53" s="73"/>
      <c r="BH53" s="73"/>
      <c r="BI53" s="71" t="s">
        <v>66</v>
      </c>
      <c r="BJ53" s="71" t="s">
        <v>66</v>
      </c>
      <c r="BK53" s="71" t="s">
        <v>66</v>
      </c>
      <c r="BL53" s="116" t="s">
        <v>66</v>
      </c>
    </row>
    <row r="54" spans="1:64" s="13" customFormat="1" x14ac:dyDescent="0.2">
      <c r="A54" s="13" t="str">
        <f t="shared" si="0"/>
        <v>1980Q1</v>
      </c>
      <c r="B54" s="11">
        <v>1980</v>
      </c>
      <c r="C54" s="63" t="s">
        <v>1</v>
      </c>
      <c r="D54" s="43">
        <v>757</v>
      </c>
      <c r="E54" s="43">
        <v>741</v>
      </c>
      <c r="F54" s="87">
        <f t="shared" si="1"/>
        <v>1498</v>
      </c>
      <c r="G54" s="42" t="s">
        <v>66</v>
      </c>
      <c r="H54" s="42" t="s">
        <v>66</v>
      </c>
      <c r="I54" s="92" t="s">
        <v>66</v>
      </c>
      <c r="J54" s="92" t="s">
        <v>66</v>
      </c>
      <c r="K54" s="92" t="s">
        <v>66</v>
      </c>
      <c r="L54" s="42" t="s">
        <v>66</v>
      </c>
      <c r="M54" s="42" t="s">
        <v>66</v>
      </c>
      <c r="N54" s="42" t="s">
        <v>67</v>
      </c>
      <c r="O54" s="42" t="s">
        <v>67</v>
      </c>
      <c r="P54" s="42" t="s">
        <v>66</v>
      </c>
      <c r="Q54" s="98">
        <v>958</v>
      </c>
      <c r="R54" s="42" t="s">
        <v>67</v>
      </c>
      <c r="S54" s="42" t="s">
        <v>66</v>
      </c>
      <c r="T54" s="92" t="s">
        <v>66</v>
      </c>
      <c r="U54" s="42" t="s">
        <v>66</v>
      </c>
      <c r="V54" s="92" t="s">
        <v>66</v>
      </c>
      <c r="W54" s="42" t="s">
        <v>66</v>
      </c>
      <c r="X54" s="92" t="s">
        <v>66</v>
      </c>
      <c r="Y54" s="92" t="s">
        <v>66</v>
      </c>
      <c r="Z54" s="92" t="s">
        <v>66</v>
      </c>
      <c r="AA54" s="48" t="s">
        <v>67</v>
      </c>
      <c r="AB54" s="52">
        <v>10</v>
      </c>
      <c r="AC54" s="105">
        <f t="shared" si="6"/>
        <v>968</v>
      </c>
      <c r="AD54" s="42" t="s">
        <v>66</v>
      </c>
      <c r="AE54" s="48" t="s">
        <v>67</v>
      </c>
      <c r="AF54" s="49" t="str">
        <f t="shared" si="7"/>
        <v>..</v>
      </c>
      <c r="AG54" s="36"/>
      <c r="AH54" s="32"/>
      <c r="AI54" s="108"/>
      <c r="AJ54" s="28"/>
      <c r="AK54" s="25"/>
      <c r="AL54" s="29"/>
      <c r="AM54" s="21"/>
      <c r="AN54" s="19">
        <v>27</v>
      </c>
      <c r="AO54" s="19">
        <v>55</v>
      </c>
      <c r="AP54" s="106">
        <f t="shared" ref="AP54:AP117" si="8">AN54+AO54</f>
        <v>82</v>
      </c>
      <c r="AQ54" s="19" t="s">
        <v>66</v>
      </c>
      <c r="AR54" s="19" t="s">
        <v>66</v>
      </c>
      <c r="AS54" s="112" t="s">
        <v>31</v>
      </c>
      <c r="AT54" s="112" t="s">
        <v>31</v>
      </c>
      <c r="AU54" s="19" t="s">
        <v>66</v>
      </c>
      <c r="AV54" s="19" t="s">
        <v>66</v>
      </c>
      <c r="AW54" s="19" t="s">
        <v>67</v>
      </c>
      <c r="AX54" s="19" t="s">
        <v>66</v>
      </c>
      <c r="AY54" s="22">
        <v>50</v>
      </c>
      <c r="AZ54" s="22" t="s">
        <v>67</v>
      </c>
      <c r="BA54" s="19" t="s">
        <v>67</v>
      </c>
      <c r="BB54" s="106">
        <f t="shared" si="4"/>
        <v>50</v>
      </c>
      <c r="BC54" s="21"/>
      <c r="BD54" s="70" t="s">
        <v>66</v>
      </c>
      <c r="BE54" s="70" t="s">
        <v>66</v>
      </c>
      <c r="BF54" s="114" t="str">
        <f t="shared" si="5"/>
        <v>..</v>
      </c>
      <c r="BG54" s="73"/>
      <c r="BH54" s="73"/>
      <c r="BI54" s="71" t="s">
        <v>66</v>
      </c>
      <c r="BJ54" s="71" t="s">
        <v>66</v>
      </c>
      <c r="BK54" s="71" t="s">
        <v>66</v>
      </c>
      <c r="BL54" s="116" t="s">
        <v>66</v>
      </c>
    </row>
    <row r="55" spans="1:64" s="13" customFormat="1" x14ac:dyDescent="0.2">
      <c r="A55" s="13" t="str">
        <f t="shared" si="0"/>
        <v>1980Q2</v>
      </c>
      <c r="B55" s="11">
        <f>B54</f>
        <v>1980</v>
      </c>
      <c r="C55" s="11" t="s">
        <v>2</v>
      </c>
      <c r="D55" s="43">
        <v>718</v>
      </c>
      <c r="E55" s="43">
        <v>1007</v>
      </c>
      <c r="F55" s="87">
        <f t="shared" si="1"/>
        <v>1725</v>
      </c>
      <c r="G55" s="42" t="s">
        <v>66</v>
      </c>
      <c r="H55" s="42" t="s">
        <v>66</v>
      </c>
      <c r="I55" s="92" t="s">
        <v>66</v>
      </c>
      <c r="J55" s="92" t="s">
        <v>66</v>
      </c>
      <c r="K55" s="92" t="s">
        <v>66</v>
      </c>
      <c r="L55" s="42" t="s">
        <v>66</v>
      </c>
      <c r="M55" s="42" t="s">
        <v>66</v>
      </c>
      <c r="N55" s="42" t="s">
        <v>67</v>
      </c>
      <c r="O55" s="42" t="s">
        <v>67</v>
      </c>
      <c r="P55" s="42" t="s">
        <v>66</v>
      </c>
      <c r="Q55" s="98">
        <v>981</v>
      </c>
      <c r="R55" s="42" t="s">
        <v>67</v>
      </c>
      <c r="S55" s="42" t="s">
        <v>66</v>
      </c>
      <c r="T55" s="92" t="s">
        <v>66</v>
      </c>
      <c r="U55" s="42" t="s">
        <v>66</v>
      </c>
      <c r="V55" s="92" t="s">
        <v>66</v>
      </c>
      <c r="W55" s="42" t="s">
        <v>66</v>
      </c>
      <c r="X55" s="92" t="s">
        <v>66</v>
      </c>
      <c r="Y55" s="92" t="s">
        <v>66</v>
      </c>
      <c r="Z55" s="92" t="s">
        <v>66</v>
      </c>
      <c r="AA55" s="48" t="s">
        <v>67</v>
      </c>
      <c r="AB55" s="52">
        <v>11</v>
      </c>
      <c r="AC55" s="105">
        <f t="shared" si="6"/>
        <v>992</v>
      </c>
      <c r="AD55" s="42" t="s">
        <v>66</v>
      </c>
      <c r="AE55" s="48" t="s">
        <v>67</v>
      </c>
      <c r="AF55" s="49" t="str">
        <f t="shared" si="7"/>
        <v>..</v>
      </c>
      <c r="AG55" s="36"/>
      <c r="AH55" s="32"/>
      <c r="AI55" s="108"/>
      <c r="AJ55" s="28"/>
      <c r="AK55" s="25"/>
      <c r="AL55" s="29"/>
      <c r="AM55" s="21"/>
      <c r="AN55" s="19">
        <v>25</v>
      </c>
      <c r="AO55" s="19">
        <v>56</v>
      </c>
      <c r="AP55" s="106">
        <f t="shared" si="8"/>
        <v>81</v>
      </c>
      <c r="AQ55" s="19" t="s">
        <v>66</v>
      </c>
      <c r="AR55" s="19" t="s">
        <v>66</v>
      </c>
      <c r="AS55" s="112" t="s">
        <v>31</v>
      </c>
      <c r="AT55" s="112" t="s">
        <v>31</v>
      </c>
      <c r="AU55" s="19" t="s">
        <v>66</v>
      </c>
      <c r="AV55" s="19" t="s">
        <v>66</v>
      </c>
      <c r="AW55" s="19" t="s">
        <v>67</v>
      </c>
      <c r="AX55" s="19" t="s">
        <v>66</v>
      </c>
      <c r="AY55" s="22">
        <v>33</v>
      </c>
      <c r="AZ55" s="22" t="s">
        <v>67</v>
      </c>
      <c r="BA55" s="19" t="s">
        <v>67</v>
      </c>
      <c r="BB55" s="106">
        <f t="shared" si="4"/>
        <v>33</v>
      </c>
      <c r="BC55" s="21"/>
      <c r="BD55" s="70" t="s">
        <v>66</v>
      </c>
      <c r="BE55" s="70" t="s">
        <v>66</v>
      </c>
      <c r="BF55" s="114" t="str">
        <f t="shared" si="5"/>
        <v>..</v>
      </c>
      <c r="BG55" s="73"/>
      <c r="BH55" s="73"/>
      <c r="BI55" s="71" t="s">
        <v>66</v>
      </c>
      <c r="BJ55" s="71" t="s">
        <v>66</v>
      </c>
      <c r="BK55" s="71" t="s">
        <v>66</v>
      </c>
      <c r="BL55" s="116" t="s">
        <v>66</v>
      </c>
    </row>
    <row r="56" spans="1:64" s="13" customFormat="1" x14ac:dyDescent="0.2">
      <c r="A56" s="13" t="str">
        <f t="shared" si="0"/>
        <v>1980Q3</v>
      </c>
      <c r="B56" s="11">
        <f>B55</f>
        <v>1980</v>
      </c>
      <c r="C56" s="11" t="s">
        <v>3</v>
      </c>
      <c r="D56" s="43">
        <v>334</v>
      </c>
      <c r="E56" s="43">
        <v>1109</v>
      </c>
      <c r="F56" s="87">
        <f t="shared" si="1"/>
        <v>1443</v>
      </c>
      <c r="G56" s="42" t="s">
        <v>66</v>
      </c>
      <c r="H56" s="42" t="s">
        <v>66</v>
      </c>
      <c r="I56" s="92" t="s">
        <v>66</v>
      </c>
      <c r="J56" s="92" t="s">
        <v>66</v>
      </c>
      <c r="K56" s="92" t="s">
        <v>66</v>
      </c>
      <c r="L56" s="42" t="s">
        <v>66</v>
      </c>
      <c r="M56" s="42" t="s">
        <v>66</v>
      </c>
      <c r="N56" s="42" t="s">
        <v>67</v>
      </c>
      <c r="O56" s="42" t="s">
        <v>67</v>
      </c>
      <c r="P56" s="42" t="s">
        <v>66</v>
      </c>
      <c r="Q56" s="98">
        <v>859</v>
      </c>
      <c r="R56" s="42" t="s">
        <v>67</v>
      </c>
      <c r="S56" s="42" t="s">
        <v>66</v>
      </c>
      <c r="T56" s="92" t="s">
        <v>66</v>
      </c>
      <c r="U56" s="42" t="s">
        <v>66</v>
      </c>
      <c r="V56" s="92" t="s">
        <v>66</v>
      </c>
      <c r="W56" s="42" t="s">
        <v>66</v>
      </c>
      <c r="X56" s="92" t="s">
        <v>66</v>
      </c>
      <c r="Y56" s="92" t="s">
        <v>66</v>
      </c>
      <c r="Z56" s="92" t="s">
        <v>66</v>
      </c>
      <c r="AA56" s="48" t="s">
        <v>67</v>
      </c>
      <c r="AB56" s="52">
        <v>9</v>
      </c>
      <c r="AC56" s="105">
        <f t="shared" si="6"/>
        <v>868</v>
      </c>
      <c r="AD56" s="42" t="s">
        <v>66</v>
      </c>
      <c r="AE56" s="48" t="s">
        <v>67</v>
      </c>
      <c r="AF56" s="49" t="str">
        <f t="shared" si="7"/>
        <v>..</v>
      </c>
      <c r="AG56" s="36"/>
      <c r="AH56" s="32"/>
      <c r="AI56" s="108"/>
      <c r="AJ56" s="28"/>
      <c r="AK56" s="25"/>
      <c r="AL56" s="29"/>
      <c r="AM56" s="21"/>
      <c r="AN56" s="19">
        <v>38</v>
      </c>
      <c r="AO56" s="19">
        <v>62</v>
      </c>
      <c r="AP56" s="106">
        <f t="shared" si="8"/>
        <v>100</v>
      </c>
      <c r="AQ56" s="19" t="s">
        <v>66</v>
      </c>
      <c r="AR56" s="19" t="s">
        <v>66</v>
      </c>
      <c r="AS56" s="112" t="s">
        <v>31</v>
      </c>
      <c r="AT56" s="112" t="s">
        <v>31</v>
      </c>
      <c r="AU56" s="19" t="s">
        <v>66</v>
      </c>
      <c r="AV56" s="19" t="s">
        <v>66</v>
      </c>
      <c r="AW56" s="19" t="s">
        <v>67</v>
      </c>
      <c r="AX56" s="19" t="s">
        <v>66</v>
      </c>
      <c r="AY56" s="22">
        <v>29</v>
      </c>
      <c r="AZ56" s="22" t="s">
        <v>67</v>
      </c>
      <c r="BA56" s="19" t="s">
        <v>67</v>
      </c>
      <c r="BB56" s="106">
        <f t="shared" si="4"/>
        <v>29</v>
      </c>
      <c r="BC56" s="21"/>
      <c r="BD56" s="70" t="s">
        <v>66</v>
      </c>
      <c r="BE56" s="70" t="s">
        <v>66</v>
      </c>
      <c r="BF56" s="114" t="str">
        <f t="shared" si="5"/>
        <v>..</v>
      </c>
      <c r="BG56" s="73"/>
      <c r="BH56" s="73"/>
      <c r="BI56" s="71" t="s">
        <v>66</v>
      </c>
      <c r="BJ56" s="71" t="s">
        <v>66</v>
      </c>
      <c r="BK56" s="71" t="s">
        <v>66</v>
      </c>
      <c r="BL56" s="116" t="s">
        <v>66</v>
      </c>
    </row>
    <row r="57" spans="1:64" s="13" customFormat="1" x14ac:dyDescent="0.2">
      <c r="A57" s="13" t="str">
        <f t="shared" si="0"/>
        <v>1980Q4</v>
      </c>
      <c r="B57" s="11">
        <f>B56</f>
        <v>1980</v>
      </c>
      <c r="C57" s="11" t="s">
        <v>4</v>
      </c>
      <c r="D57" s="43">
        <v>1126</v>
      </c>
      <c r="E57" s="43">
        <v>1098</v>
      </c>
      <c r="F57" s="87">
        <f t="shared" si="1"/>
        <v>2224</v>
      </c>
      <c r="G57" s="42" t="s">
        <v>66</v>
      </c>
      <c r="H57" s="42" t="s">
        <v>66</v>
      </c>
      <c r="I57" s="92" t="s">
        <v>66</v>
      </c>
      <c r="J57" s="92" t="s">
        <v>66</v>
      </c>
      <c r="K57" s="92" t="s">
        <v>66</v>
      </c>
      <c r="L57" s="42" t="s">
        <v>66</v>
      </c>
      <c r="M57" s="42" t="s">
        <v>66</v>
      </c>
      <c r="N57" s="42" t="s">
        <v>67</v>
      </c>
      <c r="O57" s="42" t="s">
        <v>67</v>
      </c>
      <c r="P57" s="42" t="s">
        <v>66</v>
      </c>
      <c r="Q57" s="98">
        <v>1188</v>
      </c>
      <c r="R57" s="42" t="s">
        <v>67</v>
      </c>
      <c r="S57" s="42" t="s">
        <v>66</v>
      </c>
      <c r="T57" s="92" t="s">
        <v>66</v>
      </c>
      <c r="U57" s="42" t="s">
        <v>66</v>
      </c>
      <c r="V57" s="92" t="s">
        <v>66</v>
      </c>
      <c r="W57" s="42" t="s">
        <v>66</v>
      </c>
      <c r="X57" s="92" t="s">
        <v>66</v>
      </c>
      <c r="Y57" s="92" t="s">
        <v>66</v>
      </c>
      <c r="Z57" s="92" t="s">
        <v>66</v>
      </c>
      <c r="AA57" s="48" t="s">
        <v>67</v>
      </c>
      <c r="AB57" s="52">
        <v>22</v>
      </c>
      <c r="AC57" s="105">
        <f t="shared" si="6"/>
        <v>1210</v>
      </c>
      <c r="AD57" s="42" t="s">
        <v>66</v>
      </c>
      <c r="AE57" s="48" t="s">
        <v>67</v>
      </c>
      <c r="AF57" s="49" t="str">
        <f t="shared" si="7"/>
        <v>..</v>
      </c>
      <c r="AG57" s="36"/>
      <c r="AH57" s="32"/>
      <c r="AI57" s="108"/>
      <c r="AJ57" s="28"/>
      <c r="AK57" s="25"/>
      <c r="AL57" s="29"/>
      <c r="AM57" s="21"/>
      <c r="AN57" s="19">
        <v>45</v>
      </c>
      <c r="AO57" s="19">
        <v>71</v>
      </c>
      <c r="AP57" s="106">
        <f t="shared" si="8"/>
        <v>116</v>
      </c>
      <c r="AQ57" s="19" t="s">
        <v>66</v>
      </c>
      <c r="AR57" s="19" t="s">
        <v>66</v>
      </c>
      <c r="AS57" s="112" t="s">
        <v>31</v>
      </c>
      <c r="AT57" s="112" t="s">
        <v>31</v>
      </c>
      <c r="AU57" s="19" t="s">
        <v>66</v>
      </c>
      <c r="AV57" s="19" t="s">
        <v>66</v>
      </c>
      <c r="AW57" s="19" t="s">
        <v>67</v>
      </c>
      <c r="AX57" s="19" t="s">
        <v>66</v>
      </c>
      <c r="AY57" s="22">
        <v>38</v>
      </c>
      <c r="AZ57" s="22" t="s">
        <v>67</v>
      </c>
      <c r="BA57" s="19" t="s">
        <v>67</v>
      </c>
      <c r="BB57" s="106">
        <f t="shared" si="4"/>
        <v>38</v>
      </c>
      <c r="BC57" s="21"/>
      <c r="BD57" s="70" t="s">
        <v>66</v>
      </c>
      <c r="BE57" s="70" t="s">
        <v>66</v>
      </c>
      <c r="BF57" s="114" t="str">
        <f t="shared" si="5"/>
        <v>..</v>
      </c>
      <c r="BG57" s="73"/>
      <c r="BH57" s="73"/>
      <c r="BI57" s="71" t="s">
        <v>66</v>
      </c>
      <c r="BJ57" s="71" t="s">
        <v>66</v>
      </c>
      <c r="BK57" s="71" t="s">
        <v>66</v>
      </c>
      <c r="BL57" s="116" t="s">
        <v>66</v>
      </c>
    </row>
    <row r="58" spans="1:64" s="13" customFormat="1" x14ac:dyDescent="0.2">
      <c r="A58" s="13" t="str">
        <f t="shared" si="0"/>
        <v>1981Q1</v>
      </c>
      <c r="B58" s="11">
        <v>1981</v>
      </c>
      <c r="C58" s="63" t="s">
        <v>1</v>
      </c>
      <c r="D58" s="43">
        <v>1017</v>
      </c>
      <c r="E58" s="43">
        <v>1595</v>
      </c>
      <c r="F58" s="87">
        <f t="shared" si="1"/>
        <v>2612</v>
      </c>
      <c r="G58" s="42" t="s">
        <v>66</v>
      </c>
      <c r="H58" s="42" t="s">
        <v>66</v>
      </c>
      <c r="I58" s="92" t="s">
        <v>66</v>
      </c>
      <c r="J58" s="92" t="s">
        <v>66</v>
      </c>
      <c r="K58" s="92" t="s">
        <v>66</v>
      </c>
      <c r="L58" s="42" t="s">
        <v>66</v>
      </c>
      <c r="M58" s="42" t="s">
        <v>66</v>
      </c>
      <c r="N58" s="42" t="s">
        <v>67</v>
      </c>
      <c r="O58" s="42" t="s">
        <v>67</v>
      </c>
      <c r="P58" s="42" t="s">
        <v>66</v>
      </c>
      <c r="Q58" s="98">
        <v>1350</v>
      </c>
      <c r="R58" s="42" t="s">
        <v>67</v>
      </c>
      <c r="S58" s="42" t="s">
        <v>66</v>
      </c>
      <c r="T58" s="92" t="s">
        <v>66</v>
      </c>
      <c r="U58" s="42" t="s">
        <v>66</v>
      </c>
      <c r="V58" s="92" t="s">
        <v>66</v>
      </c>
      <c r="W58" s="42" t="s">
        <v>66</v>
      </c>
      <c r="X58" s="92" t="s">
        <v>66</v>
      </c>
      <c r="Y58" s="92" t="s">
        <v>66</v>
      </c>
      <c r="Z58" s="92" t="s">
        <v>66</v>
      </c>
      <c r="AA58" s="48" t="s">
        <v>67</v>
      </c>
      <c r="AB58" s="52">
        <v>21</v>
      </c>
      <c r="AC58" s="105">
        <f t="shared" si="6"/>
        <v>1371</v>
      </c>
      <c r="AD58" s="42" t="s">
        <v>66</v>
      </c>
      <c r="AE58" s="48" t="s">
        <v>67</v>
      </c>
      <c r="AF58" s="49" t="str">
        <f t="shared" si="7"/>
        <v>..</v>
      </c>
      <c r="AG58" s="36"/>
      <c r="AH58" s="32"/>
      <c r="AI58" s="108"/>
      <c r="AJ58" s="28"/>
      <c r="AK58" s="25"/>
      <c r="AL58" s="29"/>
      <c r="AM58" s="21"/>
      <c r="AN58" s="19">
        <v>36</v>
      </c>
      <c r="AO58" s="19">
        <v>66</v>
      </c>
      <c r="AP58" s="106">
        <f t="shared" si="8"/>
        <v>102</v>
      </c>
      <c r="AQ58" s="19" t="s">
        <v>66</v>
      </c>
      <c r="AR58" s="19" t="s">
        <v>66</v>
      </c>
      <c r="AS58" s="112" t="s">
        <v>31</v>
      </c>
      <c r="AT58" s="112" t="s">
        <v>31</v>
      </c>
      <c r="AU58" s="19" t="s">
        <v>66</v>
      </c>
      <c r="AV58" s="19" t="s">
        <v>66</v>
      </c>
      <c r="AW58" s="19" t="s">
        <v>67</v>
      </c>
      <c r="AX58" s="19" t="s">
        <v>66</v>
      </c>
      <c r="AY58" s="22">
        <v>44</v>
      </c>
      <c r="AZ58" s="22" t="s">
        <v>67</v>
      </c>
      <c r="BA58" s="19" t="s">
        <v>67</v>
      </c>
      <c r="BB58" s="106">
        <f t="shared" si="4"/>
        <v>44</v>
      </c>
      <c r="BC58" s="21"/>
      <c r="BD58" s="70" t="s">
        <v>66</v>
      </c>
      <c r="BE58" s="70" t="s">
        <v>66</v>
      </c>
      <c r="BF58" s="114" t="str">
        <f t="shared" si="5"/>
        <v>..</v>
      </c>
      <c r="BG58" s="73"/>
      <c r="BH58" s="73"/>
      <c r="BI58" s="71" t="s">
        <v>66</v>
      </c>
      <c r="BJ58" s="71" t="s">
        <v>66</v>
      </c>
      <c r="BK58" s="71" t="s">
        <v>66</v>
      </c>
      <c r="BL58" s="116" t="s">
        <v>66</v>
      </c>
    </row>
    <row r="59" spans="1:64" s="13" customFormat="1" x14ac:dyDescent="0.2">
      <c r="A59" s="13" t="str">
        <f t="shared" si="0"/>
        <v>1981Q2</v>
      </c>
      <c r="B59" s="11">
        <f>B58</f>
        <v>1981</v>
      </c>
      <c r="C59" s="11" t="s">
        <v>2</v>
      </c>
      <c r="D59" s="43">
        <v>640</v>
      </c>
      <c r="E59" s="43">
        <v>970</v>
      </c>
      <c r="F59" s="87">
        <f t="shared" si="1"/>
        <v>1610</v>
      </c>
      <c r="G59" s="42" t="s">
        <v>66</v>
      </c>
      <c r="H59" s="42" t="s">
        <v>66</v>
      </c>
      <c r="I59" s="92" t="s">
        <v>66</v>
      </c>
      <c r="J59" s="92" t="s">
        <v>66</v>
      </c>
      <c r="K59" s="92" t="s">
        <v>66</v>
      </c>
      <c r="L59" s="42" t="s">
        <v>66</v>
      </c>
      <c r="M59" s="42" t="s">
        <v>66</v>
      </c>
      <c r="N59" s="42" t="s">
        <v>67</v>
      </c>
      <c r="O59" s="42" t="s">
        <v>67</v>
      </c>
      <c r="P59" s="42" t="s">
        <v>66</v>
      </c>
      <c r="Q59" s="98">
        <v>1211</v>
      </c>
      <c r="R59" s="42" t="s">
        <v>67</v>
      </c>
      <c r="S59" s="42" t="s">
        <v>66</v>
      </c>
      <c r="T59" s="92" t="s">
        <v>66</v>
      </c>
      <c r="U59" s="42" t="s">
        <v>66</v>
      </c>
      <c r="V59" s="92" t="s">
        <v>66</v>
      </c>
      <c r="W59" s="42" t="s">
        <v>66</v>
      </c>
      <c r="X59" s="92" t="s">
        <v>66</v>
      </c>
      <c r="Y59" s="92" t="s">
        <v>66</v>
      </c>
      <c r="Z59" s="92" t="s">
        <v>66</v>
      </c>
      <c r="AA59" s="48" t="s">
        <v>67</v>
      </c>
      <c r="AB59" s="52">
        <v>26</v>
      </c>
      <c r="AC59" s="105">
        <f t="shared" si="6"/>
        <v>1237</v>
      </c>
      <c r="AD59" s="42" t="s">
        <v>66</v>
      </c>
      <c r="AE59" s="48" t="s">
        <v>67</v>
      </c>
      <c r="AF59" s="49" t="str">
        <f t="shared" si="7"/>
        <v>..</v>
      </c>
      <c r="AG59" s="36"/>
      <c r="AH59" s="32"/>
      <c r="AI59" s="108"/>
      <c r="AJ59" s="28"/>
      <c r="AK59" s="25"/>
      <c r="AL59" s="29"/>
      <c r="AM59" s="21"/>
      <c r="AN59" s="19">
        <v>27</v>
      </c>
      <c r="AO59" s="19">
        <v>59</v>
      </c>
      <c r="AP59" s="106">
        <f t="shared" si="8"/>
        <v>86</v>
      </c>
      <c r="AQ59" s="19" t="s">
        <v>66</v>
      </c>
      <c r="AR59" s="19" t="s">
        <v>66</v>
      </c>
      <c r="AS59" s="112" t="s">
        <v>31</v>
      </c>
      <c r="AT59" s="112" t="s">
        <v>31</v>
      </c>
      <c r="AU59" s="19" t="s">
        <v>66</v>
      </c>
      <c r="AV59" s="19" t="s">
        <v>66</v>
      </c>
      <c r="AW59" s="19" t="s">
        <v>67</v>
      </c>
      <c r="AX59" s="19" t="s">
        <v>66</v>
      </c>
      <c r="AY59" s="22">
        <v>31</v>
      </c>
      <c r="AZ59" s="22" t="s">
        <v>67</v>
      </c>
      <c r="BA59" s="19" t="s">
        <v>67</v>
      </c>
      <c r="BB59" s="106">
        <f t="shared" si="4"/>
        <v>31</v>
      </c>
      <c r="BC59" s="21"/>
      <c r="BD59" s="70" t="s">
        <v>66</v>
      </c>
      <c r="BE59" s="70" t="s">
        <v>66</v>
      </c>
      <c r="BF59" s="114" t="str">
        <f t="shared" si="5"/>
        <v>..</v>
      </c>
      <c r="BG59" s="73"/>
      <c r="BH59" s="73"/>
      <c r="BI59" s="71" t="s">
        <v>66</v>
      </c>
      <c r="BJ59" s="71" t="s">
        <v>66</v>
      </c>
      <c r="BK59" s="71" t="s">
        <v>66</v>
      </c>
      <c r="BL59" s="116" t="s">
        <v>66</v>
      </c>
    </row>
    <row r="60" spans="1:64" s="13" customFormat="1" x14ac:dyDescent="0.2">
      <c r="A60" s="13" t="str">
        <f t="shared" si="0"/>
        <v>1981Q3</v>
      </c>
      <c r="B60" s="11">
        <f>B59</f>
        <v>1981</v>
      </c>
      <c r="C60" s="11" t="s">
        <v>3</v>
      </c>
      <c r="D60" s="43">
        <v>258</v>
      </c>
      <c r="E60" s="43">
        <v>1766</v>
      </c>
      <c r="F60" s="87">
        <f t="shared" si="1"/>
        <v>2024</v>
      </c>
      <c r="G60" s="42" t="s">
        <v>66</v>
      </c>
      <c r="H60" s="42" t="s">
        <v>66</v>
      </c>
      <c r="I60" s="92" t="s">
        <v>66</v>
      </c>
      <c r="J60" s="92" t="s">
        <v>66</v>
      </c>
      <c r="K60" s="92" t="s">
        <v>66</v>
      </c>
      <c r="L60" s="42" t="s">
        <v>66</v>
      </c>
      <c r="M60" s="42" t="s">
        <v>66</v>
      </c>
      <c r="N60" s="42" t="s">
        <v>67</v>
      </c>
      <c r="O60" s="42" t="s">
        <v>67</v>
      </c>
      <c r="P60" s="42" t="s">
        <v>66</v>
      </c>
      <c r="Q60" s="98">
        <v>1127</v>
      </c>
      <c r="R60" s="42" t="s">
        <v>67</v>
      </c>
      <c r="S60" s="42" t="s">
        <v>66</v>
      </c>
      <c r="T60" s="92" t="s">
        <v>66</v>
      </c>
      <c r="U60" s="42" t="s">
        <v>66</v>
      </c>
      <c r="V60" s="92" t="s">
        <v>66</v>
      </c>
      <c r="W60" s="42" t="s">
        <v>66</v>
      </c>
      <c r="X60" s="92" t="s">
        <v>66</v>
      </c>
      <c r="Y60" s="92" t="s">
        <v>66</v>
      </c>
      <c r="Z60" s="92" t="s">
        <v>66</v>
      </c>
      <c r="AA60" s="48" t="s">
        <v>67</v>
      </c>
      <c r="AB60" s="52">
        <v>17</v>
      </c>
      <c r="AC60" s="105">
        <f t="shared" si="6"/>
        <v>1144</v>
      </c>
      <c r="AD60" s="42" t="s">
        <v>66</v>
      </c>
      <c r="AE60" s="48" t="s">
        <v>67</v>
      </c>
      <c r="AF60" s="49" t="str">
        <f t="shared" si="7"/>
        <v>..</v>
      </c>
      <c r="AG60" s="36"/>
      <c r="AH60" s="32"/>
      <c r="AI60" s="108"/>
      <c r="AJ60" s="28"/>
      <c r="AK60" s="25"/>
      <c r="AL60" s="29"/>
      <c r="AM60" s="21"/>
      <c r="AN60" s="19">
        <v>38</v>
      </c>
      <c r="AO60" s="19">
        <v>60</v>
      </c>
      <c r="AP60" s="106">
        <f t="shared" si="8"/>
        <v>98</v>
      </c>
      <c r="AQ60" s="19" t="s">
        <v>66</v>
      </c>
      <c r="AR60" s="19" t="s">
        <v>66</v>
      </c>
      <c r="AS60" s="112" t="s">
        <v>31</v>
      </c>
      <c r="AT60" s="112" t="s">
        <v>31</v>
      </c>
      <c r="AU60" s="19" t="s">
        <v>66</v>
      </c>
      <c r="AV60" s="19" t="s">
        <v>66</v>
      </c>
      <c r="AW60" s="19" t="s">
        <v>67</v>
      </c>
      <c r="AX60" s="19" t="s">
        <v>66</v>
      </c>
      <c r="AY60" s="22">
        <v>48</v>
      </c>
      <c r="AZ60" s="22" t="s">
        <v>67</v>
      </c>
      <c r="BA60" s="19" t="s">
        <v>67</v>
      </c>
      <c r="BB60" s="106">
        <f t="shared" si="4"/>
        <v>48</v>
      </c>
      <c r="BC60" s="21"/>
      <c r="BD60" s="70" t="s">
        <v>66</v>
      </c>
      <c r="BE60" s="70" t="s">
        <v>66</v>
      </c>
      <c r="BF60" s="114" t="str">
        <f t="shared" si="5"/>
        <v>..</v>
      </c>
      <c r="BG60" s="73"/>
      <c r="BH60" s="73"/>
      <c r="BI60" s="71" t="s">
        <v>66</v>
      </c>
      <c r="BJ60" s="71" t="s">
        <v>66</v>
      </c>
      <c r="BK60" s="71" t="s">
        <v>66</v>
      </c>
      <c r="BL60" s="116" t="s">
        <v>66</v>
      </c>
    </row>
    <row r="61" spans="1:64" s="13" customFormat="1" x14ac:dyDescent="0.2">
      <c r="A61" s="13" t="str">
        <f t="shared" si="0"/>
        <v>1981Q4</v>
      </c>
      <c r="B61" s="11">
        <f>B60</f>
        <v>1981</v>
      </c>
      <c r="C61" s="11" t="s">
        <v>4</v>
      </c>
      <c r="D61" s="43">
        <v>856</v>
      </c>
      <c r="E61" s="43">
        <v>1494</v>
      </c>
      <c r="F61" s="87">
        <f t="shared" si="1"/>
        <v>2350</v>
      </c>
      <c r="G61" s="42" t="s">
        <v>66</v>
      </c>
      <c r="H61" s="42" t="s">
        <v>66</v>
      </c>
      <c r="I61" s="92" t="s">
        <v>66</v>
      </c>
      <c r="J61" s="92" t="s">
        <v>66</v>
      </c>
      <c r="K61" s="92" t="s">
        <v>66</v>
      </c>
      <c r="L61" s="42" t="s">
        <v>66</v>
      </c>
      <c r="M61" s="42" t="s">
        <v>66</v>
      </c>
      <c r="N61" s="42" t="s">
        <v>67</v>
      </c>
      <c r="O61" s="42" t="s">
        <v>67</v>
      </c>
      <c r="P61" s="42" t="s">
        <v>66</v>
      </c>
      <c r="Q61" s="98">
        <v>1387</v>
      </c>
      <c r="R61" s="42" t="s">
        <v>67</v>
      </c>
      <c r="S61" s="42" t="s">
        <v>66</v>
      </c>
      <c r="T61" s="92" t="s">
        <v>66</v>
      </c>
      <c r="U61" s="42" t="s">
        <v>66</v>
      </c>
      <c r="V61" s="92" t="s">
        <v>66</v>
      </c>
      <c r="W61" s="42" t="s">
        <v>66</v>
      </c>
      <c r="X61" s="92" t="s">
        <v>66</v>
      </c>
      <c r="Y61" s="92" t="s">
        <v>66</v>
      </c>
      <c r="Z61" s="92" t="s">
        <v>66</v>
      </c>
      <c r="AA61" s="48" t="s">
        <v>67</v>
      </c>
      <c r="AB61" s="52">
        <v>12</v>
      </c>
      <c r="AC61" s="105">
        <f t="shared" si="6"/>
        <v>1399</v>
      </c>
      <c r="AD61" s="42" t="s">
        <v>66</v>
      </c>
      <c r="AE61" s="48" t="s">
        <v>67</v>
      </c>
      <c r="AF61" s="49" t="str">
        <f t="shared" si="7"/>
        <v>..</v>
      </c>
      <c r="AG61" s="36"/>
      <c r="AH61" s="32"/>
      <c r="AI61" s="108"/>
      <c r="AJ61" s="28"/>
      <c r="AK61" s="25"/>
      <c r="AL61" s="29"/>
      <c r="AM61" s="21"/>
      <c r="AN61" s="19">
        <v>57</v>
      </c>
      <c r="AO61" s="19">
        <v>95</v>
      </c>
      <c r="AP61" s="106">
        <f t="shared" si="8"/>
        <v>152</v>
      </c>
      <c r="AQ61" s="19" t="s">
        <v>66</v>
      </c>
      <c r="AR61" s="19" t="s">
        <v>66</v>
      </c>
      <c r="AS61" s="112" t="s">
        <v>31</v>
      </c>
      <c r="AT61" s="112" t="s">
        <v>31</v>
      </c>
      <c r="AU61" s="19" t="s">
        <v>66</v>
      </c>
      <c r="AV61" s="19" t="s">
        <v>66</v>
      </c>
      <c r="AW61" s="19" t="s">
        <v>67</v>
      </c>
      <c r="AX61" s="19" t="s">
        <v>66</v>
      </c>
      <c r="AY61" s="22">
        <v>58</v>
      </c>
      <c r="AZ61" s="22" t="s">
        <v>67</v>
      </c>
      <c r="BA61" s="19" t="s">
        <v>67</v>
      </c>
      <c r="BB61" s="106">
        <f t="shared" si="4"/>
        <v>58</v>
      </c>
      <c r="BC61" s="21"/>
      <c r="BD61" s="70" t="s">
        <v>66</v>
      </c>
      <c r="BE61" s="70" t="s">
        <v>66</v>
      </c>
      <c r="BF61" s="114" t="str">
        <f t="shared" si="5"/>
        <v>..</v>
      </c>
      <c r="BG61" s="73"/>
      <c r="BH61" s="73"/>
      <c r="BI61" s="71" t="s">
        <v>66</v>
      </c>
      <c r="BJ61" s="71" t="s">
        <v>66</v>
      </c>
      <c r="BK61" s="71" t="s">
        <v>66</v>
      </c>
      <c r="BL61" s="116" t="s">
        <v>66</v>
      </c>
    </row>
    <row r="62" spans="1:64" s="13" customFormat="1" x14ac:dyDescent="0.2">
      <c r="A62" s="13" t="str">
        <f t="shared" si="0"/>
        <v>1982Q1</v>
      </c>
      <c r="B62" s="11">
        <v>1982</v>
      </c>
      <c r="C62" s="63" t="s">
        <v>1</v>
      </c>
      <c r="D62" s="43">
        <v>909</v>
      </c>
      <c r="E62" s="43">
        <v>2213</v>
      </c>
      <c r="F62" s="87">
        <f t="shared" si="1"/>
        <v>3122</v>
      </c>
      <c r="G62" s="42" t="s">
        <v>66</v>
      </c>
      <c r="H62" s="42" t="s">
        <v>66</v>
      </c>
      <c r="I62" s="92" t="s">
        <v>66</v>
      </c>
      <c r="J62" s="92" t="s">
        <v>66</v>
      </c>
      <c r="K62" s="92" t="s">
        <v>66</v>
      </c>
      <c r="L62" s="42" t="s">
        <v>66</v>
      </c>
      <c r="M62" s="42" t="s">
        <v>66</v>
      </c>
      <c r="N62" s="42" t="s">
        <v>67</v>
      </c>
      <c r="O62" s="42" t="s">
        <v>67</v>
      </c>
      <c r="P62" s="42" t="s">
        <v>66</v>
      </c>
      <c r="Q62" s="98">
        <v>1387</v>
      </c>
      <c r="R62" s="42" t="s">
        <v>67</v>
      </c>
      <c r="S62" s="42" t="s">
        <v>66</v>
      </c>
      <c r="T62" s="92" t="s">
        <v>66</v>
      </c>
      <c r="U62" s="42" t="s">
        <v>66</v>
      </c>
      <c r="V62" s="92" t="s">
        <v>66</v>
      </c>
      <c r="W62" s="42" t="s">
        <v>66</v>
      </c>
      <c r="X62" s="92" t="s">
        <v>66</v>
      </c>
      <c r="Y62" s="92" t="s">
        <v>66</v>
      </c>
      <c r="Z62" s="92" t="s">
        <v>66</v>
      </c>
      <c r="AA62" s="48" t="s">
        <v>67</v>
      </c>
      <c r="AB62" s="52">
        <v>9</v>
      </c>
      <c r="AC62" s="105">
        <f t="shared" si="6"/>
        <v>1396</v>
      </c>
      <c r="AD62" s="42" t="s">
        <v>66</v>
      </c>
      <c r="AE62" s="48" t="s">
        <v>67</v>
      </c>
      <c r="AF62" s="49" t="str">
        <f t="shared" si="7"/>
        <v>..</v>
      </c>
      <c r="AG62" s="36"/>
      <c r="AH62" s="32"/>
      <c r="AI62" s="108"/>
      <c r="AJ62" s="28"/>
      <c r="AK62" s="25"/>
      <c r="AL62" s="29"/>
      <c r="AM62" s="21"/>
      <c r="AN62" s="19">
        <v>43</v>
      </c>
      <c r="AO62" s="19">
        <v>80</v>
      </c>
      <c r="AP62" s="106">
        <f t="shared" si="8"/>
        <v>123</v>
      </c>
      <c r="AQ62" s="19" t="s">
        <v>66</v>
      </c>
      <c r="AR62" s="19" t="s">
        <v>66</v>
      </c>
      <c r="AS62" s="112" t="s">
        <v>31</v>
      </c>
      <c r="AT62" s="112" t="s">
        <v>31</v>
      </c>
      <c r="AU62" s="19" t="s">
        <v>66</v>
      </c>
      <c r="AV62" s="19" t="s">
        <v>66</v>
      </c>
      <c r="AW62" s="19" t="s">
        <v>67</v>
      </c>
      <c r="AX62" s="19" t="s">
        <v>66</v>
      </c>
      <c r="AY62" s="22">
        <v>56</v>
      </c>
      <c r="AZ62" s="22" t="s">
        <v>67</v>
      </c>
      <c r="BA62" s="19" t="s">
        <v>67</v>
      </c>
      <c r="BB62" s="106">
        <f t="shared" si="4"/>
        <v>56</v>
      </c>
      <c r="BC62" s="21"/>
      <c r="BD62" s="70" t="s">
        <v>66</v>
      </c>
      <c r="BE62" s="70" t="s">
        <v>66</v>
      </c>
      <c r="BF62" s="114" t="str">
        <f t="shared" si="5"/>
        <v>..</v>
      </c>
      <c r="BG62" s="73"/>
      <c r="BH62" s="73"/>
      <c r="BI62" s="71" t="s">
        <v>66</v>
      </c>
      <c r="BJ62" s="71" t="s">
        <v>66</v>
      </c>
      <c r="BK62" s="71" t="s">
        <v>66</v>
      </c>
      <c r="BL62" s="116" t="s">
        <v>66</v>
      </c>
    </row>
    <row r="63" spans="1:64" s="13" customFormat="1" x14ac:dyDescent="0.2">
      <c r="A63" s="13" t="str">
        <f t="shared" si="0"/>
        <v>1982Q2</v>
      </c>
      <c r="B63" s="11">
        <f>B62</f>
        <v>1982</v>
      </c>
      <c r="C63" s="11" t="s">
        <v>2</v>
      </c>
      <c r="D63" s="43">
        <v>1040</v>
      </c>
      <c r="E63" s="43">
        <v>2042</v>
      </c>
      <c r="F63" s="87">
        <f t="shared" si="1"/>
        <v>3082</v>
      </c>
      <c r="G63" s="42" t="s">
        <v>66</v>
      </c>
      <c r="H63" s="42" t="s">
        <v>66</v>
      </c>
      <c r="I63" s="92" t="s">
        <v>66</v>
      </c>
      <c r="J63" s="92" t="s">
        <v>66</v>
      </c>
      <c r="K63" s="92" t="s">
        <v>66</v>
      </c>
      <c r="L63" s="42" t="s">
        <v>66</v>
      </c>
      <c r="M63" s="42" t="s">
        <v>66</v>
      </c>
      <c r="N63" s="42" t="s">
        <v>67</v>
      </c>
      <c r="O63" s="42" t="s">
        <v>67</v>
      </c>
      <c r="P63" s="42" t="s">
        <v>66</v>
      </c>
      <c r="Q63" s="98">
        <v>1423</v>
      </c>
      <c r="R63" s="42" t="s">
        <v>67</v>
      </c>
      <c r="S63" s="42" t="s">
        <v>66</v>
      </c>
      <c r="T63" s="92" t="s">
        <v>66</v>
      </c>
      <c r="U63" s="42" t="s">
        <v>66</v>
      </c>
      <c r="V63" s="92" t="s">
        <v>66</v>
      </c>
      <c r="W63" s="42" t="s">
        <v>66</v>
      </c>
      <c r="X63" s="92" t="s">
        <v>66</v>
      </c>
      <c r="Y63" s="92" t="s">
        <v>66</v>
      </c>
      <c r="Z63" s="92" t="s">
        <v>66</v>
      </c>
      <c r="AA63" s="48" t="s">
        <v>67</v>
      </c>
      <c r="AB63" s="52">
        <v>15</v>
      </c>
      <c r="AC63" s="105">
        <f t="shared" si="6"/>
        <v>1438</v>
      </c>
      <c r="AD63" s="42" t="s">
        <v>66</v>
      </c>
      <c r="AE63" s="48" t="s">
        <v>67</v>
      </c>
      <c r="AF63" s="49" t="str">
        <f t="shared" si="7"/>
        <v>..</v>
      </c>
      <c r="AG63" s="36"/>
      <c r="AH63" s="32"/>
      <c r="AI63" s="108"/>
      <c r="AJ63" s="28"/>
      <c r="AK63" s="25"/>
      <c r="AL63" s="29"/>
      <c r="AM63" s="21"/>
      <c r="AN63" s="19">
        <v>37</v>
      </c>
      <c r="AO63" s="19">
        <v>95</v>
      </c>
      <c r="AP63" s="106">
        <f t="shared" si="8"/>
        <v>132</v>
      </c>
      <c r="AQ63" s="19" t="s">
        <v>66</v>
      </c>
      <c r="AR63" s="19" t="s">
        <v>66</v>
      </c>
      <c r="AS63" s="112" t="s">
        <v>31</v>
      </c>
      <c r="AT63" s="112" t="s">
        <v>31</v>
      </c>
      <c r="AU63" s="19" t="s">
        <v>66</v>
      </c>
      <c r="AV63" s="19" t="s">
        <v>66</v>
      </c>
      <c r="AW63" s="19" t="s">
        <v>67</v>
      </c>
      <c r="AX63" s="19" t="s">
        <v>66</v>
      </c>
      <c r="AY63" s="22">
        <v>56</v>
      </c>
      <c r="AZ63" s="22" t="s">
        <v>67</v>
      </c>
      <c r="BA63" s="19" t="s">
        <v>67</v>
      </c>
      <c r="BB63" s="106">
        <f t="shared" si="4"/>
        <v>56</v>
      </c>
      <c r="BC63" s="21"/>
      <c r="BD63" s="70" t="s">
        <v>66</v>
      </c>
      <c r="BE63" s="70" t="s">
        <v>66</v>
      </c>
      <c r="BF63" s="114" t="str">
        <f t="shared" si="5"/>
        <v>..</v>
      </c>
      <c r="BG63" s="73"/>
      <c r="BH63" s="73"/>
      <c r="BI63" s="71" t="s">
        <v>66</v>
      </c>
      <c r="BJ63" s="71" t="s">
        <v>66</v>
      </c>
      <c r="BK63" s="71" t="s">
        <v>66</v>
      </c>
      <c r="BL63" s="116" t="s">
        <v>66</v>
      </c>
    </row>
    <row r="64" spans="1:64" s="13" customFormat="1" x14ac:dyDescent="0.2">
      <c r="A64" s="13" t="str">
        <f t="shared" si="0"/>
        <v>1982Q3</v>
      </c>
      <c r="B64" s="11">
        <f>B63</f>
        <v>1982</v>
      </c>
      <c r="C64" s="11" t="s">
        <v>3</v>
      </c>
      <c r="D64" s="43">
        <v>395</v>
      </c>
      <c r="E64" s="43">
        <v>2066</v>
      </c>
      <c r="F64" s="87">
        <f t="shared" si="1"/>
        <v>2461</v>
      </c>
      <c r="G64" s="42" t="s">
        <v>66</v>
      </c>
      <c r="H64" s="42" t="s">
        <v>66</v>
      </c>
      <c r="I64" s="92" t="s">
        <v>66</v>
      </c>
      <c r="J64" s="92" t="s">
        <v>66</v>
      </c>
      <c r="K64" s="92" t="s">
        <v>66</v>
      </c>
      <c r="L64" s="42" t="s">
        <v>66</v>
      </c>
      <c r="M64" s="42" t="s">
        <v>66</v>
      </c>
      <c r="N64" s="42" t="s">
        <v>67</v>
      </c>
      <c r="O64" s="42" t="s">
        <v>67</v>
      </c>
      <c r="P64" s="42" t="s">
        <v>66</v>
      </c>
      <c r="Q64" s="98">
        <v>1357</v>
      </c>
      <c r="R64" s="42" t="s">
        <v>67</v>
      </c>
      <c r="S64" s="42" t="s">
        <v>66</v>
      </c>
      <c r="T64" s="92" t="s">
        <v>66</v>
      </c>
      <c r="U64" s="42" t="s">
        <v>66</v>
      </c>
      <c r="V64" s="92" t="s">
        <v>66</v>
      </c>
      <c r="W64" s="42" t="s">
        <v>66</v>
      </c>
      <c r="X64" s="92" t="s">
        <v>66</v>
      </c>
      <c r="Y64" s="92" t="s">
        <v>66</v>
      </c>
      <c r="Z64" s="92" t="s">
        <v>66</v>
      </c>
      <c r="AA64" s="48" t="s">
        <v>67</v>
      </c>
      <c r="AB64" s="52">
        <v>7</v>
      </c>
      <c r="AC64" s="105">
        <f t="shared" si="6"/>
        <v>1364</v>
      </c>
      <c r="AD64" s="42" t="s">
        <v>66</v>
      </c>
      <c r="AE64" s="48" t="s">
        <v>67</v>
      </c>
      <c r="AF64" s="49" t="str">
        <f t="shared" si="7"/>
        <v>..</v>
      </c>
      <c r="AG64" s="36"/>
      <c r="AH64" s="32"/>
      <c r="AI64" s="108"/>
      <c r="AJ64" s="28"/>
      <c r="AK64" s="25"/>
      <c r="AL64" s="29"/>
      <c r="AM64" s="21"/>
      <c r="AN64" s="19">
        <v>48</v>
      </c>
      <c r="AO64" s="19">
        <v>69</v>
      </c>
      <c r="AP64" s="106">
        <f t="shared" si="8"/>
        <v>117</v>
      </c>
      <c r="AQ64" s="19" t="s">
        <v>66</v>
      </c>
      <c r="AR64" s="19" t="s">
        <v>66</v>
      </c>
      <c r="AS64" s="112" t="s">
        <v>31</v>
      </c>
      <c r="AT64" s="112" t="s">
        <v>31</v>
      </c>
      <c r="AU64" s="19" t="s">
        <v>66</v>
      </c>
      <c r="AV64" s="19" t="s">
        <v>66</v>
      </c>
      <c r="AW64" s="19" t="s">
        <v>67</v>
      </c>
      <c r="AX64" s="19" t="s">
        <v>66</v>
      </c>
      <c r="AY64" s="22">
        <v>57</v>
      </c>
      <c r="AZ64" s="22" t="s">
        <v>67</v>
      </c>
      <c r="BA64" s="19" t="s">
        <v>67</v>
      </c>
      <c r="BB64" s="106">
        <f t="shared" si="4"/>
        <v>57</v>
      </c>
      <c r="BC64" s="21"/>
      <c r="BD64" s="70" t="s">
        <v>66</v>
      </c>
      <c r="BE64" s="70" t="s">
        <v>66</v>
      </c>
      <c r="BF64" s="114" t="str">
        <f t="shared" si="5"/>
        <v>..</v>
      </c>
      <c r="BG64" s="73"/>
      <c r="BH64" s="73"/>
      <c r="BI64" s="71" t="s">
        <v>66</v>
      </c>
      <c r="BJ64" s="71" t="s">
        <v>66</v>
      </c>
      <c r="BK64" s="71" t="s">
        <v>66</v>
      </c>
      <c r="BL64" s="116" t="s">
        <v>66</v>
      </c>
    </row>
    <row r="65" spans="1:64" s="13" customFormat="1" x14ac:dyDescent="0.2">
      <c r="A65" s="13" t="str">
        <f t="shared" si="0"/>
        <v>1982Q4</v>
      </c>
      <c r="B65" s="11">
        <f>B64</f>
        <v>1982</v>
      </c>
      <c r="C65" s="11" t="s">
        <v>4</v>
      </c>
      <c r="D65" s="43">
        <v>1401</v>
      </c>
      <c r="E65" s="43">
        <v>2001</v>
      </c>
      <c r="F65" s="87">
        <f t="shared" si="1"/>
        <v>3402</v>
      </c>
      <c r="G65" s="42" t="s">
        <v>66</v>
      </c>
      <c r="H65" s="42" t="s">
        <v>66</v>
      </c>
      <c r="I65" s="92" t="s">
        <v>66</v>
      </c>
      <c r="J65" s="92" t="s">
        <v>66</v>
      </c>
      <c r="K65" s="92" t="s">
        <v>66</v>
      </c>
      <c r="L65" s="42" t="s">
        <v>66</v>
      </c>
      <c r="M65" s="42" t="s">
        <v>66</v>
      </c>
      <c r="N65" s="42" t="s">
        <v>67</v>
      </c>
      <c r="O65" s="42" t="s">
        <v>67</v>
      </c>
      <c r="P65" s="42" t="s">
        <v>66</v>
      </c>
      <c r="Q65" s="98">
        <v>1487</v>
      </c>
      <c r="R65" s="42" t="s">
        <v>67</v>
      </c>
      <c r="S65" s="42" t="s">
        <v>66</v>
      </c>
      <c r="T65" s="92" t="s">
        <v>66</v>
      </c>
      <c r="U65" s="42" t="s">
        <v>66</v>
      </c>
      <c r="V65" s="92" t="s">
        <v>66</v>
      </c>
      <c r="W65" s="42" t="s">
        <v>66</v>
      </c>
      <c r="X65" s="92" t="s">
        <v>66</v>
      </c>
      <c r="Y65" s="92" t="s">
        <v>66</v>
      </c>
      <c r="Z65" s="92" t="s">
        <v>66</v>
      </c>
      <c r="AA65" s="48" t="s">
        <v>67</v>
      </c>
      <c r="AB65" s="52">
        <v>15</v>
      </c>
      <c r="AC65" s="105">
        <f t="shared" si="6"/>
        <v>1502</v>
      </c>
      <c r="AD65" s="42" t="s">
        <v>66</v>
      </c>
      <c r="AE65" s="48" t="s">
        <v>67</v>
      </c>
      <c r="AF65" s="49" t="str">
        <f t="shared" si="7"/>
        <v>..</v>
      </c>
      <c r="AG65" s="36"/>
      <c r="AH65" s="32"/>
      <c r="AI65" s="108"/>
      <c r="AJ65" s="28"/>
      <c r="AK65" s="25"/>
      <c r="AL65" s="29"/>
      <c r="AM65" s="21"/>
      <c r="AN65" s="19">
        <v>49</v>
      </c>
      <c r="AO65" s="19">
        <v>82</v>
      </c>
      <c r="AP65" s="106">
        <f t="shared" si="8"/>
        <v>131</v>
      </c>
      <c r="AQ65" s="19" t="s">
        <v>66</v>
      </c>
      <c r="AR65" s="19" t="s">
        <v>66</v>
      </c>
      <c r="AS65" s="112" t="s">
        <v>31</v>
      </c>
      <c r="AT65" s="112" t="s">
        <v>31</v>
      </c>
      <c r="AU65" s="19" t="s">
        <v>66</v>
      </c>
      <c r="AV65" s="19" t="s">
        <v>66</v>
      </c>
      <c r="AW65" s="19" t="s">
        <v>67</v>
      </c>
      <c r="AX65" s="19" t="s">
        <v>66</v>
      </c>
      <c r="AY65" s="22">
        <v>44</v>
      </c>
      <c r="AZ65" s="22" t="s">
        <v>67</v>
      </c>
      <c r="BA65" s="19" t="s">
        <v>67</v>
      </c>
      <c r="BB65" s="106">
        <f t="shared" si="4"/>
        <v>44</v>
      </c>
      <c r="BC65" s="21"/>
      <c r="BD65" s="70" t="s">
        <v>66</v>
      </c>
      <c r="BE65" s="70" t="s">
        <v>66</v>
      </c>
      <c r="BF65" s="114" t="str">
        <f t="shared" si="5"/>
        <v>..</v>
      </c>
      <c r="BG65" s="73"/>
      <c r="BH65" s="73"/>
      <c r="BI65" s="71" t="s">
        <v>66</v>
      </c>
      <c r="BJ65" s="71" t="s">
        <v>66</v>
      </c>
      <c r="BK65" s="71" t="s">
        <v>66</v>
      </c>
      <c r="BL65" s="116" t="s">
        <v>66</v>
      </c>
    </row>
    <row r="66" spans="1:64" s="13" customFormat="1" x14ac:dyDescent="0.2">
      <c r="A66" s="13" t="str">
        <f t="shared" si="0"/>
        <v>1983Q1</v>
      </c>
      <c r="B66" s="11">
        <v>1983</v>
      </c>
      <c r="C66" s="63" t="s">
        <v>1</v>
      </c>
      <c r="D66" s="43">
        <v>1183</v>
      </c>
      <c r="E66" s="43">
        <v>2214</v>
      </c>
      <c r="F66" s="87">
        <f t="shared" si="1"/>
        <v>3397</v>
      </c>
      <c r="G66" s="42" t="s">
        <v>66</v>
      </c>
      <c r="H66" s="42" t="s">
        <v>66</v>
      </c>
      <c r="I66" s="92" t="s">
        <v>66</v>
      </c>
      <c r="J66" s="92" t="s">
        <v>66</v>
      </c>
      <c r="K66" s="92" t="s">
        <v>66</v>
      </c>
      <c r="L66" s="42" t="s">
        <v>66</v>
      </c>
      <c r="M66" s="42" t="s">
        <v>66</v>
      </c>
      <c r="N66" s="42" t="s">
        <v>67</v>
      </c>
      <c r="O66" s="42" t="s">
        <v>67</v>
      </c>
      <c r="P66" s="42" t="s">
        <v>66</v>
      </c>
      <c r="Q66" s="98">
        <v>1752</v>
      </c>
      <c r="R66" s="42" t="s">
        <v>67</v>
      </c>
      <c r="S66" s="42" t="s">
        <v>66</v>
      </c>
      <c r="T66" s="92" t="s">
        <v>66</v>
      </c>
      <c r="U66" s="42" t="s">
        <v>66</v>
      </c>
      <c r="V66" s="92" t="s">
        <v>66</v>
      </c>
      <c r="W66" s="42" t="s">
        <v>66</v>
      </c>
      <c r="X66" s="92" t="s">
        <v>66</v>
      </c>
      <c r="Y66" s="92" t="s">
        <v>66</v>
      </c>
      <c r="Z66" s="92" t="s">
        <v>66</v>
      </c>
      <c r="AA66" s="48" t="s">
        <v>67</v>
      </c>
      <c r="AB66" s="52">
        <v>15</v>
      </c>
      <c r="AC66" s="105">
        <f t="shared" si="6"/>
        <v>1767</v>
      </c>
      <c r="AD66" s="42" t="s">
        <v>66</v>
      </c>
      <c r="AE66" s="48" t="s">
        <v>67</v>
      </c>
      <c r="AF66" s="49" t="str">
        <f t="shared" si="7"/>
        <v>..</v>
      </c>
      <c r="AG66" s="36"/>
      <c r="AH66" s="32"/>
      <c r="AI66" s="108"/>
      <c r="AJ66" s="28"/>
      <c r="AK66" s="25"/>
      <c r="AL66" s="29"/>
      <c r="AM66" s="21"/>
      <c r="AN66" s="19">
        <v>75</v>
      </c>
      <c r="AO66" s="19">
        <v>91</v>
      </c>
      <c r="AP66" s="106">
        <f t="shared" si="8"/>
        <v>166</v>
      </c>
      <c r="AQ66" s="19" t="s">
        <v>66</v>
      </c>
      <c r="AR66" s="19" t="s">
        <v>66</v>
      </c>
      <c r="AS66" s="112" t="s">
        <v>31</v>
      </c>
      <c r="AT66" s="112" t="s">
        <v>31</v>
      </c>
      <c r="AU66" s="19" t="s">
        <v>66</v>
      </c>
      <c r="AV66" s="19" t="s">
        <v>66</v>
      </c>
      <c r="AW66" s="19" t="s">
        <v>67</v>
      </c>
      <c r="AX66" s="19" t="s">
        <v>66</v>
      </c>
      <c r="AY66" s="22">
        <v>78</v>
      </c>
      <c r="AZ66" s="22" t="s">
        <v>67</v>
      </c>
      <c r="BA66" s="19" t="s">
        <v>67</v>
      </c>
      <c r="BB66" s="106">
        <f t="shared" si="4"/>
        <v>78</v>
      </c>
      <c r="BC66" s="21"/>
      <c r="BD66" s="70" t="s">
        <v>66</v>
      </c>
      <c r="BE66" s="70" t="s">
        <v>66</v>
      </c>
      <c r="BF66" s="114" t="str">
        <f t="shared" si="5"/>
        <v>..</v>
      </c>
      <c r="BG66" s="73"/>
      <c r="BH66" s="73"/>
      <c r="BI66" s="71" t="s">
        <v>66</v>
      </c>
      <c r="BJ66" s="71" t="s">
        <v>66</v>
      </c>
      <c r="BK66" s="71" t="s">
        <v>66</v>
      </c>
      <c r="BL66" s="116" t="s">
        <v>66</v>
      </c>
    </row>
    <row r="67" spans="1:64" s="13" customFormat="1" x14ac:dyDescent="0.2">
      <c r="A67" s="13" t="str">
        <f t="shared" si="0"/>
        <v>1983Q2</v>
      </c>
      <c r="B67" s="11">
        <f>B66</f>
        <v>1983</v>
      </c>
      <c r="C67" s="11" t="s">
        <v>2</v>
      </c>
      <c r="D67" s="43">
        <v>1196</v>
      </c>
      <c r="E67" s="43">
        <v>2228</v>
      </c>
      <c r="F67" s="87">
        <f t="shared" si="1"/>
        <v>3424</v>
      </c>
      <c r="G67" s="42" t="s">
        <v>66</v>
      </c>
      <c r="H67" s="42" t="s">
        <v>66</v>
      </c>
      <c r="I67" s="92" t="s">
        <v>66</v>
      </c>
      <c r="J67" s="92" t="s">
        <v>66</v>
      </c>
      <c r="K67" s="92" t="s">
        <v>66</v>
      </c>
      <c r="L67" s="42" t="s">
        <v>66</v>
      </c>
      <c r="M67" s="42" t="s">
        <v>66</v>
      </c>
      <c r="N67" s="42" t="s">
        <v>67</v>
      </c>
      <c r="O67" s="42" t="s">
        <v>67</v>
      </c>
      <c r="P67" s="42" t="s">
        <v>66</v>
      </c>
      <c r="Q67" s="98">
        <v>1750</v>
      </c>
      <c r="R67" s="42" t="s">
        <v>67</v>
      </c>
      <c r="S67" s="42" t="s">
        <v>66</v>
      </c>
      <c r="T67" s="92" t="s">
        <v>66</v>
      </c>
      <c r="U67" s="42" t="s">
        <v>66</v>
      </c>
      <c r="V67" s="92" t="s">
        <v>66</v>
      </c>
      <c r="W67" s="42" t="s">
        <v>66</v>
      </c>
      <c r="X67" s="92" t="s">
        <v>66</v>
      </c>
      <c r="Y67" s="92" t="s">
        <v>66</v>
      </c>
      <c r="Z67" s="92" t="s">
        <v>66</v>
      </c>
      <c r="AA67" s="48" t="s">
        <v>67</v>
      </c>
      <c r="AB67" s="52">
        <v>10</v>
      </c>
      <c r="AC67" s="105">
        <f t="shared" si="6"/>
        <v>1760</v>
      </c>
      <c r="AD67" s="42" t="s">
        <v>66</v>
      </c>
      <c r="AE67" s="48" t="s">
        <v>67</v>
      </c>
      <c r="AF67" s="49" t="str">
        <f t="shared" si="7"/>
        <v>..</v>
      </c>
      <c r="AG67" s="36"/>
      <c r="AH67" s="32"/>
      <c r="AI67" s="108"/>
      <c r="AJ67" s="28"/>
      <c r="AK67" s="25"/>
      <c r="AL67" s="29"/>
      <c r="AM67" s="21"/>
      <c r="AN67" s="19">
        <v>71</v>
      </c>
      <c r="AO67" s="19">
        <v>68</v>
      </c>
      <c r="AP67" s="106">
        <f t="shared" si="8"/>
        <v>139</v>
      </c>
      <c r="AQ67" s="19" t="s">
        <v>66</v>
      </c>
      <c r="AR67" s="19" t="s">
        <v>66</v>
      </c>
      <c r="AS67" s="112" t="s">
        <v>31</v>
      </c>
      <c r="AT67" s="112" t="s">
        <v>31</v>
      </c>
      <c r="AU67" s="19" t="s">
        <v>66</v>
      </c>
      <c r="AV67" s="19" t="s">
        <v>66</v>
      </c>
      <c r="AW67" s="19" t="s">
        <v>67</v>
      </c>
      <c r="AX67" s="19" t="s">
        <v>66</v>
      </c>
      <c r="AY67" s="22">
        <v>52</v>
      </c>
      <c r="AZ67" s="22" t="s">
        <v>67</v>
      </c>
      <c r="BA67" s="19" t="s">
        <v>67</v>
      </c>
      <c r="BB67" s="106">
        <f t="shared" si="4"/>
        <v>52</v>
      </c>
      <c r="BC67" s="21"/>
      <c r="BD67" s="70" t="s">
        <v>66</v>
      </c>
      <c r="BE67" s="70" t="s">
        <v>66</v>
      </c>
      <c r="BF67" s="114" t="str">
        <f t="shared" si="5"/>
        <v>..</v>
      </c>
      <c r="BG67" s="73"/>
      <c r="BH67" s="73"/>
      <c r="BI67" s="71" t="s">
        <v>66</v>
      </c>
      <c r="BJ67" s="71" t="s">
        <v>66</v>
      </c>
      <c r="BK67" s="71" t="s">
        <v>66</v>
      </c>
      <c r="BL67" s="116" t="s">
        <v>66</v>
      </c>
    </row>
    <row r="68" spans="1:64" s="13" customFormat="1" x14ac:dyDescent="0.2">
      <c r="A68" s="13" t="str">
        <f t="shared" si="0"/>
        <v>1983Q3</v>
      </c>
      <c r="B68" s="11">
        <f>B67</f>
        <v>1983</v>
      </c>
      <c r="C68" s="11" t="s">
        <v>3</v>
      </c>
      <c r="D68" s="43">
        <v>601</v>
      </c>
      <c r="E68" s="43">
        <v>2120</v>
      </c>
      <c r="F68" s="87">
        <f t="shared" si="1"/>
        <v>2721</v>
      </c>
      <c r="G68" s="42" t="s">
        <v>66</v>
      </c>
      <c r="H68" s="42" t="s">
        <v>66</v>
      </c>
      <c r="I68" s="92" t="s">
        <v>66</v>
      </c>
      <c r="J68" s="92" t="s">
        <v>66</v>
      </c>
      <c r="K68" s="92" t="s">
        <v>66</v>
      </c>
      <c r="L68" s="42" t="s">
        <v>66</v>
      </c>
      <c r="M68" s="42" t="s">
        <v>66</v>
      </c>
      <c r="N68" s="42" t="s">
        <v>67</v>
      </c>
      <c r="O68" s="42" t="s">
        <v>67</v>
      </c>
      <c r="P68" s="42" t="s">
        <v>66</v>
      </c>
      <c r="Q68" s="98">
        <v>1561</v>
      </c>
      <c r="R68" s="42" t="s">
        <v>67</v>
      </c>
      <c r="S68" s="42" t="s">
        <v>66</v>
      </c>
      <c r="T68" s="92" t="s">
        <v>66</v>
      </c>
      <c r="U68" s="42" t="s">
        <v>66</v>
      </c>
      <c r="V68" s="92" t="s">
        <v>66</v>
      </c>
      <c r="W68" s="42" t="s">
        <v>66</v>
      </c>
      <c r="X68" s="92" t="s">
        <v>66</v>
      </c>
      <c r="Y68" s="92" t="s">
        <v>66</v>
      </c>
      <c r="Z68" s="92" t="s">
        <v>66</v>
      </c>
      <c r="AA68" s="48" t="s">
        <v>67</v>
      </c>
      <c r="AB68" s="52">
        <v>16</v>
      </c>
      <c r="AC68" s="105">
        <f t="shared" si="6"/>
        <v>1577</v>
      </c>
      <c r="AD68" s="42" t="s">
        <v>66</v>
      </c>
      <c r="AE68" s="48" t="s">
        <v>67</v>
      </c>
      <c r="AF68" s="49" t="str">
        <f t="shared" si="7"/>
        <v>..</v>
      </c>
      <c r="AG68" s="36"/>
      <c r="AH68" s="32"/>
      <c r="AI68" s="108"/>
      <c r="AJ68" s="28"/>
      <c r="AK68" s="25"/>
      <c r="AL68" s="29"/>
      <c r="AM68" s="21"/>
      <c r="AN68" s="19">
        <v>55</v>
      </c>
      <c r="AO68" s="19">
        <v>49</v>
      </c>
      <c r="AP68" s="106">
        <f t="shared" si="8"/>
        <v>104</v>
      </c>
      <c r="AQ68" s="19" t="s">
        <v>66</v>
      </c>
      <c r="AR68" s="19" t="s">
        <v>66</v>
      </c>
      <c r="AS68" s="112" t="s">
        <v>31</v>
      </c>
      <c r="AT68" s="112" t="s">
        <v>31</v>
      </c>
      <c r="AU68" s="19" t="s">
        <v>66</v>
      </c>
      <c r="AV68" s="19" t="s">
        <v>66</v>
      </c>
      <c r="AW68" s="19" t="s">
        <v>67</v>
      </c>
      <c r="AX68" s="19" t="s">
        <v>66</v>
      </c>
      <c r="AY68" s="22">
        <v>80</v>
      </c>
      <c r="AZ68" s="22" t="s">
        <v>67</v>
      </c>
      <c r="BA68" s="19" t="s">
        <v>67</v>
      </c>
      <c r="BB68" s="106">
        <f t="shared" si="4"/>
        <v>80</v>
      </c>
      <c r="BC68" s="21"/>
      <c r="BD68" s="70" t="s">
        <v>66</v>
      </c>
      <c r="BE68" s="70" t="s">
        <v>66</v>
      </c>
      <c r="BF68" s="114" t="str">
        <f t="shared" si="5"/>
        <v>..</v>
      </c>
      <c r="BG68" s="73"/>
      <c r="BH68" s="73"/>
      <c r="BI68" s="71" t="s">
        <v>66</v>
      </c>
      <c r="BJ68" s="71" t="s">
        <v>66</v>
      </c>
      <c r="BK68" s="71" t="s">
        <v>66</v>
      </c>
      <c r="BL68" s="116" t="s">
        <v>66</v>
      </c>
    </row>
    <row r="69" spans="1:64" s="13" customFormat="1" x14ac:dyDescent="0.2">
      <c r="A69" s="13" t="str">
        <f t="shared" si="0"/>
        <v>1983Q4</v>
      </c>
      <c r="B69" s="11">
        <f>B68</f>
        <v>1983</v>
      </c>
      <c r="C69" s="11" t="s">
        <v>4</v>
      </c>
      <c r="D69" s="43">
        <v>1827</v>
      </c>
      <c r="E69" s="43">
        <v>2037</v>
      </c>
      <c r="F69" s="87">
        <f t="shared" si="1"/>
        <v>3864</v>
      </c>
      <c r="G69" s="42" t="s">
        <v>66</v>
      </c>
      <c r="H69" s="42" t="s">
        <v>66</v>
      </c>
      <c r="I69" s="92" t="s">
        <v>66</v>
      </c>
      <c r="J69" s="92" t="s">
        <v>66</v>
      </c>
      <c r="K69" s="92" t="s">
        <v>66</v>
      </c>
      <c r="L69" s="42" t="s">
        <v>66</v>
      </c>
      <c r="M69" s="42" t="s">
        <v>66</v>
      </c>
      <c r="N69" s="42" t="s">
        <v>67</v>
      </c>
      <c r="O69" s="42" t="s">
        <v>67</v>
      </c>
      <c r="P69" s="42" t="s">
        <v>66</v>
      </c>
      <c r="Q69" s="98">
        <v>1918</v>
      </c>
      <c r="R69" s="42" t="s">
        <v>67</v>
      </c>
      <c r="S69" s="42" t="s">
        <v>66</v>
      </c>
      <c r="T69" s="92" t="s">
        <v>66</v>
      </c>
      <c r="U69" s="42" t="s">
        <v>66</v>
      </c>
      <c r="V69" s="92" t="s">
        <v>66</v>
      </c>
      <c r="W69" s="42" t="s">
        <v>66</v>
      </c>
      <c r="X69" s="92" t="s">
        <v>66</v>
      </c>
      <c r="Y69" s="92" t="s">
        <v>66</v>
      </c>
      <c r="Z69" s="92" t="s">
        <v>66</v>
      </c>
      <c r="AA69" s="48" t="s">
        <v>67</v>
      </c>
      <c r="AB69" s="52">
        <v>10</v>
      </c>
      <c r="AC69" s="105">
        <f t="shared" si="6"/>
        <v>1928</v>
      </c>
      <c r="AD69" s="42" t="s">
        <v>66</v>
      </c>
      <c r="AE69" s="48" t="s">
        <v>67</v>
      </c>
      <c r="AF69" s="49" t="str">
        <f t="shared" si="7"/>
        <v>..</v>
      </c>
      <c r="AG69" s="36"/>
      <c r="AH69" s="32"/>
      <c r="AI69" s="108"/>
      <c r="AJ69" s="28"/>
      <c r="AK69" s="25"/>
      <c r="AL69" s="29"/>
      <c r="AM69" s="21"/>
      <c r="AN69" s="19">
        <v>62</v>
      </c>
      <c r="AO69" s="19">
        <v>50</v>
      </c>
      <c r="AP69" s="106">
        <f t="shared" si="8"/>
        <v>112</v>
      </c>
      <c r="AQ69" s="19" t="s">
        <v>66</v>
      </c>
      <c r="AR69" s="19" t="s">
        <v>66</v>
      </c>
      <c r="AS69" s="112" t="s">
        <v>31</v>
      </c>
      <c r="AT69" s="112" t="s">
        <v>31</v>
      </c>
      <c r="AU69" s="19" t="s">
        <v>66</v>
      </c>
      <c r="AV69" s="19" t="s">
        <v>66</v>
      </c>
      <c r="AW69" s="19" t="s">
        <v>67</v>
      </c>
      <c r="AX69" s="19" t="s">
        <v>66</v>
      </c>
      <c r="AY69" s="22">
        <v>72</v>
      </c>
      <c r="AZ69" s="22" t="s">
        <v>67</v>
      </c>
      <c r="BA69" s="19" t="s">
        <v>67</v>
      </c>
      <c r="BB69" s="106">
        <f t="shared" si="4"/>
        <v>72</v>
      </c>
      <c r="BC69" s="21"/>
      <c r="BD69" s="70" t="s">
        <v>66</v>
      </c>
      <c r="BE69" s="70" t="s">
        <v>66</v>
      </c>
      <c r="BF69" s="114" t="str">
        <f t="shared" si="5"/>
        <v>..</v>
      </c>
      <c r="BG69" s="73"/>
      <c r="BH69" s="73"/>
      <c r="BI69" s="71" t="s">
        <v>66</v>
      </c>
      <c r="BJ69" s="71" t="s">
        <v>66</v>
      </c>
      <c r="BK69" s="71" t="s">
        <v>66</v>
      </c>
      <c r="BL69" s="116" t="s">
        <v>66</v>
      </c>
    </row>
    <row r="70" spans="1:64" s="13" customFormat="1" x14ac:dyDescent="0.2">
      <c r="A70" s="13" t="str">
        <f t="shared" ref="A70:A133" si="9">B70&amp;C70</f>
        <v>1984Q1</v>
      </c>
      <c r="B70" s="11">
        <v>1984</v>
      </c>
      <c r="C70" s="63" t="s">
        <v>1</v>
      </c>
      <c r="D70" s="43">
        <v>1363</v>
      </c>
      <c r="E70" s="43">
        <v>2234</v>
      </c>
      <c r="F70" s="87">
        <f t="shared" ref="F70:F133" si="10">D70+E70</f>
        <v>3597</v>
      </c>
      <c r="G70" s="41">
        <v>830292</v>
      </c>
      <c r="H70" s="42" t="s">
        <v>66</v>
      </c>
      <c r="I70" s="92" t="s">
        <v>66</v>
      </c>
      <c r="J70" s="94" t="s">
        <v>31</v>
      </c>
      <c r="K70" s="94" t="s">
        <v>31</v>
      </c>
      <c r="L70" s="42" t="s">
        <v>66</v>
      </c>
      <c r="M70" s="42" t="s">
        <v>66</v>
      </c>
      <c r="N70" s="42" t="s">
        <v>67</v>
      </c>
      <c r="O70" s="42" t="s">
        <v>67</v>
      </c>
      <c r="P70" s="42" t="s">
        <v>66</v>
      </c>
      <c r="Q70" s="98">
        <v>2273</v>
      </c>
      <c r="R70" s="42" t="s">
        <v>67</v>
      </c>
      <c r="S70" s="42" t="s">
        <v>66</v>
      </c>
      <c r="T70" s="92" t="s">
        <v>66</v>
      </c>
      <c r="U70" s="42" t="s">
        <v>66</v>
      </c>
      <c r="V70" s="92" t="s">
        <v>66</v>
      </c>
      <c r="W70" s="42" t="s">
        <v>66</v>
      </c>
      <c r="X70" s="92" t="s">
        <v>66</v>
      </c>
      <c r="Y70" s="92" t="s">
        <v>66</v>
      </c>
      <c r="Z70" s="92" t="s">
        <v>66</v>
      </c>
      <c r="AA70" s="48" t="s">
        <v>67</v>
      </c>
      <c r="AB70" s="52">
        <v>11</v>
      </c>
      <c r="AC70" s="105">
        <f t="shared" ref="AC70:AC101" si="11">IF(AA70=":",Q70+AB70,Q70+AA70+AB70)</f>
        <v>2284</v>
      </c>
      <c r="AD70" s="42" t="s">
        <v>66</v>
      </c>
      <c r="AE70" s="48" t="s">
        <v>67</v>
      </c>
      <c r="AF70" s="49" t="str">
        <f t="shared" ref="AF70:AF101" si="12">IF(AE70=":",AD70,AD70+AE70)</f>
        <v>..</v>
      </c>
      <c r="AG70" s="36"/>
      <c r="AH70" s="32"/>
      <c r="AI70" s="108"/>
      <c r="AJ70" s="28"/>
      <c r="AK70" s="25"/>
      <c r="AL70" s="29"/>
      <c r="AM70" s="21"/>
      <c r="AN70" s="19">
        <v>77</v>
      </c>
      <c r="AO70" s="19">
        <v>67</v>
      </c>
      <c r="AP70" s="106">
        <f t="shared" si="8"/>
        <v>144</v>
      </c>
      <c r="AQ70" s="19" t="s">
        <v>66</v>
      </c>
      <c r="AR70" s="19" t="s">
        <v>66</v>
      </c>
      <c r="AS70" s="112" t="s">
        <v>31</v>
      </c>
      <c r="AT70" s="112" t="s">
        <v>31</v>
      </c>
      <c r="AU70" s="19" t="s">
        <v>66</v>
      </c>
      <c r="AV70" s="19" t="s">
        <v>66</v>
      </c>
      <c r="AW70" s="19" t="s">
        <v>67</v>
      </c>
      <c r="AX70" s="19" t="s">
        <v>66</v>
      </c>
      <c r="AY70" s="22">
        <v>73</v>
      </c>
      <c r="AZ70" s="22" t="s">
        <v>67</v>
      </c>
      <c r="BA70" s="19" t="s">
        <v>67</v>
      </c>
      <c r="BB70" s="106">
        <f t="shared" ref="BB70:BB133" si="13">IF(BA70=":",AY70,AY70+BA70)</f>
        <v>73</v>
      </c>
      <c r="BC70" s="21"/>
      <c r="BD70" s="70" t="s">
        <v>66</v>
      </c>
      <c r="BE70" s="70" t="s">
        <v>66</v>
      </c>
      <c r="BF70" s="114" t="str">
        <f t="shared" ref="BF70:BF133" si="14">IF(BE70="..","..",BD70+BE70)</f>
        <v>..</v>
      </c>
      <c r="BG70" s="73"/>
      <c r="BH70" s="73"/>
      <c r="BI70" s="71" t="s">
        <v>66</v>
      </c>
      <c r="BJ70" s="71" t="s">
        <v>66</v>
      </c>
      <c r="BK70" s="71" t="s">
        <v>66</v>
      </c>
      <c r="BL70" s="116" t="s">
        <v>66</v>
      </c>
    </row>
    <row r="71" spans="1:64" s="13" customFormat="1" x14ac:dyDescent="0.2">
      <c r="A71" s="13" t="str">
        <f t="shared" si="9"/>
        <v>1984Q2</v>
      </c>
      <c r="B71" s="11">
        <f>B70</f>
        <v>1984</v>
      </c>
      <c r="C71" s="11" t="s">
        <v>2</v>
      </c>
      <c r="D71" s="43">
        <v>1303</v>
      </c>
      <c r="E71" s="43">
        <v>2166</v>
      </c>
      <c r="F71" s="87">
        <f t="shared" si="10"/>
        <v>3469</v>
      </c>
      <c r="G71" s="41">
        <v>845412</v>
      </c>
      <c r="H71" s="42" t="s">
        <v>66</v>
      </c>
      <c r="I71" s="92" t="s">
        <v>66</v>
      </c>
      <c r="J71" s="94" t="s">
        <v>31</v>
      </c>
      <c r="K71" s="94" t="s">
        <v>31</v>
      </c>
      <c r="L71" s="42" t="s">
        <v>66</v>
      </c>
      <c r="M71" s="42" t="s">
        <v>66</v>
      </c>
      <c r="N71" s="42" t="s">
        <v>67</v>
      </c>
      <c r="O71" s="42" t="s">
        <v>67</v>
      </c>
      <c r="P71" s="42" t="s">
        <v>66</v>
      </c>
      <c r="Q71" s="98">
        <v>2115</v>
      </c>
      <c r="R71" s="42" t="s">
        <v>67</v>
      </c>
      <c r="S71" s="42" t="s">
        <v>66</v>
      </c>
      <c r="T71" s="92" t="s">
        <v>66</v>
      </c>
      <c r="U71" s="42" t="s">
        <v>66</v>
      </c>
      <c r="V71" s="92" t="s">
        <v>66</v>
      </c>
      <c r="W71" s="42" t="s">
        <v>66</v>
      </c>
      <c r="X71" s="92" t="s">
        <v>66</v>
      </c>
      <c r="Y71" s="92" t="s">
        <v>66</v>
      </c>
      <c r="Z71" s="92" t="s">
        <v>66</v>
      </c>
      <c r="AA71" s="48" t="s">
        <v>67</v>
      </c>
      <c r="AB71" s="52">
        <v>8</v>
      </c>
      <c r="AC71" s="105">
        <f t="shared" si="11"/>
        <v>2123</v>
      </c>
      <c r="AD71" s="42" t="s">
        <v>66</v>
      </c>
      <c r="AE71" s="48" t="s">
        <v>67</v>
      </c>
      <c r="AF71" s="49" t="str">
        <f t="shared" si="12"/>
        <v>..</v>
      </c>
      <c r="AG71" s="36"/>
      <c r="AH71" s="32"/>
      <c r="AI71" s="108"/>
      <c r="AJ71" s="28"/>
      <c r="AK71" s="25"/>
      <c r="AL71" s="29"/>
      <c r="AM71" s="21"/>
      <c r="AN71" s="19">
        <v>65</v>
      </c>
      <c r="AO71" s="19">
        <v>81</v>
      </c>
      <c r="AP71" s="106">
        <f t="shared" si="8"/>
        <v>146</v>
      </c>
      <c r="AQ71" s="19" t="s">
        <v>66</v>
      </c>
      <c r="AR71" s="19" t="s">
        <v>66</v>
      </c>
      <c r="AS71" s="112" t="s">
        <v>31</v>
      </c>
      <c r="AT71" s="112" t="s">
        <v>31</v>
      </c>
      <c r="AU71" s="19" t="s">
        <v>66</v>
      </c>
      <c r="AV71" s="19" t="s">
        <v>66</v>
      </c>
      <c r="AW71" s="19" t="s">
        <v>67</v>
      </c>
      <c r="AX71" s="19" t="s">
        <v>66</v>
      </c>
      <c r="AY71" s="22">
        <v>77</v>
      </c>
      <c r="AZ71" s="22" t="s">
        <v>67</v>
      </c>
      <c r="BA71" s="19" t="s">
        <v>67</v>
      </c>
      <c r="BB71" s="106">
        <f t="shared" si="13"/>
        <v>77</v>
      </c>
      <c r="BC71" s="21"/>
      <c r="BD71" s="70" t="s">
        <v>66</v>
      </c>
      <c r="BE71" s="70" t="s">
        <v>66</v>
      </c>
      <c r="BF71" s="114" t="str">
        <f t="shared" si="14"/>
        <v>..</v>
      </c>
      <c r="BG71" s="73"/>
      <c r="BH71" s="73"/>
      <c r="BI71" s="71" t="s">
        <v>66</v>
      </c>
      <c r="BJ71" s="71" t="s">
        <v>66</v>
      </c>
      <c r="BK71" s="71" t="s">
        <v>66</v>
      </c>
      <c r="BL71" s="116" t="s">
        <v>66</v>
      </c>
    </row>
    <row r="72" spans="1:64" s="13" customFormat="1" x14ac:dyDescent="0.2">
      <c r="A72" s="13" t="str">
        <f t="shared" si="9"/>
        <v>1984Q3</v>
      </c>
      <c r="B72" s="11">
        <f>B71</f>
        <v>1984</v>
      </c>
      <c r="C72" s="11" t="s">
        <v>3</v>
      </c>
      <c r="D72" s="43">
        <v>749</v>
      </c>
      <c r="E72" s="43">
        <v>1972</v>
      </c>
      <c r="F72" s="87">
        <f t="shared" si="10"/>
        <v>2721</v>
      </c>
      <c r="G72" s="41">
        <v>865232</v>
      </c>
      <c r="H72" s="42" t="s">
        <v>66</v>
      </c>
      <c r="I72" s="92" t="s">
        <v>66</v>
      </c>
      <c r="J72" s="94" t="s">
        <v>31</v>
      </c>
      <c r="K72" s="94" t="s">
        <v>31</v>
      </c>
      <c r="L72" s="42" t="s">
        <v>66</v>
      </c>
      <c r="M72" s="42" t="s">
        <v>66</v>
      </c>
      <c r="N72" s="42" t="s">
        <v>67</v>
      </c>
      <c r="O72" s="42" t="s">
        <v>67</v>
      </c>
      <c r="P72" s="42" t="s">
        <v>66</v>
      </c>
      <c r="Q72" s="98">
        <v>1823</v>
      </c>
      <c r="R72" s="42" t="s">
        <v>67</v>
      </c>
      <c r="S72" s="42" t="s">
        <v>66</v>
      </c>
      <c r="T72" s="92" t="s">
        <v>66</v>
      </c>
      <c r="U72" s="42" t="s">
        <v>66</v>
      </c>
      <c r="V72" s="92" t="s">
        <v>66</v>
      </c>
      <c r="W72" s="42" t="s">
        <v>66</v>
      </c>
      <c r="X72" s="92" t="s">
        <v>66</v>
      </c>
      <c r="Y72" s="92" t="s">
        <v>66</v>
      </c>
      <c r="Z72" s="92" t="s">
        <v>66</v>
      </c>
      <c r="AA72" s="48" t="s">
        <v>67</v>
      </c>
      <c r="AB72" s="52">
        <v>15</v>
      </c>
      <c r="AC72" s="105">
        <f t="shared" si="11"/>
        <v>1838</v>
      </c>
      <c r="AD72" s="42" t="s">
        <v>66</v>
      </c>
      <c r="AE72" s="48" t="s">
        <v>67</v>
      </c>
      <c r="AF72" s="49" t="str">
        <f t="shared" si="12"/>
        <v>..</v>
      </c>
      <c r="AG72" s="36"/>
      <c r="AH72" s="32"/>
      <c r="AI72" s="108"/>
      <c r="AJ72" s="28"/>
      <c r="AK72" s="25"/>
      <c r="AL72" s="29"/>
      <c r="AM72" s="21"/>
      <c r="AN72" s="19">
        <v>48</v>
      </c>
      <c r="AO72" s="19">
        <v>41</v>
      </c>
      <c r="AP72" s="106">
        <f t="shared" si="8"/>
        <v>89</v>
      </c>
      <c r="AQ72" s="19" t="s">
        <v>66</v>
      </c>
      <c r="AR72" s="19" t="s">
        <v>66</v>
      </c>
      <c r="AS72" s="112" t="s">
        <v>31</v>
      </c>
      <c r="AT72" s="112" t="s">
        <v>31</v>
      </c>
      <c r="AU72" s="19" t="s">
        <v>66</v>
      </c>
      <c r="AV72" s="19" t="s">
        <v>66</v>
      </c>
      <c r="AW72" s="19" t="s">
        <v>67</v>
      </c>
      <c r="AX72" s="19" t="s">
        <v>66</v>
      </c>
      <c r="AY72" s="22">
        <v>68</v>
      </c>
      <c r="AZ72" s="22" t="s">
        <v>67</v>
      </c>
      <c r="BA72" s="19" t="s">
        <v>67</v>
      </c>
      <c r="BB72" s="106">
        <f t="shared" si="13"/>
        <v>68</v>
      </c>
      <c r="BC72" s="21"/>
      <c r="BD72" s="70" t="s">
        <v>66</v>
      </c>
      <c r="BE72" s="70" t="s">
        <v>66</v>
      </c>
      <c r="BF72" s="114" t="str">
        <f t="shared" si="14"/>
        <v>..</v>
      </c>
      <c r="BG72" s="73"/>
      <c r="BH72" s="73"/>
      <c r="BI72" s="71" t="s">
        <v>66</v>
      </c>
      <c r="BJ72" s="71" t="s">
        <v>66</v>
      </c>
      <c r="BK72" s="71" t="s">
        <v>66</v>
      </c>
      <c r="BL72" s="116" t="s">
        <v>66</v>
      </c>
    </row>
    <row r="73" spans="1:64" s="13" customFormat="1" x14ac:dyDescent="0.2">
      <c r="A73" s="13" t="str">
        <f t="shared" si="9"/>
        <v>1984Q4</v>
      </c>
      <c r="B73" s="11">
        <f>B72</f>
        <v>1984</v>
      </c>
      <c r="C73" s="11" t="s">
        <v>4</v>
      </c>
      <c r="D73" s="43">
        <v>1845</v>
      </c>
      <c r="E73" s="43">
        <v>2089</v>
      </c>
      <c r="F73" s="87">
        <f t="shared" si="10"/>
        <v>3934</v>
      </c>
      <c r="G73" s="41">
        <v>882988</v>
      </c>
      <c r="H73" s="42" t="s">
        <v>66</v>
      </c>
      <c r="I73" s="92" t="s">
        <v>66</v>
      </c>
      <c r="J73" s="95">
        <f t="shared" ref="J73:J104" si="15">SUM(F70:F73)/AVERAGE(G70:G73)*100</f>
        <v>1.6029561403816208</v>
      </c>
      <c r="K73" s="94" t="s">
        <v>31</v>
      </c>
      <c r="L73" s="42" t="s">
        <v>66</v>
      </c>
      <c r="M73" s="42" t="s">
        <v>66</v>
      </c>
      <c r="N73" s="42" t="s">
        <v>67</v>
      </c>
      <c r="O73" s="42" t="s">
        <v>67</v>
      </c>
      <c r="P73" s="42" t="s">
        <v>66</v>
      </c>
      <c r="Q73" s="98">
        <v>1967</v>
      </c>
      <c r="R73" s="42" t="s">
        <v>67</v>
      </c>
      <c r="S73" s="42" t="s">
        <v>66</v>
      </c>
      <c r="T73" s="92" t="s">
        <v>66</v>
      </c>
      <c r="U73" s="42" t="s">
        <v>66</v>
      </c>
      <c r="V73" s="92" t="s">
        <v>66</v>
      </c>
      <c r="W73" s="42" t="s">
        <v>66</v>
      </c>
      <c r="X73" s="92" t="s">
        <v>66</v>
      </c>
      <c r="Y73" s="92" t="s">
        <v>66</v>
      </c>
      <c r="Z73" s="92" t="s">
        <v>66</v>
      </c>
      <c r="AA73" s="48" t="s">
        <v>67</v>
      </c>
      <c r="AB73" s="52">
        <v>17</v>
      </c>
      <c r="AC73" s="105">
        <f t="shared" si="11"/>
        <v>1984</v>
      </c>
      <c r="AD73" s="42" t="s">
        <v>66</v>
      </c>
      <c r="AE73" s="48" t="s">
        <v>67</v>
      </c>
      <c r="AF73" s="49" t="str">
        <f t="shared" si="12"/>
        <v>..</v>
      </c>
      <c r="AG73" s="36"/>
      <c r="AH73" s="32"/>
      <c r="AI73" s="108"/>
      <c r="AJ73" s="28"/>
      <c r="AK73" s="25"/>
      <c r="AL73" s="29"/>
      <c r="AM73" s="21"/>
      <c r="AN73" s="19">
        <v>82</v>
      </c>
      <c r="AO73" s="19">
        <v>62</v>
      </c>
      <c r="AP73" s="106">
        <f t="shared" si="8"/>
        <v>144</v>
      </c>
      <c r="AQ73" s="19" t="s">
        <v>66</v>
      </c>
      <c r="AR73" s="19" t="s">
        <v>66</v>
      </c>
      <c r="AS73" s="112" t="s">
        <v>31</v>
      </c>
      <c r="AT73" s="112" t="s">
        <v>31</v>
      </c>
      <c r="AU73" s="19" t="s">
        <v>66</v>
      </c>
      <c r="AV73" s="19" t="s">
        <v>66</v>
      </c>
      <c r="AW73" s="19" t="s">
        <v>67</v>
      </c>
      <c r="AX73" s="19" t="s">
        <v>66</v>
      </c>
      <c r="AY73" s="22">
        <v>74</v>
      </c>
      <c r="AZ73" s="22" t="s">
        <v>67</v>
      </c>
      <c r="BA73" s="19" t="s">
        <v>67</v>
      </c>
      <c r="BB73" s="106">
        <f t="shared" si="13"/>
        <v>74</v>
      </c>
      <c r="BC73" s="21"/>
      <c r="BD73" s="70" t="s">
        <v>66</v>
      </c>
      <c r="BE73" s="70" t="s">
        <v>66</v>
      </c>
      <c r="BF73" s="114" t="str">
        <f t="shared" si="14"/>
        <v>..</v>
      </c>
      <c r="BG73" s="73"/>
      <c r="BH73" s="73"/>
      <c r="BI73" s="71" t="s">
        <v>66</v>
      </c>
      <c r="BJ73" s="71" t="s">
        <v>66</v>
      </c>
      <c r="BK73" s="71" t="s">
        <v>66</v>
      </c>
      <c r="BL73" s="116" t="s">
        <v>66</v>
      </c>
    </row>
    <row r="74" spans="1:64" s="13" customFormat="1" x14ac:dyDescent="0.2">
      <c r="A74" s="13" t="str">
        <f t="shared" si="9"/>
        <v>1985Q1</v>
      </c>
      <c r="B74" s="11">
        <v>1985</v>
      </c>
      <c r="C74" s="63" t="s">
        <v>1</v>
      </c>
      <c r="D74" s="43">
        <v>1439</v>
      </c>
      <c r="E74" s="43">
        <v>2232</v>
      </c>
      <c r="F74" s="87">
        <f t="shared" si="10"/>
        <v>3671</v>
      </c>
      <c r="G74" s="41">
        <v>852168</v>
      </c>
      <c r="H74" s="42" t="s">
        <v>66</v>
      </c>
      <c r="I74" s="92" t="s">
        <v>66</v>
      </c>
      <c r="J74" s="95">
        <f t="shared" si="15"/>
        <v>1.6013697835045564</v>
      </c>
      <c r="K74" s="94" t="s">
        <v>31</v>
      </c>
      <c r="L74" s="42" t="s">
        <v>66</v>
      </c>
      <c r="M74" s="42" t="s">
        <v>66</v>
      </c>
      <c r="N74" s="42" t="s">
        <v>67</v>
      </c>
      <c r="O74" s="42" t="s">
        <v>67</v>
      </c>
      <c r="P74" s="42" t="s">
        <v>66</v>
      </c>
      <c r="Q74" s="98">
        <v>1861</v>
      </c>
      <c r="R74" s="42" t="s">
        <v>67</v>
      </c>
      <c r="S74" s="42" t="s">
        <v>66</v>
      </c>
      <c r="T74" s="92" t="s">
        <v>66</v>
      </c>
      <c r="U74" s="42" t="s">
        <v>66</v>
      </c>
      <c r="V74" s="92" t="s">
        <v>66</v>
      </c>
      <c r="W74" s="42" t="s">
        <v>66</v>
      </c>
      <c r="X74" s="92" t="s">
        <v>66</v>
      </c>
      <c r="Y74" s="92" t="s">
        <v>66</v>
      </c>
      <c r="Z74" s="92" t="s">
        <v>66</v>
      </c>
      <c r="AA74" s="48" t="s">
        <v>67</v>
      </c>
      <c r="AB74" s="52">
        <v>14</v>
      </c>
      <c r="AC74" s="105">
        <f t="shared" si="11"/>
        <v>1875</v>
      </c>
      <c r="AD74" s="42" t="s">
        <v>66</v>
      </c>
      <c r="AE74" s="48" t="s">
        <v>67</v>
      </c>
      <c r="AF74" s="49" t="str">
        <f t="shared" si="12"/>
        <v>..</v>
      </c>
      <c r="AG74" s="36"/>
      <c r="AH74" s="32"/>
      <c r="AI74" s="108"/>
      <c r="AJ74" s="28"/>
      <c r="AK74" s="25"/>
      <c r="AL74" s="29"/>
      <c r="AM74" s="21"/>
      <c r="AN74" s="19">
        <v>68</v>
      </c>
      <c r="AO74" s="19">
        <v>68</v>
      </c>
      <c r="AP74" s="106">
        <f t="shared" si="8"/>
        <v>136</v>
      </c>
      <c r="AQ74" s="19" t="s">
        <v>66</v>
      </c>
      <c r="AR74" s="19" t="s">
        <v>66</v>
      </c>
      <c r="AS74" s="112" t="s">
        <v>31</v>
      </c>
      <c r="AT74" s="112" t="s">
        <v>31</v>
      </c>
      <c r="AU74" s="19" t="s">
        <v>66</v>
      </c>
      <c r="AV74" s="19" t="s">
        <v>66</v>
      </c>
      <c r="AW74" s="19" t="s">
        <v>67</v>
      </c>
      <c r="AX74" s="19" t="s">
        <v>66</v>
      </c>
      <c r="AY74" s="22">
        <v>76</v>
      </c>
      <c r="AZ74" s="22" t="s">
        <v>67</v>
      </c>
      <c r="BA74" s="19" t="s">
        <v>67</v>
      </c>
      <c r="BB74" s="106">
        <f t="shared" si="13"/>
        <v>76</v>
      </c>
      <c r="BC74" s="21"/>
      <c r="BD74" s="70" t="s">
        <v>66</v>
      </c>
      <c r="BE74" s="70" t="s">
        <v>66</v>
      </c>
      <c r="BF74" s="114" t="str">
        <f t="shared" si="14"/>
        <v>..</v>
      </c>
      <c r="BG74" s="73"/>
      <c r="BH74" s="73"/>
      <c r="BI74" s="71" t="s">
        <v>66</v>
      </c>
      <c r="BJ74" s="71" t="s">
        <v>66</v>
      </c>
      <c r="BK74" s="71" t="s">
        <v>66</v>
      </c>
      <c r="BL74" s="116" t="s">
        <v>66</v>
      </c>
    </row>
    <row r="75" spans="1:64" s="13" customFormat="1" x14ac:dyDescent="0.2">
      <c r="A75" s="13" t="str">
        <f t="shared" si="9"/>
        <v>1985Q2</v>
      </c>
      <c r="B75" s="11">
        <f>B74</f>
        <v>1985</v>
      </c>
      <c r="C75" s="11" t="s">
        <v>2</v>
      </c>
      <c r="D75" s="43">
        <v>1616</v>
      </c>
      <c r="E75" s="43">
        <v>2459</v>
      </c>
      <c r="F75" s="87">
        <f t="shared" si="10"/>
        <v>4075</v>
      </c>
      <c r="G75" s="41">
        <v>835621</v>
      </c>
      <c r="H75" s="42" t="s">
        <v>66</v>
      </c>
      <c r="I75" s="92" t="s">
        <v>66</v>
      </c>
      <c r="J75" s="95">
        <f t="shared" si="15"/>
        <v>1.6764798928058686</v>
      </c>
      <c r="K75" s="94" t="s">
        <v>31</v>
      </c>
      <c r="L75" s="42" t="s">
        <v>66</v>
      </c>
      <c r="M75" s="42" t="s">
        <v>66</v>
      </c>
      <c r="N75" s="42" t="s">
        <v>67</v>
      </c>
      <c r="O75" s="42" t="s">
        <v>67</v>
      </c>
      <c r="P75" s="42" t="s">
        <v>66</v>
      </c>
      <c r="Q75" s="98">
        <v>1586</v>
      </c>
      <c r="R75" s="42" t="s">
        <v>67</v>
      </c>
      <c r="S75" s="42" t="s">
        <v>66</v>
      </c>
      <c r="T75" s="92" t="s">
        <v>66</v>
      </c>
      <c r="U75" s="42" t="s">
        <v>66</v>
      </c>
      <c r="V75" s="92" t="s">
        <v>66</v>
      </c>
      <c r="W75" s="42" t="s">
        <v>66</v>
      </c>
      <c r="X75" s="92" t="s">
        <v>66</v>
      </c>
      <c r="Y75" s="92" t="s">
        <v>66</v>
      </c>
      <c r="Z75" s="92" t="s">
        <v>66</v>
      </c>
      <c r="AA75" s="48" t="s">
        <v>67</v>
      </c>
      <c r="AB75" s="52">
        <v>12</v>
      </c>
      <c r="AC75" s="105">
        <f t="shared" si="11"/>
        <v>1598</v>
      </c>
      <c r="AD75" s="42" t="s">
        <v>66</v>
      </c>
      <c r="AE75" s="48" t="s">
        <v>67</v>
      </c>
      <c r="AF75" s="49" t="str">
        <f t="shared" si="12"/>
        <v>..</v>
      </c>
      <c r="AG75" s="36"/>
      <c r="AH75" s="32"/>
      <c r="AI75" s="108"/>
      <c r="AJ75" s="28"/>
      <c r="AK75" s="25"/>
      <c r="AL75" s="29"/>
      <c r="AM75" s="21"/>
      <c r="AN75" s="19">
        <v>61</v>
      </c>
      <c r="AO75" s="19">
        <v>59</v>
      </c>
      <c r="AP75" s="106">
        <f t="shared" si="8"/>
        <v>120</v>
      </c>
      <c r="AQ75" s="19" t="s">
        <v>66</v>
      </c>
      <c r="AR75" s="19" t="s">
        <v>66</v>
      </c>
      <c r="AS75" s="112" t="s">
        <v>31</v>
      </c>
      <c r="AT75" s="112" t="s">
        <v>31</v>
      </c>
      <c r="AU75" s="19" t="s">
        <v>66</v>
      </c>
      <c r="AV75" s="19" t="s">
        <v>66</v>
      </c>
      <c r="AW75" s="19" t="s">
        <v>67</v>
      </c>
      <c r="AX75" s="19" t="s">
        <v>66</v>
      </c>
      <c r="AY75" s="22">
        <v>74</v>
      </c>
      <c r="AZ75" s="22" t="s">
        <v>67</v>
      </c>
      <c r="BA75" s="19" t="s">
        <v>67</v>
      </c>
      <c r="BB75" s="106">
        <f t="shared" si="13"/>
        <v>74</v>
      </c>
      <c r="BC75" s="21"/>
      <c r="BD75" s="70" t="s">
        <v>66</v>
      </c>
      <c r="BE75" s="70" t="s">
        <v>66</v>
      </c>
      <c r="BF75" s="114" t="str">
        <f t="shared" si="14"/>
        <v>..</v>
      </c>
      <c r="BG75" s="73"/>
      <c r="BH75" s="73"/>
      <c r="BI75" s="71" t="s">
        <v>66</v>
      </c>
      <c r="BJ75" s="71" t="s">
        <v>66</v>
      </c>
      <c r="BK75" s="71" t="s">
        <v>66</v>
      </c>
      <c r="BL75" s="116" t="s">
        <v>66</v>
      </c>
    </row>
    <row r="76" spans="1:64" s="13" customFormat="1" x14ac:dyDescent="0.2">
      <c r="A76" s="13" t="str">
        <f t="shared" si="9"/>
        <v>1985Q3</v>
      </c>
      <c r="B76" s="11">
        <f>B75</f>
        <v>1985</v>
      </c>
      <c r="C76" s="11" t="s">
        <v>3</v>
      </c>
      <c r="D76" s="43">
        <v>709</v>
      </c>
      <c r="E76" s="43">
        <v>2278</v>
      </c>
      <c r="F76" s="87">
        <f t="shared" si="10"/>
        <v>2987</v>
      </c>
      <c r="G76" s="41">
        <v>823821</v>
      </c>
      <c r="H76" s="42" t="s">
        <v>66</v>
      </c>
      <c r="I76" s="92" t="s">
        <v>66</v>
      </c>
      <c r="J76" s="95">
        <f t="shared" si="15"/>
        <v>1.7282753362842966</v>
      </c>
      <c r="K76" s="94" t="s">
        <v>31</v>
      </c>
      <c r="L76" s="42" t="s">
        <v>66</v>
      </c>
      <c r="M76" s="42" t="s">
        <v>66</v>
      </c>
      <c r="N76" s="42" t="s">
        <v>67</v>
      </c>
      <c r="O76" s="42" t="s">
        <v>67</v>
      </c>
      <c r="P76" s="42" t="s">
        <v>66</v>
      </c>
      <c r="Q76" s="98">
        <v>1534</v>
      </c>
      <c r="R76" s="42" t="s">
        <v>67</v>
      </c>
      <c r="S76" s="42" t="s">
        <v>66</v>
      </c>
      <c r="T76" s="92" t="s">
        <v>66</v>
      </c>
      <c r="U76" s="42" t="s">
        <v>66</v>
      </c>
      <c r="V76" s="92" t="s">
        <v>66</v>
      </c>
      <c r="W76" s="42" t="s">
        <v>66</v>
      </c>
      <c r="X76" s="92" t="s">
        <v>66</v>
      </c>
      <c r="Y76" s="92" t="s">
        <v>66</v>
      </c>
      <c r="Z76" s="92" t="s">
        <v>66</v>
      </c>
      <c r="AA76" s="48" t="s">
        <v>67</v>
      </c>
      <c r="AB76" s="52">
        <v>8</v>
      </c>
      <c r="AC76" s="105">
        <f t="shared" si="11"/>
        <v>1542</v>
      </c>
      <c r="AD76" s="42" t="s">
        <v>66</v>
      </c>
      <c r="AE76" s="48" t="s">
        <v>67</v>
      </c>
      <c r="AF76" s="49" t="str">
        <f t="shared" si="12"/>
        <v>..</v>
      </c>
      <c r="AG76" s="36"/>
      <c r="AH76" s="32"/>
      <c r="AI76" s="108"/>
      <c r="AJ76" s="28"/>
      <c r="AK76" s="25"/>
      <c r="AL76" s="29"/>
      <c r="AM76" s="21"/>
      <c r="AN76" s="19">
        <v>89</v>
      </c>
      <c r="AO76" s="19">
        <v>58</v>
      </c>
      <c r="AP76" s="106">
        <f t="shared" si="8"/>
        <v>147</v>
      </c>
      <c r="AQ76" s="19" t="s">
        <v>66</v>
      </c>
      <c r="AR76" s="19" t="s">
        <v>66</v>
      </c>
      <c r="AS76" s="112" t="s">
        <v>31</v>
      </c>
      <c r="AT76" s="112" t="s">
        <v>31</v>
      </c>
      <c r="AU76" s="19" t="s">
        <v>66</v>
      </c>
      <c r="AV76" s="19" t="s">
        <v>66</v>
      </c>
      <c r="AW76" s="19" t="s">
        <v>67</v>
      </c>
      <c r="AX76" s="19" t="s">
        <v>66</v>
      </c>
      <c r="AY76" s="22">
        <v>82</v>
      </c>
      <c r="AZ76" s="22" t="s">
        <v>67</v>
      </c>
      <c r="BA76" s="19" t="s">
        <v>67</v>
      </c>
      <c r="BB76" s="106">
        <f t="shared" si="13"/>
        <v>82</v>
      </c>
      <c r="BC76" s="21"/>
      <c r="BD76" s="70" t="s">
        <v>66</v>
      </c>
      <c r="BE76" s="70" t="s">
        <v>66</v>
      </c>
      <c r="BF76" s="114" t="str">
        <f t="shared" si="14"/>
        <v>..</v>
      </c>
      <c r="BG76" s="73"/>
      <c r="BH76" s="73"/>
      <c r="BI76" s="71" t="s">
        <v>66</v>
      </c>
      <c r="BJ76" s="71" t="s">
        <v>66</v>
      </c>
      <c r="BK76" s="71" t="s">
        <v>66</v>
      </c>
      <c r="BL76" s="116" t="s">
        <v>66</v>
      </c>
    </row>
    <row r="77" spans="1:64" s="13" customFormat="1" x14ac:dyDescent="0.2">
      <c r="A77" s="13" t="str">
        <f t="shared" si="9"/>
        <v>1985Q4</v>
      </c>
      <c r="B77" s="11">
        <f>B76</f>
        <v>1985</v>
      </c>
      <c r="C77" s="11" t="s">
        <v>4</v>
      </c>
      <c r="D77" s="43">
        <v>1997</v>
      </c>
      <c r="E77" s="43">
        <v>2168</v>
      </c>
      <c r="F77" s="87">
        <f t="shared" si="10"/>
        <v>4165</v>
      </c>
      <c r="G77" s="41">
        <v>839779</v>
      </c>
      <c r="H77" s="42" t="s">
        <v>66</v>
      </c>
      <c r="I77" s="92" t="s">
        <v>66</v>
      </c>
      <c r="J77" s="95">
        <f t="shared" si="15"/>
        <v>1.7781284118316316</v>
      </c>
      <c r="K77" s="94" t="s">
        <v>31</v>
      </c>
      <c r="L77" s="42" t="s">
        <v>66</v>
      </c>
      <c r="M77" s="42" t="s">
        <v>66</v>
      </c>
      <c r="N77" s="42" t="s">
        <v>67</v>
      </c>
      <c r="O77" s="42" t="s">
        <v>67</v>
      </c>
      <c r="P77" s="42" t="s">
        <v>66</v>
      </c>
      <c r="Q77" s="98">
        <v>1747</v>
      </c>
      <c r="R77" s="42" t="s">
        <v>67</v>
      </c>
      <c r="S77" s="42" t="s">
        <v>66</v>
      </c>
      <c r="T77" s="92" t="s">
        <v>66</v>
      </c>
      <c r="U77" s="42" t="s">
        <v>66</v>
      </c>
      <c r="V77" s="92" t="s">
        <v>66</v>
      </c>
      <c r="W77" s="42" t="s">
        <v>66</v>
      </c>
      <c r="X77" s="92" t="s">
        <v>66</v>
      </c>
      <c r="Y77" s="92" t="s">
        <v>66</v>
      </c>
      <c r="Z77" s="92" t="s">
        <v>66</v>
      </c>
      <c r="AA77" s="48" t="s">
        <v>67</v>
      </c>
      <c r="AB77" s="52">
        <v>14</v>
      </c>
      <c r="AC77" s="105">
        <f t="shared" si="11"/>
        <v>1761</v>
      </c>
      <c r="AD77" s="42" t="s">
        <v>66</v>
      </c>
      <c r="AE77" s="48" t="s">
        <v>67</v>
      </c>
      <c r="AF77" s="49" t="str">
        <f t="shared" si="12"/>
        <v>..</v>
      </c>
      <c r="AG77" s="36"/>
      <c r="AH77" s="32"/>
      <c r="AI77" s="108"/>
      <c r="AJ77" s="28"/>
      <c r="AK77" s="25"/>
      <c r="AL77" s="29"/>
      <c r="AM77" s="21"/>
      <c r="AN77" s="19">
        <v>88</v>
      </c>
      <c r="AO77" s="19">
        <v>46</v>
      </c>
      <c r="AP77" s="106">
        <f t="shared" si="8"/>
        <v>134</v>
      </c>
      <c r="AQ77" s="19" t="s">
        <v>66</v>
      </c>
      <c r="AR77" s="19" t="s">
        <v>66</v>
      </c>
      <c r="AS77" s="112" t="s">
        <v>31</v>
      </c>
      <c r="AT77" s="112" t="s">
        <v>31</v>
      </c>
      <c r="AU77" s="19" t="s">
        <v>66</v>
      </c>
      <c r="AV77" s="19" t="s">
        <v>66</v>
      </c>
      <c r="AW77" s="19" t="s">
        <v>67</v>
      </c>
      <c r="AX77" s="19" t="s">
        <v>66</v>
      </c>
      <c r="AY77" s="22">
        <v>66</v>
      </c>
      <c r="AZ77" s="22" t="s">
        <v>67</v>
      </c>
      <c r="BA77" s="19" t="s">
        <v>67</v>
      </c>
      <c r="BB77" s="106">
        <f t="shared" si="13"/>
        <v>66</v>
      </c>
      <c r="BC77" s="21"/>
      <c r="BD77" s="70" t="s">
        <v>66</v>
      </c>
      <c r="BE77" s="70" t="s">
        <v>66</v>
      </c>
      <c r="BF77" s="114" t="str">
        <f t="shared" si="14"/>
        <v>..</v>
      </c>
      <c r="BG77" s="73"/>
      <c r="BH77" s="73"/>
      <c r="BI77" s="71" t="s">
        <v>66</v>
      </c>
      <c r="BJ77" s="71" t="s">
        <v>66</v>
      </c>
      <c r="BK77" s="71" t="s">
        <v>66</v>
      </c>
      <c r="BL77" s="116" t="s">
        <v>66</v>
      </c>
    </row>
    <row r="78" spans="1:64" s="13" customFormat="1" x14ac:dyDescent="0.2">
      <c r="A78" s="13" t="str">
        <f t="shared" si="9"/>
        <v>1986Q1</v>
      </c>
      <c r="B78" s="11">
        <v>1986</v>
      </c>
      <c r="C78" s="63" t="s">
        <v>1</v>
      </c>
      <c r="D78" s="43">
        <v>1421</v>
      </c>
      <c r="E78" s="43">
        <v>2099</v>
      </c>
      <c r="F78" s="87">
        <f t="shared" si="10"/>
        <v>3520</v>
      </c>
      <c r="G78" s="41">
        <v>798964</v>
      </c>
      <c r="H78" s="41">
        <v>988272</v>
      </c>
      <c r="I78" s="93">
        <f t="shared" ref="I78:I141" si="16">H78-G78</f>
        <v>189308</v>
      </c>
      <c r="J78" s="95">
        <f t="shared" si="15"/>
        <v>1.7884988258693797</v>
      </c>
      <c r="K78" s="94" t="s">
        <v>31</v>
      </c>
      <c r="L78" s="42" t="s">
        <v>66</v>
      </c>
      <c r="M78" s="42" t="s">
        <v>66</v>
      </c>
      <c r="N78" s="42" t="s">
        <v>67</v>
      </c>
      <c r="O78" s="42" t="s">
        <v>67</v>
      </c>
      <c r="P78" s="42" t="s">
        <v>66</v>
      </c>
      <c r="Q78" s="98">
        <v>1831</v>
      </c>
      <c r="R78" s="42" t="s">
        <v>67</v>
      </c>
      <c r="S78" s="42" t="s">
        <v>66</v>
      </c>
      <c r="T78" s="92" t="s">
        <v>66</v>
      </c>
      <c r="U78" s="42" t="s">
        <v>66</v>
      </c>
      <c r="V78" s="92" t="s">
        <v>66</v>
      </c>
      <c r="W78" s="42" t="s">
        <v>66</v>
      </c>
      <c r="X78" s="92" t="s">
        <v>66</v>
      </c>
      <c r="Y78" s="92" t="s">
        <v>66</v>
      </c>
      <c r="Z78" s="92" t="s">
        <v>66</v>
      </c>
      <c r="AA78" s="48" t="s">
        <v>67</v>
      </c>
      <c r="AB78" s="52">
        <v>9</v>
      </c>
      <c r="AC78" s="105">
        <f t="shared" si="11"/>
        <v>1840</v>
      </c>
      <c r="AD78" s="42" t="s">
        <v>66</v>
      </c>
      <c r="AE78" s="48" t="s">
        <v>67</v>
      </c>
      <c r="AF78" s="49" t="str">
        <f t="shared" si="12"/>
        <v>..</v>
      </c>
      <c r="AG78" s="36"/>
      <c r="AH78" s="32"/>
      <c r="AI78" s="108"/>
      <c r="AJ78" s="28"/>
      <c r="AK78" s="25"/>
      <c r="AL78" s="29"/>
      <c r="AM78" s="21"/>
      <c r="AN78" s="19">
        <v>87</v>
      </c>
      <c r="AO78" s="19">
        <v>48</v>
      </c>
      <c r="AP78" s="106">
        <f t="shared" si="8"/>
        <v>135</v>
      </c>
      <c r="AQ78" s="19" t="s">
        <v>66</v>
      </c>
      <c r="AR78" s="19" t="s">
        <v>66</v>
      </c>
      <c r="AS78" s="112" t="s">
        <v>31</v>
      </c>
      <c r="AT78" s="112" t="s">
        <v>31</v>
      </c>
      <c r="AU78" s="19" t="s">
        <v>66</v>
      </c>
      <c r="AV78" s="19" t="s">
        <v>66</v>
      </c>
      <c r="AW78" s="19" t="s">
        <v>67</v>
      </c>
      <c r="AX78" s="19" t="s">
        <v>66</v>
      </c>
      <c r="AY78" s="22">
        <v>90</v>
      </c>
      <c r="AZ78" s="22" t="s">
        <v>67</v>
      </c>
      <c r="BA78" s="19" t="s">
        <v>67</v>
      </c>
      <c r="BB78" s="106">
        <f t="shared" si="13"/>
        <v>90</v>
      </c>
      <c r="BC78" s="21"/>
      <c r="BD78" s="70" t="s">
        <v>66</v>
      </c>
      <c r="BE78" s="70" t="s">
        <v>66</v>
      </c>
      <c r="BF78" s="114" t="str">
        <f t="shared" si="14"/>
        <v>..</v>
      </c>
      <c r="BG78" s="73"/>
      <c r="BH78" s="73"/>
      <c r="BI78" s="71" t="s">
        <v>66</v>
      </c>
      <c r="BJ78" s="71" t="s">
        <v>66</v>
      </c>
      <c r="BK78" s="71" t="s">
        <v>66</v>
      </c>
      <c r="BL78" s="116" t="s">
        <v>66</v>
      </c>
    </row>
    <row r="79" spans="1:64" s="13" customFormat="1" x14ac:dyDescent="0.2">
      <c r="A79" s="13" t="str">
        <f t="shared" si="9"/>
        <v>1986Q2</v>
      </c>
      <c r="B79" s="11">
        <f>B78</f>
        <v>1986</v>
      </c>
      <c r="C79" s="11" t="s">
        <v>2</v>
      </c>
      <c r="D79" s="43">
        <v>1432</v>
      </c>
      <c r="E79" s="43">
        <v>2505</v>
      </c>
      <c r="F79" s="87">
        <f t="shared" si="10"/>
        <v>3937</v>
      </c>
      <c r="G79" s="41">
        <v>781570</v>
      </c>
      <c r="H79" s="41">
        <v>986601</v>
      </c>
      <c r="I79" s="93">
        <f t="shared" si="16"/>
        <v>205031</v>
      </c>
      <c r="J79" s="95">
        <f t="shared" si="15"/>
        <v>1.8012819445805879</v>
      </c>
      <c r="K79" s="94" t="s">
        <v>31</v>
      </c>
      <c r="L79" s="42" t="s">
        <v>66</v>
      </c>
      <c r="M79" s="42" t="s">
        <v>66</v>
      </c>
      <c r="N79" s="42" t="s">
        <v>67</v>
      </c>
      <c r="O79" s="42" t="s">
        <v>67</v>
      </c>
      <c r="P79" s="42" t="s">
        <v>66</v>
      </c>
      <c r="Q79" s="98">
        <v>1908</v>
      </c>
      <c r="R79" s="42" t="s">
        <v>67</v>
      </c>
      <c r="S79" s="42" t="s">
        <v>66</v>
      </c>
      <c r="T79" s="92" t="s">
        <v>66</v>
      </c>
      <c r="U79" s="42" t="s">
        <v>66</v>
      </c>
      <c r="V79" s="92" t="s">
        <v>66</v>
      </c>
      <c r="W79" s="42" t="s">
        <v>66</v>
      </c>
      <c r="X79" s="92" t="s">
        <v>66</v>
      </c>
      <c r="Y79" s="92" t="s">
        <v>66</v>
      </c>
      <c r="Z79" s="92" t="s">
        <v>66</v>
      </c>
      <c r="AA79" s="48" t="s">
        <v>67</v>
      </c>
      <c r="AB79" s="52">
        <v>15</v>
      </c>
      <c r="AC79" s="105">
        <f t="shared" si="11"/>
        <v>1923</v>
      </c>
      <c r="AD79" s="42" t="s">
        <v>66</v>
      </c>
      <c r="AE79" s="48" t="s">
        <v>67</v>
      </c>
      <c r="AF79" s="49" t="str">
        <f t="shared" si="12"/>
        <v>..</v>
      </c>
      <c r="AG79" s="36"/>
      <c r="AH79" s="32"/>
      <c r="AI79" s="108"/>
      <c r="AJ79" s="28"/>
      <c r="AK79" s="25"/>
      <c r="AL79" s="29"/>
      <c r="AM79" s="21"/>
      <c r="AN79" s="19">
        <v>91</v>
      </c>
      <c r="AO79" s="19">
        <v>53</v>
      </c>
      <c r="AP79" s="106">
        <f t="shared" si="8"/>
        <v>144</v>
      </c>
      <c r="AQ79" s="19" t="s">
        <v>66</v>
      </c>
      <c r="AR79" s="19" t="s">
        <v>66</v>
      </c>
      <c r="AS79" s="112" t="s">
        <v>31</v>
      </c>
      <c r="AT79" s="112" t="s">
        <v>31</v>
      </c>
      <c r="AU79" s="19" t="s">
        <v>66</v>
      </c>
      <c r="AV79" s="19" t="s">
        <v>66</v>
      </c>
      <c r="AW79" s="19" t="s">
        <v>67</v>
      </c>
      <c r="AX79" s="19" t="s">
        <v>66</v>
      </c>
      <c r="AY79" s="22">
        <v>73</v>
      </c>
      <c r="AZ79" s="22" t="s">
        <v>67</v>
      </c>
      <c r="BA79" s="19" t="s">
        <v>67</v>
      </c>
      <c r="BB79" s="106">
        <f t="shared" si="13"/>
        <v>73</v>
      </c>
      <c r="BC79" s="21"/>
      <c r="BD79" s="70" t="s">
        <v>66</v>
      </c>
      <c r="BE79" s="70" t="s">
        <v>66</v>
      </c>
      <c r="BF79" s="114" t="str">
        <f t="shared" si="14"/>
        <v>..</v>
      </c>
      <c r="BG79" s="73"/>
      <c r="BH79" s="73"/>
      <c r="BI79" s="71" t="s">
        <v>66</v>
      </c>
      <c r="BJ79" s="71" t="s">
        <v>66</v>
      </c>
      <c r="BK79" s="71" t="s">
        <v>66</v>
      </c>
      <c r="BL79" s="116" t="s">
        <v>66</v>
      </c>
    </row>
    <row r="80" spans="1:64" s="13" customFormat="1" x14ac:dyDescent="0.2">
      <c r="A80" s="13" t="str">
        <f t="shared" si="9"/>
        <v>1986Q3</v>
      </c>
      <c r="B80" s="11">
        <f>B79</f>
        <v>1986</v>
      </c>
      <c r="C80" s="11" t="s">
        <v>3</v>
      </c>
      <c r="D80" s="43">
        <v>608</v>
      </c>
      <c r="E80" s="43">
        <v>2428</v>
      </c>
      <c r="F80" s="87">
        <f t="shared" si="10"/>
        <v>3036</v>
      </c>
      <c r="G80" s="41">
        <v>791457</v>
      </c>
      <c r="H80" s="41">
        <v>998239</v>
      </c>
      <c r="I80" s="93">
        <f t="shared" si="16"/>
        <v>206782</v>
      </c>
      <c r="J80" s="95">
        <f t="shared" si="15"/>
        <v>1.8255354524140894</v>
      </c>
      <c r="K80" s="94" t="s">
        <v>31</v>
      </c>
      <c r="L80" s="42" t="s">
        <v>66</v>
      </c>
      <c r="M80" s="42" t="s">
        <v>66</v>
      </c>
      <c r="N80" s="42" t="s">
        <v>67</v>
      </c>
      <c r="O80" s="42" t="s">
        <v>67</v>
      </c>
      <c r="P80" s="42" t="s">
        <v>66</v>
      </c>
      <c r="Q80" s="98">
        <v>1593</v>
      </c>
      <c r="R80" s="42" t="s">
        <v>67</v>
      </c>
      <c r="S80" s="42" t="s">
        <v>66</v>
      </c>
      <c r="T80" s="92" t="s">
        <v>66</v>
      </c>
      <c r="U80" s="42" t="s">
        <v>66</v>
      </c>
      <c r="V80" s="92" t="s">
        <v>66</v>
      </c>
      <c r="W80" s="42" t="s">
        <v>66</v>
      </c>
      <c r="X80" s="92" t="s">
        <v>66</v>
      </c>
      <c r="Y80" s="92" t="s">
        <v>66</v>
      </c>
      <c r="Z80" s="92" t="s">
        <v>66</v>
      </c>
      <c r="AA80" s="48" t="s">
        <v>67</v>
      </c>
      <c r="AB80" s="52">
        <v>22</v>
      </c>
      <c r="AC80" s="105">
        <f t="shared" si="11"/>
        <v>1615</v>
      </c>
      <c r="AD80" s="42" t="s">
        <v>66</v>
      </c>
      <c r="AE80" s="48" t="s">
        <v>67</v>
      </c>
      <c r="AF80" s="49" t="str">
        <f t="shared" si="12"/>
        <v>..</v>
      </c>
      <c r="AG80" s="36"/>
      <c r="AH80" s="32"/>
      <c r="AI80" s="108"/>
      <c r="AJ80" s="28"/>
      <c r="AK80" s="25"/>
      <c r="AL80" s="29"/>
      <c r="AM80" s="21"/>
      <c r="AN80" s="19">
        <v>59</v>
      </c>
      <c r="AO80" s="19">
        <v>48</v>
      </c>
      <c r="AP80" s="106">
        <f t="shared" si="8"/>
        <v>107</v>
      </c>
      <c r="AQ80" s="19" t="s">
        <v>66</v>
      </c>
      <c r="AR80" s="19" t="s">
        <v>66</v>
      </c>
      <c r="AS80" s="112" t="s">
        <v>31</v>
      </c>
      <c r="AT80" s="112" t="s">
        <v>31</v>
      </c>
      <c r="AU80" s="19" t="s">
        <v>66</v>
      </c>
      <c r="AV80" s="19" t="s">
        <v>66</v>
      </c>
      <c r="AW80" s="19" t="s">
        <v>67</v>
      </c>
      <c r="AX80" s="19" t="s">
        <v>66</v>
      </c>
      <c r="AY80" s="22">
        <v>114</v>
      </c>
      <c r="AZ80" s="22" t="s">
        <v>67</v>
      </c>
      <c r="BA80" s="19" t="s">
        <v>67</v>
      </c>
      <c r="BB80" s="106">
        <f t="shared" si="13"/>
        <v>114</v>
      </c>
      <c r="BC80" s="21"/>
      <c r="BD80" s="70" t="s">
        <v>66</v>
      </c>
      <c r="BE80" s="70" t="s">
        <v>66</v>
      </c>
      <c r="BF80" s="114" t="str">
        <f t="shared" si="14"/>
        <v>..</v>
      </c>
      <c r="BG80" s="73"/>
      <c r="BH80" s="73"/>
      <c r="BI80" s="71" t="s">
        <v>66</v>
      </c>
      <c r="BJ80" s="71" t="s">
        <v>66</v>
      </c>
      <c r="BK80" s="71" t="s">
        <v>66</v>
      </c>
      <c r="BL80" s="116" t="s">
        <v>66</v>
      </c>
    </row>
    <row r="81" spans="1:64" s="13" customFormat="1" x14ac:dyDescent="0.2">
      <c r="A81" s="13" t="str">
        <f t="shared" si="9"/>
        <v>1986Q4</v>
      </c>
      <c r="B81" s="11">
        <f>B80</f>
        <v>1986</v>
      </c>
      <c r="C81" s="11" t="s">
        <v>4</v>
      </c>
      <c r="D81" s="43">
        <v>1743</v>
      </c>
      <c r="E81" s="43">
        <v>2169</v>
      </c>
      <c r="F81" s="87">
        <f t="shared" si="10"/>
        <v>3912</v>
      </c>
      <c r="G81" s="41">
        <v>815417</v>
      </c>
      <c r="H81" s="41">
        <v>1008994</v>
      </c>
      <c r="I81" s="93">
        <f t="shared" si="16"/>
        <v>193577</v>
      </c>
      <c r="J81" s="95">
        <f t="shared" si="15"/>
        <v>1.8077384508039134</v>
      </c>
      <c r="K81" s="95">
        <f t="shared" ref="K81:K112" si="17">SUM(F78:F81)/AVERAGE(H78:H81)*100</f>
        <v>1.4469730338670039</v>
      </c>
      <c r="L81" s="42" t="s">
        <v>66</v>
      </c>
      <c r="M81" s="42" t="s">
        <v>66</v>
      </c>
      <c r="N81" s="42" t="s">
        <v>67</v>
      </c>
      <c r="O81" s="42" t="s">
        <v>67</v>
      </c>
      <c r="P81" s="42" t="s">
        <v>66</v>
      </c>
      <c r="Q81" s="98">
        <v>1761</v>
      </c>
      <c r="R81" s="42" t="s">
        <v>67</v>
      </c>
      <c r="S81" s="42" t="s">
        <v>66</v>
      </c>
      <c r="T81" s="92" t="s">
        <v>66</v>
      </c>
      <c r="U81" s="42" t="s">
        <v>66</v>
      </c>
      <c r="V81" s="92" t="s">
        <v>66</v>
      </c>
      <c r="W81" s="42" t="s">
        <v>66</v>
      </c>
      <c r="X81" s="92" t="s">
        <v>66</v>
      </c>
      <c r="Y81" s="92" t="s">
        <v>66</v>
      </c>
      <c r="Z81" s="92" t="s">
        <v>66</v>
      </c>
      <c r="AA81" s="48" t="s">
        <v>67</v>
      </c>
      <c r="AB81" s="52">
        <v>16</v>
      </c>
      <c r="AC81" s="105">
        <f t="shared" si="11"/>
        <v>1777</v>
      </c>
      <c r="AD81" s="42" t="s">
        <v>66</v>
      </c>
      <c r="AE81" s="48" t="s">
        <v>67</v>
      </c>
      <c r="AF81" s="49" t="str">
        <f t="shared" si="12"/>
        <v>..</v>
      </c>
      <c r="AG81" s="36"/>
      <c r="AH81" s="32"/>
      <c r="AI81" s="108"/>
      <c r="AJ81" s="28"/>
      <c r="AK81" s="25"/>
      <c r="AL81" s="29"/>
      <c r="AM81" s="21"/>
      <c r="AN81" s="19">
        <v>62</v>
      </c>
      <c r="AO81" s="19">
        <v>63</v>
      </c>
      <c r="AP81" s="106">
        <f t="shared" si="8"/>
        <v>125</v>
      </c>
      <c r="AQ81" s="19" t="s">
        <v>66</v>
      </c>
      <c r="AR81" s="19" t="s">
        <v>66</v>
      </c>
      <c r="AS81" s="112" t="s">
        <v>31</v>
      </c>
      <c r="AT81" s="112" t="s">
        <v>31</v>
      </c>
      <c r="AU81" s="19" t="s">
        <v>66</v>
      </c>
      <c r="AV81" s="19" t="s">
        <v>66</v>
      </c>
      <c r="AW81" s="19" t="s">
        <v>67</v>
      </c>
      <c r="AX81" s="19" t="s">
        <v>66</v>
      </c>
      <c r="AY81" s="22">
        <v>160</v>
      </c>
      <c r="AZ81" s="22" t="s">
        <v>67</v>
      </c>
      <c r="BA81" s="19" t="s">
        <v>67</v>
      </c>
      <c r="BB81" s="106">
        <f t="shared" si="13"/>
        <v>160</v>
      </c>
      <c r="BC81" s="21"/>
      <c r="BD81" s="70" t="s">
        <v>66</v>
      </c>
      <c r="BE81" s="70" t="s">
        <v>66</v>
      </c>
      <c r="BF81" s="114" t="str">
        <f t="shared" si="14"/>
        <v>..</v>
      </c>
      <c r="BG81" s="73"/>
      <c r="BH81" s="73"/>
      <c r="BI81" s="71" t="s">
        <v>66</v>
      </c>
      <c r="BJ81" s="71" t="s">
        <v>66</v>
      </c>
      <c r="BK81" s="71" t="s">
        <v>66</v>
      </c>
      <c r="BL81" s="116" t="s">
        <v>66</v>
      </c>
    </row>
    <row r="82" spans="1:64" s="13" customFormat="1" x14ac:dyDescent="0.2">
      <c r="A82" s="13" t="str">
        <f t="shared" si="9"/>
        <v>1987Q1</v>
      </c>
      <c r="B82" s="11">
        <v>1987</v>
      </c>
      <c r="C82" s="63" t="s">
        <v>1</v>
      </c>
      <c r="D82" s="43">
        <v>1131</v>
      </c>
      <c r="E82" s="43">
        <v>2096</v>
      </c>
      <c r="F82" s="87">
        <f t="shared" si="10"/>
        <v>3227</v>
      </c>
      <c r="G82" s="41">
        <v>822850</v>
      </c>
      <c r="H82" s="41">
        <v>1018132</v>
      </c>
      <c r="I82" s="93">
        <f t="shared" si="16"/>
        <v>195282</v>
      </c>
      <c r="J82" s="95">
        <f t="shared" si="15"/>
        <v>1.7577960784655657</v>
      </c>
      <c r="K82" s="95">
        <f t="shared" si="17"/>
        <v>1.4069909864639929</v>
      </c>
      <c r="L82" s="42" t="s">
        <v>66</v>
      </c>
      <c r="M82" s="42" t="s">
        <v>66</v>
      </c>
      <c r="N82" s="42" t="s">
        <v>67</v>
      </c>
      <c r="O82" s="42" t="s">
        <v>67</v>
      </c>
      <c r="P82" s="42" t="s">
        <v>66</v>
      </c>
      <c r="Q82" s="98">
        <v>1721</v>
      </c>
      <c r="R82" s="42" t="s">
        <v>67</v>
      </c>
      <c r="S82" s="42" t="s">
        <v>66</v>
      </c>
      <c r="T82" s="92" t="s">
        <v>66</v>
      </c>
      <c r="U82" s="42" t="s">
        <v>66</v>
      </c>
      <c r="V82" s="92" t="s">
        <v>66</v>
      </c>
      <c r="W82" s="42" t="s">
        <v>66</v>
      </c>
      <c r="X82" s="92" t="s">
        <v>66</v>
      </c>
      <c r="Y82" s="92" t="s">
        <v>66</v>
      </c>
      <c r="Z82" s="92" t="s">
        <v>66</v>
      </c>
      <c r="AA82" s="52">
        <v>47</v>
      </c>
      <c r="AB82" s="52">
        <v>8</v>
      </c>
      <c r="AC82" s="105">
        <f t="shared" si="11"/>
        <v>1776</v>
      </c>
      <c r="AD82" s="42" t="s">
        <v>66</v>
      </c>
      <c r="AE82" s="48" t="s">
        <v>67</v>
      </c>
      <c r="AF82" s="49" t="str">
        <f t="shared" si="12"/>
        <v>..</v>
      </c>
      <c r="AG82" s="36"/>
      <c r="AH82" s="32"/>
      <c r="AI82" s="108"/>
      <c r="AJ82" s="28"/>
      <c r="AK82" s="25"/>
      <c r="AL82" s="29"/>
      <c r="AM82" s="21"/>
      <c r="AN82" s="19">
        <v>69</v>
      </c>
      <c r="AO82" s="19">
        <v>50</v>
      </c>
      <c r="AP82" s="106">
        <f t="shared" si="8"/>
        <v>119</v>
      </c>
      <c r="AQ82" s="19" t="s">
        <v>66</v>
      </c>
      <c r="AR82" s="19" t="s">
        <v>66</v>
      </c>
      <c r="AS82" s="112" t="s">
        <v>31</v>
      </c>
      <c r="AT82" s="112" t="s">
        <v>31</v>
      </c>
      <c r="AU82" s="19" t="s">
        <v>66</v>
      </c>
      <c r="AV82" s="19" t="s">
        <v>66</v>
      </c>
      <c r="AW82" s="19" t="s">
        <v>67</v>
      </c>
      <c r="AX82" s="19" t="s">
        <v>66</v>
      </c>
      <c r="AY82" s="22">
        <v>182</v>
      </c>
      <c r="AZ82" s="22" t="s">
        <v>67</v>
      </c>
      <c r="BA82" s="19" t="s">
        <v>67</v>
      </c>
      <c r="BB82" s="106">
        <f t="shared" si="13"/>
        <v>182</v>
      </c>
      <c r="BC82" s="21"/>
      <c r="BD82" s="70" t="s">
        <v>66</v>
      </c>
      <c r="BE82" s="70" t="s">
        <v>66</v>
      </c>
      <c r="BF82" s="114" t="str">
        <f t="shared" si="14"/>
        <v>..</v>
      </c>
      <c r="BG82" s="73"/>
      <c r="BH82" s="73"/>
      <c r="BI82" s="71" t="s">
        <v>66</v>
      </c>
      <c r="BJ82" s="71" t="s">
        <v>66</v>
      </c>
      <c r="BK82" s="71" t="s">
        <v>66</v>
      </c>
      <c r="BL82" s="116" t="s">
        <v>66</v>
      </c>
    </row>
    <row r="83" spans="1:64" s="13" customFormat="1" x14ac:dyDescent="0.2">
      <c r="A83" s="13" t="str">
        <f t="shared" si="9"/>
        <v>1987Q2</v>
      </c>
      <c r="B83" s="11">
        <f>B82</f>
        <v>1987</v>
      </c>
      <c r="C83" s="11" t="s">
        <v>2</v>
      </c>
      <c r="D83" s="43">
        <v>953</v>
      </c>
      <c r="E83" s="43">
        <v>1906</v>
      </c>
      <c r="F83" s="87">
        <f t="shared" si="10"/>
        <v>2859</v>
      </c>
      <c r="G83" s="41">
        <v>818102</v>
      </c>
      <c r="H83" s="41">
        <v>1020207</v>
      </c>
      <c r="I83" s="93">
        <f t="shared" si="16"/>
        <v>202105</v>
      </c>
      <c r="J83" s="95">
        <f t="shared" si="15"/>
        <v>1.6052584097793416</v>
      </c>
      <c r="K83" s="95">
        <f t="shared" si="17"/>
        <v>1.2887176399282969</v>
      </c>
      <c r="L83" s="42" t="s">
        <v>66</v>
      </c>
      <c r="M83" s="42" t="s">
        <v>66</v>
      </c>
      <c r="N83" s="42" t="s">
        <v>67</v>
      </c>
      <c r="O83" s="42" t="s">
        <v>67</v>
      </c>
      <c r="P83" s="42" t="s">
        <v>66</v>
      </c>
      <c r="Q83" s="98">
        <v>1820</v>
      </c>
      <c r="R83" s="42" t="s">
        <v>67</v>
      </c>
      <c r="S83" s="42" t="s">
        <v>66</v>
      </c>
      <c r="T83" s="92" t="s">
        <v>66</v>
      </c>
      <c r="U83" s="42" t="s">
        <v>66</v>
      </c>
      <c r="V83" s="92" t="s">
        <v>66</v>
      </c>
      <c r="W83" s="42" t="s">
        <v>66</v>
      </c>
      <c r="X83" s="92" t="s">
        <v>66</v>
      </c>
      <c r="Y83" s="92" t="s">
        <v>66</v>
      </c>
      <c r="Z83" s="92" t="s">
        <v>66</v>
      </c>
      <c r="AA83" s="52">
        <v>88</v>
      </c>
      <c r="AB83" s="52">
        <v>13</v>
      </c>
      <c r="AC83" s="105">
        <f t="shared" si="11"/>
        <v>1921</v>
      </c>
      <c r="AD83" s="42" t="s">
        <v>66</v>
      </c>
      <c r="AE83" s="48" t="s">
        <v>67</v>
      </c>
      <c r="AF83" s="49" t="str">
        <f t="shared" si="12"/>
        <v>..</v>
      </c>
      <c r="AG83" s="36"/>
      <c r="AH83" s="32"/>
      <c r="AI83" s="108"/>
      <c r="AJ83" s="28"/>
      <c r="AK83" s="25"/>
      <c r="AL83" s="29"/>
      <c r="AM83" s="21"/>
      <c r="AN83" s="19">
        <v>59</v>
      </c>
      <c r="AO83" s="19">
        <v>56</v>
      </c>
      <c r="AP83" s="106">
        <f t="shared" si="8"/>
        <v>115</v>
      </c>
      <c r="AQ83" s="19" t="s">
        <v>66</v>
      </c>
      <c r="AR83" s="19" t="s">
        <v>66</v>
      </c>
      <c r="AS83" s="112" t="s">
        <v>31</v>
      </c>
      <c r="AT83" s="112" t="s">
        <v>31</v>
      </c>
      <c r="AU83" s="19" t="s">
        <v>66</v>
      </c>
      <c r="AV83" s="19" t="s">
        <v>66</v>
      </c>
      <c r="AW83" s="19" t="s">
        <v>67</v>
      </c>
      <c r="AX83" s="19" t="s">
        <v>66</v>
      </c>
      <c r="AY83" s="22">
        <v>211</v>
      </c>
      <c r="AZ83" s="22" t="s">
        <v>67</v>
      </c>
      <c r="BA83" s="19" t="s">
        <v>67</v>
      </c>
      <c r="BB83" s="106">
        <f t="shared" si="13"/>
        <v>211</v>
      </c>
      <c r="BC83" s="21"/>
      <c r="BD83" s="70" t="s">
        <v>66</v>
      </c>
      <c r="BE83" s="70" t="s">
        <v>66</v>
      </c>
      <c r="BF83" s="114" t="str">
        <f t="shared" si="14"/>
        <v>..</v>
      </c>
      <c r="BG83" s="73"/>
      <c r="BH83" s="73"/>
      <c r="BI83" s="71" t="s">
        <v>66</v>
      </c>
      <c r="BJ83" s="71" t="s">
        <v>66</v>
      </c>
      <c r="BK83" s="71" t="s">
        <v>66</v>
      </c>
      <c r="BL83" s="116" t="s">
        <v>66</v>
      </c>
    </row>
    <row r="84" spans="1:64" s="13" customFormat="1" x14ac:dyDescent="0.2">
      <c r="A84" s="13" t="str">
        <f t="shared" si="9"/>
        <v>1987Q3</v>
      </c>
      <c r="B84" s="11">
        <f>B83</f>
        <v>1987</v>
      </c>
      <c r="C84" s="11" t="s">
        <v>3</v>
      </c>
      <c r="D84" s="43">
        <v>694</v>
      </c>
      <c r="E84" s="43">
        <v>1859</v>
      </c>
      <c r="F84" s="87">
        <f t="shared" si="10"/>
        <v>2553</v>
      </c>
      <c r="G84" s="41">
        <v>828750</v>
      </c>
      <c r="H84" s="41">
        <v>1025921</v>
      </c>
      <c r="I84" s="93">
        <f t="shared" si="16"/>
        <v>197171</v>
      </c>
      <c r="J84" s="95">
        <f t="shared" si="15"/>
        <v>1.5282247005359624</v>
      </c>
      <c r="K84" s="95">
        <f t="shared" si="17"/>
        <v>1.232528096701065</v>
      </c>
      <c r="L84" s="42" t="s">
        <v>66</v>
      </c>
      <c r="M84" s="42" t="s">
        <v>66</v>
      </c>
      <c r="N84" s="42" t="s">
        <v>67</v>
      </c>
      <c r="O84" s="42" t="s">
        <v>67</v>
      </c>
      <c r="P84" s="42" t="s">
        <v>66</v>
      </c>
      <c r="Q84" s="98">
        <v>1687</v>
      </c>
      <c r="R84" s="42" t="s">
        <v>67</v>
      </c>
      <c r="S84" s="42" t="s">
        <v>66</v>
      </c>
      <c r="T84" s="92" t="s">
        <v>66</v>
      </c>
      <c r="U84" s="42" t="s">
        <v>66</v>
      </c>
      <c r="V84" s="92" t="s">
        <v>66</v>
      </c>
      <c r="W84" s="42" t="s">
        <v>66</v>
      </c>
      <c r="X84" s="92" t="s">
        <v>66</v>
      </c>
      <c r="Y84" s="92" t="s">
        <v>66</v>
      </c>
      <c r="Z84" s="92" t="s">
        <v>66</v>
      </c>
      <c r="AA84" s="52">
        <v>110</v>
      </c>
      <c r="AB84" s="52">
        <v>5</v>
      </c>
      <c r="AC84" s="105">
        <f t="shared" si="11"/>
        <v>1802</v>
      </c>
      <c r="AD84" s="42" t="s">
        <v>66</v>
      </c>
      <c r="AE84" s="48" t="s">
        <v>67</v>
      </c>
      <c r="AF84" s="49" t="str">
        <f t="shared" si="12"/>
        <v>..</v>
      </c>
      <c r="AG84" s="36"/>
      <c r="AH84" s="32"/>
      <c r="AI84" s="108"/>
      <c r="AJ84" s="28"/>
      <c r="AK84" s="25"/>
      <c r="AL84" s="29"/>
      <c r="AM84" s="21"/>
      <c r="AN84" s="19">
        <v>73</v>
      </c>
      <c r="AO84" s="19">
        <v>54</v>
      </c>
      <c r="AP84" s="106">
        <f t="shared" si="8"/>
        <v>127</v>
      </c>
      <c r="AQ84" s="19" t="s">
        <v>66</v>
      </c>
      <c r="AR84" s="19" t="s">
        <v>66</v>
      </c>
      <c r="AS84" s="112" t="s">
        <v>31</v>
      </c>
      <c r="AT84" s="112" t="s">
        <v>31</v>
      </c>
      <c r="AU84" s="19" t="s">
        <v>66</v>
      </c>
      <c r="AV84" s="19" t="s">
        <v>66</v>
      </c>
      <c r="AW84" s="19" t="s">
        <v>67</v>
      </c>
      <c r="AX84" s="19" t="s">
        <v>66</v>
      </c>
      <c r="AY84" s="22">
        <v>202</v>
      </c>
      <c r="AZ84" s="22" t="s">
        <v>67</v>
      </c>
      <c r="BA84" s="19" t="s">
        <v>67</v>
      </c>
      <c r="BB84" s="106">
        <f t="shared" si="13"/>
        <v>202</v>
      </c>
      <c r="BC84" s="21"/>
      <c r="BD84" s="70" t="s">
        <v>66</v>
      </c>
      <c r="BE84" s="70" t="s">
        <v>66</v>
      </c>
      <c r="BF84" s="114" t="str">
        <f t="shared" si="14"/>
        <v>..</v>
      </c>
      <c r="BG84" s="73"/>
      <c r="BH84" s="73"/>
      <c r="BI84" s="71" t="s">
        <v>66</v>
      </c>
      <c r="BJ84" s="71" t="s">
        <v>66</v>
      </c>
      <c r="BK84" s="71" t="s">
        <v>66</v>
      </c>
      <c r="BL84" s="116" t="s">
        <v>66</v>
      </c>
    </row>
    <row r="85" spans="1:64" s="13" customFormat="1" x14ac:dyDescent="0.2">
      <c r="A85" s="13" t="str">
        <f t="shared" si="9"/>
        <v>1987Q4</v>
      </c>
      <c r="B85" s="11">
        <f>B84</f>
        <v>1987</v>
      </c>
      <c r="C85" s="11" t="s">
        <v>4</v>
      </c>
      <c r="D85" s="43">
        <v>1338</v>
      </c>
      <c r="E85" s="43">
        <v>1462</v>
      </c>
      <c r="F85" s="87">
        <f t="shared" si="10"/>
        <v>2800</v>
      </c>
      <c r="G85" s="41">
        <v>858549</v>
      </c>
      <c r="H85" s="41">
        <v>1045028</v>
      </c>
      <c r="I85" s="93">
        <f t="shared" si="16"/>
        <v>186479</v>
      </c>
      <c r="J85" s="95">
        <f t="shared" si="15"/>
        <v>1.3747761211519205</v>
      </c>
      <c r="K85" s="95">
        <f t="shared" si="17"/>
        <v>1.1134775659432974</v>
      </c>
      <c r="L85" s="42" t="s">
        <v>66</v>
      </c>
      <c r="M85" s="42" t="s">
        <v>66</v>
      </c>
      <c r="N85" s="42" t="s">
        <v>67</v>
      </c>
      <c r="O85" s="42" t="s">
        <v>67</v>
      </c>
      <c r="P85" s="42" t="s">
        <v>66</v>
      </c>
      <c r="Q85" s="98">
        <v>1766</v>
      </c>
      <c r="R85" s="42" t="s">
        <v>67</v>
      </c>
      <c r="S85" s="42" t="s">
        <v>66</v>
      </c>
      <c r="T85" s="92" t="s">
        <v>66</v>
      </c>
      <c r="U85" s="42" t="s">
        <v>66</v>
      </c>
      <c r="V85" s="92" t="s">
        <v>66</v>
      </c>
      <c r="W85" s="42" t="s">
        <v>66</v>
      </c>
      <c r="X85" s="92" t="s">
        <v>66</v>
      </c>
      <c r="Y85" s="92" t="s">
        <v>66</v>
      </c>
      <c r="Z85" s="92" t="s">
        <v>66</v>
      </c>
      <c r="AA85" s="52">
        <v>159</v>
      </c>
      <c r="AB85" s="52">
        <v>3</v>
      </c>
      <c r="AC85" s="105">
        <f t="shared" si="11"/>
        <v>1928</v>
      </c>
      <c r="AD85" s="42" t="s">
        <v>66</v>
      </c>
      <c r="AE85" s="48" t="s">
        <v>67</v>
      </c>
      <c r="AF85" s="49" t="str">
        <f t="shared" si="12"/>
        <v>..</v>
      </c>
      <c r="AG85" s="36"/>
      <c r="AH85" s="32"/>
      <c r="AI85" s="108"/>
      <c r="AJ85" s="28"/>
      <c r="AK85" s="25"/>
      <c r="AL85" s="29"/>
      <c r="AM85" s="21"/>
      <c r="AN85" s="19">
        <v>52</v>
      </c>
      <c r="AO85" s="19">
        <v>43</v>
      </c>
      <c r="AP85" s="106">
        <f t="shared" si="8"/>
        <v>95</v>
      </c>
      <c r="AQ85" s="19" t="s">
        <v>66</v>
      </c>
      <c r="AR85" s="19" t="s">
        <v>66</v>
      </c>
      <c r="AS85" s="112" t="s">
        <v>31</v>
      </c>
      <c r="AT85" s="112" t="s">
        <v>31</v>
      </c>
      <c r="AU85" s="19" t="s">
        <v>66</v>
      </c>
      <c r="AV85" s="19" t="s">
        <v>66</v>
      </c>
      <c r="AW85" s="19" t="s">
        <v>67</v>
      </c>
      <c r="AX85" s="19" t="s">
        <v>66</v>
      </c>
      <c r="AY85" s="22">
        <v>213</v>
      </c>
      <c r="AZ85" s="22" t="s">
        <v>67</v>
      </c>
      <c r="BA85" s="19" t="s">
        <v>67</v>
      </c>
      <c r="BB85" s="106">
        <f t="shared" si="13"/>
        <v>213</v>
      </c>
      <c r="BC85" s="21"/>
      <c r="BD85" s="70" t="s">
        <v>66</v>
      </c>
      <c r="BE85" s="70" t="s">
        <v>66</v>
      </c>
      <c r="BF85" s="114" t="str">
        <f t="shared" si="14"/>
        <v>..</v>
      </c>
      <c r="BG85" s="73"/>
      <c r="BH85" s="73"/>
      <c r="BI85" s="71" t="s">
        <v>66</v>
      </c>
      <c r="BJ85" s="71" t="s">
        <v>66</v>
      </c>
      <c r="BK85" s="71" t="s">
        <v>66</v>
      </c>
      <c r="BL85" s="116" t="s">
        <v>66</v>
      </c>
    </row>
    <row r="86" spans="1:64" s="13" customFormat="1" x14ac:dyDescent="0.2">
      <c r="A86" s="13" t="str">
        <f t="shared" si="9"/>
        <v>1988Q1</v>
      </c>
      <c r="B86" s="11">
        <v>1988</v>
      </c>
      <c r="C86" s="63" t="s">
        <v>1</v>
      </c>
      <c r="D86" s="43">
        <v>967</v>
      </c>
      <c r="E86" s="43">
        <v>1636</v>
      </c>
      <c r="F86" s="87">
        <f t="shared" si="10"/>
        <v>2603</v>
      </c>
      <c r="G86" s="41">
        <v>874324</v>
      </c>
      <c r="H86" s="41">
        <v>1056304</v>
      </c>
      <c r="I86" s="93">
        <f t="shared" si="16"/>
        <v>181980</v>
      </c>
      <c r="J86" s="95">
        <f t="shared" si="15"/>
        <v>1.2799857976610522</v>
      </c>
      <c r="K86" s="95">
        <f t="shared" si="17"/>
        <v>1.0430480342185338</v>
      </c>
      <c r="L86" s="42" t="s">
        <v>66</v>
      </c>
      <c r="M86" s="42" t="s">
        <v>66</v>
      </c>
      <c r="N86" s="42" t="s">
        <v>67</v>
      </c>
      <c r="O86" s="42" t="s">
        <v>67</v>
      </c>
      <c r="P86" s="42" t="s">
        <v>66</v>
      </c>
      <c r="Q86" s="98">
        <v>2092</v>
      </c>
      <c r="R86" s="42" t="s">
        <v>67</v>
      </c>
      <c r="S86" s="42" t="s">
        <v>66</v>
      </c>
      <c r="T86" s="92" t="s">
        <v>66</v>
      </c>
      <c r="U86" s="42" t="s">
        <v>66</v>
      </c>
      <c r="V86" s="92" t="s">
        <v>66</v>
      </c>
      <c r="W86" s="42" t="s">
        <v>66</v>
      </c>
      <c r="X86" s="92" t="s">
        <v>66</v>
      </c>
      <c r="Y86" s="92" t="s">
        <v>66</v>
      </c>
      <c r="Z86" s="92" t="s">
        <v>66</v>
      </c>
      <c r="AA86" s="52">
        <v>181</v>
      </c>
      <c r="AB86" s="52">
        <v>3</v>
      </c>
      <c r="AC86" s="105">
        <f t="shared" si="11"/>
        <v>2276</v>
      </c>
      <c r="AD86" s="42" t="s">
        <v>66</v>
      </c>
      <c r="AE86" s="48" t="s">
        <v>67</v>
      </c>
      <c r="AF86" s="49" t="str">
        <f t="shared" si="12"/>
        <v>..</v>
      </c>
      <c r="AG86" s="36"/>
      <c r="AH86" s="32"/>
      <c r="AI86" s="108"/>
      <c r="AJ86" s="28"/>
      <c r="AK86" s="25"/>
      <c r="AL86" s="29"/>
      <c r="AM86" s="21"/>
      <c r="AN86" s="19">
        <v>60</v>
      </c>
      <c r="AO86" s="19">
        <v>48</v>
      </c>
      <c r="AP86" s="106">
        <f t="shared" si="8"/>
        <v>108</v>
      </c>
      <c r="AQ86" s="19" t="s">
        <v>66</v>
      </c>
      <c r="AR86" s="19" t="s">
        <v>66</v>
      </c>
      <c r="AS86" s="112" t="s">
        <v>31</v>
      </c>
      <c r="AT86" s="112" t="s">
        <v>31</v>
      </c>
      <c r="AU86" s="19" t="s">
        <v>66</v>
      </c>
      <c r="AV86" s="19" t="s">
        <v>66</v>
      </c>
      <c r="AW86" s="19" t="s">
        <v>67</v>
      </c>
      <c r="AX86" s="19" t="s">
        <v>66</v>
      </c>
      <c r="AY86" s="22">
        <v>286</v>
      </c>
      <c r="AZ86" s="22" t="s">
        <v>67</v>
      </c>
      <c r="BA86" s="19" t="s">
        <v>67</v>
      </c>
      <c r="BB86" s="106">
        <f t="shared" si="13"/>
        <v>286</v>
      </c>
      <c r="BC86" s="21"/>
      <c r="BD86" s="70" t="s">
        <v>66</v>
      </c>
      <c r="BE86" s="70" t="s">
        <v>66</v>
      </c>
      <c r="BF86" s="114" t="str">
        <f t="shared" si="14"/>
        <v>..</v>
      </c>
      <c r="BG86" s="73"/>
      <c r="BH86" s="73"/>
      <c r="BI86" s="71" t="s">
        <v>66</v>
      </c>
      <c r="BJ86" s="71" t="s">
        <v>66</v>
      </c>
      <c r="BK86" s="71" t="s">
        <v>66</v>
      </c>
      <c r="BL86" s="116" t="s">
        <v>66</v>
      </c>
    </row>
    <row r="87" spans="1:64" s="13" customFormat="1" x14ac:dyDescent="0.2">
      <c r="A87" s="13" t="str">
        <f t="shared" si="9"/>
        <v>1988Q2</v>
      </c>
      <c r="B87" s="11">
        <f>B86</f>
        <v>1988</v>
      </c>
      <c r="C87" s="11" t="s">
        <v>2</v>
      </c>
      <c r="D87" s="43">
        <v>942</v>
      </c>
      <c r="E87" s="43">
        <v>1472</v>
      </c>
      <c r="F87" s="87">
        <f t="shared" si="10"/>
        <v>2414</v>
      </c>
      <c r="G87" s="41">
        <v>882644</v>
      </c>
      <c r="H87" s="41">
        <v>1072141</v>
      </c>
      <c r="I87" s="93">
        <f t="shared" si="16"/>
        <v>189497</v>
      </c>
      <c r="J87" s="95">
        <f t="shared" si="15"/>
        <v>1.2043201064261277</v>
      </c>
      <c r="K87" s="95">
        <f t="shared" si="17"/>
        <v>0.98776156750235866</v>
      </c>
      <c r="L87" s="42" t="s">
        <v>66</v>
      </c>
      <c r="M87" s="42" t="s">
        <v>66</v>
      </c>
      <c r="N87" s="42" t="s">
        <v>67</v>
      </c>
      <c r="O87" s="42" t="s">
        <v>67</v>
      </c>
      <c r="P87" s="42" t="s">
        <v>66</v>
      </c>
      <c r="Q87" s="98">
        <v>2025</v>
      </c>
      <c r="R87" s="42" t="s">
        <v>67</v>
      </c>
      <c r="S87" s="42" t="s">
        <v>66</v>
      </c>
      <c r="T87" s="92" t="s">
        <v>66</v>
      </c>
      <c r="U87" s="42" t="s">
        <v>66</v>
      </c>
      <c r="V87" s="92" t="s">
        <v>66</v>
      </c>
      <c r="W87" s="42" t="s">
        <v>66</v>
      </c>
      <c r="X87" s="92" t="s">
        <v>66</v>
      </c>
      <c r="Y87" s="92" t="s">
        <v>66</v>
      </c>
      <c r="Z87" s="92" t="s">
        <v>66</v>
      </c>
      <c r="AA87" s="52">
        <v>184</v>
      </c>
      <c r="AB87" s="52">
        <v>3</v>
      </c>
      <c r="AC87" s="105">
        <f t="shared" si="11"/>
        <v>2212</v>
      </c>
      <c r="AD87" s="42" t="s">
        <v>66</v>
      </c>
      <c r="AE87" s="48" t="s">
        <v>67</v>
      </c>
      <c r="AF87" s="49" t="str">
        <f t="shared" si="12"/>
        <v>..</v>
      </c>
      <c r="AG87" s="36"/>
      <c r="AH87" s="32"/>
      <c r="AI87" s="108"/>
      <c r="AJ87" s="28"/>
      <c r="AK87" s="25"/>
      <c r="AL87" s="29"/>
      <c r="AM87" s="21"/>
      <c r="AN87" s="19">
        <v>48</v>
      </c>
      <c r="AO87" s="19">
        <v>57</v>
      </c>
      <c r="AP87" s="106">
        <f t="shared" si="8"/>
        <v>105</v>
      </c>
      <c r="AQ87" s="19" t="s">
        <v>66</v>
      </c>
      <c r="AR87" s="19" t="s">
        <v>66</v>
      </c>
      <c r="AS87" s="112" t="s">
        <v>31</v>
      </c>
      <c r="AT87" s="112" t="s">
        <v>31</v>
      </c>
      <c r="AU87" s="19" t="s">
        <v>66</v>
      </c>
      <c r="AV87" s="19" t="s">
        <v>66</v>
      </c>
      <c r="AW87" s="19" t="s">
        <v>67</v>
      </c>
      <c r="AX87" s="19" t="s">
        <v>66</v>
      </c>
      <c r="AY87" s="22">
        <v>315</v>
      </c>
      <c r="AZ87" s="22" t="s">
        <v>67</v>
      </c>
      <c r="BA87" s="19" t="s">
        <v>67</v>
      </c>
      <c r="BB87" s="106">
        <f t="shared" si="13"/>
        <v>315</v>
      </c>
      <c r="BC87" s="21"/>
      <c r="BD87" s="70" t="s">
        <v>66</v>
      </c>
      <c r="BE87" s="70" t="s">
        <v>66</v>
      </c>
      <c r="BF87" s="114" t="str">
        <f t="shared" si="14"/>
        <v>..</v>
      </c>
      <c r="BG87" s="73"/>
      <c r="BH87" s="73"/>
      <c r="BI87" s="71" t="s">
        <v>66</v>
      </c>
      <c r="BJ87" s="71" t="s">
        <v>66</v>
      </c>
      <c r="BK87" s="71" t="s">
        <v>66</v>
      </c>
      <c r="BL87" s="116" t="s">
        <v>66</v>
      </c>
    </row>
    <row r="88" spans="1:64" s="13" customFormat="1" x14ac:dyDescent="0.2">
      <c r="A88" s="13" t="str">
        <f t="shared" si="9"/>
        <v>1988Q3</v>
      </c>
      <c r="B88" s="11">
        <f>B87</f>
        <v>1988</v>
      </c>
      <c r="C88" s="11" t="s">
        <v>3</v>
      </c>
      <c r="D88" s="43">
        <v>507</v>
      </c>
      <c r="E88" s="43">
        <v>1240</v>
      </c>
      <c r="F88" s="87">
        <f t="shared" si="10"/>
        <v>1747</v>
      </c>
      <c r="G88" s="41">
        <v>890118</v>
      </c>
      <c r="H88" s="41">
        <v>1074263</v>
      </c>
      <c r="I88" s="93">
        <f t="shared" si="16"/>
        <v>184145</v>
      </c>
      <c r="J88" s="95">
        <f t="shared" si="15"/>
        <v>1.0912716241137483</v>
      </c>
      <c r="K88" s="95">
        <f t="shared" si="17"/>
        <v>0.90062094254445191</v>
      </c>
      <c r="L88" s="42" t="s">
        <v>66</v>
      </c>
      <c r="M88" s="42" t="s">
        <v>66</v>
      </c>
      <c r="N88" s="42" t="s">
        <v>67</v>
      </c>
      <c r="O88" s="42" t="s">
        <v>67</v>
      </c>
      <c r="P88" s="42" t="s">
        <v>66</v>
      </c>
      <c r="Q88" s="98">
        <v>1695</v>
      </c>
      <c r="R88" s="42" t="s">
        <v>67</v>
      </c>
      <c r="S88" s="42" t="s">
        <v>66</v>
      </c>
      <c r="T88" s="92" t="s">
        <v>66</v>
      </c>
      <c r="U88" s="42" t="s">
        <v>66</v>
      </c>
      <c r="V88" s="92" t="s">
        <v>66</v>
      </c>
      <c r="W88" s="42" t="s">
        <v>66</v>
      </c>
      <c r="X88" s="92" t="s">
        <v>66</v>
      </c>
      <c r="Y88" s="92" t="s">
        <v>66</v>
      </c>
      <c r="Z88" s="92" t="s">
        <v>66</v>
      </c>
      <c r="AA88" s="52">
        <v>217</v>
      </c>
      <c r="AB88" s="52">
        <v>4</v>
      </c>
      <c r="AC88" s="105">
        <f t="shared" si="11"/>
        <v>1916</v>
      </c>
      <c r="AD88" s="42" t="s">
        <v>66</v>
      </c>
      <c r="AE88" s="48" t="s">
        <v>67</v>
      </c>
      <c r="AF88" s="49" t="str">
        <f t="shared" si="12"/>
        <v>..</v>
      </c>
      <c r="AG88" s="36"/>
      <c r="AH88" s="32"/>
      <c r="AI88" s="108"/>
      <c r="AJ88" s="28"/>
      <c r="AK88" s="25"/>
      <c r="AL88" s="29"/>
      <c r="AM88" s="21"/>
      <c r="AN88" s="19">
        <v>65</v>
      </c>
      <c r="AO88" s="19">
        <v>35</v>
      </c>
      <c r="AP88" s="106">
        <f t="shared" si="8"/>
        <v>100</v>
      </c>
      <c r="AQ88" s="19" t="s">
        <v>66</v>
      </c>
      <c r="AR88" s="19" t="s">
        <v>66</v>
      </c>
      <c r="AS88" s="112" t="s">
        <v>31</v>
      </c>
      <c r="AT88" s="112" t="s">
        <v>31</v>
      </c>
      <c r="AU88" s="19" t="s">
        <v>66</v>
      </c>
      <c r="AV88" s="19" t="s">
        <v>66</v>
      </c>
      <c r="AW88" s="19" t="s">
        <v>67</v>
      </c>
      <c r="AX88" s="19" t="s">
        <v>66</v>
      </c>
      <c r="AY88" s="22">
        <v>367</v>
      </c>
      <c r="AZ88" s="22" t="s">
        <v>67</v>
      </c>
      <c r="BA88" s="19" t="s">
        <v>67</v>
      </c>
      <c r="BB88" s="106">
        <f t="shared" si="13"/>
        <v>367</v>
      </c>
      <c r="BC88" s="21"/>
      <c r="BD88" s="70" t="s">
        <v>66</v>
      </c>
      <c r="BE88" s="70" t="s">
        <v>66</v>
      </c>
      <c r="BF88" s="114" t="str">
        <f t="shared" si="14"/>
        <v>..</v>
      </c>
      <c r="BG88" s="73"/>
      <c r="BH88" s="73"/>
      <c r="BI88" s="71" t="s">
        <v>66</v>
      </c>
      <c r="BJ88" s="71" t="s">
        <v>66</v>
      </c>
      <c r="BK88" s="71" t="s">
        <v>66</v>
      </c>
      <c r="BL88" s="116" t="s">
        <v>66</v>
      </c>
    </row>
    <row r="89" spans="1:64" s="13" customFormat="1" x14ac:dyDescent="0.2">
      <c r="A89" s="13" t="str">
        <f t="shared" si="9"/>
        <v>1988Q4</v>
      </c>
      <c r="B89" s="11">
        <f>B88</f>
        <v>1988</v>
      </c>
      <c r="C89" s="11" t="s">
        <v>4</v>
      </c>
      <c r="D89" s="43">
        <v>1251</v>
      </c>
      <c r="E89" s="43">
        <v>1412</v>
      </c>
      <c r="F89" s="87">
        <f t="shared" si="10"/>
        <v>2663</v>
      </c>
      <c r="G89" s="41">
        <v>913205</v>
      </c>
      <c r="H89" s="41">
        <v>1071899</v>
      </c>
      <c r="I89" s="93">
        <f t="shared" si="16"/>
        <v>158694</v>
      </c>
      <c r="J89" s="95">
        <f t="shared" si="15"/>
        <v>1.0591269084465287</v>
      </c>
      <c r="K89" s="95">
        <f t="shared" si="17"/>
        <v>0.88213957446848335</v>
      </c>
      <c r="L89" s="42" t="s">
        <v>66</v>
      </c>
      <c r="M89" s="42" t="s">
        <v>66</v>
      </c>
      <c r="N89" s="42" t="s">
        <v>67</v>
      </c>
      <c r="O89" s="42" t="s">
        <v>67</v>
      </c>
      <c r="P89" s="42" t="s">
        <v>66</v>
      </c>
      <c r="Q89" s="98">
        <v>1905</v>
      </c>
      <c r="R89" s="42" t="s">
        <v>67</v>
      </c>
      <c r="S89" s="42" t="s">
        <v>66</v>
      </c>
      <c r="T89" s="92" t="s">
        <v>66</v>
      </c>
      <c r="U89" s="42" t="s">
        <v>66</v>
      </c>
      <c r="V89" s="92" t="s">
        <v>66</v>
      </c>
      <c r="W89" s="42" t="s">
        <v>66</v>
      </c>
      <c r="X89" s="92" t="s">
        <v>66</v>
      </c>
      <c r="Y89" s="92" t="s">
        <v>66</v>
      </c>
      <c r="Z89" s="92" t="s">
        <v>66</v>
      </c>
      <c r="AA89" s="52">
        <v>197</v>
      </c>
      <c r="AB89" s="52">
        <v>1</v>
      </c>
      <c r="AC89" s="105">
        <f t="shared" si="11"/>
        <v>2103</v>
      </c>
      <c r="AD89" s="42" t="s">
        <v>66</v>
      </c>
      <c r="AE89" s="48" t="s">
        <v>67</v>
      </c>
      <c r="AF89" s="49" t="str">
        <f t="shared" si="12"/>
        <v>..</v>
      </c>
      <c r="AG89" s="36"/>
      <c r="AH89" s="32"/>
      <c r="AI89" s="108"/>
      <c r="AJ89" s="28"/>
      <c r="AK89" s="25"/>
      <c r="AL89" s="29"/>
      <c r="AM89" s="21"/>
      <c r="AN89" s="19">
        <v>55</v>
      </c>
      <c r="AO89" s="19">
        <v>28</v>
      </c>
      <c r="AP89" s="106">
        <f t="shared" si="8"/>
        <v>83</v>
      </c>
      <c r="AQ89" s="20">
        <v>47103</v>
      </c>
      <c r="AR89" s="20">
        <v>56085</v>
      </c>
      <c r="AS89" s="112" t="s">
        <v>31</v>
      </c>
      <c r="AT89" s="112" t="s">
        <v>31</v>
      </c>
      <c r="AU89" s="19" t="s">
        <v>66</v>
      </c>
      <c r="AV89" s="19" t="s">
        <v>66</v>
      </c>
      <c r="AW89" s="19" t="s">
        <v>67</v>
      </c>
      <c r="AX89" s="19" t="s">
        <v>66</v>
      </c>
      <c r="AY89" s="22">
        <v>433</v>
      </c>
      <c r="AZ89" s="22" t="s">
        <v>67</v>
      </c>
      <c r="BA89" s="19" t="s">
        <v>67</v>
      </c>
      <c r="BB89" s="106">
        <f t="shared" si="13"/>
        <v>433</v>
      </c>
      <c r="BC89" s="21"/>
      <c r="BD89" s="70" t="s">
        <v>66</v>
      </c>
      <c r="BE89" s="70" t="s">
        <v>66</v>
      </c>
      <c r="BF89" s="114" t="str">
        <f t="shared" si="14"/>
        <v>..</v>
      </c>
      <c r="BG89" s="73"/>
      <c r="BH89" s="73"/>
      <c r="BI89" s="71" t="s">
        <v>66</v>
      </c>
      <c r="BJ89" s="71" t="s">
        <v>66</v>
      </c>
      <c r="BK89" s="71" t="s">
        <v>66</v>
      </c>
      <c r="BL89" s="116" t="s">
        <v>66</v>
      </c>
    </row>
    <row r="90" spans="1:64" s="13" customFormat="1" x14ac:dyDescent="0.2">
      <c r="A90" s="13" t="str">
        <f t="shared" si="9"/>
        <v>1989Q1</v>
      </c>
      <c r="B90" s="11">
        <v>1989</v>
      </c>
      <c r="C90" s="63" t="s">
        <v>1</v>
      </c>
      <c r="D90" s="43">
        <v>854</v>
      </c>
      <c r="E90" s="43">
        <v>1713</v>
      </c>
      <c r="F90" s="87">
        <f t="shared" si="10"/>
        <v>2567</v>
      </c>
      <c r="G90" s="41">
        <v>927510</v>
      </c>
      <c r="H90" s="41">
        <v>1076914</v>
      </c>
      <c r="I90" s="93">
        <f t="shared" si="16"/>
        <v>149404</v>
      </c>
      <c r="J90" s="95">
        <f t="shared" si="15"/>
        <v>1.0395527631696564</v>
      </c>
      <c r="K90" s="95">
        <f t="shared" si="17"/>
        <v>0.87455418434039534</v>
      </c>
      <c r="L90" s="42" t="s">
        <v>66</v>
      </c>
      <c r="M90" s="42" t="s">
        <v>66</v>
      </c>
      <c r="N90" s="42" t="s">
        <v>67</v>
      </c>
      <c r="O90" s="42" t="s">
        <v>67</v>
      </c>
      <c r="P90" s="42" t="s">
        <v>66</v>
      </c>
      <c r="Q90" s="98">
        <v>1972</v>
      </c>
      <c r="R90" s="42" t="s">
        <v>67</v>
      </c>
      <c r="S90" s="42" t="s">
        <v>66</v>
      </c>
      <c r="T90" s="92" t="s">
        <v>66</v>
      </c>
      <c r="U90" s="42" t="s">
        <v>66</v>
      </c>
      <c r="V90" s="92" t="s">
        <v>66</v>
      </c>
      <c r="W90" s="42" t="s">
        <v>66</v>
      </c>
      <c r="X90" s="92" t="s">
        <v>66</v>
      </c>
      <c r="Y90" s="92" t="s">
        <v>66</v>
      </c>
      <c r="Z90" s="92" t="s">
        <v>66</v>
      </c>
      <c r="AA90" s="52">
        <v>251</v>
      </c>
      <c r="AB90" s="52">
        <v>1</v>
      </c>
      <c r="AC90" s="105">
        <f t="shared" si="11"/>
        <v>2224</v>
      </c>
      <c r="AD90" s="42" t="s">
        <v>66</v>
      </c>
      <c r="AE90" s="48" t="s">
        <v>67</v>
      </c>
      <c r="AF90" s="49" t="str">
        <f t="shared" si="12"/>
        <v>..</v>
      </c>
      <c r="AG90" s="36"/>
      <c r="AH90" s="32"/>
      <c r="AI90" s="108"/>
      <c r="AJ90" s="28"/>
      <c r="AK90" s="25"/>
      <c r="AL90" s="29"/>
      <c r="AM90" s="21"/>
      <c r="AN90" s="19">
        <v>67</v>
      </c>
      <c r="AO90" s="19">
        <v>54</v>
      </c>
      <c r="AP90" s="106">
        <f t="shared" si="8"/>
        <v>121</v>
      </c>
      <c r="AQ90" s="20">
        <v>48066</v>
      </c>
      <c r="AR90" s="20">
        <v>56767</v>
      </c>
      <c r="AS90" s="112" t="s">
        <v>31</v>
      </c>
      <c r="AT90" s="112" t="s">
        <v>31</v>
      </c>
      <c r="AU90" s="19" t="s">
        <v>66</v>
      </c>
      <c r="AV90" s="19" t="s">
        <v>66</v>
      </c>
      <c r="AW90" s="19" t="s">
        <v>67</v>
      </c>
      <c r="AX90" s="19" t="s">
        <v>66</v>
      </c>
      <c r="AY90" s="22">
        <v>445</v>
      </c>
      <c r="AZ90" s="22" t="s">
        <v>67</v>
      </c>
      <c r="BA90" s="19" t="s">
        <v>67</v>
      </c>
      <c r="BB90" s="106">
        <f t="shared" si="13"/>
        <v>445</v>
      </c>
      <c r="BC90" s="21"/>
      <c r="BD90" s="70" t="s">
        <v>66</v>
      </c>
      <c r="BE90" s="70" t="s">
        <v>66</v>
      </c>
      <c r="BF90" s="114" t="str">
        <f t="shared" si="14"/>
        <v>..</v>
      </c>
      <c r="BG90" s="73"/>
      <c r="BH90" s="73"/>
      <c r="BI90" s="71" t="s">
        <v>66</v>
      </c>
      <c r="BJ90" s="71" t="s">
        <v>66</v>
      </c>
      <c r="BK90" s="71" t="s">
        <v>66</v>
      </c>
      <c r="BL90" s="116" t="s">
        <v>66</v>
      </c>
    </row>
    <row r="91" spans="1:64" s="13" customFormat="1" x14ac:dyDescent="0.2">
      <c r="A91" s="13" t="str">
        <f t="shared" si="9"/>
        <v>1989Q2</v>
      </c>
      <c r="B91" s="11">
        <f>B90</f>
        <v>1989</v>
      </c>
      <c r="C91" s="11" t="s">
        <v>2</v>
      </c>
      <c r="D91" s="43">
        <v>1103</v>
      </c>
      <c r="E91" s="43">
        <v>1711</v>
      </c>
      <c r="F91" s="87">
        <f t="shared" si="10"/>
        <v>2814</v>
      </c>
      <c r="G91" s="41">
        <v>928781</v>
      </c>
      <c r="H91" s="41">
        <v>1084590</v>
      </c>
      <c r="I91" s="93">
        <f t="shared" si="16"/>
        <v>155809</v>
      </c>
      <c r="J91" s="95">
        <f t="shared" si="15"/>
        <v>1.0701675094695779</v>
      </c>
      <c r="K91" s="95">
        <f t="shared" si="17"/>
        <v>0.90916983814436858</v>
      </c>
      <c r="L91" s="42" t="s">
        <v>66</v>
      </c>
      <c r="M91" s="42" t="s">
        <v>66</v>
      </c>
      <c r="N91" s="42" t="s">
        <v>67</v>
      </c>
      <c r="O91" s="42" t="s">
        <v>67</v>
      </c>
      <c r="P91" s="42" t="s">
        <v>66</v>
      </c>
      <c r="Q91" s="98">
        <v>2103</v>
      </c>
      <c r="R91" s="42" t="s">
        <v>67</v>
      </c>
      <c r="S91" s="42" t="s">
        <v>66</v>
      </c>
      <c r="T91" s="92" t="s">
        <v>66</v>
      </c>
      <c r="U91" s="42" t="s">
        <v>66</v>
      </c>
      <c r="V91" s="92" t="s">
        <v>66</v>
      </c>
      <c r="W91" s="42" t="s">
        <v>66</v>
      </c>
      <c r="X91" s="92" t="s">
        <v>66</v>
      </c>
      <c r="Y91" s="92" t="s">
        <v>66</v>
      </c>
      <c r="Z91" s="92" t="s">
        <v>66</v>
      </c>
      <c r="AA91" s="52">
        <v>315</v>
      </c>
      <c r="AB91" s="52">
        <v>0</v>
      </c>
      <c r="AC91" s="105">
        <f t="shared" si="11"/>
        <v>2418</v>
      </c>
      <c r="AD91" s="42" t="s">
        <v>66</v>
      </c>
      <c r="AE91" s="48" t="s">
        <v>67</v>
      </c>
      <c r="AF91" s="49" t="str">
        <f t="shared" si="12"/>
        <v>..</v>
      </c>
      <c r="AG91" s="36"/>
      <c r="AH91" s="32"/>
      <c r="AI91" s="108"/>
      <c r="AJ91" s="28"/>
      <c r="AK91" s="25"/>
      <c r="AL91" s="29"/>
      <c r="AM91" s="21"/>
      <c r="AN91" s="19">
        <v>60</v>
      </c>
      <c r="AO91" s="19">
        <v>39</v>
      </c>
      <c r="AP91" s="106">
        <f t="shared" si="8"/>
        <v>99</v>
      </c>
      <c r="AQ91" s="20">
        <v>48500</v>
      </c>
      <c r="AR91" s="20">
        <v>57785</v>
      </c>
      <c r="AS91" s="112" t="s">
        <v>31</v>
      </c>
      <c r="AT91" s="112" t="s">
        <v>31</v>
      </c>
      <c r="AU91" s="19" t="s">
        <v>66</v>
      </c>
      <c r="AV91" s="19" t="s">
        <v>66</v>
      </c>
      <c r="AW91" s="19" t="s">
        <v>67</v>
      </c>
      <c r="AX91" s="19" t="s">
        <v>66</v>
      </c>
      <c r="AY91" s="22">
        <v>659</v>
      </c>
      <c r="AZ91" s="22" t="s">
        <v>67</v>
      </c>
      <c r="BA91" s="19" t="s">
        <v>67</v>
      </c>
      <c r="BB91" s="106">
        <f t="shared" si="13"/>
        <v>659</v>
      </c>
      <c r="BC91" s="21"/>
      <c r="BD91" s="70" t="s">
        <v>66</v>
      </c>
      <c r="BE91" s="70" t="s">
        <v>66</v>
      </c>
      <c r="BF91" s="114" t="str">
        <f t="shared" si="14"/>
        <v>..</v>
      </c>
      <c r="BG91" s="73"/>
      <c r="BH91" s="73"/>
      <c r="BI91" s="71" t="s">
        <v>66</v>
      </c>
      <c r="BJ91" s="71" t="s">
        <v>66</v>
      </c>
      <c r="BK91" s="71" t="s">
        <v>66</v>
      </c>
      <c r="BL91" s="116" t="s">
        <v>66</v>
      </c>
    </row>
    <row r="92" spans="1:64" s="13" customFormat="1" x14ac:dyDescent="0.2">
      <c r="A92" s="13" t="str">
        <f t="shared" si="9"/>
        <v>1989Q3</v>
      </c>
      <c r="B92" s="11">
        <f>B91</f>
        <v>1989</v>
      </c>
      <c r="C92" s="11" t="s">
        <v>3</v>
      </c>
      <c r="D92" s="43">
        <v>548</v>
      </c>
      <c r="E92" s="43">
        <v>1479</v>
      </c>
      <c r="F92" s="87">
        <f t="shared" si="10"/>
        <v>2027</v>
      </c>
      <c r="G92" s="41">
        <v>952225</v>
      </c>
      <c r="H92" s="41">
        <v>1096920</v>
      </c>
      <c r="I92" s="93">
        <f t="shared" si="16"/>
        <v>144695</v>
      </c>
      <c r="J92" s="95">
        <f t="shared" si="15"/>
        <v>1.0824024691802527</v>
      </c>
      <c r="K92" s="95">
        <f t="shared" si="17"/>
        <v>0.93027702552442393</v>
      </c>
      <c r="L92" s="42" t="s">
        <v>66</v>
      </c>
      <c r="M92" s="42" t="s">
        <v>66</v>
      </c>
      <c r="N92" s="42" t="s">
        <v>67</v>
      </c>
      <c r="O92" s="42" t="s">
        <v>67</v>
      </c>
      <c r="P92" s="42" t="s">
        <v>66</v>
      </c>
      <c r="Q92" s="98">
        <v>1837</v>
      </c>
      <c r="R92" s="42" t="s">
        <v>67</v>
      </c>
      <c r="S92" s="42" t="s">
        <v>66</v>
      </c>
      <c r="T92" s="92" t="s">
        <v>66</v>
      </c>
      <c r="U92" s="42" t="s">
        <v>66</v>
      </c>
      <c r="V92" s="92" t="s">
        <v>66</v>
      </c>
      <c r="W92" s="42" t="s">
        <v>66</v>
      </c>
      <c r="X92" s="92" t="s">
        <v>66</v>
      </c>
      <c r="Y92" s="92" t="s">
        <v>66</v>
      </c>
      <c r="Z92" s="92" t="s">
        <v>66</v>
      </c>
      <c r="AA92" s="52">
        <v>321</v>
      </c>
      <c r="AB92" s="52">
        <v>1</v>
      </c>
      <c r="AC92" s="105">
        <f t="shared" si="11"/>
        <v>2159</v>
      </c>
      <c r="AD92" s="42" t="s">
        <v>66</v>
      </c>
      <c r="AE92" s="48" t="s">
        <v>67</v>
      </c>
      <c r="AF92" s="49" t="str">
        <f t="shared" si="12"/>
        <v>..</v>
      </c>
      <c r="AG92" s="36"/>
      <c r="AH92" s="32"/>
      <c r="AI92" s="108"/>
      <c r="AJ92" s="28"/>
      <c r="AK92" s="25"/>
      <c r="AL92" s="29"/>
      <c r="AM92" s="21"/>
      <c r="AN92" s="19">
        <v>57</v>
      </c>
      <c r="AO92" s="19">
        <v>56</v>
      </c>
      <c r="AP92" s="106">
        <f t="shared" si="8"/>
        <v>113</v>
      </c>
      <c r="AQ92" s="20">
        <v>48198</v>
      </c>
      <c r="AR92" s="20">
        <v>57834</v>
      </c>
      <c r="AS92" s="118">
        <f t="shared" ref="AS92:AS123" si="18">4*(SUM($AP89:$AP92)/SUM(AQ89:AQ92))*100</f>
        <v>0.86726743004268592</v>
      </c>
      <c r="AT92" s="118">
        <f t="shared" ref="AT92:AT123" si="19">4*(SUM($AP89:$AP92)/SUM(AR89:AR92))*100</f>
        <v>0.72832000560246157</v>
      </c>
      <c r="AU92" s="19" t="s">
        <v>66</v>
      </c>
      <c r="AV92" s="19" t="s">
        <v>66</v>
      </c>
      <c r="AW92" s="19" t="s">
        <v>67</v>
      </c>
      <c r="AX92" s="19" t="s">
        <v>66</v>
      </c>
      <c r="AY92" s="22">
        <v>563</v>
      </c>
      <c r="AZ92" s="22" t="s">
        <v>67</v>
      </c>
      <c r="BA92" s="19" t="s">
        <v>67</v>
      </c>
      <c r="BB92" s="106">
        <f t="shared" si="13"/>
        <v>563</v>
      </c>
      <c r="BC92" s="21"/>
      <c r="BD92" s="70" t="s">
        <v>66</v>
      </c>
      <c r="BE92" s="70" t="s">
        <v>66</v>
      </c>
      <c r="BF92" s="114" t="str">
        <f t="shared" si="14"/>
        <v>..</v>
      </c>
      <c r="BG92" s="73"/>
      <c r="BH92" s="73"/>
      <c r="BI92" s="71" t="s">
        <v>66</v>
      </c>
      <c r="BJ92" s="71" t="s">
        <v>66</v>
      </c>
      <c r="BK92" s="71" t="s">
        <v>66</v>
      </c>
      <c r="BL92" s="116" t="s">
        <v>66</v>
      </c>
    </row>
    <row r="93" spans="1:64" s="13" customFormat="1" x14ac:dyDescent="0.2">
      <c r="A93" s="13" t="str">
        <f t="shared" si="9"/>
        <v>1989Q4</v>
      </c>
      <c r="B93" s="11">
        <f>B92</f>
        <v>1989</v>
      </c>
      <c r="C93" s="11" t="s">
        <v>4</v>
      </c>
      <c r="D93" s="43">
        <v>1515</v>
      </c>
      <c r="E93" s="43">
        <v>1533</v>
      </c>
      <c r="F93" s="87">
        <f t="shared" si="10"/>
        <v>3048</v>
      </c>
      <c r="G93" s="41">
        <v>959722</v>
      </c>
      <c r="H93" s="41">
        <v>1111056</v>
      </c>
      <c r="I93" s="93">
        <f t="shared" si="16"/>
        <v>151334</v>
      </c>
      <c r="J93" s="95">
        <f t="shared" si="15"/>
        <v>1.109908662881697</v>
      </c>
      <c r="K93" s="95">
        <f t="shared" si="17"/>
        <v>0.95718483663960008</v>
      </c>
      <c r="L93" s="42" t="s">
        <v>66</v>
      </c>
      <c r="M93" s="42" t="s">
        <v>66</v>
      </c>
      <c r="N93" s="42" t="s">
        <v>67</v>
      </c>
      <c r="O93" s="42" t="s">
        <v>67</v>
      </c>
      <c r="P93" s="42" t="s">
        <v>66</v>
      </c>
      <c r="Q93" s="98">
        <v>2226</v>
      </c>
      <c r="R93" s="42" t="s">
        <v>67</v>
      </c>
      <c r="S93" s="42" t="s">
        <v>66</v>
      </c>
      <c r="T93" s="92" t="s">
        <v>66</v>
      </c>
      <c r="U93" s="42" t="s">
        <v>66</v>
      </c>
      <c r="V93" s="92" t="s">
        <v>66</v>
      </c>
      <c r="W93" s="42" t="s">
        <v>66</v>
      </c>
      <c r="X93" s="92" t="s">
        <v>66</v>
      </c>
      <c r="Y93" s="92" t="s">
        <v>66</v>
      </c>
      <c r="Z93" s="92" t="s">
        <v>66</v>
      </c>
      <c r="AA93" s="52">
        <v>337</v>
      </c>
      <c r="AB93" s="52">
        <v>1</v>
      </c>
      <c r="AC93" s="105">
        <f t="shared" si="11"/>
        <v>2564</v>
      </c>
      <c r="AD93" s="42" t="s">
        <v>66</v>
      </c>
      <c r="AE93" s="48" t="s">
        <v>67</v>
      </c>
      <c r="AF93" s="49" t="str">
        <f t="shared" si="12"/>
        <v>..</v>
      </c>
      <c r="AG93" s="36"/>
      <c r="AH93" s="32"/>
      <c r="AI93" s="108"/>
      <c r="AJ93" s="28"/>
      <c r="AK93" s="25"/>
      <c r="AL93" s="29"/>
      <c r="AM93" s="21"/>
      <c r="AN93" s="19">
        <v>45</v>
      </c>
      <c r="AO93" s="19">
        <v>50</v>
      </c>
      <c r="AP93" s="106">
        <f t="shared" si="8"/>
        <v>95</v>
      </c>
      <c r="AQ93" s="20">
        <v>51986</v>
      </c>
      <c r="AR93" s="20">
        <v>58226</v>
      </c>
      <c r="AS93" s="118">
        <f t="shared" si="18"/>
        <v>0.87013977128335451</v>
      </c>
      <c r="AT93" s="118">
        <f t="shared" si="19"/>
        <v>0.74237246977607407</v>
      </c>
      <c r="AU93" s="19" t="s">
        <v>66</v>
      </c>
      <c r="AV93" s="19" t="s">
        <v>66</v>
      </c>
      <c r="AW93" s="19" t="s">
        <v>67</v>
      </c>
      <c r="AX93" s="19" t="s">
        <v>66</v>
      </c>
      <c r="AY93" s="22">
        <v>634</v>
      </c>
      <c r="AZ93" s="22" t="s">
        <v>67</v>
      </c>
      <c r="BA93" s="19" t="s">
        <v>67</v>
      </c>
      <c r="BB93" s="106">
        <f t="shared" si="13"/>
        <v>634</v>
      </c>
      <c r="BC93" s="21"/>
      <c r="BD93" s="70" t="s">
        <v>66</v>
      </c>
      <c r="BE93" s="70" t="s">
        <v>66</v>
      </c>
      <c r="BF93" s="114" t="str">
        <f t="shared" si="14"/>
        <v>..</v>
      </c>
      <c r="BG93" s="73"/>
      <c r="BH93" s="73"/>
      <c r="BI93" s="71" t="s">
        <v>66</v>
      </c>
      <c r="BJ93" s="71" t="s">
        <v>66</v>
      </c>
      <c r="BK93" s="71" t="s">
        <v>66</v>
      </c>
      <c r="BL93" s="116" t="s">
        <v>66</v>
      </c>
    </row>
    <row r="94" spans="1:64" s="13" customFormat="1" x14ac:dyDescent="0.2">
      <c r="A94" s="13" t="str">
        <f t="shared" si="9"/>
        <v>1990Q1</v>
      </c>
      <c r="B94" s="11">
        <v>1990</v>
      </c>
      <c r="C94" s="63" t="s">
        <v>1</v>
      </c>
      <c r="D94" s="43">
        <v>1267</v>
      </c>
      <c r="E94" s="43">
        <v>2060</v>
      </c>
      <c r="F94" s="87">
        <f t="shared" si="10"/>
        <v>3327</v>
      </c>
      <c r="G94" s="41">
        <v>965392</v>
      </c>
      <c r="H94" s="41">
        <v>1111252</v>
      </c>
      <c r="I94" s="93">
        <f t="shared" si="16"/>
        <v>145860</v>
      </c>
      <c r="J94" s="95">
        <f t="shared" si="15"/>
        <v>1.1787331981125135</v>
      </c>
      <c r="K94" s="95">
        <f t="shared" si="17"/>
        <v>1.0187523644255962</v>
      </c>
      <c r="L94" s="42" t="s">
        <v>66</v>
      </c>
      <c r="M94" s="42" t="s">
        <v>66</v>
      </c>
      <c r="N94" s="42" t="s">
        <v>67</v>
      </c>
      <c r="O94" s="42" t="s">
        <v>67</v>
      </c>
      <c r="P94" s="42" t="s">
        <v>66</v>
      </c>
      <c r="Q94" s="98">
        <v>2514</v>
      </c>
      <c r="R94" s="42" t="s">
        <v>67</v>
      </c>
      <c r="S94" s="42" t="s">
        <v>66</v>
      </c>
      <c r="T94" s="92" t="s">
        <v>66</v>
      </c>
      <c r="U94" s="42" t="s">
        <v>66</v>
      </c>
      <c r="V94" s="92" t="s">
        <v>66</v>
      </c>
      <c r="W94" s="50">
        <v>1851</v>
      </c>
      <c r="X94" s="92" t="s">
        <v>66</v>
      </c>
      <c r="Y94" s="102">
        <v>663</v>
      </c>
      <c r="Z94" s="92" t="s">
        <v>66</v>
      </c>
      <c r="AA94" s="52">
        <v>427</v>
      </c>
      <c r="AB94" s="52">
        <v>1</v>
      </c>
      <c r="AC94" s="105">
        <f t="shared" si="11"/>
        <v>2942</v>
      </c>
      <c r="AD94" s="42" t="s">
        <v>66</v>
      </c>
      <c r="AE94" s="48" t="s">
        <v>67</v>
      </c>
      <c r="AF94" s="49" t="str">
        <f t="shared" si="12"/>
        <v>..</v>
      </c>
      <c r="AG94" s="36"/>
      <c r="AH94" s="32"/>
      <c r="AI94" s="108"/>
      <c r="AJ94" s="28"/>
      <c r="AK94" s="25"/>
      <c r="AL94" s="29"/>
      <c r="AM94" s="21"/>
      <c r="AN94" s="19">
        <v>60</v>
      </c>
      <c r="AO94" s="19">
        <v>53</v>
      </c>
      <c r="AP94" s="106">
        <f t="shared" si="8"/>
        <v>113</v>
      </c>
      <c r="AQ94" s="20">
        <v>51852</v>
      </c>
      <c r="AR94" s="20">
        <v>59563</v>
      </c>
      <c r="AS94" s="118">
        <f t="shared" si="18"/>
        <v>0.83775481709019817</v>
      </c>
      <c r="AT94" s="118">
        <f t="shared" si="19"/>
        <v>0.71976967370441458</v>
      </c>
      <c r="AU94" s="19" t="s">
        <v>66</v>
      </c>
      <c r="AV94" s="19" t="s">
        <v>66</v>
      </c>
      <c r="AW94" s="19" t="s">
        <v>67</v>
      </c>
      <c r="AX94" s="19" t="s">
        <v>66</v>
      </c>
      <c r="AY94" s="22">
        <v>721</v>
      </c>
      <c r="AZ94" s="22" t="s">
        <v>67</v>
      </c>
      <c r="BA94" s="19" t="s">
        <v>67</v>
      </c>
      <c r="BB94" s="106">
        <f t="shared" si="13"/>
        <v>721</v>
      </c>
      <c r="BC94" s="21"/>
      <c r="BD94" s="70" t="s">
        <v>66</v>
      </c>
      <c r="BE94" s="70" t="s">
        <v>66</v>
      </c>
      <c r="BF94" s="114" t="str">
        <f t="shared" si="14"/>
        <v>..</v>
      </c>
      <c r="BG94" s="73"/>
      <c r="BH94" s="73"/>
      <c r="BI94" s="71" t="s">
        <v>66</v>
      </c>
      <c r="BJ94" s="71" t="s">
        <v>66</v>
      </c>
      <c r="BK94" s="71" t="s">
        <v>66</v>
      </c>
      <c r="BL94" s="116" t="s">
        <v>66</v>
      </c>
    </row>
    <row r="95" spans="1:64" s="13" customFormat="1" x14ac:dyDescent="0.2">
      <c r="A95" s="13" t="str">
        <f t="shared" si="9"/>
        <v>1990Q2</v>
      </c>
      <c r="B95" s="11">
        <f>B94</f>
        <v>1990</v>
      </c>
      <c r="C95" s="11" t="s">
        <v>2</v>
      </c>
      <c r="D95" s="43">
        <v>1286</v>
      </c>
      <c r="E95" s="43">
        <v>2070</v>
      </c>
      <c r="F95" s="87">
        <f t="shared" si="10"/>
        <v>3356</v>
      </c>
      <c r="G95" s="41">
        <v>950751</v>
      </c>
      <c r="H95" s="41">
        <v>1124231</v>
      </c>
      <c r="I95" s="93">
        <f t="shared" si="16"/>
        <v>173480</v>
      </c>
      <c r="J95" s="95">
        <f t="shared" si="15"/>
        <v>1.228602253343051</v>
      </c>
      <c r="K95" s="95">
        <f t="shared" si="17"/>
        <v>1.0584546858652235</v>
      </c>
      <c r="L95" s="42" t="s">
        <v>66</v>
      </c>
      <c r="M95" s="42" t="s">
        <v>66</v>
      </c>
      <c r="N95" s="42" t="s">
        <v>67</v>
      </c>
      <c r="O95" s="42" t="s">
        <v>67</v>
      </c>
      <c r="P95" s="42" t="s">
        <v>66</v>
      </c>
      <c r="Q95" s="98">
        <v>2804</v>
      </c>
      <c r="R95" s="42" t="s">
        <v>67</v>
      </c>
      <c r="S95" s="42" t="s">
        <v>66</v>
      </c>
      <c r="T95" s="92" t="s">
        <v>66</v>
      </c>
      <c r="U95" s="42" t="s">
        <v>66</v>
      </c>
      <c r="V95" s="92" t="s">
        <v>66</v>
      </c>
      <c r="W95" s="50">
        <v>2002</v>
      </c>
      <c r="X95" s="92" t="s">
        <v>66</v>
      </c>
      <c r="Y95" s="102">
        <v>802</v>
      </c>
      <c r="Z95" s="92" t="s">
        <v>66</v>
      </c>
      <c r="AA95" s="52">
        <v>423</v>
      </c>
      <c r="AB95" s="52">
        <v>1</v>
      </c>
      <c r="AC95" s="105">
        <f t="shared" si="11"/>
        <v>3228</v>
      </c>
      <c r="AD95" s="42" t="s">
        <v>66</v>
      </c>
      <c r="AE95" s="48" t="s">
        <v>67</v>
      </c>
      <c r="AF95" s="49" t="str">
        <f t="shared" si="12"/>
        <v>..</v>
      </c>
      <c r="AG95" s="36"/>
      <c r="AH95" s="32"/>
      <c r="AI95" s="108"/>
      <c r="AJ95" s="28"/>
      <c r="AK95" s="25"/>
      <c r="AL95" s="29"/>
      <c r="AM95" s="21"/>
      <c r="AN95" s="19">
        <v>56</v>
      </c>
      <c r="AO95" s="19">
        <v>48</v>
      </c>
      <c r="AP95" s="106">
        <f t="shared" si="8"/>
        <v>104</v>
      </c>
      <c r="AQ95" s="20">
        <v>51785</v>
      </c>
      <c r="AR95" s="20">
        <v>61087</v>
      </c>
      <c r="AS95" s="118">
        <f t="shared" si="18"/>
        <v>0.83406518464731305</v>
      </c>
      <c r="AT95" s="118">
        <f t="shared" si="19"/>
        <v>0.71817836170841964</v>
      </c>
      <c r="AU95" s="19" t="s">
        <v>66</v>
      </c>
      <c r="AV95" s="19" t="s">
        <v>66</v>
      </c>
      <c r="AW95" s="19" t="s">
        <v>67</v>
      </c>
      <c r="AX95" s="19" t="s">
        <v>66</v>
      </c>
      <c r="AY95" s="22">
        <v>1146</v>
      </c>
      <c r="AZ95" s="22" t="s">
        <v>67</v>
      </c>
      <c r="BA95" s="19" t="s">
        <v>67</v>
      </c>
      <c r="BB95" s="106">
        <f t="shared" si="13"/>
        <v>1146</v>
      </c>
      <c r="BC95" s="21"/>
      <c r="BD95" s="70" t="s">
        <v>66</v>
      </c>
      <c r="BE95" s="70" t="s">
        <v>66</v>
      </c>
      <c r="BF95" s="114" t="str">
        <f t="shared" si="14"/>
        <v>..</v>
      </c>
      <c r="BG95" s="73"/>
      <c r="BH95" s="73"/>
      <c r="BI95" s="71" t="s">
        <v>66</v>
      </c>
      <c r="BJ95" s="71" t="s">
        <v>66</v>
      </c>
      <c r="BK95" s="71" t="s">
        <v>66</v>
      </c>
      <c r="BL95" s="116" t="s">
        <v>66</v>
      </c>
    </row>
    <row r="96" spans="1:64" s="13" customFormat="1" x14ac:dyDescent="0.2">
      <c r="A96" s="13" t="str">
        <f t="shared" si="9"/>
        <v>1990Q3</v>
      </c>
      <c r="B96" s="11">
        <f>B95</f>
        <v>1990</v>
      </c>
      <c r="C96" s="11" t="s">
        <v>3</v>
      </c>
      <c r="D96" s="43">
        <v>985</v>
      </c>
      <c r="E96" s="43">
        <v>2316</v>
      </c>
      <c r="F96" s="87">
        <f t="shared" si="10"/>
        <v>3301</v>
      </c>
      <c r="G96" s="41">
        <v>975591</v>
      </c>
      <c r="H96" s="41">
        <v>1131823</v>
      </c>
      <c r="I96" s="93">
        <f t="shared" si="16"/>
        <v>156232</v>
      </c>
      <c r="J96" s="95">
        <f t="shared" si="15"/>
        <v>1.3534621711892854</v>
      </c>
      <c r="K96" s="95">
        <f t="shared" si="17"/>
        <v>1.1639970149800307</v>
      </c>
      <c r="L96" s="42" t="s">
        <v>66</v>
      </c>
      <c r="M96" s="42" t="s">
        <v>66</v>
      </c>
      <c r="N96" s="42" t="s">
        <v>67</v>
      </c>
      <c r="O96" s="42" t="s">
        <v>67</v>
      </c>
      <c r="P96" s="42" t="s">
        <v>66</v>
      </c>
      <c r="Q96" s="98">
        <v>3018</v>
      </c>
      <c r="R96" s="42" t="s">
        <v>67</v>
      </c>
      <c r="S96" s="42" t="s">
        <v>66</v>
      </c>
      <c r="T96" s="92" t="s">
        <v>66</v>
      </c>
      <c r="U96" s="42" t="s">
        <v>66</v>
      </c>
      <c r="V96" s="92" t="s">
        <v>66</v>
      </c>
      <c r="W96" s="50">
        <v>2073</v>
      </c>
      <c r="X96" s="92" t="s">
        <v>66</v>
      </c>
      <c r="Y96" s="102">
        <v>945</v>
      </c>
      <c r="Z96" s="92" t="s">
        <v>66</v>
      </c>
      <c r="AA96" s="52">
        <v>529</v>
      </c>
      <c r="AB96" s="52">
        <v>0</v>
      </c>
      <c r="AC96" s="105">
        <f t="shared" si="11"/>
        <v>3547</v>
      </c>
      <c r="AD96" s="42" t="s">
        <v>66</v>
      </c>
      <c r="AE96" s="48" t="s">
        <v>67</v>
      </c>
      <c r="AF96" s="49" t="str">
        <f t="shared" si="12"/>
        <v>..</v>
      </c>
      <c r="AG96" s="36"/>
      <c r="AH96" s="32"/>
      <c r="AI96" s="108"/>
      <c r="AJ96" s="28"/>
      <c r="AK96" s="25"/>
      <c r="AL96" s="29"/>
      <c r="AM96" s="21"/>
      <c r="AN96" s="19">
        <v>62</v>
      </c>
      <c r="AO96" s="19">
        <v>49</v>
      </c>
      <c r="AP96" s="106">
        <f t="shared" si="8"/>
        <v>111</v>
      </c>
      <c r="AQ96" s="20">
        <v>52812</v>
      </c>
      <c r="AR96" s="20">
        <v>61227</v>
      </c>
      <c r="AS96" s="118">
        <f t="shared" si="18"/>
        <v>0.81176385923669248</v>
      </c>
      <c r="AT96" s="118">
        <f t="shared" si="19"/>
        <v>0.70469756729403632</v>
      </c>
      <c r="AU96" s="19" t="s">
        <v>66</v>
      </c>
      <c r="AV96" s="19" t="s">
        <v>66</v>
      </c>
      <c r="AW96" s="19" t="s">
        <v>67</v>
      </c>
      <c r="AX96" s="19" t="s">
        <v>66</v>
      </c>
      <c r="AY96" s="22">
        <v>1111</v>
      </c>
      <c r="AZ96" s="22" t="s">
        <v>67</v>
      </c>
      <c r="BA96" s="19" t="s">
        <v>67</v>
      </c>
      <c r="BB96" s="106">
        <f t="shared" si="13"/>
        <v>1111</v>
      </c>
      <c r="BC96" s="21"/>
      <c r="BD96" s="70" t="s">
        <v>66</v>
      </c>
      <c r="BE96" s="70" t="s">
        <v>66</v>
      </c>
      <c r="BF96" s="114" t="str">
        <f t="shared" si="14"/>
        <v>..</v>
      </c>
      <c r="BG96" s="73"/>
      <c r="BH96" s="73"/>
      <c r="BI96" s="71" t="s">
        <v>66</v>
      </c>
      <c r="BJ96" s="71" t="s">
        <v>66</v>
      </c>
      <c r="BK96" s="71" t="s">
        <v>66</v>
      </c>
      <c r="BL96" s="116" t="s">
        <v>66</v>
      </c>
    </row>
    <row r="97" spans="1:64" s="13" customFormat="1" x14ac:dyDescent="0.2">
      <c r="A97" s="13" t="str">
        <f t="shared" si="9"/>
        <v>1990Q4</v>
      </c>
      <c r="B97" s="11">
        <f>B96</f>
        <v>1990</v>
      </c>
      <c r="C97" s="11" t="s">
        <v>4</v>
      </c>
      <c r="D97" s="43">
        <v>2439</v>
      </c>
      <c r="E97" s="43">
        <v>2628</v>
      </c>
      <c r="F97" s="87">
        <f t="shared" si="10"/>
        <v>5067</v>
      </c>
      <c r="G97" s="41">
        <v>990041</v>
      </c>
      <c r="H97" s="41">
        <v>1131139</v>
      </c>
      <c r="I97" s="93">
        <f t="shared" si="16"/>
        <v>141098</v>
      </c>
      <c r="J97" s="95">
        <f t="shared" si="15"/>
        <v>1.5509399694727284</v>
      </c>
      <c r="K97" s="95">
        <f t="shared" si="17"/>
        <v>1.3383291337339902</v>
      </c>
      <c r="L97" s="42" t="s">
        <v>66</v>
      </c>
      <c r="M97" s="42" t="s">
        <v>66</v>
      </c>
      <c r="N97" s="42" t="s">
        <v>67</v>
      </c>
      <c r="O97" s="42" t="s">
        <v>67</v>
      </c>
      <c r="P97" s="42" t="s">
        <v>66</v>
      </c>
      <c r="Q97" s="98">
        <v>3722</v>
      </c>
      <c r="R97" s="42" t="s">
        <v>67</v>
      </c>
      <c r="S97" s="42" t="s">
        <v>66</v>
      </c>
      <c r="T97" s="92" t="s">
        <v>66</v>
      </c>
      <c r="U97" s="42" t="s">
        <v>66</v>
      </c>
      <c r="V97" s="92" t="s">
        <v>66</v>
      </c>
      <c r="W97" s="50">
        <v>2561</v>
      </c>
      <c r="X97" s="92" t="s">
        <v>66</v>
      </c>
      <c r="Y97" s="102">
        <v>1161</v>
      </c>
      <c r="Z97" s="92" t="s">
        <v>66</v>
      </c>
      <c r="AA97" s="52">
        <v>548</v>
      </c>
      <c r="AB97" s="52">
        <v>0</v>
      </c>
      <c r="AC97" s="105">
        <f t="shared" si="11"/>
        <v>4270</v>
      </c>
      <c r="AD97" s="42" t="s">
        <v>66</v>
      </c>
      <c r="AE97" s="48" t="s">
        <v>67</v>
      </c>
      <c r="AF97" s="49" t="str">
        <f t="shared" si="12"/>
        <v>..</v>
      </c>
      <c r="AG97" s="36"/>
      <c r="AH97" s="32"/>
      <c r="AI97" s="108"/>
      <c r="AJ97" s="28"/>
      <c r="AK97" s="25"/>
      <c r="AL97" s="29"/>
      <c r="AM97" s="21"/>
      <c r="AN97" s="19">
        <v>73</v>
      </c>
      <c r="AO97" s="19">
        <v>69</v>
      </c>
      <c r="AP97" s="106">
        <f t="shared" si="8"/>
        <v>142</v>
      </c>
      <c r="AQ97" s="20">
        <v>53584</v>
      </c>
      <c r="AR97" s="20">
        <v>60864</v>
      </c>
      <c r="AS97" s="118">
        <f t="shared" si="18"/>
        <v>0.89509743706941292</v>
      </c>
      <c r="AT97" s="118">
        <f t="shared" si="19"/>
        <v>0.77448803457182758</v>
      </c>
      <c r="AU97" s="19" t="s">
        <v>66</v>
      </c>
      <c r="AV97" s="19" t="s">
        <v>66</v>
      </c>
      <c r="AW97" s="19" t="s">
        <v>67</v>
      </c>
      <c r="AX97" s="19" t="s">
        <v>66</v>
      </c>
      <c r="AY97" s="22">
        <v>1372</v>
      </c>
      <c r="AZ97" s="22" t="s">
        <v>67</v>
      </c>
      <c r="BA97" s="19" t="s">
        <v>67</v>
      </c>
      <c r="BB97" s="106">
        <f t="shared" si="13"/>
        <v>1372</v>
      </c>
      <c r="BC97" s="21"/>
      <c r="BD97" s="70" t="s">
        <v>66</v>
      </c>
      <c r="BE97" s="70" t="s">
        <v>66</v>
      </c>
      <c r="BF97" s="114" t="str">
        <f t="shared" si="14"/>
        <v>..</v>
      </c>
      <c r="BG97" s="73"/>
      <c r="BH97" s="73"/>
      <c r="BI97" s="71" t="s">
        <v>66</v>
      </c>
      <c r="BJ97" s="71" t="s">
        <v>66</v>
      </c>
      <c r="BK97" s="71" t="s">
        <v>66</v>
      </c>
      <c r="BL97" s="116" t="s">
        <v>66</v>
      </c>
    </row>
    <row r="98" spans="1:64" s="13" customFormat="1" x14ac:dyDescent="0.2">
      <c r="A98" s="13" t="str">
        <f t="shared" si="9"/>
        <v>1991Q1</v>
      </c>
      <c r="B98" s="11">
        <v>1991</v>
      </c>
      <c r="C98" s="63" t="s">
        <v>1</v>
      </c>
      <c r="D98" s="43">
        <v>2076</v>
      </c>
      <c r="E98" s="43">
        <v>3364</v>
      </c>
      <c r="F98" s="87">
        <f t="shared" si="10"/>
        <v>5440</v>
      </c>
      <c r="G98" s="41">
        <v>993476</v>
      </c>
      <c r="H98" s="41">
        <v>1125601</v>
      </c>
      <c r="I98" s="93">
        <f t="shared" si="16"/>
        <v>132125</v>
      </c>
      <c r="J98" s="95">
        <f t="shared" si="15"/>
        <v>1.7559712511371894</v>
      </c>
      <c r="K98" s="95">
        <f t="shared" si="17"/>
        <v>1.5213634834650107</v>
      </c>
      <c r="L98" s="42" t="s">
        <v>66</v>
      </c>
      <c r="M98" s="42" t="s">
        <v>66</v>
      </c>
      <c r="N98" s="42" t="s">
        <v>67</v>
      </c>
      <c r="O98" s="42" t="s">
        <v>67</v>
      </c>
      <c r="P98" s="42" t="s">
        <v>66</v>
      </c>
      <c r="Q98" s="98">
        <v>4835</v>
      </c>
      <c r="R98" s="42" t="s">
        <v>67</v>
      </c>
      <c r="S98" s="42" t="s">
        <v>66</v>
      </c>
      <c r="T98" s="92" t="s">
        <v>66</v>
      </c>
      <c r="U98" s="42" t="s">
        <v>66</v>
      </c>
      <c r="V98" s="92" t="s">
        <v>66</v>
      </c>
      <c r="W98" s="50">
        <v>3308</v>
      </c>
      <c r="X98" s="92" t="s">
        <v>66</v>
      </c>
      <c r="Y98" s="102">
        <v>1527</v>
      </c>
      <c r="Z98" s="92" t="s">
        <v>66</v>
      </c>
      <c r="AA98" s="52">
        <v>600</v>
      </c>
      <c r="AB98" s="52">
        <v>1</v>
      </c>
      <c r="AC98" s="105">
        <f t="shared" si="11"/>
        <v>5436</v>
      </c>
      <c r="AD98" s="42" t="s">
        <v>66</v>
      </c>
      <c r="AE98" s="48" t="s">
        <v>67</v>
      </c>
      <c r="AF98" s="49" t="str">
        <f t="shared" si="12"/>
        <v>..</v>
      </c>
      <c r="AG98" s="36"/>
      <c r="AH98" s="32"/>
      <c r="AI98" s="108"/>
      <c r="AJ98" s="28"/>
      <c r="AK98" s="25"/>
      <c r="AL98" s="29"/>
      <c r="AM98" s="21"/>
      <c r="AN98" s="19">
        <v>66</v>
      </c>
      <c r="AO98" s="19">
        <v>66</v>
      </c>
      <c r="AP98" s="106">
        <f t="shared" si="8"/>
        <v>132</v>
      </c>
      <c r="AQ98" s="20">
        <v>53874</v>
      </c>
      <c r="AR98" s="20">
        <v>61330</v>
      </c>
      <c r="AS98" s="118">
        <f t="shared" si="18"/>
        <v>0.92240220697460562</v>
      </c>
      <c r="AT98" s="118">
        <f t="shared" si="19"/>
        <v>0.7999738249873215</v>
      </c>
      <c r="AU98" s="19" t="s">
        <v>66</v>
      </c>
      <c r="AV98" s="19" t="s">
        <v>66</v>
      </c>
      <c r="AW98" s="19" t="s">
        <v>67</v>
      </c>
      <c r="AX98" s="19" t="s">
        <v>66</v>
      </c>
      <c r="AY98" s="22">
        <v>1811</v>
      </c>
      <c r="AZ98" s="22" t="s">
        <v>67</v>
      </c>
      <c r="BA98" s="19" t="s">
        <v>67</v>
      </c>
      <c r="BB98" s="106">
        <f t="shared" si="13"/>
        <v>1811</v>
      </c>
      <c r="BC98" s="21"/>
      <c r="BD98" s="70" t="s">
        <v>66</v>
      </c>
      <c r="BE98" s="70" t="s">
        <v>66</v>
      </c>
      <c r="BF98" s="114" t="str">
        <f t="shared" si="14"/>
        <v>..</v>
      </c>
      <c r="BG98" s="73"/>
      <c r="BH98" s="73"/>
      <c r="BI98" s="71" t="s">
        <v>66</v>
      </c>
      <c r="BJ98" s="71" t="s">
        <v>66</v>
      </c>
      <c r="BK98" s="71" t="s">
        <v>66</v>
      </c>
      <c r="BL98" s="116" t="s">
        <v>66</v>
      </c>
    </row>
    <row r="99" spans="1:64" s="13" customFormat="1" x14ac:dyDescent="0.2">
      <c r="A99" s="13" t="str">
        <f t="shared" si="9"/>
        <v>1991Q2</v>
      </c>
      <c r="B99" s="11">
        <f>B98</f>
        <v>1991</v>
      </c>
      <c r="C99" s="11" t="s">
        <v>2</v>
      </c>
      <c r="D99" s="43">
        <v>2155</v>
      </c>
      <c r="E99" s="43">
        <v>3460</v>
      </c>
      <c r="F99" s="87">
        <f t="shared" si="10"/>
        <v>5615</v>
      </c>
      <c r="G99" s="41">
        <v>948000</v>
      </c>
      <c r="H99" s="41">
        <v>1130088</v>
      </c>
      <c r="I99" s="93">
        <f t="shared" si="16"/>
        <v>182088</v>
      </c>
      <c r="J99" s="95">
        <f t="shared" si="15"/>
        <v>1.9884784346887774</v>
      </c>
      <c r="K99" s="95">
        <f t="shared" si="17"/>
        <v>1.7193627036033541</v>
      </c>
      <c r="L99" s="42" t="s">
        <v>66</v>
      </c>
      <c r="M99" s="42" t="s">
        <v>66</v>
      </c>
      <c r="N99" s="42" t="s">
        <v>67</v>
      </c>
      <c r="O99" s="42" t="s">
        <v>67</v>
      </c>
      <c r="P99" s="42" t="s">
        <v>66</v>
      </c>
      <c r="Q99" s="98">
        <v>5337</v>
      </c>
      <c r="R99" s="42" t="s">
        <v>67</v>
      </c>
      <c r="S99" s="42" t="s">
        <v>66</v>
      </c>
      <c r="T99" s="92" t="s">
        <v>66</v>
      </c>
      <c r="U99" s="42" t="s">
        <v>66</v>
      </c>
      <c r="V99" s="92" t="s">
        <v>66</v>
      </c>
      <c r="W99" s="50">
        <v>3537</v>
      </c>
      <c r="X99" s="92" t="s">
        <v>66</v>
      </c>
      <c r="Y99" s="102">
        <v>1800</v>
      </c>
      <c r="Z99" s="92" t="s">
        <v>66</v>
      </c>
      <c r="AA99" s="52">
        <v>718</v>
      </c>
      <c r="AB99" s="52">
        <v>3</v>
      </c>
      <c r="AC99" s="105">
        <f t="shared" si="11"/>
        <v>6058</v>
      </c>
      <c r="AD99" s="42" t="s">
        <v>66</v>
      </c>
      <c r="AE99" s="48" t="s">
        <v>67</v>
      </c>
      <c r="AF99" s="49" t="str">
        <f t="shared" si="12"/>
        <v>..</v>
      </c>
      <c r="AG99" s="36"/>
      <c r="AH99" s="32"/>
      <c r="AI99" s="108"/>
      <c r="AJ99" s="28"/>
      <c r="AK99" s="25"/>
      <c r="AL99" s="29"/>
      <c r="AM99" s="21"/>
      <c r="AN99" s="19">
        <v>93</v>
      </c>
      <c r="AO99" s="19">
        <v>96</v>
      </c>
      <c r="AP99" s="106">
        <f t="shared" si="8"/>
        <v>189</v>
      </c>
      <c r="AQ99" s="20">
        <v>53322</v>
      </c>
      <c r="AR99" s="20">
        <v>62313</v>
      </c>
      <c r="AS99" s="118">
        <f t="shared" si="18"/>
        <v>1.0749466272145025</v>
      </c>
      <c r="AT99" s="118">
        <f t="shared" si="19"/>
        <v>0.93434363987075464</v>
      </c>
      <c r="AU99" s="19" t="s">
        <v>66</v>
      </c>
      <c r="AV99" s="19" t="s">
        <v>66</v>
      </c>
      <c r="AW99" s="19" t="s">
        <v>67</v>
      </c>
      <c r="AX99" s="19" t="s">
        <v>66</v>
      </c>
      <c r="AY99" s="22">
        <v>1863</v>
      </c>
      <c r="AZ99" s="22" t="s">
        <v>67</v>
      </c>
      <c r="BA99" s="19" t="s">
        <v>67</v>
      </c>
      <c r="BB99" s="106">
        <f t="shared" si="13"/>
        <v>1863</v>
      </c>
      <c r="BC99" s="21"/>
      <c r="BD99" s="70" t="s">
        <v>66</v>
      </c>
      <c r="BE99" s="70" t="s">
        <v>66</v>
      </c>
      <c r="BF99" s="114" t="str">
        <f t="shared" si="14"/>
        <v>..</v>
      </c>
      <c r="BG99" s="73"/>
      <c r="BH99" s="73"/>
      <c r="BI99" s="71" t="s">
        <v>66</v>
      </c>
      <c r="BJ99" s="71" t="s">
        <v>66</v>
      </c>
      <c r="BK99" s="71" t="s">
        <v>66</v>
      </c>
      <c r="BL99" s="116" t="s">
        <v>66</v>
      </c>
    </row>
    <row r="100" spans="1:64" s="13" customFormat="1" x14ac:dyDescent="0.2">
      <c r="A100" s="13" t="str">
        <f t="shared" si="9"/>
        <v>1991Q3</v>
      </c>
      <c r="B100" s="11">
        <f>B99</f>
        <v>1991</v>
      </c>
      <c r="C100" s="11" t="s">
        <v>3</v>
      </c>
      <c r="D100" s="43">
        <v>1368</v>
      </c>
      <c r="E100" s="43">
        <v>3332</v>
      </c>
      <c r="F100" s="87">
        <f t="shared" si="10"/>
        <v>4700</v>
      </c>
      <c r="G100" s="41">
        <v>948538</v>
      </c>
      <c r="H100" s="41">
        <v>1128642</v>
      </c>
      <c r="I100" s="93">
        <f t="shared" si="16"/>
        <v>180104</v>
      </c>
      <c r="J100" s="95">
        <f t="shared" si="15"/>
        <v>2.1465675099966366</v>
      </c>
      <c r="K100" s="95">
        <f t="shared" si="17"/>
        <v>1.8445034514679535</v>
      </c>
      <c r="L100" s="42" t="s">
        <v>66</v>
      </c>
      <c r="M100" s="42" t="s">
        <v>66</v>
      </c>
      <c r="N100" s="42" t="s">
        <v>67</v>
      </c>
      <c r="O100" s="42" t="s">
        <v>67</v>
      </c>
      <c r="P100" s="42" t="s">
        <v>66</v>
      </c>
      <c r="Q100" s="98">
        <v>5523</v>
      </c>
      <c r="R100" s="42" t="s">
        <v>67</v>
      </c>
      <c r="S100" s="42" t="s">
        <v>66</v>
      </c>
      <c r="T100" s="92" t="s">
        <v>66</v>
      </c>
      <c r="U100" s="42" t="s">
        <v>66</v>
      </c>
      <c r="V100" s="92" t="s">
        <v>66</v>
      </c>
      <c r="W100" s="50">
        <v>3427</v>
      </c>
      <c r="X100" s="92" t="s">
        <v>66</v>
      </c>
      <c r="Y100" s="102">
        <v>2096</v>
      </c>
      <c r="Z100" s="92" t="s">
        <v>66</v>
      </c>
      <c r="AA100" s="52">
        <v>860</v>
      </c>
      <c r="AB100" s="52">
        <v>2</v>
      </c>
      <c r="AC100" s="105">
        <f t="shared" si="11"/>
        <v>6385</v>
      </c>
      <c r="AD100" s="42" t="s">
        <v>66</v>
      </c>
      <c r="AE100" s="48" t="s">
        <v>67</v>
      </c>
      <c r="AF100" s="49" t="str">
        <f t="shared" si="12"/>
        <v>..</v>
      </c>
      <c r="AG100" s="36"/>
      <c r="AH100" s="32"/>
      <c r="AI100" s="108"/>
      <c r="AJ100" s="28"/>
      <c r="AK100" s="25"/>
      <c r="AL100" s="29"/>
      <c r="AM100" s="21"/>
      <c r="AN100" s="19">
        <v>70</v>
      </c>
      <c r="AO100" s="19">
        <v>79</v>
      </c>
      <c r="AP100" s="106">
        <f t="shared" si="8"/>
        <v>149</v>
      </c>
      <c r="AQ100" s="20">
        <v>53527</v>
      </c>
      <c r="AR100" s="20">
        <v>62715</v>
      </c>
      <c r="AS100" s="118">
        <f t="shared" si="18"/>
        <v>1.1422865328710681</v>
      </c>
      <c r="AT100" s="118">
        <f t="shared" si="19"/>
        <v>0.99020313726124687</v>
      </c>
      <c r="AU100" s="19" t="s">
        <v>66</v>
      </c>
      <c r="AV100" s="19" t="s">
        <v>66</v>
      </c>
      <c r="AW100" s="19" t="s">
        <v>67</v>
      </c>
      <c r="AX100" s="19" t="s">
        <v>66</v>
      </c>
      <c r="AY100" s="22">
        <v>1908</v>
      </c>
      <c r="AZ100" s="22" t="s">
        <v>67</v>
      </c>
      <c r="BA100" s="19" t="s">
        <v>67</v>
      </c>
      <c r="BB100" s="106">
        <f t="shared" si="13"/>
        <v>1908</v>
      </c>
      <c r="BC100" s="21"/>
      <c r="BD100" s="70" t="s">
        <v>66</v>
      </c>
      <c r="BE100" s="70" t="s">
        <v>66</v>
      </c>
      <c r="BF100" s="114" t="str">
        <f t="shared" si="14"/>
        <v>..</v>
      </c>
      <c r="BG100" s="73"/>
      <c r="BH100" s="73"/>
      <c r="BI100" s="71" t="s">
        <v>66</v>
      </c>
      <c r="BJ100" s="71" t="s">
        <v>66</v>
      </c>
      <c r="BK100" s="71" t="s">
        <v>66</v>
      </c>
      <c r="BL100" s="116" t="s">
        <v>66</v>
      </c>
    </row>
    <row r="101" spans="1:64" s="13" customFormat="1" x14ac:dyDescent="0.2">
      <c r="A101" s="13" t="str">
        <f t="shared" si="9"/>
        <v>1991Q4</v>
      </c>
      <c r="B101" s="11">
        <f>B100</f>
        <v>1991</v>
      </c>
      <c r="C101" s="11" t="s">
        <v>4</v>
      </c>
      <c r="D101" s="43">
        <v>2769</v>
      </c>
      <c r="E101" s="43">
        <v>3303</v>
      </c>
      <c r="F101" s="87">
        <f t="shared" si="10"/>
        <v>6072</v>
      </c>
      <c r="G101" s="41">
        <v>962189</v>
      </c>
      <c r="H101" s="41">
        <v>1127312</v>
      </c>
      <c r="I101" s="93">
        <f t="shared" si="16"/>
        <v>165123</v>
      </c>
      <c r="J101" s="95">
        <f t="shared" si="15"/>
        <v>2.2664433831758086</v>
      </c>
      <c r="K101" s="95">
        <f t="shared" si="17"/>
        <v>1.9351708457428924</v>
      </c>
      <c r="L101" s="42" t="s">
        <v>66</v>
      </c>
      <c r="M101" s="42" t="s">
        <v>66</v>
      </c>
      <c r="N101" s="42" t="s">
        <v>67</v>
      </c>
      <c r="O101" s="42" t="s">
        <v>67</v>
      </c>
      <c r="P101" s="42" t="s">
        <v>66</v>
      </c>
      <c r="Q101" s="98">
        <v>6937</v>
      </c>
      <c r="R101" s="42" t="s">
        <v>67</v>
      </c>
      <c r="S101" s="42" t="s">
        <v>66</v>
      </c>
      <c r="T101" s="92" t="s">
        <v>66</v>
      </c>
      <c r="U101" s="42" t="s">
        <v>66</v>
      </c>
      <c r="V101" s="92" t="s">
        <v>66</v>
      </c>
      <c r="W101" s="50">
        <v>4337</v>
      </c>
      <c r="X101" s="92" t="s">
        <v>66</v>
      </c>
      <c r="Y101" s="102">
        <v>2600</v>
      </c>
      <c r="Z101" s="92" t="s">
        <v>66</v>
      </c>
      <c r="AA101" s="52">
        <v>824</v>
      </c>
      <c r="AB101" s="52">
        <v>0</v>
      </c>
      <c r="AC101" s="105">
        <f t="shared" si="11"/>
        <v>7761</v>
      </c>
      <c r="AD101" s="42" t="s">
        <v>66</v>
      </c>
      <c r="AE101" s="48" t="s">
        <v>67</v>
      </c>
      <c r="AF101" s="49" t="str">
        <f t="shared" si="12"/>
        <v>..</v>
      </c>
      <c r="AG101" s="36"/>
      <c r="AH101" s="32"/>
      <c r="AI101" s="108"/>
      <c r="AJ101" s="28"/>
      <c r="AK101" s="25"/>
      <c r="AL101" s="29"/>
      <c r="AM101" s="21"/>
      <c r="AN101" s="19">
        <v>75</v>
      </c>
      <c r="AO101" s="19">
        <v>71</v>
      </c>
      <c r="AP101" s="106">
        <f t="shared" si="8"/>
        <v>146</v>
      </c>
      <c r="AQ101" s="20">
        <v>54609</v>
      </c>
      <c r="AR101" s="20">
        <v>62302</v>
      </c>
      <c r="AS101" s="118">
        <f t="shared" si="18"/>
        <v>1.1442795311426077</v>
      </c>
      <c r="AT101" s="118">
        <f t="shared" si="19"/>
        <v>0.99091128448483867</v>
      </c>
      <c r="AU101" s="19" t="s">
        <v>66</v>
      </c>
      <c r="AV101" s="19" t="s">
        <v>66</v>
      </c>
      <c r="AW101" s="19" t="s">
        <v>67</v>
      </c>
      <c r="AX101" s="19" t="s">
        <v>66</v>
      </c>
      <c r="AY101" s="22">
        <v>2083</v>
      </c>
      <c r="AZ101" s="22" t="s">
        <v>67</v>
      </c>
      <c r="BA101" s="19" t="s">
        <v>67</v>
      </c>
      <c r="BB101" s="106">
        <f t="shared" si="13"/>
        <v>2083</v>
      </c>
      <c r="BC101" s="21"/>
      <c r="BD101" s="70" t="s">
        <v>66</v>
      </c>
      <c r="BE101" s="70" t="s">
        <v>66</v>
      </c>
      <c r="BF101" s="114" t="str">
        <f t="shared" si="14"/>
        <v>..</v>
      </c>
      <c r="BG101" s="73"/>
      <c r="BH101" s="73"/>
      <c r="BI101" s="71" t="s">
        <v>66</v>
      </c>
      <c r="BJ101" s="71" t="s">
        <v>66</v>
      </c>
      <c r="BK101" s="71" t="s">
        <v>66</v>
      </c>
      <c r="BL101" s="116" t="s">
        <v>66</v>
      </c>
    </row>
    <row r="102" spans="1:64" s="13" customFormat="1" x14ac:dyDescent="0.2">
      <c r="A102" s="13" t="str">
        <f t="shared" si="9"/>
        <v>1992Q1</v>
      </c>
      <c r="B102" s="11">
        <v>1992</v>
      </c>
      <c r="C102" s="63" t="s">
        <v>1</v>
      </c>
      <c r="D102" s="43">
        <v>2619</v>
      </c>
      <c r="E102" s="43">
        <v>3713</v>
      </c>
      <c r="F102" s="87">
        <f t="shared" si="10"/>
        <v>6332</v>
      </c>
      <c r="G102" s="41">
        <v>949635</v>
      </c>
      <c r="H102" s="41">
        <v>1122350</v>
      </c>
      <c r="I102" s="93">
        <f t="shared" si="16"/>
        <v>172715</v>
      </c>
      <c r="J102" s="95">
        <f t="shared" si="15"/>
        <v>2.3862227382796068</v>
      </c>
      <c r="K102" s="95">
        <f t="shared" si="17"/>
        <v>2.0157075959676978</v>
      </c>
      <c r="L102" s="42" t="s">
        <v>66</v>
      </c>
      <c r="M102" s="42" t="s">
        <v>66</v>
      </c>
      <c r="N102" s="42" t="s">
        <v>67</v>
      </c>
      <c r="O102" s="42" t="s">
        <v>67</v>
      </c>
      <c r="P102" s="42" t="s">
        <v>66</v>
      </c>
      <c r="Q102" s="98">
        <v>8389</v>
      </c>
      <c r="R102" s="42" t="s">
        <v>67</v>
      </c>
      <c r="S102" s="42" t="s">
        <v>66</v>
      </c>
      <c r="T102" s="92" t="s">
        <v>66</v>
      </c>
      <c r="U102" s="42" t="s">
        <v>66</v>
      </c>
      <c r="V102" s="92" t="s">
        <v>66</v>
      </c>
      <c r="W102" s="50">
        <v>5342</v>
      </c>
      <c r="X102" s="92" t="s">
        <v>66</v>
      </c>
      <c r="Y102" s="102">
        <v>3047</v>
      </c>
      <c r="Z102" s="92" t="s">
        <v>66</v>
      </c>
      <c r="AA102" s="52">
        <v>992</v>
      </c>
      <c r="AB102" s="52">
        <v>0</v>
      </c>
      <c r="AC102" s="105">
        <f t="shared" ref="AC102:AC133" si="20">IF(AA102=":",Q102+AB102,Q102+AA102+AB102)</f>
        <v>9381</v>
      </c>
      <c r="AD102" s="42" t="s">
        <v>66</v>
      </c>
      <c r="AE102" s="48" t="s">
        <v>67</v>
      </c>
      <c r="AF102" s="49" t="str">
        <f t="shared" ref="AF102:AF133" si="21">IF(AE102=":",AD102,AD102+AE102)</f>
        <v>..</v>
      </c>
      <c r="AG102" s="36"/>
      <c r="AH102" s="32"/>
      <c r="AI102" s="108"/>
      <c r="AJ102" s="28"/>
      <c r="AK102" s="25"/>
      <c r="AL102" s="29"/>
      <c r="AM102" s="21"/>
      <c r="AN102" s="19">
        <v>61</v>
      </c>
      <c r="AO102" s="19">
        <v>73</v>
      </c>
      <c r="AP102" s="106">
        <f t="shared" si="8"/>
        <v>134</v>
      </c>
      <c r="AQ102" s="20">
        <v>53845</v>
      </c>
      <c r="AR102" s="20">
        <v>63201</v>
      </c>
      <c r="AS102" s="118">
        <f t="shared" si="18"/>
        <v>1.1481493523081425</v>
      </c>
      <c r="AT102" s="118">
        <f t="shared" si="19"/>
        <v>0.9867042401938283</v>
      </c>
      <c r="AU102" s="19" t="s">
        <v>66</v>
      </c>
      <c r="AV102" s="19" t="s">
        <v>66</v>
      </c>
      <c r="AW102" s="19" t="s">
        <v>67</v>
      </c>
      <c r="AX102" s="19" t="s">
        <v>66</v>
      </c>
      <c r="AY102" s="22">
        <v>2593</v>
      </c>
      <c r="AZ102" s="22" t="s">
        <v>67</v>
      </c>
      <c r="BA102" s="19" t="s">
        <v>67</v>
      </c>
      <c r="BB102" s="106">
        <f t="shared" si="13"/>
        <v>2593</v>
      </c>
      <c r="BC102" s="21"/>
      <c r="BD102" s="70" t="s">
        <v>66</v>
      </c>
      <c r="BE102" s="70" t="s">
        <v>66</v>
      </c>
      <c r="BF102" s="114" t="str">
        <f t="shared" si="14"/>
        <v>..</v>
      </c>
      <c r="BG102" s="73"/>
      <c r="BH102" s="73"/>
      <c r="BI102" s="71" t="s">
        <v>66</v>
      </c>
      <c r="BJ102" s="71" t="s">
        <v>66</v>
      </c>
      <c r="BK102" s="71" t="s">
        <v>66</v>
      </c>
      <c r="BL102" s="116" t="s">
        <v>66</v>
      </c>
    </row>
    <row r="103" spans="1:64" s="13" customFormat="1" x14ac:dyDescent="0.2">
      <c r="A103" s="13" t="str">
        <f t="shared" si="9"/>
        <v>1992Q2</v>
      </c>
      <c r="B103" s="11">
        <f>B102</f>
        <v>1992</v>
      </c>
      <c r="C103" s="11" t="s">
        <v>2</v>
      </c>
      <c r="D103" s="43">
        <v>2609</v>
      </c>
      <c r="E103" s="43">
        <v>3434</v>
      </c>
      <c r="F103" s="87">
        <f t="shared" si="10"/>
        <v>6043</v>
      </c>
      <c r="G103" s="41">
        <v>923938</v>
      </c>
      <c r="H103" s="41">
        <v>1114555</v>
      </c>
      <c r="I103" s="93">
        <f t="shared" si="16"/>
        <v>190617</v>
      </c>
      <c r="J103" s="95">
        <f t="shared" si="15"/>
        <v>2.4466347805406548</v>
      </c>
      <c r="K103" s="95">
        <f t="shared" si="17"/>
        <v>2.0607813421253596</v>
      </c>
      <c r="L103" s="42" t="s">
        <v>66</v>
      </c>
      <c r="M103" s="42" t="s">
        <v>66</v>
      </c>
      <c r="N103" s="42" t="s">
        <v>67</v>
      </c>
      <c r="O103" s="42" t="s">
        <v>67</v>
      </c>
      <c r="P103" s="42" t="s">
        <v>66</v>
      </c>
      <c r="Q103" s="98">
        <v>7791</v>
      </c>
      <c r="R103" s="42" t="s">
        <v>67</v>
      </c>
      <c r="S103" s="42" t="s">
        <v>66</v>
      </c>
      <c r="T103" s="92" t="s">
        <v>66</v>
      </c>
      <c r="U103" s="42" t="s">
        <v>66</v>
      </c>
      <c r="V103" s="92" t="s">
        <v>66</v>
      </c>
      <c r="W103" s="50">
        <v>4630</v>
      </c>
      <c r="X103" s="92" t="s">
        <v>66</v>
      </c>
      <c r="Y103" s="102">
        <v>3161</v>
      </c>
      <c r="Z103" s="92" t="s">
        <v>66</v>
      </c>
      <c r="AA103" s="52">
        <v>1217</v>
      </c>
      <c r="AB103" s="52">
        <v>0</v>
      </c>
      <c r="AC103" s="105">
        <f t="shared" si="20"/>
        <v>9008</v>
      </c>
      <c r="AD103" s="42" t="s">
        <v>66</v>
      </c>
      <c r="AE103" s="48" t="s">
        <v>67</v>
      </c>
      <c r="AF103" s="49" t="str">
        <f t="shared" si="21"/>
        <v>..</v>
      </c>
      <c r="AG103" s="36"/>
      <c r="AH103" s="32"/>
      <c r="AI103" s="108"/>
      <c r="AJ103" s="28"/>
      <c r="AK103" s="25"/>
      <c r="AL103" s="29"/>
      <c r="AM103" s="21"/>
      <c r="AN103" s="19">
        <v>72</v>
      </c>
      <c r="AO103" s="19">
        <v>87</v>
      </c>
      <c r="AP103" s="106">
        <f t="shared" si="8"/>
        <v>159</v>
      </c>
      <c r="AQ103" s="20">
        <v>53626</v>
      </c>
      <c r="AR103" s="20">
        <v>62680</v>
      </c>
      <c r="AS103" s="118">
        <f t="shared" si="18"/>
        <v>1.0908736729326969</v>
      </c>
      <c r="AT103" s="118">
        <f t="shared" si="19"/>
        <v>0.93743274159220091</v>
      </c>
      <c r="AU103" s="19" t="s">
        <v>66</v>
      </c>
      <c r="AV103" s="19" t="s">
        <v>66</v>
      </c>
      <c r="AW103" s="19" t="s">
        <v>67</v>
      </c>
      <c r="AX103" s="19" t="s">
        <v>66</v>
      </c>
      <c r="AY103" s="22">
        <v>2985</v>
      </c>
      <c r="AZ103" s="22" t="s">
        <v>67</v>
      </c>
      <c r="BA103" s="19" t="s">
        <v>67</v>
      </c>
      <c r="BB103" s="106">
        <f t="shared" si="13"/>
        <v>2985</v>
      </c>
      <c r="BC103" s="21"/>
      <c r="BD103" s="70" t="s">
        <v>66</v>
      </c>
      <c r="BE103" s="70" t="s">
        <v>66</v>
      </c>
      <c r="BF103" s="114" t="str">
        <f t="shared" si="14"/>
        <v>..</v>
      </c>
      <c r="BG103" s="73"/>
      <c r="BH103" s="73"/>
      <c r="BI103" s="71" t="s">
        <v>66</v>
      </c>
      <c r="BJ103" s="71" t="s">
        <v>66</v>
      </c>
      <c r="BK103" s="71" t="s">
        <v>66</v>
      </c>
      <c r="BL103" s="116" t="s">
        <v>66</v>
      </c>
    </row>
    <row r="104" spans="1:64" s="13" customFormat="1" x14ac:dyDescent="0.2">
      <c r="A104" s="13" t="str">
        <f t="shared" si="9"/>
        <v>1992Q3</v>
      </c>
      <c r="B104" s="11">
        <f>B103</f>
        <v>1992</v>
      </c>
      <c r="C104" s="11" t="s">
        <v>3</v>
      </c>
      <c r="D104" s="43">
        <v>1710</v>
      </c>
      <c r="E104" s="43">
        <v>3867</v>
      </c>
      <c r="F104" s="87">
        <f t="shared" si="10"/>
        <v>5577</v>
      </c>
      <c r="G104" s="41">
        <v>921416</v>
      </c>
      <c r="H104" s="41">
        <v>1111748</v>
      </c>
      <c r="I104" s="93">
        <f t="shared" si="16"/>
        <v>190332</v>
      </c>
      <c r="J104" s="95">
        <f t="shared" si="15"/>
        <v>2.557664289527938</v>
      </c>
      <c r="K104" s="95">
        <f t="shared" si="17"/>
        <v>2.1469336779889923</v>
      </c>
      <c r="L104" s="42" t="s">
        <v>66</v>
      </c>
      <c r="M104" s="42" t="s">
        <v>66</v>
      </c>
      <c r="N104" s="42" t="s">
        <v>67</v>
      </c>
      <c r="O104" s="42" t="s">
        <v>67</v>
      </c>
      <c r="P104" s="42" t="s">
        <v>66</v>
      </c>
      <c r="Q104" s="98">
        <v>7506</v>
      </c>
      <c r="R104" s="42" t="s">
        <v>67</v>
      </c>
      <c r="S104" s="42" t="s">
        <v>66</v>
      </c>
      <c r="T104" s="92" t="s">
        <v>66</v>
      </c>
      <c r="U104" s="42" t="s">
        <v>66</v>
      </c>
      <c r="V104" s="92" t="s">
        <v>66</v>
      </c>
      <c r="W104" s="50">
        <v>4559</v>
      </c>
      <c r="X104" s="92" t="s">
        <v>66</v>
      </c>
      <c r="Y104" s="102">
        <v>2947</v>
      </c>
      <c r="Z104" s="92" t="s">
        <v>66</v>
      </c>
      <c r="AA104" s="52">
        <v>1253</v>
      </c>
      <c r="AB104" s="52">
        <v>0</v>
      </c>
      <c r="AC104" s="105">
        <f t="shared" si="20"/>
        <v>8759</v>
      </c>
      <c r="AD104" s="42" t="s">
        <v>66</v>
      </c>
      <c r="AE104" s="48" t="s">
        <v>67</v>
      </c>
      <c r="AF104" s="49" t="str">
        <f t="shared" si="21"/>
        <v>..</v>
      </c>
      <c r="AG104" s="36"/>
      <c r="AH104" s="32"/>
      <c r="AI104" s="108"/>
      <c r="AJ104" s="28"/>
      <c r="AK104" s="25"/>
      <c r="AL104" s="29"/>
      <c r="AM104" s="21"/>
      <c r="AN104" s="19">
        <v>94</v>
      </c>
      <c r="AO104" s="19">
        <v>90</v>
      </c>
      <c r="AP104" s="106">
        <f t="shared" si="8"/>
        <v>184</v>
      </c>
      <c r="AQ104" s="20">
        <v>53848</v>
      </c>
      <c r="AR104" s="20">
        <v>62465</v>
      </c>
      <c r="AS104" s="118">
        <f t="shared" si="18"/>
        <v>1.1540883998369829</v>
      </c>
      <c r="AT104" s="118">
        <f t="shared" si="19"/>
        <v>0.99422297405125903</v>
      </c>
      <c r="AU104" s="19" t="s">
        <v>66</v>
      </c>
      <c r="AV104" s="19" t="s">
        <v>66</v>
      </c>
      <c r="AW104" s="19" t="s">
        <v>67</v>
      </c>
      <c r="AX104" s="19" t="s">
        <v>66</v>
      </c>
      <c r="AY104" s="22">
        <v>2790</v>
      </c>
      <c r="AZ104" s="22" t="s">
        <v>67</v>
      </c>
      <c r="BA104" s="19" t="s">
        <v>67</v>
      </c>
      <c r="BB104" s="106">
        <f t="shared" si="13"/>
        <v>2790</v>
      </c>
      <c r="BC104" s="21"/>
      <c r="BD104" s="70" t="s">
        <v>66</v>
      </c>
      <c r="BE104" s="70" t="s">
        <v>66</v>
      </c>
      <c r="BF104" s="114" t="str">
        <f t="shared" si="14"/>
        <v>..</v>
      </c>
      <c r="BG104" s="73"/>
      <c r="BH104" s="73"/>
      <c r="BI104" s="71" t="s">
        <v>66</v>
      </c>
      <c r="BJ104" s="71" t="s">
        <v>66</v>
      </c>
      <c r="BK104" s="71" t="s">
        <v>66</v>
      </c>
      <c r="BL104" s="116" t="s">
        <v>66</v>
      </c>
    </row>
    <row r="105" spans="1:64" s="13" customFormat="1" x14ac:dyDescent="0.2">
      <c r="A105" s="13" t="str">
        <f t="shared" si="9"/>
        <v>1992Q4</v>
      </c>
      <c r="B105" s="11">
        <f>B104</f>
        <v>1992</v>
      </c>
      <c r="C105" s="11" t="s">
        <v>4</v>
      </c>
      <c r="D105" s="43">
        <v>2796</v>
      </c>
      <c r="E105" s="43">
        <v>3677</v>
      </c>
      <c r="F105" s="87">
        <f t="shared" si="10"/>
        <v>6473</v>
      </c>
      <c r="G105" s="41">
        <v>919213</v>
      </c>
      <c r="H105" s="41">
        <v>1094326</v>
      </c>
      <c r="I105" s="93">
        <f t="shared" si="16"/>
        <v>175113</v>
      </c>
      <c r="J105" s="95">
        <f t="shared" ref="J105:J136" si="22">SUM(F102:F105)/AVERAGE(G102:G105)*100</f>
        <v>2.6304439015433196</v>
      </c>
      <c r="K105" s="95">
        <f t="shared" si="17"/>
        <v>2.1989750570506859</v>
      </c>
      <c r="L105" s="42" t="s">
        <v>66</v>
      </c>
      <c r="M105" s="42" t="s">
        <v>66</v>
      </c>
      <c r="N105" s="42" t="s">
        <v>67</v>
      </c>
      <c r="O105" s="42" t="s">
        <v>67</v>
      </c>
      <c r="P105" s="42" t="s">
        <v>66</v>
      </c>
      <c r="Q105" s="98">
        <v>8420</v>
      </c>
      <c r="R105" s="42" t="s">
        <v>67</v>
      </c>
      <c r="S105" s="42" t="s">
        <v>66</v>
      </c>
      <c r="T105" s="92" t="s">
        <v>66</v>
      </c>
      <c r="U105" s="42" t="s">
        <v>66</v>
      </c>
      <c r="V105" s="92" t="s">
        <v>66</v>
      </c>
      <c r="W105" s="50">
        <v>4994</v>
      </c>
      <c r="X105" s="92" t="s">
        <v>66</v>
      </c>
      <c r="Y105" s="102">
        <v>3426</v>
      </c>
      <c r="Z105" s="92" t="s">
        <v>66</v>
      </c>
      <c r="AA105" s="52">
        <v>1224</v>
      </c>
      <c r="AB105" s="52">
        <v>2</v>
      </c>
      <c r="AC105" s="105">
        <f t="shared" si="20"/>
        <v>9646</v>
      </c>
      <c r="AD105" s="42" t="s">
        <v>66</v>
      </c>
      <c r="AE105" s="48" t="s">
        <v>67</v>
      </c>
      <c r="AF105" s="49" t="str">
        <f t="shared" si="21"/>
        <v>..</v>
      </c>
      <c r="AG105" s="36"/>
      <c r="AH105" s="32"/>
      <c r="AI105" s="108"/>
      <c r="AJ105" s="28"/>
      <c r="AK105" s="25"/>
      <c r="AL105" s="29"/>
      <c r="AM105" s="21"/>
      <c r="AN105" s="19">
        <v>83</v>
      </c>
      <c r="AO105" s="19">
        <v>110</v>
      </c>
      <c r="AP105" s="106">
        <f t="shared" si="8"/>
        <v>193</v>
      </c>
      <c r="AQ105" s="20">
        <v>53932</v>
      </c>
      <c r="AR105" s="20">
        <v>62265</v>
      </c>
      <c r="AS105" s="118">
        <f t="shared" si="18"/>
        <v>1.2450580949682</v>
      </c>
      <c r="AT105" s="118">
        <f t="shared" si="19"/>
        <v>1.0693864195905207</v>
      </c>
      <c r="AU105" s="19" t="s">
        <v>66</v>
      </c>
      <c r="AV105" s="19" t="s">
        <v>66</v>
      </c>
      <c r="AW105" s="19" t="s">
        <v>67</v>
      </c>
      <c r="AX105" s="19" t="s">
        <v>66</v>
      </c>
      <c r="AY105" s="22">
        <v>2477</v>
      </c>
      <c r="AZ105" s="22" t="s">
        <v>67</v>
      </c>
      <c r="BA105" s="19" t="s">
        <v>67</v>
      </c>
      <c r="BB105" s="106">
        <f t="shared" si="13"/>
        <v>2477</v>
      </c>
      <c r="BC105" s="21"/>
      <c r="BD105" s="70" t="s">
        <v>66</v>
      </c>
      <c r="BE105" s="70" t="s">
        <v>66</v>
      </c>
      <c r="BF105" s="114" t="str">
        <f t="shared" si="14"/>
        <v>..</v>
      </c>
      <c r="BG105" s="73"/>
      <c r="BH105" s="73"/>
      <c r="BI105" s="71" t="s">
        <v>66</v>
      </c>
      <c r="BJ105" s="71" t="s">
        <v>66</v>
      </c>
      <c r="BK105" s="71" t="s">
        <v>66</v>
      </c>
      <c r="BL105" s="116" t="s">
        <v>66</v>
      </c>
    </row>
    <row r="106" spans="1:64" s="13" customFormat="1" x14ac:dyDescent="0.2">
      <c r="A106" s="13" t="str">
        <f t="shared" si="9"/>
        <v>1993Q1</v>
      </c>
      <c r="B106" s="11">
        <v>1993</v>
      </c>
      <c r="C106" s="63" t="s">
        <v>1</v>
      </c>
      <c r="D106" s="43">
        <v>2427</v>
      </c>
      <c r="E106" s="43">
        <v>3808</v>
      </c>
      <c r="F106" s="87">
        <f t="shared" si="10"/>
        <v>6235</v>
      </c>
      <c r="G106" s="41">
        <v>911953</v>
      </c>
      <c r="H106" s="41">
        <v>1076640</v>
      </c>
      <c r="I106" s="93">
        <f t="shared" si="16"/>
        <v>164687</v>
      </c>
      <c r="J106" s="95">
        <f t="shared" si="22"/>
        <v>2.646850826324894</v>
      </c>
      <c r="K106" s="95">
        <f t="shared" si="17"/>
        <v>2.2130099386687507</v>
      </c>
      <c r="L106" s="50">
        <v>1813</v>
      </c>
      <c r="M106" s="50">
        <v>33</v>
      </c>
      <c r="N106" s="42" t="s">
        <v>67</v>
      </c>
      <c r="O106" s="42" t="s">
        <v>67</v>
      </c>
      <c r="P106" s="51">
        <v>16</v>
      </c>
      <c r="Q106" s="98">
        <v>9435</v>
      </c>
      <c r="R106" s="42" t="s">
        <v>67</v>
      </c>
      <c r="S106" s="42" t="s">
        <v>66</v>
      </c>
      <c r="T106" s="92" t="s">
        <v>66</v>
      </c>
      <c r="U106" s="42" t="s">
        <v>66</v>
      </c>
      <c r="V106" s="92" t="s">
        <v>66</v>
      </c>
      <c r="W106" s="50">
        <v>5457</v>
      </c>
      <c r="X106" s="92" t="s">
        <v>66</v>
      </c>
      <c r="Y106" s="102">
        <v>3978</v>
      </c>
      <c r="Z106" s="92" t="s">
        <v>66</v>
      </c>
      <c r="AA106" s="52">
        <v>1506</v>
      </c>
      <c r="AB106" s="52">
        <v>1</v>
      </c>
      <c r="AC106" s="105">
        <f t="shared" si="20"/>
        <v>10942</v>
      </c>
      <c r="AD106" s="42" t="s">
        <v>66</v>
      </c>
      <c r="AE106" s="48" t="s">
        <v>67</v>
      </c>
      <c r="AF106" s="49" t="str">
        <f t="shared" si="21"/>
        <v>..</v>
      </c>
      <c r="AG106" s="36"/>
      <c r="AH106" s="32"/>
      <c r="AI106" s="108"/>
      <c r="AJ106" s="28"/>
      <c r="AK106" s="25"/>
      <c r="AL106" s="29"/>
      <c r="AM106" s="21"/>
      <c r="AN106" s="19">
        <v>70</v>
      </c>
      <c r="AO106" s="19">
        <v>91</v>
      </c>
      <c r="AP106" s="106">
        <f t="shared" si="8"/>
        <v>161</v>
      </c>
      <c r="AQ106" s="20">
        <v>53812</v>
      </c>
      <c r="AR106" s="20">
        <v>61944</v>
      </c>
      <c r="AS106" s="118">
        <f t="shared" si="18"/>
        <v>1.2954306795899972</v>
      </c>
      <c r="AT106" s="118">
        <f t="shared" si="19"/>
        <v>1.1180891423438164</v>
      </c>
      <c r="AU106" s="19" t="s">
        <v>66</v>
      </c>
      <c r="AV106" s="19" t="s">
        <v>66</v>
      </c>
      <c r="AW106" s="19" t="s">
        <v>67</v>
      </c>
      <c r="AX106" s="19" t="s">
        <v>66</v>
      </c>
      <c r="AY106" s="22">
        <v>3423</v>
      </c>
      <c r="AZ106" s="22" t="s">
        <v>67</v>
      </c>
      <c r="BA106" s="19" t="s">
        <v>67</v>
      </c>
      <c r="BB106" s="106">
        <f t="shared" si="13"/>
        <v>3423</v>
      </c>
      <c r="BC106" s="21"/>
      <c r="BD106" s="70" t="s">
        <v>66</v>
      </c>
      <c r="BE106" s="70" t="s">
        <v>66</v>
      </c>
      <c r="BF106" s="114" t="str">
        <f t="shared" si="14"/>
        <v>..</v>
      </c>
      <c r="BG106" s="73"/>
      <c r="BH106" s="73"/>
      <c r="BI106" s="71" t="s">
        <v>66</v>
      </c>
      <c r="BJ106" s="71" t="s">
        <v>66</v>
      </c>
      <c r="BK106" s="71" t="s">
        <v>66</v>
      </c>
      <c r="BL106" s="116" t="s">
        <v>66</v>
      </c>
    </row>
    <row r="107" spans="1:64" s="13" customFormat="1" x14ac:dyDescent="0.2">
      <c r="A107" s="13" t="str">
        <f t="shared" si="9"/>
        <v>1993Q2</v>
      </c>
      <c r="B107" s="11">
        <f>B106</f>
        <v>1993</v>
      </c>
      <c r="C107" s="11" t="s">
        <v>2</v>
      </c>
      <c r="D107" s="43">
        <v>2052</v>
      </c>
      <c r="E107" s="43">
        <v>3149</v>
      </c>
      <c r="F107" s="87">
        <f t="shared" si="10"/>
        <v>5201</v>
      </c>
      <c r="G107" s="41">
        <v>904382</v>
      </c>
      <c r="H107" s="41">
        <v>1071522</v>
      </c>
      <c r="I107" s="93">
        <f t="shared" si="16"/>
        <v>167140</v>
      </c>
      <c r="J107" s="95">
        <f t="shared" si="22"/>
        <v>2.5689068856023742</v>
      </c>
      <c r="K107" s="95">
        <f t="shared" si="17"/>
        <v>2.1575311949099683</v>
      </c>
      <c r="L107" s="50">
        <v>1160</v>
      </c>
      <c r="M107" s="50">
        <v>14</v>
      </c>
      <c r="N107" s="42" t="s">
        <v>67</v>
      </c>
      <c r="O107" s="42" t="s">
        <v>67</v>
      </c>
      <c r="P107" s="51">
        <v>34</v>
      </c>
      <c r="Q107" s="98">
        <v>7394</v>
      </c>
      <c r="R107" s="42" t="s">
        <v>67</v>
      </c>
      <c r="S107" s="42" t="s">
        <v>66</v>
      </c>
      <c r="T107" s="92" t="s">
        <v>66</v>
      </c>
      <c r="U107" s="42" t="s">
        <v>66</v>
      </c>
      <c r="V107" s="92" t="s">
        <v>66</v>
      </c>
      <c r="W107" s="50">
        <v>4473</v>
      </c>
      <c r="X107" s="92" t="s">
        <v>66</v>
      </c>
      <c r="Y107" s="102">
        <v>2921</v>
      </c>
      <c r="Z107" s="92" t="s">
        <v>66</v>
      </c>
      <c r="AA107" s="52">
        <v>1428</v>
      </c>
      <c r="AB107" s="52">
        <v>2</v>
      </c>
      <c r="AC107" s="105">
        <f t="shared" si="20"/>
        <v>8824</v>
      </c>
      <c r="AD107" s="42" t="s">
        <v>66</v>
      </c>
      <c r="AE107" s="48" t="s">
        <v>67</v>
      </c>
      <c r="AF107" s="49" t="str">
        <f t="shared" si="21"/>
        <v>..</v>
      </c>
      <c r="AG107" s="36"/>
      <c r="AH107" s="32"/>
      <c r="AI107" s="108"/>
      <c r="AJ107" s="28"/>
      <c r="AK107" s="25"/>
      <c r="AL107" s="29"/>
      <c r="AM107" s="21"/>
      <c r="AN107" s="19">
        <v>87</v>
      </c>
      <c r="AO107" s="19">
        <v>61</v>
      </c>
      <c r="AP107" s="106">
        <f t="shared" si="8"/>
        <v>148</v>
      </c>
      <c r="AQ107" s="20">
        <v>53854</v>
      </c>
      <c r="AR107" s="20">
        <v>62089</v>
      </c>
      <c r="AS107" s="118">
        <f t="shared" si="18"/>
        <v>1.2736370134511665</v>
      </c>
      <c r="AT107" s="118">
        <f t="shared" si="19"/>
        <v>1.1030579306408108</v>
      </c>
      <c r="AU107" s="19" t="s">
        <v>66</v>
      </c>
      <c r="AV107" s="19" t="s">
        <v>66</v>
      </c>
      <c r="AW107" s="19" t="s">
        <v>67</v>
      </c>
      <c r="AX107" s="19" t="s">
        <v>66</v>
      </c>
      <c r="AY107" s="22">
        <v>2590</v>
      </c>
      <c r="AZ107" s="22" t="s">
        <v>67</v>
      </c>
      <c r="BA107" s="19" t="s">
        <v>67</v>
      </c>
      <c r="BB107" s="106">
        <f t="shared" si="13"/>
        <v>2590</v>
      </c>
      <c r="BC107" s="21"/>
      <c r="BD107" s="70" t="s">
        <v>66</v>
      </c>
      <c r="BE107" s="70" t="s">
        <v>66</v>
      </c>
      <c r="BF107" s="114" t="str">
        <f t="shared" si="14"/>
        <v>..</v>
      </c>
      <c r="BG107" s="73"/>
      <c r="BH107" s="73"/>
      <c r="BI107" s="71" t="s">
        <v>66</v>
      </c>
      <c r="BJ107" s="71" t="s">
        <v>66</v>
      </c>
      <c r="BK107" s="71" t="s">
        <v>66</v>
      </c>
      <c r="BL107" s="116" t="s">
        <v>66</v>
      </c>
    </row>
    <row r="108" spans="1:64" s="13" customFormat="1" x14ac:dyDescent="0.2">
      <c r="A108" s="13" t="str">
        <f t="shared" si="9"/>
        <v>1993Q3</v>
      </c>
      <c r="B108" s="11">
        <f>B107</f>
        <v>1993</v>
      </c>
      <c r="C108" s="11" t="s">
        <v>3</v>
      </c>
      <c r="D108" s="43">
        <v>1420</v>
      </c>
      <c r="E108" s="43">
        <v>2936</v>
      </c>
      <c r="F108" s="87">
        <f t="shared" si="10"/>
        <v>4356</v>
      </c>
      <c r="G108" s="41">
        <v>905433</v>
      </c>
      <c r="H108" s="41">
        <v>1065674</v>
      </c>
      <c r="I108" s="93">
        <f t="shared" si="16"/>
        <v>160241</v>
      </c>
      <c r="J108" s="95">
        <f t="shared" si="22"/>
        <v>2.4460440743854472</v>
      </c>
      <c r="K108" s="95">
        <f t="shared" si="17"/>
        <v>2.0672388828460955</v>
      </c>
      <c r="L108" s="50">
        <v>1271</v>
      </c>
      <c r="M108" s="50">
        <v>32</v>
      </c>
      <c r="N108" s="42" t="s">
        <v>67</v>
      </c>
      <c r="O108" s="42" t="s">
        <v>67</v>
      </c>
      <c r="P108" s="51">
        <v>30</v>
      </c>
      <c r="Q108" s="98">
        <v>7172</v>
      </c>
      <c r="R108" s="42" t="s">
        <v>67</v>
      </c>
      <c r="S108" s="42" t="s">
        <v>66</v>
      </c>
      <c r="T108" s="92" t="s">
        <v>66</v>
      </c>
      <c r="U108" s="42" t="s">
        <v>66</v>
      </c>
      <c r="V108" s="92" t="s">
        <v>66</v>
      </c>
      <c r="W108" s="50">
        <v>4292</v>
      </c>
      <c r="X108" s="92" t="s">
        <v>66</v>
      </c>
      <c r="Y108" s="102">
        <v>2880</v>
      </c>
      <c r="Z108" s="92" t="s">
        <v>66</v>
      </c>
      <c r="AA108" s="52">
        <v>1378</v>
      </c>
      <c r="AB108" s="52">
        <v>3</v>
      </c>
      <c r="AC108" s="105">
        <f t="shared" si="20"/>
        <v>8553</v>
      </c>
      <c r="AD108" s="42" t="s">
        <v>66</v>
      </c>
      <c r="AE108" s="48" t="s">
        <v>67</v>
      </c>
      <c r="AF108" s="49" t="str">
        <f t="shared" si="21"/>
        <v>..</v>
      </c>
      <c r="AG108" s="36"/>
      <c r="AH108" s="32"/>
      <c r="AI108" s="108"/>
      <c r="AJ108" s="28"/>
      <c r="AK108" s="25"/>
      <c r="AL108" s="29"/>
      <c r="AM108" s="21"/>
      <c r="AN108" s="19">
        <v>66</v>
      </c>
      <c r="AO108" s="19">
        <v>69</v>
      </c>
      <c r="AP108" s="106">
        <f t="shared" si="8"/>
        <v>135</v>
      </c>
      <c r="AQ108" s="20">
        <v>54028</v>
      </c>
      <c r="AR108" s="20">
        <v>61725</v>
      </c>
      <c r="AS108" s="118">
        <f t="shared" si="18"/>
        <v>1.1816756791852558</v>
      </c>
      <c r="AT108" s="118">
        <f t="shared" si="19"/>
        <v>1.0273240788152711</v>
      </c>
      <c r="AU108" s="19" t="s">
        <v>66</v>
      </c>
      <c r="AV108" s="19" t="s">
        <v>66</v>
      </c>
      <c r="AW108" s="19" t="s">
        <v>67</v>
      </c>
      <c r="AX108" s="19" t="s">
        <v>66</v>
      </c>
      <c r="AY108" s="22">
        <v>404</v>
      </c>
      <c r="AZ108" s="22" t="s">
        <v>67</v>
      </c>
      <c r="BA108" s="19" t="s">
        <v>67</v>
      </c>
      <c r="BB108" s="106">
        <f t="shared" si="13"/>
        <v>404</v>
      </c>
      <c r="BC108" s="21"/>
      <c r="BD108" s="70" t="s">
        <v>66</v>
      </c>
      <c r="BE108" s="70" t="s">
        <v>66</v>
      </c>
      <c r="BF108" s="114" t="str">
        <f t="shared" si="14"/>
        <v>..</v>
      </c>
      <c r="BG108" s="73"/>
      <c r="BH108" s="73"/>
      <c r="BI108" s="71" t="s">
        <v>66</v>
      </c>
      <c r="BJ108" s="71" t="s">
        <v>66</v>
      </c>
      <c r="BK108" s="71" t="s">
        <v>66</v>
      </c>
      <c r="BL108" s="116" t="s">
        <v>66</v>
      </c>
    </row>
    <row r="109" spans="1:64" s="13" customFormat="1" x14ac:dyDescent="0.2">
      <c r="A109" s="13" t="str">
        <f t="shared" si="9"/>
        <v>1993Q4</v>
      </c>
      <c r="B109" s="11">
        <f>B108</f>
        <v>1993</v>
      </c>
      <c r="C109" s="11" t="s">
        <v>4</v>
      </c>
      <c r="D109" s="43">
        <v>2345</v>
      </c>
      <c r="E109" s="43">
        <v>2571</v>
      </c>
      <c r="F109" s="87">
        <f t="shared" si="10"/>
        <v>4916</v>
      </c>
      <c r="G109" s="41">
        <v>906620</v>
      </c>
      <c r="H109" s="41">
        <v>1057837</v>
      </c>
      <c r="I109" s="93">
        <f t="shared" si="16"/>
        <v>151217</v>
      </c>
      <c r="J109" s="95">
        <f t="shared" si="22"/>
        <v>2.2828870561803201</v>
      </c>
      <c r="K109" s="95">
        <f t="shared" si="17"/>
        <v>1.9390997391420177</v>
      </c>
      <c r="L109" s="50">
        <v>1118</v>
      </c>
      <c r="M109" s="50">
        <v>33</v>
      </c>
      <c r="N109" s="42" t="s">
        <v>67</v>
      </c>
      <c r="O109" s="42" t="s">
        <v>67</v>
      </c>
      <c r="P109" s="51">
        <v>54</v>
      </c>
      <c r="Q109" s="98">
        <v>7015</v>
      </c>
      <c r="R109" s="42" t="s">
        <v>67</v>
      </c>
      <c r="S109" s="42" t="s">
        <v>66</v>
      </c>
      <c r="T109" s="92" t="s">
        <v>66</v>
      </c>
      <c r="U109" s="42" t="s">
        <v>66</v>
      </c>
      <c r="V109" s="92" t="s">
        <v>66</v>
      </c>
      <c r="W109" s="50">
        <v>4339</v>
      </c>
      <c r="X109" s="92" t="s">
        <v>66</v>
      </c>
      <c r="Y109" s="102">
        <v>2676</v>
      </c>
      <c r="Z109" s="92" t="s">
        <v>66</v>
      </c>
      <c r="AA109" s="52">
        <v>1367</v>
      </c>
      <c r="AB109" s="52">
        <v>2</v>
      </c>
      <c r="AC109" s="105">
        <f t="shared" si="20"/>
        <v>8384</v>
      </c>
      <c r="AD109" s="42" t="s">
        <v>66</v>
      </c>
      <c r="AE109" s="48" t="s">
        <v>67</v>
      </c>
      <c r="AF109" s="49" t="str">
        <f t="shared" si="21"/>
        <v>..</v>
      </c>
      <c r="AG109" s="36"/>
      <c r="AH109" s="32"/>
      <c r="AI109" s="108"/>
      <c r="AJ109" s="28"/>
      <c r="AK109" s="25"/>
      <c r="AL109" s="29"/>
      <c r="AM109" s="21"/>
      <c r="AN109" s="19">
        <v>63</v>
      </c>
      <c r="AO109" s="19">
        <v>44</v>
      </c>
      <c r="AP109" s="106">
        <f t="shared" si="8"/>
        <v>107</v>
      </c>
      <c r="AQ109" s="20">
        <v>54121</v>
      </c>
      <c r="AR109" s="20">
        <v>61668</v>
      </c>
      <c r="AS109" s="118">
        <f t="shared" si="18"/>
        <v>1.0212450478419015</v>
      </c>
      <c r="AT109" s="118">
        <f t="shared" si="19"/>
        <v>0.8907713821506229</v>
      </c>
      <c r="AU109" s="19" t="s">
        <v>66</v>
      </c>
      <c r="AV109" s="19" t="s">
        <v>66</v>
      </c>
      <c r="AW109" s="19" t="s">
        <v>67</v>
      </c>
      <c r="AX109" s="19" t="s">
        <v>66</v>
      </c>
      <c r="AY109" s="22">
        <v>411</v>
      </c>
      <c r="AZ109" s="22" t="s">
        <v>67</v>
      </c>
      <c r="BA109" s="19" t="s">
        <v>67</v>
      </c>
      <c r="BB109" s="106">
        <f t="shared" si="13"/>
        <v>411</v>
      </c>
      <c r="BC109" s="21"/>
      <c r="BD109" s="70" t="s">
        <v>66</v>
      </c>
      <c r="BE109" s="70" t="s">
        <v>66</v>
      </c>
      <c r="BF109" s="114" t="str">
        <f t="shared" si="14"/>
        <v>..</v>
      </c>
      <c r="BG109" s="73"/>
      <c r="BH109" s="73"/>
      <c r="BI109" s="71" t="s">
        <v>66</v>
      </c>
      <c r="BJ109" s="71" t="s">
        <v>66</v>
      </c>
      <c r="BK109" s="71" t="s">
        <v>66</v>
      </c>
      <c r="BL109" s="116" t="s">
        <v>66</v>
      </c>
    </row>
    <row r="110" spans="1:64" s="13" customFormat="1" x14ac:dyDescent="0.2">
      <c r="A110" s="13" t="str">
        <f t="shared" si="9"/>
        <v>1994Q1</v>
      </c>
      <c r="B110" s="11">
        <v>1994</v>
      </c>
      <c r="C110" s="63" t="s">
        <v>1</v>
      </c>
      <c r="D110" s="43">
        <v>1806</v>
      </c>
      <c r="E110" s="43">
        <v>3081</v>
      </c>
      <c r="F110" s="87">
        <f t="shared" si="10"/>
        <v>4887</v>
      </c>
      <c r="G110" s="41">
        <v>901608</v>
      </c>
      <c r="H110" s="41">
        <v>1058050</v>
      </c>
      <c r="I110" s="93">
        <f t="shared" si="16"/>
        <v>156442</v>
      </c>
      <c r="J110" s="95">
        <f t="shared" si="22"/>
        <v>2.1403836272813783</v>
      </c>
      <c r="K110" s="95">
        <f t="shared" si="17"/>
        <v>1.8207968196247286</v>
      </c>
      <c r="L110" s="50">
        <v>1202</v>
      </c>
      <c r="M110" s="50">
        <v>49</v>
      </c>
      <c r="N110" s="42" t="s">
        <v>67</v>
      </c>
      <c r="O110" s="42" t="s">
        <v>67</v>
      </c>
      <c r="P110" s="51">
        <v>78</v>
      </c>
      <c r="Q110" s="98">
        <v>7415</v>
      </c>
      <c r="R110" s="42" t="s">
        <v>67</v>
      </c>
      <c r="S110" s="42" t="s">
        <v>66</v>
      </c>
      <c r="T110" s="92" t="s">
        <v>66</v>
      </c>
      <c r="U110" s="42" t="s">
        <v>66</v>
      </c>
      <c r="V110" s="92" t="s">
        <v>66</v>
      </c>
      <c r="W110" s="50">
        <v>4446</v>
      </c>
      <c r="X110" s="92" t="s">
        <v>66</v>
      </c>
      <c r="Y110" s="102">
        <v>2969</v>
      </c>
      <c r="Z110" s="92" t="s">
        <v>66</v>
      </c>
      <c r="AA110" s="52">
        <v>1313</v>
      </c>
      <c r="AB110" s="52">
        <v>1</v>
      </c>
      <c r="AC110" s="105">
        <f t="shared" si="20"/>
        <v>8729</v>
      </c>
      <c r="AD110" s="42" t="s">
        <v>66</v>
      </c>
      <c r="AE110" s="48" t="s">
        <v>67</v>
      </c>
      <c r="AF110" s="49" t="str">
        <f t="shared" si="21"/>
        <v>..</v>
      </c>
      <c r="AG110" s="36"/>
      <c r="AH110" s="32"/>
      <c r="AI110" s="108"/>
      <c r="AJ110" s="28"/>
      <c r="AK110" s="25"/>
      <c r="AL110" s="29"/>
      <c r="AM110" s="21"/>
      <c r="AN110" s="19">
        <v>66</v>
      </c>
      <c r="AO110" s="19">
        <v>53</v>
      </c>
      <c r="AP110" s="106">
        <f t="shared" si="8"/>
        <v>119</v>
      </c>
      <c r="AQ110" s="20">
        <v>54232</v>
      </c>
      <c r="AR110" s="20">
        <v>61439</v>
      </c>
      <c r="AS110" s="118">
        <f t="shared" si="18"/>
        <v>0.94156820126251528</v>
      </c>
      <c r="AT110" s="118">
        <f t="shared" si="19"/>
        <v>0.82455522211557553</v>
      </c>
      <c r="AU110" s="19" t="s">
        <v>66</v>
      </c>
      <c r="AV110" s="19" t="s">
        <v>66</v>
      </c>
      <c r="AW110" s="19" t="s">
        <v>67</v>
      </c>
      <c r="AX110" s="19" t="s">
        <v>66</v>
      </c>
      <c r="AY110" s="22">
        <v>522</v>
      </c>
      <c r="AZ110" s="22" t="s">
        <v>67</v>
      </c>
      <c r="BA110" s="20">
        <v>46</v>
      </c>
      <c r="BB110" s="106">
        <f t="shared" si="13"/>
        <v>568</v>
      </c>
      <c r="BC110" s="21"/>
      <c r="BD110" s="70" t="s">
        <v>66</v>
      </c>
      <c r="BE110" s="70" t="s">
        <v>66</v>
      </c>
      <c r="BF110" s="114" t="str">
        <f t="shared" si="14"/>
        <v>..</v>
      </c>
      <c r="BG110" s="73"/>
      <c r="BH110" s="73"/>
      <c r="BI110" s="71" t="s">
        <v>66</v>
      </c>
      <c r="BJ110" s="71" t="s">
        <v>66</v>
      </c>
      <c r="BK110" s="71" t="s">
        <v>66</v>
      </c>
      <c r="BL110" s="116" t="s">
        <v>66</v>
      </c>
    </row>
    <row r="111" spans="1:64" s="13" customFormat="1" x14ac:dyDescent="0.2">
      <c r="A111" s="13" t="str">
        <f t="shared" si="9"/>
        <v>1994Q2</v>
      </c>
      <c r="B111" s="11">
        <f>B110</f>
        <v>1994</v>
      </c>
      <c r="C111" s="11" t="s">
        <v>2</v>
      </c>
      <c r="D111" s="43">
        <v>1627</v>
      </c>
      <c r="E111" s="43">
        <v>2451</v>
      </c>
      <c r="F111" s="87">
        <f t="shared" si="10"/>
        <v>4078</v>
      </c>
      <c r="G111" s="41">
        <v>902423</v>
      </c>
      <c r="H111" s="41">
        <v>1060467</v>
      </c>
      <c r="I111" s="93">
        <f t="shared" si="16"/>
        <v>158044</v>
      </c>
      <c r="J111" s="95">
        <f t="shared" si="22"/>
        <v>2.017320394105889</v>
      </c>
      <c r="K111" s="95">
        <f t="shared" si="17"/>
        <v>1.7196491866626058</v>
      </c>
      <c r="L111" s="50">
        <v>968</v>
      </c>
      <c r="M111" s="50">
        <v>52</v>
      </c>
      <c r="N111" s="42" t="s">
        <v>67</v>
      </c>
      <c r="O111" s="42" t="s">
        <v>67</v>
      </c>
      <c r="P111" s="51">
        <v>56</v>
      </c>
      <c r="Q111" s="98">
        <v>6588</v>
      </c>
      <c r="R111" s="42" t="s">
        <v>67</v>
      </c>
      <c r="S111" s="42" t="s">
        <v>66</v>
      </c>
      <c r="T111" s="92" t="s">
        <v>66</v>
      </c>
      <c r="U111" s="42" t="s">
        <v>66</v>
      </c>
      <c r="V111" s="92" t="s">
        <v>66</v>
      </c>
      <c r="W111" s="50">
        <v>3918</v>
      </c>
      <c r="X111" s="92" t="s">
        <v>66</v>
      </c>
      <c r="Y111" s="102">
        <v>2670</v>
      </c>
      <c r="Z111" s="92" t="s">
        <v>66</v>
      </c>
      <c r="AA111" s="52">
        <v>1395</v>
      </c>
      <c r="AB111" s="52">
        <v>1</v>
      </c>
      <c r="AC111" s="105">
        <f t="shared" si="20"/>
        <v>7984</v>
      </c>
      <c r="AD111" s="42" t="s">
        <v>66</v>
      </c>
      <c r="AE111" s="48" t="s">
        <v>67</v>
      </c>
      <c r="AF111" s="49" t="str">
        <f t="shared" si="21"/>
        <v>..</v>
      </c>
      <c r="AG111" s="36"/>
      <c r="AH111" s="32"/>
      <c r="AI111" s="108"/>
      <c r="AJ111" s="28"/>
      <c r="AK111" s="25"/>
      <c r="AL111" s="29"/>
      <c r="AM111" s="21"/>
      <c r="AN111" s="19">
        <v>57</v>
      </c>
      <c r="AO111" s="19">
        <v>50</v>
      </c>
      <c r="AP111" s="106">
        <f t="shared" si="8"/>
        <v>107</v>
      </c>
      <c r="AQ111" s="20">
        <v>54350</v>
      </c>
      <c r="AR111" s="20">
        <v>61754</v>
      </c>
      <c r="AS111" s="118">
        <f t="shared" si="18"/>
        <v>0.86374353461203068</v>
      </c>
      <c r="AT111" s="118">
        <f t="shared" si="19"/>
        <v>0.75916718710713504</v>
      </c>
      <c r="AU111" s="19" t="s">
        <v>66</v>
      </c>
      <c r="AV111" s="19" t="s">
        <v>66</v>
      </c>
      <c r="AW111" s="19" t="s">
        <v>67</v>
      </c>
      <c r="AX111" s="19" t="s">
        <v>66</v>
      </c>
      <c r="AY111" s="22">
        <v>577</v>
      </c>
      <c r="AZ111" s="22" t="s">
        <v>67</v>
      </c>
      <c r="BA111" s="20">
        <v>142</v>
      </c>
      <c r="BB111" s="106">
        <f t="shared" si="13"/>
        <v>719</v>
      </c>
      <c r="BC111" s="21"/>
      <c r="BD111" s="70" t="s">
        <v>66</v>
      </c>
      <c r="BE111" s="70" t="s">
        <v>66</v>
      </c>
      <c r="BF111" s="114" t="str">
        <f t="shared" si="14"/>
        <v>..</v>
      </c>
      <c r="BG111" s="73"/>
      <c r="BH111" s="73"/>
      <c r="BI111" s="71" t="s">
        <v>66</v>
      </c>
      <c r="BJ111" s="71" t="s">
        <v>66</v>
      </c>
      <c r="BK111" s="71" t="s">
        <v>66</v>
      </c>
      <c r="BL111" s="116" t="s">
        <v>66</v>
      </c>
    </row>
    <row r="112" spans="1:64" s="13" customFormat="1" x14ac:dyDescent="0.2">
      <c r="A112" s="13" t="str">
        <f t="shared" si="9"/>
        <v>1994Q3</v>
      </c>
      <c r="B112" s="11">
        <f>B111</f>
        <v>1994</v>
      </c>
      <c r="C112" s="11" t="s">
        <v>3</v>
      </c>
      <c r="D112" s="43">
        <v>1414</v>
      </c>
      <c r="E112" s="43">
        <v>2557</v>
      </c>
      <c r="F112" s="87">
        <f t="shared" si="10"/>
        <v>3971</v>
      </c>
      <c r="G112" s="41">
        <v>907434</v>
      </c>
      <c r="H112" s="41">
        <v>1048659</v>
      </c>
      <c r="I112" s="93">
        <f t="shared" si="16"/>
        <v>141225</v>
      </c>
      <c r="J112" s="95">
        <f t="shared" si="22"/>
        <v>1.9736407519447441</v>
      </c>
      <c r="K112" s="95">
        <f t="shared" si="17"/>
        <v>1.690124977130248</v>
      </c>
      <c r="L112" s="50">
        <v>879</v>
      </c>
      <c r="M112" s="50">
        <v>30</v>
      </c>
      <c r="N112" s="42" t="s">
        <v>67</v>
      </c>
      <c r="O112" s="42" t="s">
        <v>67</v>
      </c>
      <c r="P112" s="51">
        <v>68</v>
      </c>
      <c r="Q112" s="98">
        <v>6140</v>
      </c>
      <c r="R112" s="42" t="s">
        <v>67</v>
      </c>
      <c r="S112" s="42" t="s">
        <v>66</v>
      </c>
      <c r="T112" s="92" t="s">
        <v>66</v>
      </c>
      <c r="U112" s="42" t="s">
        <v>66</v>
      </c>
      <c r="V112" s="92" t="s">
        <v>66</v>
      </c>
      <c r="W112" s="50">
        <v>3383</v>
      </c>
      <c r="X112" s="92" t="s">
        <v>66</v>
      </c>
      <c r="Y112" s="102">
        <v>2757</v>
      </c>
      <c r="Z112" s="92" t="s">
        <v>66</v>
      </c>
      <c r="AA112" s="52">
        <v>1242</v>
      </c>
      <c r="AB112" s="52">
        <v>0</v>
      </c>
      <c r="AC112" s="105">
        <f t="shared" si="20"/>
        <v>7382</v>
      </c>
      <c r="AD112" s="42" t="s">
        <v>66</v>
      </c>
      <c r="AE112" s="48" t="s">
        <v>67</v>
      </c>
      <c r="AF112" s="49" t="str">
        <f t="shared" si="21"/>
        <v>..</v>
      </c>
      <c r="AG112" s="36"/>
      <c r="AH112" s="32"/>
      <c r="AI112" s="108"/>
      <c r="AJ112" s="28"/>
      <c r="AK112" s="25"/>
      <c r="AL112" s="29"/>
      <c r="AM112" s="21"/>
      <c r="AN112" s="19">
        <v>70</v>
      </c>
      <c r="AO112" s="19">
        <v>47</v>
      </c>
      <c r="AP112" s="106">
        <f t="shared" si="8"/>
        <v>117</v>
      </c>
      <c r="AQ112" s="20">
        <v>54572</v>
      </c>
      <c r="AR112" s="20">
        <v>61723</v>
      </c>
      <c r="AS112" s="118">
        <f t="shared" si="18"/>
        <v>0.82844321712115987</v>
      </c>
      <c r="AT112" s="118">
        <f t="shared" si="19"/>
        <v>0.72997436978879415</v>
      </c>
      <c r="AU112" s="19" t="s">
        <v>66</v>
      </c>
      <c r="AV112" s="19" t="s">
        <v>66</v>
      </c>
      <c r="AW112" s="19" t="s">
        <v>67</v>
      </c>
      <c r="AX112" s="19" t="s">
        <v>66</v>
      </c>
      <c r="AY112" s="22">
        <v>545</v>
      </c>
      <c r="AZ112" s="22" t="s">
        <v>67</v>
      </c>
      <c r="BA112" s="20">
        <v>91</v>
      </c>
      <c r="BB112" s="106">
        <f t="shared" si="13"/>
        <v>636</v>
      </c>
      <c r="BC112" s="21"/>
      <c r="BD112" s="70" t="s">
        <v>66</v>
      </c>
      <c r="BE112" s="70" t="s">
        <v>66</v>
      </c>
      <c r="BF112" s="114" t="str">
        <f t="shared" si="14"/>
        <v>..</v>
      </c>
      <c r="BG112" s="73"/>
      <c r="BH112" s="73"/>
      <c r="BI112" s="71" t="s">
        <v>66</v>
      </c>
      <c r="BJ112" s="71" t="s">
        <v>66</v>
      </c>
      <c r="BK112" s="71" t="s">
        <v>66</v>
      </c>
      <c r="BL112" s="116" t="s">
        <v>66</v>
      </c>
    </row>
    <row r="113" spans="1:64" s="13" customFormat="1" x14ac:dyDescent="0.2">
      <c r="A113" s="13" t="str">
        <f t="shared" si="9"/>
        <v>1994Q4</v>
      </c>
      <c r="B113" s="11">
        <f>B112</f>
        <v>1994</v>
      </c>
      <c r="C113" s="11" t="s">
        <v>4</v>
      </c>
      <c r="D113" s="43">
        <v>1750</v>
      </c>
      <c r="E113" s="43">
        <v>2042</v>
      </c>
      <c r="F113" s="87">
        <f t="shared" si="10"/>
        <v>3792</v>
      </c>
      <c r="G113" s="41">
        <v>914329</v>
      </c>
      <c r="H113" s="41">
        <v>1054233</v>
      </c>
      <c r="I113" s="93">
        <f t="shared" si="16"/>
        <v>139904</v>
      </c>
      <c r="J113" s="95">
        <f t="shared" si="22"/>
        <v>1.8454440599769319</v>
      </c>
      <c r="K113" s="95">
        <f t="shared" ref="K113:K144" si="23">SUM(F110:F113)/AVERAGE(H110:H113)*100</f>
        <v>1.5850631862489515</v>
      </c>
      <c r="L113" s="50">
        <v>828</v>
      </c>
      <c r="M113" s="50">
        <v>28</v>
      </c>
      <c r="N113" s="42" t="s">
        <v>67</v>
      </c>
      <c r="O113" s="42" t="s">
        <v>67</v>
      </c>
      <c r="P113" s="51">
        <v>62</v>
      </c>
      <c r="Q113" s="98">
        <v>5491</v>
      </c>
      <c r="R113" s="42" t="s">
        <v>67</v>
      </c>
      <c r="S113" s="42" t="s">
        <v>66</v>
      </c>
      <c r="T113" s="92" t="s">
        <v>66</v>
      </c>
      <c r="U113" s="42" t="s">
        <v>66</v>
      </c>
      <c r="V113" s="92" t="s">
        <v>66</v>
      </c>
      <c r="W113" s="50">
        <v>3367</v>
      </c>
      <c r="X113" s="92" t="s">
        <v>66</v>
      </c>
      <c r="Y113" s="102">
        <v>2124</v>
      </c>
      <c r="Z113" s="92" t="s">
        <v>66</v>
      </c>
      <c r="AA113" s="52">
        <v>1153</v>
      </c>
      <c r="AB113" s="52">
        <v>0</v>
      </c>
      <c r="AC113" s="105">
        <f t="shared" si="20"/>
        <v>6644</v>
      </c>
      <c r="AD113" s="42" t="s">
        <v>66</v>
      </c>
      <c r="AE113" s="48" t="s">
        <v>67</v>
      </c>
      <c r="AF113" s="49" t="str">
        <f t="shared" si="21"/>
        <v>..</v>
      </c>
      <c r="AG113" s="36"/>
      <c r="AH113" s="32"/>
      <c r="AI113" s="108"/>
      <c r="AJ113" s="28"/>
      <c r="AK113" s="25"/>
      <c r="AL113" s="29"/>
      <c r="AM113" s="21"/>
      <c r="AN113" s="19">
        <v>49</v>
      </c>
      <c r="AO113" s="19">
        <v>52</v>
      </c>
      <c r="AP113" s="106">
        <f t="shared" si="8"/>
        <v>101</v>
      </c>
      <c r="AQ113" s="20">
        <v>54897</v>
      </c>
      <c r="AR113" s="20">
        <v>61960</v>
      </c>
      <c r="AS113" s="118">
        <f t="shared" si="18"/>
        <v>0.81448835364203787</v>
      </c>
      <c r="AT113" s="118">
        <f t="shared" si="19"/>
        <v>0.7193894910805424</v>
      </c>
      <c r="AU113" s="19" t="s">
        <v>66</v>
      </c>
      <c r="AV113" s="19" t="s">
        <v>66</v>
      </c>
      <c r="AW113" s="19" t="s">
        <v>67</v>
      </c>
      <c r="AX113" s="19" t="s">
        <v>66</v>
      </c>
      <c r="AY113" s="22">
        <v>538</v>
      </c>
      <c r="AZ113" s="22" t="s">
        <v>67</v>
      </c>
      <c r="BA113" s="20">
        <v>95</v>
      </c>
      <c r="BB113" s="106">
        <f t="shared" si="13"/>
        <v>633</v>
      </c>
      <c r="BC113" s="21"/>
      <c r="BD113" s="70" t="s">
        <v>66</v>
      </c>
      <c r="BE113" s="70" t="s">
        <v>66</v>
      </c>
      <c r="BF113" s="114" t="str">
        <f t="shared" si="14"/>
        <v>..</v>
      </c>
      <c r="BG113" s="73"/>
      <c r="BH113" s="73"/>
      <c r="BI113" s="71" t="s">
        <v>66</v>
      </c>
      <c r="BJ113" s="71" t="s">
        <v>66</v>
      </c>
      <c r="BK113" s="71" t="s">
        <v>66</v>
      </c>
      <c r="BL113" s="116" t="s">
        <v>66</v>
      </c>
    </row>
    <row r="114" spans="1:64" s="13" customFormat="1" x14ac:dyDescent="0.2">
      <c r="A114" s="13" t="str">
        <f t="shared" si="9"/>
        <v>1995Q1</v>
      </c>
      <c r="B114" s="11">
        <v>1995</v>
      </c>
      <c r="C114" s="63" t="s">
        <v>1</v>
      </c>
      <c r="D114" s="43">
        <v>1441</v>
      </c>
      <c r="E114" s="43">
        <v>2362</v>
      </c>
      <c r="F114" s="87">
        <f t="shared" si="10"/>
        <v>3803</v>
      </c>
      <c r="G114" s="41">
        <v>923116</v>
      </c>
      <c r="H114" s="41">
        <v>1057464</v>
      </c>
      <c r="I114" s="93">
        <f t="shared" si="16"/>
        <v>134348</v>
      </c>
      <c r="J114" s="95">
        <f t="shared" si="22"/>
        <v>1.7156791513288452</v>
      </c>
      <c r="K114" s="95">
        <f t="shared" si="23"/>
        <v>1.4825544686427268</v>
      </c>
      <c r="L114" s="50">
        <v>898</v>
      </c>
      <c r="M114" s="50">
        <v>59</v>
      </c>
      <c r="N114" s="42" t="s">
        <v>67</v>
      </c>
      <c r="O114" s="42" t="s">
        <v>67</v>
      </c>
      <c r="P114" s="51">
        <v>95</v>
      </c>
      <c r="Q114" s="98">
        <v>5609</v>
      </c>
      <c r="R114" s="42" t="s">
        <v>67</v>
      </c>
      <c r="S114" s="42" t="s">
        <v>66</v>
      </c>
      <c r="T114" s="92" t="s">
        <v>66</v>
      </c>
      <c r="U114" s="42" t="s">
        <v>66</v>
      </c>
      <c r="V114" s="92" t="s">
        <v>66</v>
      </c>
      <c r="W114" s="50">
        <v>3494</v>
      </c>
      <c r="X114" s="92" t="s">
        <v>66</v>
      </c>
      <c r="Y114" s="102">
        <v>2115</v>
      </c>
      <c r="Z114" s="92" t="s">
        <v>66</v>
      </c>
      <c r="AA114" s="52">
        <v>1174</v>
      </c>
      <c r="AB114" s="52">
        <v>1</v>
      </c>
      <c r="AC114" s="105">
        <f t="shared" si="20"/>
        <v>6784</v>
      </c>
      <c r="AD114" s="42" t="s">
        <v>66</v>
      </c>
      <c r="AE114" s="48" t="s">
        <v>67</v>
      </c>
      <c r="AF114" s="49" t="str">
        <f t="shared" si="21"/>
        <v>..</v>
      </c>
      <c r="AG114" s="36"/>
      <c r="AH114" s="32"/>
      <c r="AI114" s="108"/>
      <c r="AJ114" s="28"/>
      <c r="AK114" s="25"/>
      <c r="AL114" s="29"/>
      <c r="AM114" s="21"/>
      <c r="AN114" s="19">
        <v>71</v>
      </c>
      <c r="AO114" s="19">
        <v>66</v>
      </c>
      <c r="AP114" s="106">
        <f t="shared" si="8"/>
        <v>137</v>
      </c>
      <c r="AQ114" s="20">
        <v>55275</v>
      </c>
      <c r="AR114" s="20">
        <v>62165</v>
      </c>
      <c r="AS114" s="118">
        <f t="shared" si="18"/>
        <v>0.84347357755118813</v>
      </c>
      <c r="AT114" s="118">
        <f t="shared" si="19"/>
        <v>0.74635907625948095</v>
      </c>
      <c r="AU114" s="19" t="s">
        <v>66</v>
      </c>
      <c r="AV114" s="19" t="s">
        <v>66</v>
      </c>
      <c r="AW114" s="19" t="s">
        <v>67</v>
      </c>
      <c r="AX114" s="19" t="s">
        <v>66</v>
      </c>
      <c r="AY114" s="22">
        <v>649</v>
      </c>
      <c r="AZ114" s="22" t="s">
        <v>67</v>
      </c>
      <c r="BA114" s="20">
        <v>92</v>
      </c>
      <c r="BB114" s="106">
        <f t="shared" si="13"/>
        <v>741</v>
      </c>
      <c r="BC114" s="21"/>
      <c r="BD114" s="70" t="s">
        <v>66</v>
      </c>
      <c r="BE114" s="70" t="s">
        <v>66</v>
      </c>
      <c r="BF114" s="114" t="str">
        <f t="shared" si="14"/>
        <v>..</v>
      </c>
      <c r="BG114" s="73"/>
      <c r="BH114" s="73"/>
      <c r="BI114" s="71" t="s">
        <v>66</v>
      </c>
      <c r="BJ114" s="71" t="s">
        <v>66</v>
      </c>
      <c r="BK114" s="71" t="s">
        <v>66</v>
      </c>
      <c r="BL114" s="116" t="s">
        <v>66</v>
      </c>
    </row>
    <row r="115" spans="1:64" s="13" customFormat="1" x14ac:dyDescent="0.2">
      <c r="A115" s="13" t="str">
        <f t="shared" si="9"/>
        <v>1995Q2</v>
      </c>
      <c r="B115" s="11">
        <f>B114</f>
        <v>1995</v>
      </c>
      <c r="C115" s="11" t="s">
        <v>2</v>
      </c>
      <c r="D115" s="43">
        <v>1276</v>
      </c>
      <c r="E115" s="43">
        <v>2083</v>
      </c>
      <c r="F115" s="87">
        <f t="shared" si="10"/>
        <v>3359</v>
      </c>
      <c r="G115" s="41">
        <v>930339</v>
      </c>
      <c r="H115" s="41">
        <v>1067161</v>
      </c>
      <c r="I115" s="93">
        <f t="shared" si="16"/>
        <v>136822</v>
      </c>
      <c r="J115" s="95">
        <f t="shared" si="22"/>
        <v>1.6243934373416762</v>
      </c>
      <c r="K115" s="95">
        <f t="shared" si="23"/>
        <v>1.4121764619751973</v>
      </c>
      <c r="L115" s="50">
        <v>898</v>
      </c>
      <c r="M115" s="50">
        <v>34</v>
      </c>
      <c r="N115" s="42" t="s">
        <v>67</v>
      </c>
      <c r="O115" s="42" t="s">
        <v>67</v>
      </c>
      <c r="P115" s="51">
        <v>98</v>
      </c>
      <c r="Q115" s="98">
        <v>5838</v>
      </c>
      <c r="R115" s="42" t="s">
        <v>67</v>
      </c>
      <c r="S115" s="42" t="s">
        <v>66</v>
      </c>
      <c r="T115" s="92" t="s">
        <v>66</v>
      </c>
      <c r="U115" s="42" t="s">
        <v>66</v>
      </c>
      <c r="V115" s="92" t="s">
        <v>66</v>
      </c>
      <c r="W115" s="50">
        <v>3474</v>
      </c>
      <c r="X115" s="92" t="s">
        <v>66</v>
      </c>
      <c r="Y115" s="102">
        <v>2364</v>
      </c>
      <c r="Z115" s="92" t="s">
        <v>66</v>
      </c>
      <c r="AA115" s="52">
        <v>1020</v>
      </c>
      <c r="AB115" s="52">
        <v>0</v>
      </c>
      <c r="AC115" s="105">
        <f t="shared" si="20"/>
        <v>6858</v>
      </c>
      <c r="AD115" s="42" t="s">
        <v>66</v>
      </c>
      <c r="AE115" s="48" t="s">
        <v>67</v>
      </c>
      <c r="AF115" s="49" t="str">
        <f t="shared" si="21"/>
        <v>..</v>
      </c>
      <c r="AG115" s="36"/>
      <c r="AH115" s="32"/>
      <c r="AI115" s="108"/>
      <c r="AJ115" s="28"/>
      <c r="AK115" s="25"/>
      <c r="AL115" s="29"/>
      <c r="AM115" s="21"/>
      <c r="AN115" s="19">
        <v>72</v>
      </c>
      <c r="AO115" s="19">
        <v>43</v>
      </c>
      <c r="AP115" s="106">
        <f t="shared" si="8"/>
        <v>115</v>
      </c>
      <c r="AQ115" s="20">
        <v>55687</v>
      </c>
      <c r="AR115" s="20">
        <v>62820</v>
      </c>
      <c r="AS115" s="118">
        <f t="shared" si="18"/>
        <v>0.85287459567846624</v>
      </c>
      <c r="AT115" s="118">
        <f t="shared" si="19"/>
        <v>0.75602811781170076</v>
      </c>
      <c r="AU115" s="19" t="s">
        <v>66</v>
      </c>
      <c r="AV115" s="19" t="s">
        <v>66</v>
      </c>
      <c r="AW115" s="19" t="s">
        <v>67</v>
      </c>
      <c r="AX115" s="19" t="s">
        <v>66</v>
      </c>
      <c r="AY115" s="22">
        <v>606</v>
      </c>
      <c r="AZ115" s="22" t="s">
        <v>67</v>
      </c>
      <c r="BA115" s="20">
        <v>116</v>
      </c>
      <c r="BB115" s="106">
        <f t="shared" si="13"/>
        <v>722</v>
      </c>
      <c r="BC115" s="21"/>
      <c r="BD115" s="70" t="s">
        <v>66</v>
      </c>
      <c r="BE115" s="70" t="s">
        <v>66</v>
      </c>
      <c r="BF115" s="114" t="str">
        <f t="shared" si="14"/>
        <v>..</v>
      </c>
      <c r="BG115" s="73"/>
      <c r="BH115" s="73"/>
      <c r="BI115" s="71" t="s">
        <v>66</v>
      </c>
      <c r="BJ115" s="71" t="s">
        <v>66</v>
      </c>
      <c r="BK115" s="71" t="s">
        <v>66</v>
      </c>
      <c r="BL115" s="116" t="s">
        <v>66</v>
      </c>
    </row>
    <row r="116" spans="1:64" s="13" customFormat="1" x14ac:dyDescent="0.2">
      <c r="A116" s="13" t="str">
        <f t="shared" si="9"/>
        <v>1995Q3</v>
      </c>
      <c r="B116" s="11">
        <f>B115</f>
        <v>1995</v>
      </c>
      <c r="C116" s="11" t="s">
        <v>3</v>
      </c>
      <c r="D116" s="43">
        <v>1387</v>
      </c>
      <c r="E116" s="43">
        <v>2243</v>
      </c>
      <c r="F116" s="87">
        <f t="shared" si="10"/>
        <v>3630</v>
      </c>
      <c r="G116" s="41">
        <v>941638</v>
      </c>
      <c r="H116" s="41">
        <v>1073949</v>
      </c>
      <c r="I116" s="93">
        <f t="shared" si="16"/>
        <v>132311</v>
      </c>
      <c r="J116" s="95">
        <f t="shared" si="22"/>
        <v>1.572643932127431</v>
      </c>
      <c r="K116" s="95">
        <f t="shared" si="23"/>
        <v>1.3717057933736472</v>
      </c>
      <c r="L116" s="50">
        <v>721</v>
      </c>
      <c r="M116" s="50">
        <v>36</v>
      </c>
      <c r="N116" s="42" t="s">
        <v>67</v>
      </c>
      <c r="O116" s="42" t="s">
        <v>67</v>
      </c>
      <c r="P116" s="51">
        <v>104</v>
      </c>
      <c r="Q116" s="98">
        <v>5279</v>
      </c>
      <c r="R116" s="42" t="s">
        <v>67</v>
      </c>
      <c r="S116" s="42" t="s">
        <v>66</v>
      </c>
      <c r="T116" s="92" t="s">
        <v>66</v>
      </c>
      <c r="U116" s="42" t="s">
        <v>66</v>
      </c>
      <c r="V116" s="92" t="s">
        <v>66</v>
      </c>
      <c r="W116" s="50">
        <v>3221</v>
      </c>
      <c r="X116" s="92" t="s">
        <v>66</v>
      </c>
      <c r="Y116" s="102">
        <v>2058</v>
      </c>
      <c r="Z116" s="92" t="s">
        <v>66</v>
      </c>
      <c r="AA116" s="52">
        <v>1123</v>
      </c>
      <c r="AB116" s="52">
        <v>0</v>
      </c>
      <c r="AC116" s="105">
        <f t="shared" si="20"/>
        <v>6402</v>
      </c>
      <c r="AD116" s="42" t="s">
        <v>66</v>
      </c>
      <c r="AE116" s="48" t="s">
        <v>67</v>
      </c>
      <c r="AF116" s="49" t="str">
        <f t="shared" si="21"/>
        <v>..</v>
      </c>
      <c r="AG116" s="36"/>
      <c r="AH116" s="32"/>
      <c r="AI116" s="108"/>
      <c r="AJ116" s="28"/>
      <c r="AK116" s="25"/>
      <c r="AL116" s="29"/>
      <c r="AM116" s="21"/>
      <c r="AN116" s="19">
        <v>47</v>
      </c>
      <c r="AO116" s="19">
        <v>40</v>
      </c>
      <c r="AP116" s="106">
        <f t="shared" si="8"/>
        <v>87</v>
      </c>
      <c r="AQ116" s="20">
        <v>56832</v>
      </c>
      <c r="AR116" s="20">
        <v>62860</v>
      </c>
      <c r="AS116" s="118">
        <f t="shared" si="18"/>
        <v>0.79033279297322301</v>
      </c>
      <c r="AT116" s="118">
        <f t="shared" si="19"/>
        <v>0.70454954864794539</v>
      </c>
      <c r="AU116" s="19" t="s">
        <v>66</v>
      </c>
      <c r="AV116" s="19" t="s">
        <v>66</v>
      </c>
      <c r="AW116" s="19" t="s">
        <v>67</v>
      </c>
      <c r="AX116" s="19" t="s">
        <v>66</v>
      </c>
      <c r="AY116" s="22">
        <v>494</v>
      </c>
      <c r="AZ116" s="22" t="s">
        <v>67</v>
      </c>
      <c r="BA116" s="20">
        <v>149</v>
      </c>
      <c r="BB116" s="106">
        <f t="shared" si="13"/>
        <v>643</v>
      </c>
      <c r="BC116" s="21"/>
      <c r="BD116" s="70" t="s">
        <v>66</v>
      </c>
      <c r="BE116" s="70" t="s">
        <v>66</v>
      </c>
      <c r="BF116" s="114" t="str">
        <f t="shared" si="14"/>
        <v>..</v>
      </c>
      <c r="BG116" s="73"/>
      <c r="BH116" s="73"/>
      <c r="BI116" s="71" t="s">
        <v>66</v>
      </c>
      <c r="BJ116" s="71" t="s">
        <v>66</v>
      </c>
      <c r="BK116" s="71" t="s">
        <v>66</v>
      </c>
      <c r="BL116" s="116" t="s">
        <v>66</v>
      </c>
    </row>
    <row r="117" spans="1:64" s="13" customFormat="1" x14ac:dyDescent="0.2">
      <c r="A117" s="13" t="str">
        <f t="shared" si="9"/>
        <v>1995Q4</v>
      </c>
      <c r="B117" s="11">
        <f>B116</f>
        <v>1995</v>
      </c>
      <c r="C117" s="11" t="s">
        <v>4</v>
      </c>
      <c r="D117" s="43">
        <v>1415</v>
      </c>
      <c r="E117" s="43">
        <v>2329</v>
      </c>
      <c r="F117" s="87">
        <f t="shared" si="10"/>
        <v>3744</v>
      </c>
      <c r="G117" s="41">
        <v>955322</v>
      </c>
      <c r="H117" s="41">
        <v>1080853</v>
      </c>
      <c r="I117" s="93">
        <f t="shared" si="16"/>
        <v>125531</v>
      </c>
      <c r="J117" s="95">
        <f t="shared" si="22"/>
        <v>1.5503350962493483</v>
      </c>
      <c r="K117" s="95">
        <f t="shared" si="23"/>
        <v>1.3586865718237511</v>
      </c>
      <c r="L117" s="50">
        <v>709</v>
      </c>
      <c r="M117" s="50">
        <v>34</v>
      </c>
      <c r="N117" s="42" t="s">
        <v>67</v>
      </c>
      <c r="O117" s="42" t="s">
        <v>67</v>
      </c>
      <c r="P117" s="51">
        <v>75</v>
      </c>
      <c r="Q117" s="98">
        <v>5207</v>
      </c>
      <c r="R117" s="42" t="s">
        <v>67</v>
      </c>
      <c r="S117" s="42" t="s">
        <v>66</v>
      </c>
      <c r="T117" s="92" t="s">
        <v>66</v>
      </c>
      <c r="U117" s="42" t="s">
        <v>66</v>
      </c>
      <c r="V117" s="92" t="s">
        <v>66</v>
      </c>
      <c r="W117" s="50">
        <v>3093</v>
      </c>
      <c r="X117" s="92" t="s">
        <v>66</v>
      </c>
      <c r="Y117" s="102">
        <v>2114</v>
      </c>
      <c r="Z117" s="92" t="s">
        <v>66</v>
      </c>
      <c r="AA117" s="52">
        <v>1067</v>
      </c>
      <c r="AB117" s="52">
        <v>1</v>
      </c>
      <c r="AC117" s="105">
        <f t="shared" si="20"/>
        <v>6275</v>
      </c>
      <c r="AD117" s="42" t="s">
        <v>66</v>
      </c>
      <c r="AE117" s="48" t="s">
        <v>67</v>
      </c>
      <c r="AF117" s="49" t="str">
        <f t="shared" si="21"/>
        <v>..</v>
      </c>
      <c r="AG117" s="36"/>
      <c r="AH117" s="32"/>
      <c r="AI117" s="108"/>
      <c r="AJ117" s="28"/>
      <c r="AK117" s="25"/>
      <c r="AL117" s="29"/>
      <c r="AM117" s="21"/>
      <c r="AN117" s="19">
        <v>62</v>
      </c>
      <c r="AO117" s="19">
        <v>40</v>
      </c>
      <c r="AP117" s="106">
        <f t="shared" si="8"/>
        <v>102</v>
      </c>
      <c r="AQ117" s="20">
        <v>56854</v>
      </c>
      <c r="AR117" s="20">
        <v>63201</v>
      </c>
      <c r="AS117" s="118">
        <f t="shared" si="18"/>
        <v>0.785228446280403</v>
      </c>
      <c r="AT117" s="118">
        <f t="shared" si="19"/>
        <v>0.70266007026600696</v>
      </c>
      <c r="AU117" s="19" t="s">
        <v>66</v>
      </c>
      <c r="AV117" s="19" t="s">
        <v>66</v>
      </c>
      <c r="AW117" s="19" t="s">
        <v>67</v>
      </c>
      <c r="AX117" s="19" t="s">
        <v>66</v>
      </c>
      <c r="AY117" s="22">
        <v>439</v>
      </c>
      <c r="AZ117" s="22" t="s">
        <v>67</v>
      </c>
      <c r="BA117" s="20">
        <v>116</v>
      </c>
      <c r="BB117" s="106">
        <f t="shared" si="13"/>
        <v>555</v>
      </c>
      <c r="BC117" s="21"/>
      <c r="BD117" s="70" t="s">
        <v>66</v>
      </c>
      <c r="BE117" s="70" t="s">
        <v>66</v>
      </c>
      <c r="BF117" s="114" t="str">
        <f t="shared" si="14"/>
        <v>..</v>
      </c>
      <c r="BG117" s="73"/>
      <c r="BH117" s="73"/>
      <c r="BI117" s="71" t="s">
        <v>66</v>
      </c>
      <c r="BJ117" s="71" t="s">
        <v>66</v>
      </c>
      <c r="BK117" s="71" t="s">
        <v>66</v>
      </c>
      <c r="BL117" s="116" t="s">
        <v>66</v>
      </c>
    </row>
    <row r="118" spans="1:64" s="13" customFormat="1" x14ac:dyDescent="0.2">
      <c r="A118" s="13" t="str">
        <f t="shared" si="9"/>
        <v>1996Q1</v>
      </c>
      <c r="B118" s="11">
        <v>1996</v>
      </c>
      <c r="C118" s="63" t="s">
        <v>1</v>
      </c>
      <c r="D118" s="43">
        <v>1306</v>
      </c>
      <c r="E118" s="43">
        <v>2238</v>
      </c>
      <c r="F118" s="87">
        <f t="shared" si="10"/>
        <v>3544</v>
      </c>
      <c r="G118" s="41">
        <v>966963</v>
      </c>
      <c r="H118" s="41">
        <v>1090098</v>
      </c>
      <c r="I118" s="93">
        <f t="shared" si="16"/>
        <v>123135</v>
      </c>
      <c r="J118" s="95">
        <f t="shared" si="22"/>
        <v>1.505114828654426</v>
      </c>
      <c r="K118" s="95">
        <f t="shared" si="23"/>
        <v>1.3243782961326382</v>
      </c>
      <c r="L118" s="50">
        <v>788</v>
      </c>
      <c r="M118" s="50">
        <v>56</v>
      </c>
      <c r="N118" s="42" t="s">
        <v>67</v>
      </c>
      <c r="O118" s="42" t="s">
        <v>67</v>
      </c>
      <c r="P118" s="51">
        <v>107</v>
      </c>
      <c r="Q118" s="98">
        <v>5862</v>
      </c>
      <c r="R118" s="42" t="s">
        <v>67</v>
      </c>
      <c r="S118" s="42" t="s">
        <v>66</v>
      </c>
      <c r="T118" s="92" t="s">
        <v>66</v>
      </c>
      <c r="U118" s="42" t="s">
        <v>66</v>
      </c>
      <c r="V118" s="92" t="s">
        <v>66</v>
      </c>
      <c r="W118" s="50">
        <v>3414</v>
      </c>
      <c r="X118" s="92" t="s">
        <v>66</v>
      </c>
      <c r="Y118" s="102">
        <v>2448</v>
      </c>
      <c r="Z118" s="92" t="s">
        <v>66</v>
      </c>
      <c r="AA118" s="52">
        <v>1119</v>
      </c>
      <c r="AB118" s="52">
        <v>1</v>
      </c>
      <c r="AC118" s="105">
        <f t="shared" si="20"/>
        <v>6982</v>
      </c>
      <c r="AD118" s="42" t="s">
        <v>66</v>
      </c>
      <c r="AE118" s="48" t="s">
        <v>67</v>
      </c>
      <c r="AF118" s="49" t="str">
        <f t="shared" si="21"/>
        <v>..</v>
      </c>
      <c r="AG118" s="36"/>
      <c r="AH118" s="32"/>
      <c r="AI118" s="108"/>
      <c r="AJ118" s="28"/>
      <c r="AK118" s="25"/>
      <c r="AL118" s="29"/>
      <c r="AM118" s="21"/>
      <c r="AN118" s="19">
        <v>66</v>
      </c>
      <c r="AO118" s="19">
        <v>38</v>
      </c>
      <c r="AP118" s="106">
        <f t="shared" ref="AP118:AP181" si="24">AN118+AO118</f>
        <v>104</v>
      </c>
      <c r="AQ118" s="20">
        <v>57271</v>
      </c>
      <c r="AR118" s="20">
        <v>62867</v>
      </c>
      <c r="AS118" s="118">
        <f t="shared" si="18"/>
        <v>0.72007200720072007</v>
      </c>
      <c r="AT118" s="118">
        <f t="shared" si="19"/>
        <v>0.6482673149339816</v>
      </c>
      <c r="AU118" s="19" t="s">
        <v>66</v>
      </c>
      <c r="AV118" s="19" t="s">
        <v>66</v>
      </c>
      <c r="AW118" s="19" t="s">
        <v>67</v>
      </c>
      <c r="AX118" s="19" t="s">
        <v>66</v>
      </c>
      <c r="AY118" s="22">
        <v>623</v>
      </c>
      <c r="AZ118" s="22" t="s">
        <v>67</v>
      </c>
      <c r="BA118" s="20">
        <v>126</v>
      </c>
      <c r="BB118" s="106">
        <f t="shared" si="13"/>
        <v>749</v>
      </c>
      <c r="BC118" s="21"/>
      <c r="BD118" s="70" t="s">
        <v>66</v>
      </c>
      <c r="BE118" s="70" t="s">
        <v>66</v>
      </c>
      <c r="BF118" s="114" t="str">
        <f t="shared" si="14"/>
        <v>..</v>
      </c>
      <c r="BG118" s="73"/>
      <c r="BH118" s="73"/>
      <c r="BI118" s="71" t="s">
        <v>66</v>
      </c>
      <c r="BJ118" s="71" t="s">
        <v>66</v>
      </c>
      <c r="BK118" s="71" t="s">
        <v>66</v>
      </c>
      <c r="BL118" s="116" t="s">
        <v>66</v>
      </c>
    </row>
    <row r="119" spans="1:64" s="13" customFormat="1" x14ac:dyDescent="0.2">
      <c r="A119" s="13" t="str">
        <f t="shared" si="9"/>
        <v>1996Q2</v>
      </c>
      <c r="B119" s="11">
        <f>B118</f>
        <v>1996</v>
      </c>
      <c r="C119" s="11" t="s">
        <v>2</v>
      </c>
      <c r="D119" s="43">
        <v>1270</v>
      </c>
      <c r="E119" s="43">
        <v>2063</v>
      </c>
      <c r="F119" s="87">
        <f t="shared" si="10"/>
        <v>3333</v>
      </c>
      <c r="G119" s="41">
        <v>987637</v>
      </c>
      <c r="H119" s="41">
        <v>1106499</v>
      </c>
      <c r="I119" s="93">
        <f t="shared" si="16"/>
        <v>118862</v>
      </c>
      <c r="J119" s="95">
        <f t="shared" si="22"/>
        <v>1.480023678717195</v>
      </c>
      <c r="K119" s="95">
        <f t="shared" si="23"/>
        <v>1.310015468588378</v>
      </c>
      <c r="L119" s="50">
        <v>649</v>
      </c>
      <c r="M119" s="50">
        <v>45</v>
      </c>
      <c r="N119" s="42" t="s">
        <v>67</v>
      </c>
      <c r="O119" s="42" t="s">
        <v>67</v>
      </c>
      <c r="P119" s="51">
        <v>120</v>
      </c>
      <c r="Q119" s="98">
        <v>5443</v>
      </c>
      <c r="R119" s="42" t="s">
        <v>67</v>
      </c>
      <c r="S119" s="42" t="s">
        <v>66</v>
      </c>
      <c r="T119" s="92" t="s">
        <v>66</v>
      </c>
      <c r="U119" s="42" t="s">
        <v>66</v>
      </c>
      <c r="V119" s="92" t="s">
        <v>66</v>
      </c>
      <c r="W119" s="50">
        <v>3154</v>
      </c>
      <c r="X119" s="92" t="s">
        <v>66</v>
      </c>
      <c r="Y119" s="102">
        <v>2289</v>
      </c>
      <c r="Z119" s="92" t="s">
        <v>66</v>
      </c>
      <c r="AA119" s="52">
        <v>1082</v>
      </c>
      <c r="AB119" s="52">
        <v>1</v>
      </c>
      <c r="AC119" s="105">
        <f t="shared" si="20"/>
        <v>6526</v>
      </c>
      <c r="AD119" s="42" t="s">
        <v>66</v>
      </c>
      <c r="AE119" s="48" t="s">
        <v>67</v>
      </c>
      <c r="AF119" s="49" t="str">
        <f t="shared" si="21"/>
        <v>..</v>
      </c>
      <c r="AG119" s="36"/>
      <c r="AH119" s="32"/>
      <c r="AI119" s="108"/>
      <c r="AJ119" s="28"/>
      <c r="AK119" s="25"/>
      <c r="AL119" s="29"/>
      <c r="AM119" s="21"/>
      <c r="AN119" s="19">
        <v>69</v>
      </c>
      <c r="AO119" s="19">
        <v>52</v>
      </c>
      <c r="AP119" s="106">
        <f t="shared" si="24"/>
        <v>121</v>
      </c>
      <c r="AQ119" s="20">
        <v>58083</v>
      </c>
      <c r="AR119" s="20">
        <v>64532</v>
      </c>
      <c r="AS119" s="118">
        <f t="shared" si="18"/>
        <v>0.72301781348236116</v>
      </c>
      <c r="AT119" s="118">
        <f t="shared" si="19"/>
        <v>0.65335753176043554</v>
      </c>
      <c r="AU119" s="19" t="s">
        <v>66</v>
      </c>
      <c r="AV119" s="19" t="s">
        <v>66</v>
      </c>
      <c r="AW119" s="19" t="s">
        <v>67</v>
      </c>
      <c r="AX119" s="19" t="s">
        <v>66</v>
      </c>
      <c r="AY119" s="22">
        <v>623</v>
      </c>
      <c r="AZ119" s="22" t="s">
        <v>67</v>
      </c>
      <c r="BA119" s="20">
        <v>154</v>
      </c>
      <c r="BB119" s="106">
        <f t="shared" si="13"/>
        <v>777</v>
      </c>
      <c r="BC119" s="21"/>
      <c r="BD119" s="70" t="s">
        <v>66</v>
      </c>
      <c r="BE119" s="70" t="s">
        <v>66</v>
      </c>
      <c r="BF119" s="114" t="str">
        <f t="shared" si="14"/>
        <v>..</v>
      </c>
      <c r="BG119" s="73"/>
      <c r="BH119" s="73"/>
      <c r="BI119" s="71" t="s">
        <v>66</v>
      </c>
      <c r="BJ119" s="71" t="s">
        <v>66</v>
      </c>
      <c r="BK119" s="71" t="s">
        <v>66</v>
      </c>
      <c r="BL119" s="116" t="s">
        <v>66</v>
      </c>
    </row>
    <row r="120" spans="1:64" s="13" customFormat="1" x14ac:dyDescent="0.2">
      <c r="A120" s="13" t="str">
        <f t="shared" si="9"/>
        <v>1996Q3</v>
      </c>
      <c r="B120" s="11">
        <f>B119</f>
        <v>1996</v>
      </c>
      <c r="C120" s="11" t="s">
        <v>3</v>
      </c>
      <c r="D120" s="43">
        <v>1246</v>
      </c>
      <c r="E120" s="43">
        <v>2053</v>
      </c>
      <c r="F120" s="87">
        <f t="shared" si="10"/>
        <v>3299</v>
      </c>
      <c r="G120" s="41">
        <v>1007717</v>
      </c>
      <c r="H120" s="41">
        <v>1119712</v>
      </c>
      <c r="I120" s="93">
        <f t="shared" si="16"/>
        <v>111995</v>
      </c>
      <c r="J120" s="95">
        <f t="shared" si="22"/>
        <v>1.4212641848827827</v>
      </c>
      <c r="K120" s="95">
        <f t="shared" si="23"/>
        <v>1.2662712904368771</v>
      </c>
      <c r="L120" s="50">
        <v>621</v>
      </c>
      <c r="M120" s="50">
        <v>60</v>
      </c>
      <c r="N120" s="42" t="s">
        <v>67</v>
      </c>
      <c r="O120" s="42" t="s">
        <v>67</v>
      </c>
      <c r="P120" s="51">
        <v>87</v>
      </c>
      <c r="Q120" s="98">
        <v>5446</v>
      </c>
      <c r="R120" s="42" t="s">
        <v>67</v>
      </c>
      <c r="S120" s="42" t="s">
        <v>66</v>
      </c>
      <c r="T120" s="92" t="s">
        <v>66</v>
      </c>
      <c r="U120" s="42" t="s">
        <v>66</v>
      </c>
      <c r="V120" s="92" t="s">
        <v>66</v>
      </c>
      <c r="W120" s="50">
        <v>3250</v>
      </c>
      <c r="X120" s="92" t="s">
        <v>66</v>
      </c>
      <c r="Y120" s="102">
        <v>2196</v>
      </c>
      <c r="Z120" s="92" t="s">
        <v>66</v>
      </c>
      <c r="AA120" s="52">
        <v>1065</v>
      </c>
      <c r="AB120" s="52">
        <v>0</v>
      </c>
      <c r="AC120" s="105">
        <f t="shared" si="20"/>
        <v>6511</v>
      </c>
      <c r="AD120" s="42" t="s">
        <v>66</v>
      </c>
      <c r="AE120" s="48" t="s">
        <v>67</v>
      </c>
      <c r="AF120" s="49" t="str">
        <f t="shared" si="21"/>
        <v>..</v>
      </c>
      <c r="AG120" s="36"/>
      <c r="AH120" s="32"/>
      <c r="AI120" s="108"/>
      <c r="AJ120" s="28"/>
      <c r="AK120" s="25"/>
      <c r="AL120" s="29"/>
      <c r="AM120" s="21"/>
      <c r="AN120" s="19">
        <v>71</v>
      </c>
      <c r="AO120" s="19">
        <v>41</v>
      </c>
      <c r="AP120" s="106">
        <f t="shared" si="24"/>
        <v>112</v>
      </c>
      <c r="AQ120" s="20">
        <v>59097</v>
      </c>
      <c r="AR120" s="20">
        <v>65030</v>
      </c>
      <c r="AS120" s="118">
        <f t="shared" si="18"/>
        <v>0.75917079181167724</v>
      </c>
      <c r="AT120" s="118">
        <f t="shared" si="19"/>
        <v>0.68693032899111994</v>
      </c>
      <c r="AU120" s="19" t="s">
        <v>66</v>
      </c>
      <c r="AV120" s="19" t="s">
        <v>66</v>
      </c>
      <c r="AW120" s="19" t="s">
        <v>67</v>
      </c>
      <c r="AX120" s="19" t="s">
        <v>66</v>
      </c>
      <c r="AY120" s="22">
        <v>625</v>
      </c>
      <c r="AZ120" s="22" t="s">
        <v>67</v>
      </c>
      <c r="BA120" s="20">
        <v>122</v>
      </c>
      <c r="BB120" s="106">
        <f t="shared" si="13"/>
        <v>747</v>
      </c>
      <c r="BC120" s="21"/>
      <c r="BD120" s="70" t="s">
        <v>66</v>
      </c>
      <c r="BE120" s="70" t="s">
        <v>66</v>
      </c>
      <c r="BF120" s="114" t="str">
        <f t="shared" si="14"/>
        <v>..</v>
      </c>
      <c r="BG120" s="73"/>
      <c r="BH120" s="73"/>
      <c r="BI120" s="71" t="s">
        <v>66</v>
      </c>
      <c r="BJ120" s="71" t="s">
        <v>66</v>
      </c>
      <c r="BK120" s="71" t="s">
        <v>66</v>
      </c>
      <c r="BL120" s="116" t="s">
        <v>66</v>
      </c>
    </row>
    <row r="121" spans="1:64" s="13" customFormat="1" x14ac:dyDescent="0.2">
      <c r="A121" s="13" t="str">
        <f t="shared" si="9"/>
        <v>1996Q4</v>
      </c>
      <c r="B121" s="11">
        <f>B120</f>
        <v>1996</v>
      </c>
      <c r="C121" s="11" t="s">
        <v>4</v>
      </c>
      <c r="D121" s="43">
        <v>1258</v>
      </c>
      <c r="E121" s="43">
        <v>2027</v>
      </c>
      <c r="F121" s="87">
        <f t="shared" si="10"/>
        <v>3285</v>
      </c>
      <c r="G121" s="41">
        <v>1014606</v>
      </c>
      <c r="H121" s="41">
        <v>1125133</v>
      </c>
      <c r="I121" s="93">
        <f t="shared" si="16"/>
        <v>110527</v>
      </c>
      <c r="J121" s="95">
        <f t="shared" si="22"/>
        <v>1.3539110513329022</v>
      </c>
      <c r="K121" s="95">
        <f t="shared" si="23"/>
        <v>1.212308975328283</v>
      </c>
      <c r="L121" s="50">
        <v>643</v>
      </c>
      <c r="M121" s="50">
        <v>49</v>
      </c>
      <c r="N121" s="42" t="s">
        <v>67</v>
      </c>
      <c r="O121" s="42" t="s">
        <v>67</v>
      </c>
      <c r="P121" s="51">
        <v>145</v>
      </c>
      <c r="Q121" s="98">
        <v>5052</v>
      </c>
      <c r="R121" s="42" t="s">
        <v>67</v>
      </c>
      <c r="S121" s="42" t="s">
        <v>66</v>
      </c>
      <c r="T121" s="92" t="s">
        <v>66</v>
      </c>
      <c r="U121" s="42" t="s">
        <v>66</v>
      </c>
      <c r="V121" s="92" t="s">
        <v>66</v>
      </c>
      <c r="W121" s="50">
        <v>2849</v>
      </c>
      <c r="X121" s="92" t="s">
        <v>66</v>
      </c>
      <c r="Y121" s="102">
        <v>2203</v>
      </c>
      <c r="Z121" s="92" t="s">
        <v>66</v>
      </c>
      <c r="AA121" s="52">
        <v>1200</v>
      </c>
      <c r="AB121" s="52">
        <v>0</v>
      </c>
      <c r="AC121" s="105">
        <f t="shared" si="20"/>
        <v>6252</v>
      </c>
      <c r="AD121" s="42" t="s">
        <v>66</v>
      </c>
      <c r="AE121" s="48" t="s">
        <v>67</v>
      </c>
      <c r="AF121" s="49" t="str">
        <f t="shared" si="21"/>
        <v>..</v>
      </c>
      <c r="AG121" s="36"/>
      <c r="AH121" s="32"/>
      <c r="AI121" s="108"/>
      <c r="AJ121" s="28"/>
      <c r="AK121" s="25"/>
      <c r="AL121" s="29"/>
      <c r="AM121" s="21"/>
      <c r="AN121" s="19">
        <v>60</v>
      </c>
      <c r="AO121" s="19">
        <v>44</v>
      </c>
      <c r="AP121" s="106">
        <f t="shared" si="24"/>
        <v>104</v>
      </c>
      <c r="AQ121" s="20">
        <v>59352</v>
      </c>
      <c r="AR121" s="20">
        <v>65108</v>
      </c>
      <c r="AS121" s="118">
        <f t="shared" si="18"/>
        <v>0.75448133685196517</v>
      </c>
      <c r="AT121" s="118">
        <f t="shared" si="19"/>
        <v>0.68495012367155017</v>
      </c>
      <c r="AU121" s="19" t="s">
        <v>66</v>
      </c>
      <c r="AV121" s="19" t="s">
        <v>66</v>
      </c>
      <c r="AW121" s="19" t="s">
        <v>67</v>
      </c>
      <c r="AX121" s="19" t="s">
        <v>66</v>
      </c>
      <c r="AY121" s="22">
        <v>632</v>
      </c>
      <c r="AZ121" s="22" t="s">
        <v>67</v>
      </c>
      <c r="BA121" s="20">
        <v>130</v>
      </c>
      <c r="BB121" s="106">
        <f t="shared" si="13"/>
        <v>762</v>
      </c>
      <c r="BC121" s="21"/>
      <c r="BD121" s="70" t="s">
        <v>66</v>
      </c>
      <c r="BE121" s="70" t="s">
        <v>66</v>
      </c>
      <c r="BF121" s="114" t="str">
        <f t="shared" si="14"/>
        <v>..</v>
      </c>
      <c r="BG121" s="73"/>
      <c r="BH121" s="73"/>
      <c r="BI121" s="71" t="s">
        <v>66</v>
      </c>
      <c r="BJ121" s="71" t="s">
        <v>66</v>
      </c>
      <c r="BK121" s="71" t="s">
        <v>66</v>
      </c>
      <c r="BL121" s="116" t="s">
        <v>66</v>
      </c>
    </row>
    <row r="122" spans="1:64" s="13" customFormat="1" x14ac:dyDescent="0.2">
      <c r="A122" s="13" t="str">
        <f t="shared" si="9"/>
        <v>1997Q1</v>
      </c>
      <c r="B122" s="11">
        <v>1997</v>
      </c>
      <c r="C122" s="63" t="s">
        <v>1</v>
      </c>
      <c r="D122" s="43">
        <v>1232</v>
      </c>
      <c r="E122" s="43">
        <v>1920</v>
      </c>
      <c r="F122" s="87">
        <f t="shared" si="10"/>
        <v>3152</v>
      </c>
      <c r="G122" s="41">
        <v>1021174</v>
      </c>
      <c r="H122" s="41">
        <v>1161646</v>
      </c>
      <c r="I122" s="93">
        <f t="shared" si="16"/>
        <v>140472</v>
      </c>
      <c r="J122" s="95">
        <f t="shared" si="22"/>
        <v>1.2968063081008967</v>
      </c>
      <c r="K122" s="95">
        <f t="shared" si="23"/>
        <v>1.1583451326060992</v>
      </c>
      <c r="L122" s="50">
        <v>578</v>
      </c>
      <c r="M122" s="50">
        <v>58</v>
      </c>
      <c r="N122" s="42" t="s">
        <v>67</v>
      </c>
      <c r="O122" s="42" t="s">
        <v>67</v>
      </c>
      <c r="P122" s="51">
        <v>173</v>
      </c>
      <c r="Q122" s="98">
        <v>5117</v>
      </c>
      <c r="R122" s="42" t="s">
        <v>67</v>
      </c>
      <c r="S122" s="42" t="s">
        <v>66</v>
      </c>
      <c r="T122" s="92" t="s">
        <v>66</v>
      </c>
      <c r="U122" s="42" t="s">
        <v>66</v>
      </c>
      <c r="V122" s="92" t="s">
        <v>66</v>
      </c>
      <c r="W122" s="50">
        <v>2850</v>
      </c>
      <c r="X122" s="92" t="s">
        <v>66</v>
      </c>
      <c r="Y122" s="102">
        <v>2267</v>
      </c>
      <c r="Z122" s="92" t="s">
        <v>66</v>
      </c>
      <c r="AA122" s="52">
        <v>1094</v>
      </c>
      <c r="AB122" s="52">
        <v>0</v>
      </c>
      <c r="AC122" s="105">
        <f t="shared" si="20"/>
        <v>6211</v>
      </c>
      <c r="AD122" s="42" t="s">
        <v>66</v>
      </c>
      <c r="AE122" s="48" t="s">
        <v>67</v>
      </c>
      <c r="AF122" s="49" t="str">
        <f t="shared" si="21"/>
        <v>..</v>
      </c>
      <c r="AG122" s="36"/>
      <c r="AH122" s="32"/>
      <c r="AI122" s="108"/>
      <c r="AJ122" s="28"/>
      <c r="AK122" s="25"/>
      <c r="AL122" s="29"/>
      <c r="AM122" s="21"/>
      <c r="AN122" s="19">
        <v>66</v>
      </c>
      <c r="AO122" s="19">
        <v>60</v>
      </c>
      <c r="AP122" s="106">
        <f t="shared" si="24"/>
        <v>126</v>
      </c>
      <c r="AQ122" s="20">
        <v>61091</v>
      </c>
      <c r="AR122" s="20">
        <v>67415</v>
      </c>
      <c r="AS122" s="118">
        <f t="shared" si="18"/>
        <v>0.77938583386288363</v>
      </c>
      <c r="AT122" s="118">
        <f t="shared" si="19"/>
        <v>0.70664097525611924</v>
      </c>
      <c r="AU122" s="19" t="s">
        <v>66</v>
      </c>
      <c r="AV122" s="19" t="s">
        <v>66</v>
      </c>
      <c r="AW122" s="19" t="s">
        <v>67</v>
      </c>
      <c r="AX122" s="19" t="s">
        <v>66</v>
      </c>
      <c r="AY122" s="22">
        <v>619</v>
      </c>
      <c r="AZ122" s="22" t="s">
        <v>67</v>
      </c>
      <c r="BA122" s="20">
        <v>130</v>
      </c>
      <c r="BB122" s="106">
        <f t="shared" si="13"/>
        <v>749</v>
      </c>
      <c r="BC122" s="21"/>
      <c r="BD122" s="70" t="s">
        <v>66</v>
      </c>
      <c r="BE122" s="70" t="s">
        <v>66</v>
      </c>
      <c r="BF122" s="114" t="str">
        <f t="shared" si="14"/>
        <v>..</v>
      </c>
      <c r="BG122" s="73"/>
      <c r="BH122" s="73"/>
      <c r="BI122" s="71" t="s">
        <v>66</v>
      </c>
      <c r="BJ122" s="71" t="s">
        <v>66</v>
      </c>
      <c r="BK122" s="71" t="s">
        <v>66</v>
      </c>
      <c r="BL122" s="116" t="s">
        <v>66</v>
      </c>
    </row>
    <row r="123" spans="1:64" s="13" customFormat="1" x14ac:dyDescent="0.2">
      <c r="A123" s="13" t="str">
        <f t="shared" si="9"/>
        <v>1997Q2</v>
      </c>
      <c r="B123" s="11">
        <f>B122</f>
        <v>1997</v>
      </c>
      <c r="C123" s="11" t="s">
        <v>2</v>
      </c>
      <c r="D123" s="43">
        <v>1276</v>
      </c>
      <c r="E123" s="43">
        <v>1866</v>
      </c>
      <c r="F123" s="87">
        <f t="shared" si="10"/>
        <v>3142</v>
      </c>
      <c r="G123" s="41">
        <v>1045075</v>
      </c>
      <c r="H123" s="41">
        <v>1190134</v>
      </c>
      <c r="I123" s="93">
        <f t="shared" si="16"/>
        <v>145059</v>
      </c>
      <c r="J123" s="95">
        <f t="shared" si="22"/>
        <v>1.2599019902303297</v>
      </c>
      <c r="K123" s="95">
        <f t="shared" si="23"/>
        <v>1.1206483017431268</v>
      </c>
      <c r="L123" s="50">
        <v>428</v>
      </c>
      <c r="M123" s="50">
        <v>44</v>
      </c>
      <c r="N123" s="42" t="s">
        <v>67</v>
      </c>
      <c r="O123" s="42" t="s">
        <v>67</v>
      </c>
      <c r="P123" s="51">
        <v>150</v>
      </c>
      <c r="Q123" s="98">
        <v>5278</v>
      </c>
      <c r="R123" s="42" t="s">
        <v>67</v>
      </c>
      <c r="S123" s="42" t="s">
        <v>66</v>
      </c>
      <c r="T123" s="92" t="s">
        <v>66</v>
      </c>
      <c r="U123" s="42" t="s">
        <v>66</v>
      </c>
      <c r="V123" s="92" t="s">
        <v>66</v>
      </c>
      <c r="W123" s="50">
        <v>3097</v>
      </c>
      <c r="X123" s="92" t="s">
        <v>66</v>
      </c>
      <c r="Y123" s="102">
        <v>2181</v>
      </c>
      <c r="Z123" s="92" t="s">
        <v>66</v>
      </c>
      <c r="AA123" s="52">
        <v>1199</v>
      </c>
      <c r="AB123" s="52">
        <v>1</v>
      </c>
      <c r="AC123" s="105">
        <f t="shared" si="20"/>
        <v>6478</v>
      </c>
      <c r="AD123" s="42" t="s">
        <v>66</v>
      </c>
      <c r="AE123" s="48" t="s">
        <v>67</v>
      </c>
      <c r="AF123" s="49" t="str">
        <f t="shared" si="21"/>
        <v>..</v>
      </c>
      <c r="AG123" s="36"/>
      <c r="AH123" s="32"/>
      <c r="AI123" s="108"/>
      <c r="AJ123" s="28"/>
      <c r="AK123" s="25"/>
      <c r="AL123" s="29"/>
      <c r="AM123" s="21"/>
      <c r="AN123" s="19">
        <v>66</v>
      </c>
      <c r="AO123" s="19">
        <v>59</v>
      </c>
      <c r="AP123" s="106">
        <f t="shared" si="24"/>
        <v>125</v>
      </c>
      <c r="AQ123" s="20">
        <v>62421</v>
      </c>
      <c r="AR123" s="20">
        <v>69181</v>
      </c>
      <c r="AS123" s="118">
        <f t="shared" si="18"/>
        <v>0.77202524373762715</v>
      </c>
      <c r="AT123" s="118">
        <f t="shared" si="19"/>
        <v>0.70032316839997899</v>
      </c>
      <c r="AU123" s="19" t="s">
        <v>66</v>
      </c>
      <c r="AV123" s="19" t="s">
        <v>66</v>
      </c>
      <c r="AW123" s="19" t="s">
        <v>67</v>
      </c>
      <c r="AX123" s="19" t="s">
        <v>66</v>
      </c>
      <c r="AY123" s="22">
        <v>658</v>
      </c>
      <c r="AZ123" s="22" t="s">
        <v>67</v>
      </c>
      <c r="BA123" s="20">
        <v>207</v>
      </c>
      <c r="BB123" s="106">
        <f t="shared" si="13"/>
        <v>865</v>
      </c>
      <c r="BC123" s="21"/>
      <c r="BD123" s="70" t="s">
        <v>66</v>
      </c>
      <c r="BE123" s="70" t="s">
        <v>66</v>
      </c>
      <c r="BF123" s="114" t="str">
        <f t="shared" si="14"/>
        <v>..</v>
      </c>
      <c r="BG123" s="73"/>
      <c r="BH123" s="73"/>
      <c r="BI123" s="71" t="s">
        <v>66</v>
      </c>
      <c r="BJ123" s="71" t="s">
        <v>66</v>
      </c>
      <c r="BK123" s="71" t="s">
        <v>66</v>
      </c>
      <c r="BL123" s="116" t="s">
        <v>66</v>
      </c>
    </row>
    <row r="124" spans="1:64" s="13" customFormat="1" x14ac:dyDescent="0.2">
      <c r="A124" s="13" t="str">
        <f t="shared" si="9"/>
        <v>1997Q3</v>
      </c>
      <c r="B124" s="11">
        <f>B123</f>
        <v>1997</v>
      </c>
      <c r="C124" s="11" t="s">
        <v>3</v>
      </c>
      <c r="D124" s="43">
        <v>1155</v>
      </c>
      <c r="E124" s="43">
        <v>1993</v>
      </c>
      <c r="F124" s="87">
        <f t="shared" si="10"/>
        <v>3148</v>
      </c>
      <c r="G124" s="41">
        <v>1071031</v>
      </c>
      <c r="H124" s="41">
        <v>1204307</v>
      </c>
      <c r="I124" s="93">
        <f t="shared" si="16"/>
        <v>133276</v>
      </c>
      <c r="J124" s="95">
        <f t="shared" si="22"/>
        <v>1.226141565543948</v>
      </c>
      <c r="K124" s="95">
        <f t="shared" si="23"/>
        <v>1.0874942856776653</v>
      </c>
      <c r="L124" s="50">
        <v>425</v>
      </c>
      <c r="M124" s="50">
        <v>42</v>
      </c>
      <c r="N124" s="42" t="s">
        <v>67</v>
      </c>
      <c r="O124" s="42" t="s">
        <v>67</v>
      </c>
      <c r="P124" s="51">
        <v>178</v>
      </c>
      <c r="Q124" s="98">
        <v>4958</v>
      </c>
      <c r="R124" s="42" t="s">
        <v>67</v>
      </c>
      <c r="S124" s="42" t="s">
        <v>66</v>
      </c>
      <c r="T124" s="92" t="s">
        <v>66</v>
      </c>
      <c r="U124" s="42" t="s">
        <v>66</v>
      </c>
      <c r="V124" s="92" t="s">
        <v>66</v>
      </c>
      <c r="W124" s="50">
        <v>2804</v>
      </c>
      <c r="X124" s="92" t="s">
        <v>66</v>
      </c>
      <c r="Y124" s="102">
        <v>2154</v>
      </c>
      <c r="Z124" s="92" t="s">
        <v>66</v>
      </c>
      <c r="AA124" s="52">
        <v>1191</v>
      </c>
      <c r="AB124" s="52">
        <v>3</v>
      </c>
      <c r="AC124" s="105">
        <f t="shared" si="20"/>
        <v>6152</v>
      </c>
      <c r="AD124" s="42" t="s">
        <v>66</v>
      </c>
      <c r="AE124" s="48" t="s">
        <v>67</v>
      </c>
      <c r="AF124" s="49" t="str">
        <f t="shared" si="21"/>
        <v>..</v>
      </c>
      <c r="AG124" s="36"/>
      <c r="AH124" s="32"/>
      <c r="AI124" s="108"/>
      <c r="AJ124" s="28"/>
      <c r="AK124" s="25"/>
      <c r="AL124" s="29"/>
      <c r="AM124" s="21"/>
      <c r="AN124" s="19">
        <v>61</v>
      </c>
      <c r="AO124" s="19">
        <v>56</v>
      </c>
      <c r="AP124" s="106">
        <f t="shared" si="24"/>
        <v>117</v>
      </c>
      <c r="AQ124" s="20">
        <v>63555</v>
      </c>
      <c r="AR124" s="20">
        <v>70361</v>
      </c>
      <c r="AS124" s="118">
        <f t="shared" ref="AS124:AS155" si="25">4*(SUM($AP121:$AP124)/SUM(AQ121:AQ124))*100</f>
        <v>0.76617468620520335</v>
      </c>
      <c r="AT124" s="118">
        <f t="shared" ref="AT124:AT155" si="26">4*(SUM($AP121:$AP124)/SUM(AR121:AR124))*100</f>
        <v>0.69395181298586739</v>
      </c>
      <c r="AU124" s="19" t="s">
        <v>66</v>
      </c>
      <c r="AV124" s="19" t="s">
        <v>66</v>
      </c>
      <c r="AW124" s="19" t="s">
        <v>67</v>
      </c>
      <c r="AX124" s="19" t="s">
        <v>66</v>
      </c>
      <c r="AY124" s="22">
        <v>589</v>
      </c>
      <c r="AZ124" s="22" t="s">
        <v>67</v>
      </c>
      <c r="BA124" s="20">
        <v>153</v>
      </c>
      <c r="BB124" s="106">
        <f t="shared" si="13"/>
        <v>742</v>
      </c>
      <c r="BC124" s="21"/>
      <c r="BD124" s="70" t="s">
        <v>66</v>
      </c>
      <c r="BE124" s="70" t="s">
        <v>66</v>
      </c>
      <c r="BF124" s="114" t="str">
        <f t="shared" si="14"/>
        <v>..</v>
      </c>
      <c r="BG124" s="73"/>
      <c r="BH124" s="73"/>
      <c r="BI124" s="71" t="s">
        <v>66</v>
      </c>
      <c r="BJ124" s="71" t="s">
        <v>66</v>
      </c>
      <c r="BK124" s="71" t="s">
        <v>66</v>
      </c>
      <c r="BL124" s="116" t="s">
        <v>66</v>
      </c>
    </row>
    <row r="125" spans="1:64" s="13" customFormat="1" x14ac:dyDescent="0.2">
      <c r="A125" s="13" t="str">
        <f t="shared" si="9"/>
        <v>1997Q4</v>
      </c>
      <c r="B125" s="11">
        <f>B124</f>
        <v>1997</v>
      </c>
      <c r="C125" s="11" t="s">
        <v>4</v>
      </c>
      <c r="D125" s="43">
        <v>1072</v>
      </c>
      <c r="E125" s="43">
        <v>2096</v>
      </c>
      <c r="F125" s="87">
        <f t="shared" si="10"/>
        <v>3168</v>
      </c>
      <c r="G125" s="41">
        <v>1091046</v>
      </c>
      <c r="H125" s="41">
        <v>1222951</v>
      </c>
      <c r="I125" s="93">
        <f t="shared" si="16"/>
        <v>131905</v>
      </c>
      <c r="J125" s="95">
        <f t="shared" si="22"/>
        <v>1.1929070748092745</v>
      </c>
      <c r="K125" s="95">
        <f t="shared" si="23"/>
        <v>1.055442538854054</v>
      </c>
      <c r="L125" s="50">
        <v>406</v>
      </c>
      <c r="M125" s="50">
        <v>52</v>
      </c>
      <c r="N125" s="42" t="s">
        <v>67</v>
      </c>
      <c r="O125" s="42" t="s">
        <v>67</v>
      </c>
      <c r="P125" s="51">
        <v>128</v>
      </c>
      <c r="Q125" s="98">
        <v>4539</v>
      </c>
      <c r="R125" s="42" t="s">
        <v>67</v>
      </c>
      <c r="S125" s="42" t="s">
        <v>66</v>
      </c>
      <c r="T125" s="92" t="s">
        <v>66</v>
      </c>
      <c r="U125" s="42" t="s">
        <v>66</v>
      </c>
      <c r="V125" s="92" t="s">
        <v>66</v>
      </c>
      <c r="W125" s="50">
        <v>2518</v>
      </c>
      <c r="X125" s="92" t="s">
        <v>66</v>
      </c>
      <c r="Y125" s="102">
        <v>2021</v>
      </c>
      <c r="Z125" s="92" t="s">
        <v>66</v>
      </c>
      <c r="AA125" s="52">
        <v>1061</v>
      </c>
      <c r="AB125" s="52">
        <v>0</v>
      </c>
      <c r="AC125" s="105">
        <f t="shared" si="20"/>
        <v>5600</v>
      </c>
      <c r="AD125" s="42" t="s">
        <v>66</v>
      </c>
      <c r="AE125" s="48" t="s">
        <v>67</v>
      </c>
      <c r="AF125" s="49" t="str">
        <f t="shared" si="21"/>
        <v>..</v>
      </c>
      <c r="AG125" s="36"/>
      <c r="AH125" s="32"/>
      <c r="AI125" s="108"/>
      <c r="AJ125" s="28"/>
      <c r="AK125" s="25"/>
      <c r="AL125" s="29"/>
      <c r="AM125" s="21"/>
      <c r="AN125" s="19">
        <v>61</v>
      </c>
      <c r="AO125" s="19">
        <v>48</v>
      </c>
      <c r="AP125" s="106">
        <f t="shared" si="24"/>
        <v>109</v>
      </c>
      <c r="AQ125" s="20">
        <v>64901</v>
      </c>
      <c r="AR125" s="20">
        <v>71719</v>
      </c>
      <c r="AS125" s="118">
        <f t="shared" si="25"/>
        <v>0.75723901447802888</v>
      </c>
      <c r="AT125" s="118">
        <f t="shared" si="26"/>
        <v>0.68466606381604445</v>
      </c>
      <c r="AU125" s="19" t="s">
        <v>66</v>
      </c>
      <c r="AV125" s="19" t="s">
        <v>66</v>
      </c>
      <c r="AW125" s="19" t="s">
        <v>67</v>
      </c>
      <c r="AX125" s="19" t="s">
        <v>66</v>
      </c>
      <c r="AY125" s="22">
        <v>636</v>
      </c>
      <c r="AZ125" s="22" t="s">
        <v>67</v>
      </c>
      <c r="BA125" s="20">
        <v>196</v>
      </c>
      <c r="BB125" s="106">
        <f t="shared" si="13"/>
        <v>832</v>
      </c>
      <c r="BC125" s="21"/>
      <c r="BD125" s="70" t="s">
        <v>66</v>
      </c>
      <c r="BE125" s="70" t="s">
        <v>66</v>
      </c>
      <c r="BF125" s="114" t="str">
        <f t="shared" si="14"/>
        <v>..</v>
      </c>
      <c r="BG125" s="73"/>
      <c r="BH125" s="73"/>
      <c r="BI125" s="71" t="s">
        <v>66</v>
      </c>
      <c r="BJ125" s="71" t="s">
        <v>66</v>
      </c>
      <c r="BK125" s="71" t="s">
        <v>66</v>
      </c>
      <c r="BL125" s="116" t="s">
        <v>66</v>
      </c>
    </row>
    <row r="126" spans="1:64" x14ac:dyDescent="0.2">
      <c r="A126" s="13" t="str">
        <f t="shared" si="9"/>
        <v>1998Q1</v>
      </c>
      <c r="B126" s="11">
        <v>1998</v>
      </c>
      <c r="C126" s="63" t="s">
        <v>1</v>
      </c>
      <c r="D126" s="44">
        <v>1333</v>
      </c>
      <c r="E126" s="44">
        <v>1932</v>
      </c>
      <c r="F126" s="87">
        <f t="shared" si="10"/>
        <v>3265</v>
      </c>
      <c r="G126" s="41">
        <v>1109839</v>
      </c>
      <c r="H126" s="41">
        <v>1240031</v>
      </c>
      <c r="I126" s="93">
        <f t="shared" si="16"/>
        <v>130192</v>
      </c>
      <c r="J126" s="95">
        <f t="shared" si="22"/>
        <v>1.1788766759068992</v>
      </c>
      <c r="K126" s="95">
        <f t="shared" si="23"/>
        <v>1.0477160420247527</v>
      </c>
      <c r="L126" s="50">
        <v>516</v>
      </c>
      <c r="M126" s="50">
        <v>85</v>
      </c>
      <c r="N126" s="42" t="s">
        <v>67</v>
      </c>
      <c r="O126" s="42" t="s">
        <v>67</v>
      </c>
      <c r="P126" s="51">
        <v>54</v>
      </c>
      <c r="Q126" s="98">
        <v>4938</v>
      </c>
      <c r="R126" s="42" t="s">
        <v>67</v>
      </c>
      <c r="S126" s="50">
        <v>2771</v>
      </c>
      <c r="T126" s="96">
        <f t="shared" ref="T126:T172" si="27">S126/$Q126*100</f>
        <v>56.115836371000405</v>
      </c>
      <c r="U126" s="50">
        <v>2167</v>
      </c>
      <c r="V126" s="96">
        <f t="shared" ref="V126:V172" si="28">U126/$Q126*100</f>
        <v>43.884163628999595</v>
      </c>
      <c r="W126" s="50">
        <v>2637</v>
      </c>
      <c r="X126" s="96">
        <f t="shared" ref="X126:X165" si="29">W126/$Q126*100</f>
        <v>53.402187120291615</v>
      </c>
      <c r="Y126" s="102">
        <v>2301</v>
      </c>
      <c r="Z126" s="96">
        <f t="shared" ref="Z126:Z165" si="30">Y126/$Q126*100</f>
        <v>46.597812879708385</v>
      </c>
      <c r="AA126" s="52">
        <v>1015</v>
      </c>
      <c r="AB126" s="52">
        <v>0</v>
      </c>
      <c r="AC126" s="105">
        <f t="shared" si="20"/>
        <v>5953</v>
      </c>
      <c r="AD126" s="42" t="s">
        <v>66</v>
      </c>
      <c r="AE126" s="48" t="s">
        <v>67</v>
      </c>
      <c r="AF126" s="49" t="str">
        <f t="shared" si="21"/>
        <v>..</v>
      </c>
      <c r="AG126" s="37">
        <v>1290.01</v>
      </c>
      <c r="AH126" s="33">
        <v>1812.12</v>
      </c>
      <c r="AI126" s="109">
        <f t="shared" ref="AI126:AI157" si="31">AG126+AH126</f>
        <v>3102.13</v>
      </c>
      <c r="AJ126" s="26">
        <v>4612.16</v>
      </c>
      <c r="AK126" s="26">
        <v>1081.6300000000001</v>
      </c>
      <c r="AL126" s="69">
        <f t="shared" ref="AL126:AL170" si="32">AJ126+AK126</f>
        <v>5693.79</v>
      </c>
      <c r="AM126" s="24"/>
      <c r="AN126" s="20">
        <v>79</v>
      </c>
      <c r="AO126" s="20">
        <v>71</v>
      </c>
      <c r="AP126" s="106">
        <f t="shared" si="24"/>
        <v>150</v>
      </c>
      <c r="AQ126" s="20">
        <v>65444</v>
      </c>
      <c r="AR126" s="20">
        <v>72315</v>
      </c>
      <c r="AS126" s="118">
        <f t="shared" si="25"/>
        <v>0.78183215577342469</v>
      </c>
      <c r="AT126" s="118">
        <f t="shared" si="26"/>
        <v>0.70668885942392867</v>
      </c>
      <c r="AU126" s="20">
        <v>16</v>
      </c>
      <c r="AV126" s="20">
        <v>2</v>
      </c>
      <c r="AW126" s="19" t="s">
        <v>67</v>
      </c>
      <c r="AX126" s="22">
        <v>0</v>
      </c>
      <c r="AY126" s="22">
        <v>702</v>
      </c>
      <c r="AZ126" s="22" t="s">
        <v>67</v>
      </c>
      <c r="BA126" s="20">
        <v>314</v>
      </c>
      <c r="BB126" s="106">
        <f t="shared" si="13"/>
        <v>1016</v>
      </c>
      <c r="BC126" s="24"/>
      <c r="BD126" s="50">
        <v>17</v>
      </c>
      <c r="BE126" s="70" t="s">
        <v>66</v>
      </c>
      <c r="BF126" s="114" t="str">
        <f t="shared" si="14"/>
        <v>..</v>
      </c>
      <c r="BG126" s="73"/>
      <c r="BH126" s="73"/>
      <c r="BI126" s="72">
        <v>99</v>
      </c>
      <c r="BJ126" s="72">
        <v>31</v>
      </c>
      <c r="BK126" s="71" t="s">
        <v>66</v>
      </c>
      <c r="BL126" s="114">
        <f t="shared" ref="BL126:BL157" si="33">BI126+BJ126</f>
        <v>130</v>
      </c>
    </row>
    <row r="127" spans="1:64" x14ac:dyDescent="0.2">
      <c r="A127" s="13" t="str">
        <f t="shared" si="9"/>
        <v>1998Q2</v>
      </c>
      <c r="B127" s="11">
        <f>B126</f>
        <v>1998</v>
      </c>
      <c r="C127" s="11" t="s">
        <v>2</v>
      </c>
      <c r="D127" s="44">
        <v>1312</v>
      </c>
      <c r="E127" s="44">
        <v>1939</v>
      </c>
      <c r="F127" s="87">
        <f t="shared" si="10"/>
        <v>3251</v>
      </c>
      <c r="G127" s="41">
        <v>1135484</v>
      </c>
      <c r="H127" s="41">
        <v>1267377</v>
      </c>
      <c r="I127" s="93">
        <f t="shared" si="16"/>
        <v>131893</v>
      </c>
      <c r="J127" s="95">
        <f t="shared" si="22"/>
        <v>1.1645868312383718</v>
      </c>
      <c r="K127" s="95">
        <f t="shared" si="23"/>
        <v>1.040151450979661</v>
      </c>
      <c r="L127" s="50">
        <v>395</v>
      </c>
      <c r="M127" s="50">
        <v>46</v>
      </c>
      <c r="N127" s="42" t="s">
        <v>67</v>
      </c>
      <c r="O127" s="42" t="s">
        <v>67</v>
      </c>
      <c r="P127" s="51">
        <v>127</v>
      </c>
      <c r="Q127" s="98">
        <v>4755</v>
      </c>
      <c r="R127" s="42" t="s">
        <v>67</v>
      </c>
      <c r="S127" s="50">
        <v>2476</v>
      </c>
      <c r="T127" s="96">
        <f t="shared" si="27"/>
        <v>52.071503680336484</v>
      </c>
      <c r="U127" s="50">
        <v>2279</v>
      </c>
      <c r="V127" s="96">
        <f t="shared" si="28"/>
        <v>47.928496319663509</v>
      </c>
      <c r="W127" s="50">
        <v>2521</v>
      </c>
      <c r="X127" s="96">
        <f t="shared" si="29"/>
        <v>53.017875920084123</v>
      </c>
      <c r="Y127" s="102">
        <v>2234</v>
      </c>
      <c r="Z127" s="96">
        <f t="shared" si="30"/>
        <v>46.982124079915877</v>
      </c>
      <c r="AA127" s="52">
        <v>1100</v>
      </c>
      <c r="AB127" s="52">
        <v>0</v>
      </c>
      <c r="AC127" s="105">
        <f t="shared" si="20"/>
        <v>5855</v>
      </c>
      <c r="AD127" s="48">
        <v>506</v>
      </c>
      <c r="AE127" s="48" t="s">
        <v>67</v>
      </c>
      <c r="AF127" s="49">
        <f t="shared" si="21"/>
        <v>506</v>
      </c>
      <c r="AG127" s="37">
        <v>1258.18</v>
      </c>
      <c r="AH127" s="33">
        <v>1993.1</v>
      </c>
      <c r="AI127" s="109">
        <f t="shared" si="31"/>
        <v>3251.2799999999997</v>
      </c>
      <c r="AJ127" s="26">
        <v>4675.6400000000003</v>
      </c>
      <c r="AK127" s="26">
        <v>1103.27</v>
      </c>
      <c r="AL127" s="69">
        <f t="shared" si="32"/>
        <v>5778.91</v>
      </c>
      <c r="AM127" s="24"/>
      <c r="AN127" s="20">
        <v>93</v>
      </c>
      <c r="AO127" s="20">
        <v>58</v>
      </c>
      <c r="AP127" s="106">
        <f t="shared" si="24"/>
        <v>151</v>
      </c>
      <c r="AQ127" s="20">
        <v>65887</v>
      </c>
      <c r="AR127" s="20">
        <v>73435</v>
      </c>
      <c r="AS127" s="118">
        <f t="shared" si="25"/>
        <v>0.81143398245485721</v>
      </c>
      <c r="AT127" s="118">
        <f t="shared" si="26"/>
        <v>0.73237675016502801</v>
      </c>
      <c r="AU127" s="20">
        <v>17</v>
      </c>
      <c r="AV127" s="20">
        <v>1</v>
      </c>
      <c r="AW127" s="19" t="s">
        <v>67</v>
      </c>
      <c r="AX127" s="22">
        <v>2</v>
      </c>
      <c r="AY127" s="22">
        <v>756</v>
      </c>
      <c r="AZ127" s="22" t="s">
        <v>67</v>
      </c>
      <c r="BA127" s="20">
        <v>415</v>
      </c>
      <c r="BB127" s="106">
        <f t="shared" si="13"/>
        <v>1171</v>
      </c>
      <c r="BC127" s="24"/>
      <c r="BD127" s="50">
        <v>22</v>
      </c>
      <c r="BE127" s="70" t="s">
        <v>66</v>
      </c>
      <c r="BF127" s="114" t="str">
        <f t="shared" si="14"/>
        <v>..</v>
      </c>
      <c r="BG127" s="73"/>
      <c r="BH127" s="73"/>
      <c r="BI127" s="72">
        <v>118</v>
      </c>
      <c r="BJ127" s="72">
        <v>32</v>
      </c>
      <c r="BK127" s="71" t="s">
        <v>66</v>
      </c>
      <c r="BL127" s="114">
        <f t="shared" si="33"/>
        <v>150</v>
      </c>
    </row>
    <row r="128" spans="1:64" x14ac:dyDescent="0.2">
      <c r="A128" s="13" t="str">
        <f t="shared" si="9"/>
        <v>1998Q3</v>
      </c>
      <c r="B128" s="11">
        <f>B127</f>
        <v>1998</v>
      </c>
      <c r="C128" s="11" t="s">
        <v>3</v>
      </c>
      <c r="D128" s="44">
        <v>1275</v>
      </c>
      <c r="E128" s="44">
        <v>2048</v>
      </c>
      <c r="F128" s="87">
        <f t="shared" si="10"/>
        <v>3323</v>
      </c>
      <c r="G128" s="41">
        <v>1159098</v>
      </c>
      <c r="H128" s="41">
        <v>1289759</v>
      </c>
      <c r="I128" s="93">
        <f t="shared" si="16"/>
        <v>130661</v>
      </c>
      <c r="J128" s="95">
        <f t="shared" si="22"/>
        <v>1.1573436085728135</v>
      </c>
      <c r="K128" s="95">
        <f t="shared" si="23"/>
        <v>1.0363899812713566</v>
      </c>
      <c r="L128" s="50">
        <v>443</v>
      </c>
      <c r="M128" s="50">
        <v>105</v>
      </c>
      <c r="N128" s="42" t="s">
        <v>67</v>
      </c>
      <c r="O128" s="42" t="s">
        <v>67</v>
      </c>
      <c r="P128" s="51">
        <v>153</v>
      </c>
      <c r="Q128" s="98">
        <v>5113</v>
      </c>
      <c r="R128" s="42" t="s">
        <v>67</v>
      </c>
      <c r="S128" s="50">
        <v>2613</v>
      </c>
      <c r="T128" s="96">
        <f t="shared" si="27"/>
        <v>51.105026403285748</v>
      </c>
      <c r="U128" s="50">
        <v>2500</v>
      </c>
      <c r="V128" s="96">
        <f t="shared" si="28"/>
        <v>48.894973596714259</v>
      </c>
      <c r="W128" s="50">
        <v>2672</v>
      </c>
      <c r="X128" s="96">
        <f t="shared" si="29"/>
        <v>52.258947780168199</v>
      </c>
      <c r="Y128" s="102">
        <v>2441</v>
      </c>
      <c r="Z128" s="96">
        <f t="shared" si="30"/>
        <v>47.741052219831801</v>
      </c>
      <c r="AA128" s="52">
        <v>1267</v>
      </c>
      <c r="AB128" s="52">
        <v>1</v>
      </c>
      <c r="AC128" s="105">
        <f t="shared" si="20"/>
        <v>6381</v>
      </c>
      <c r="AD128" s="48">
        <v>648</v>
      </c>
      <c r="AE128" s="48" t="s">
        <v>67</v>
      </c>
      <c r="AF128" s="49">
        <f t="shared" si="21"/>
        <v>648</v>
      </c>
      <c r="AG128" s="37">
        <v>1333.04</v>
      </c>
      <c r="AH128" s="33">
        <v>2060.87</v>
      </c>
      <c r="AI128" s="109">
        <f t="shared" si="31"/>
        <v>3393.91</v>
      </c>
      <c r="AJ128" s="26">
        <v>5087.54</v>
      </c>
      <c r="AK128" s="26">
        <v>1211.1500000000001</v>
      </c>
      <c r="AL128" s="69">
        <f t="shared" si="32"/>
        <v>6298.6900000000005</v>
      </c>
      <c r="AM128" s="24"/>
      <c r="AN128" s="20">
        <v>82</v>
      </c>
      <c r="AO128" s="20">
        <v>42</v>
      </c>
      <c r="AP128" s="106">
        <f t="shared" si="24"/>
        <v>124</v>
      </c>
      <c r="AQ128" s="20">
        <v>67128</v>
      </c>
      <c r="AR128" s="20">
        <v>74652</v>
      </c>
      <c r="AS128" s="118">
        <f t="shared" si="25"/>
        <v>0.81105710814094767</v>
      </c>
      <c r="AT128" s="118">
        <f t="shared" si="26"/>
        <v>0.73120385045922753</v>
      </c>
      <c r="AU128" s="20">
        <v>19</v>
      </c>
      <c r="AV128" s="20">
        <v>0</v>
      </c>
      <c r="AW128" s="19" t="s">
        <v>67</v>
      </c>
      <c r="AX128" s="22">
        <v>0</v>
      </c>
      <c r="AY128" s="22">
        <v>830</v>
      </c>
      <c r="AZ128" s="22" t="s">
        <v>67</v>
      </c>
      <c r="BA128" s="20">
        <v>342</v>
      </c>
      <c r="BB128" s="106">
        <f t="shared" si="13"/>
        <v>1172</v>
      </c>
      <c r="BC128" s="24"/>
      <c r="BD128" s="50">
        <v>12</v>
      </c>
      <c r="BE128" s="70" t="s">
        <v>66</v>
      </c>
      <c r="BF128" s="114" t="str">
        <f t="shared" si="14"/>
        <v>..</v>
      </c>
      <c r="BG128" s="73"/>
      <c r="BH128" s="73"/>
      <c r="BI128" s="72">
        <v>82</v>
      </c>
      <c r="BJ128" s="72">
        <v>26</v>
      </c>
      <c r="BK128" s="71" t="s">
        <v>66</v>
      </c>
      <c r="BL128" s="114">
        <f t="shared" si="33"/>
        <v>108</v>
      </c>
    </row>
    <row r="129" spans="1:64" x14ac:dyDescent="0.2">
      <c r="A129" s="13" t="str">
        <f t="shared" si="9"/>
        <v>1998Q4</v>
      </c>
      <c r="B129" s="11">
        <f>B128</f>
        <v>1998</v>
      </c>
      <c r="C129" s="11" t="s">
        <v>4</v>
      </c>
      <c r="D129" s="44">
        <v>1296</v>
      </c>
      <c r="E129" s="44">
        <v>2068</v>
      </c>
      <c r="F129" s="87">
        <f t="shared" si="10"/>
        <v>3364</v>
      </c>
      <c r="G129" s="41">
        <v>1180605</v>
      </c>
      <c r="H129" s="41">
        <v>1311275</v>
      </c>
      <c r="I129" s="93">
        <f t="shared" si="16"/>
        <v>130670</v>
      </c>
      <c r="J129" s="95">
        <f t="shared" si="22"/>
        <v>1.1518364345153114</v>
      </c>
      <c r="K129" s="95">
        <f t="shared" si="23"/>
        <v>1.0338181386810303</v>
      </c>
      <c r="L129" s="50">
        <v>359</v>
      </c>
      <c r="M129" s="50">
        <v>102</v>
      </c>
      <c r="N129" s="42" t="s">
        <v>67</v>
      </c>
      <c r="O129" s="42" t="s">
        <v>67</v>
      </c>
      <c r="P129" s="51">
        <v>136</v>
      </c>
      <c r="Q129" s="98">
        <v>4841</v>
      </c>
      <c r="R129" s="42" t="s">
        <v>67</v>
      </c>
      <c r="S129" s="50">
        <v>2637</v>
      </c>
      <c r="T129" s="96">
        <f t="shared" si="27"/>
        <v>54.472216484197475</v>
      </c>
      <c r="U129" s="50">
        <v>2204</v>
      </c>
      <c r="V129" s="96">
        <f t="shared" si="28"/>
        <v>45.527783515802525</v>
      </c>
      <c r="W129" s="50">
        <v>2590</v>
      </c>
      <c r="X129" s="96">
        <f t="shared" si="29"/>
        <v>53.50134269778971</v>
      </c>
      <c r="Y129" s="102">
        <v>2251</v>
      </c>
      <c r="Z129" s="96">
        <f t="shared" si="30"/>
        <v>46.49865730221029</v>
      </c>
      <c r="AA129" s="52">
        <v>1520</v>
      </c>
      <c r="AB129" s="52">
        <v>0</v>
      </c>
      <c r="AC129" s="105">
        <f t="shared" si="20"/>
        <v>6361</v>
      </c>
      <c r="AD129" s="48">
        <v>621</v>
      </c>
      <c r="AE129" s="48" t="s">
        <v>67</v>
      </c>
      <c r="AF129" s="49">
        <f t="shared" si="21"/>
        <v>621</v>
      </c>
      <c r="AG129" s="37">
        <v>1334.78</v>
      </c>
      <c r="AH129" s="33">
        <v>2120.91</v>
      </c>
      <c r="AI129" s="109">
        <f t="shared" si="31"/>
        <v>3455.6899999999996</v>
      </c>
      <c r="AJ129" s="26">
        <v>5271.66</v>
      </c>
      <c r="AK129" s="26">
        <v>1505.96</v>
      </c>
      <c r="AL129" s="69">
        <f t="shared" si="32"/>
        <v>6777.62</v>
      </c>
      <c r="AM129" s="24"/>
      <c r="AN129" s="20">
        <v>84</v>
      </c>
      <c r="AO129" s="20">
        <v>57</v>
      </c>
      <c r="AP129" s="106">
        <f t="shared" si="24"/>
        <v>141</v>
      </c>
      <c r="AQ129" s="20">
        <v>67128</v>
      </c>
      <c r="AR129" s="20">
        <v>74652</v>
      </c>
      <c r="AS129" s="118">
        <f t="shared" si="25"/>
        <v>0.85245136245373465</v>
      </c>
      <c r="AT129" s="118">
        <f t="shared" si="26"/>
        <v>0.76731716906057867</v>
      </c>
      <c r="AU129" s="20">
        <v>31</v>
      </c>
      <c r="AV129" s="20">
        <v>0</v>
      </c>
      <c r="AW129" s="19" t="s">
        <v>67</v>
      </c>
      <c r="AX129" s="22">
        <v>0</v>
      </c>
      <c r="AY129" s="22">
        <v>728</v>
      </c>
      <c r="AZ129" s="22" t="s">
        <v>67</v>
      </c>
      <c r="BA129" s="20">
        <v>378</v>
      </c>
      <c r="BB129" s="106">
        <f t="shared" si="13"/>
        <v>1106</v>
      </c>
      <c r="BC129" s="24"/>
      <c r="BD129" s="50">
        <v>12</v>
      </c>
      <c r="BE129" s="70" t="s">
        <v>66</v>
      </c>
      <c r="BF129" s="114" t="str">
        <f t="shared" si="14"/>
        <v>..</v>
      </c>
      <c r="BG129" s="73"/>
      <c r="BH129" s="73"/>
      <c r="BI129" s="72">
        <v>95</v>
      </c>
      <c r="BJ129" s="72">
        <v>34</v>
      </c>
      <c r="BK129" s="71" t="s">
        <v>66</v>
      </c>
      <c r="BL129" s="114">
        <f t="shared" si="33"/>
        <v>129</v>
      </c>
    </row>
    <row r="130" spans="1:64" x14ac:dyDescent="0.2">
      <c r="A130" s="13" t="str">
        <f t="shared" si="9"/>
        <v>1999Q1</v>
      </c>
      <c r="B130" s="11">
        <v>1999</v>
      </c>
      <c r="C130" s="11" t="s">
        <v>1</v>
      </c>
      <c r="D130" s="44">
        <v>1379</v>
      </c>
      <c r="E130" s="44">
        <v>2533</v>
      </c>
      <c r="F130" s="87">
        <f t="shared" si="10"/>
        <v>3912</v>
      </c>
      <c r="G130" s="41">
        <v>1198653</v>
      </c>
      <c r="H130" s="41">
        <v>1333496</v>
      </c>
      <c r="I130" s="93">
        <f t="shared" si="16"/>
        <v>134843</v>
      </c>
      <c r="J130" s="95">
        <f t="shared" si="22"/>
        <v>1.1853208496653715</v>
      </c>
      <c r="K130" s="95">
        <f t="shared" si="23"/>
        <v>1.0649940492976901</v>
      </c>
      <c r="L130" s="50">
        <v>419</v>
      </c>
      <c r="M130" s="50">
        <v>193</v>
      </c>
      <c r="N130" s="42" t="s">
        <v>67</v>
      </c>
      <c r="O130" s="42" t="s">
        <v>67</v>
      </c>
      <c r="P130" s="51">
        <v>106</v>
      </c>
      <c r="Q130" s="98">
        <v>5799</v>
      </c>
      <c r="R130" s="42" t="s">
        <v>67</v>
      </c>
      <c r="S130" s="50">
        <v>3336</v>
      </c>
      <c r="T130" s="96">
        <f t="shared" si="27"/>
        <v>57.527159855147438</v>
      </c>
      <c r="U130" s="50">
        <v>2463</v>
      </c>
      <c r="V130" s="96">
        <f t="shared" si="28"/>
        <v>42.472840144852562</v>
      </c>
      <c r="W130" s="50">
        <v>2996</v>
      </c>
      <c r="X130" s="96">
        <f t="shared" si="29"/>
        <v>51.664080013795477</v>
      </c>
      <c r="Y130" s="102">
        <v>2803</v>
      </c>
      <c r="Z130" s="96">
        <f t="shared" si="30"/>
        <v>48.335919986204516</v>
      </c>
      <c r="AA130" s="52">
        <v>1226</v>
      </c>
      <c r="AB130" s="52">
        <v>0</v>
      </c>
      <c r="AC130" s="105">
        <f t="shared" si="20"/>
        <v>7025</v>
      </c>
      <c r="AD130" s="48">
        <v>522</v>
      </c>
      <c r="AE130" s="48" t="s">
        <v>67</v>
      </c>
      <c r="AF130" s="49">
        <f t="shared" si="21"/>
        <v>522</v>
      </c>
      <c r="AG130" s="37">
        <v>1331.79</v>
      </c>
      <c r="AH130" s="33">
        <v>2382.2800000000002</v>
      </c>
      <c r="AI130" s="109">
        <f t="shared" si="31"/>
        <v>3714.07</v>
      </c>
      <c r="AJ130" s="26">
        <v>5435.55</v>
      </c>
      <c r="AK130" s="26">
        <v>1324.16</v>
      </c>
      <c r="AL130" s="69">
        <f t="shared" si="32"/>
        <v>6759.71</v>
      </c>
      <c r="AM130" s="24"/>
      <c r="AN130" s="20">
        <v>83</v>
      </c>
      <c r="AO130" s="20">
        <v>70</v>
      </c>
      <c r="AP130" s="106">
        <f t="shared" si="24"/>
        <v>153</v>
      </c>
      <c r="AQ130" s="20">
        <v>68868</v>
      </c>
      <c r="AR130" s="20">
        <v>75876</v>
      </c>
      <c r="AS130" s="118">
        <f t="shared" si="25"/>
        <v>0.84606205694190939</v>
      </c>
      <c r="AT130" s="118">
        <f t="shared" si="26"/>
        <v>0.76218542270147183</v>
      </c>
      <c r="AU130" s="20">
        <v>22</v>
      </c>
      <c r="AV130" s="20">
        <v>3</v>
      </c>
      <c r="AW130" s="19" t="s">
        <v>67</v>
      </c>
      <c r="AX130" s="22">
        <v>0</v>
      </c>
      <c r="AY130" s="22">
        <v>776</v>
      </c>
      <c r="AZ130" s="22" t="s">
        <v>67</v>
      </c>
      <c r="BA130" s="20">
        <v>437</v>
      </c>
      <c r="BB130" s="106">
        <f t="shared" si="13"/>
        <v>1213</v>
      </c>
      <c r="BC130" s="24"/>
      <c r="BD130" s="50">
        <v>16</v>
      </c>
      <c r="BE130" s="70" t="s">
        <v>66</v>
      </c>
      <c r="BF130" s="114" t="str">
        <f t="shared" si="14"/>
        <v>..</v>
      </c>
      <c r="BG130" s="73"/>
      <c r="BH130" s="73"/>
      <c r="BI130" s="72">
        <v>110</v>
      </c>
      <c r="BJ130" s="72">
        <v>37</v>
      </c>
      <c r="BK130" s="71" t="s">
        <v>66</v>
      </c>
      <c r="BL130" s="114">
        <f t="shared" si="33"/>
        <v>147</v>
      </c>
    </row>
    <row r="131" spans="1:64" x14ac:dyDescent="0.2">
      <c r="A131" s="13" t="str">
        <f t="shared" si="9"/>
        <v>1999Q2</v>
      </c>
      <c r="B131" s="11">
        <f t="shared" ref="B131:B172" si="34">B127+1</f>
        <v>1999</v>
      </c>
      <c r="C131" s="11" t="s">
        <v>2</v>
      </c>
      <c r="D131" s="44">
        <v>1294</v>
      </c>
      <c r="E131" s="44">
        <v>2296</v>
      </c>
      <c r="F131" s="87">
        <f t="shared" si="10"/>
        <v>3590</v>
      </c>
      <c r="G131" s="41">
        <v>1222553</v>
      </c>
      <c r="H131" s="41">
        <v>1362684</v>
      </c>
      <c r="I131" s="93">
        <f t="shared" si="16"/>
        <v>140131</v>
      </c>
      <c r="J131" s="95">
        <f t="shared" si="22"/>
        <v>1.192125285318413</v>
      </c>
      <c r="K131" s="95">
        <f t="shared" si="23"/>
        <v>1.0714311334222102</v>
      </c>
      <c r="L131" s="50">
        <v>397</v>
      </c>
      <c r="M131" s="50">
        <v>81</v>
      </c>
      <c r="N131" s="42" t="s">
        <v>67</v>
      </c>
      <c r="O131" s="42" t="s">
        <v>67</v>
      </c>
      <c r="P131" s="51">
        <v>128</v>
      </c>
      <c r="Q131" s="99">
        <v>5527</v>
      </c>
      <c r="R131" s="42" t="s">
        <v>67</v>
      </c>
      <c r="S131" s="50">
        <v>3096</v>
      </c>
      <c r="T131" s="96">
        <f t="shared" si="27"/>
        <v>56.015921838248595</v>
      </c>
      <c r="U131" s="50">
        <v>2431</v>
      </c>
      <c r="V131" s="96">
        <f t="shared" si="28"/>
        <v>43.984078161751398</v>
      </c>
      <c r="W131" s="50">
        <v>2721</v>
      </c>
      <c r="X131" s="96">
        <f t="shared" si="29"/>
        <v>49.231047584584765</v>
      </c>
      <c r="Y131" s="102">
        <v>2806</v>
      </c>
      <c r="Z131" s="96">
        <f t="shared" si="30"/>
        <v>50.768952415415235</v>
      </c>
      <c r="AA131" s="53">
        <v>1593</v>
      </c>
      <c r="AB131" s="50">
        <v>0</v>
      </c>
      <c r="AC131" s="105">
        <f t="shared" si="20"/>
        <v>7120</v>
      </c>
      <c r="AD131" s="48">
        <v>543</v>
      </c>
      <c r="AE131" s="48" t="s">
        <v>67</v>
      </c>
      <c r="AF131" s="49">
        <f t="shared" si="21"/>
        <v>543</v>
      </c>
      <c r="AG131" s="37">
        <v>1230.81</v>
      </c>
      <c r="AH131" s="33">
        <v>2382.64</v>
      </c>
      <c r="AI131" s="109">
        <f t="shared" si="31"/>
        <v>3613.45</v>
      </c>
      <c r="AJ131" s="26">
        <v>5446.2</v>
      </c>
      <c r="AK131" s="26">
        <v>1606.53</v>
      </c>
      <c r="AL131" s="69">
        <f t="shared" si="32"/>
        <v>7052.73</v>
      </c>
      <c r="AM131" s="24"/>
      <c r="AN131" s="20">
        <v>89</v>
      </c>
      <c r="AO131" s="20">
        <v>47</v>
      </c>
      <c r="AP131" s="106">
        <f t="shared" si="24"/>
        <v>136</v>
      </c>
      <c r="AQ131" s="20">
        <v>70079</v>
      </c>
      <c r="AR131" s="20">
        <v>77145</v>
      </c>
      <c r="AS131" s="118">
        <f t="shared" si="25"/>
        <v>0.81111847234473999</v>
      </c>
      <c r="AT131" s="118">
        <f t="shared" si="26"/>
        <v>0.73298602497312493</v>
      </c>
      <c r="AU131" s="20">
        <v>21</v>
      </c>
      <c r="AV131" s="20">
        <v>0</v>
      </c>
      <c r="AW131" s="19" t="s">
        <v>67</v>
      </c>
      <c r="AX131" s="22">
        <v>0</v>
      </c>
      <c r="AY131" s="22">
        <v>807</v>
      </c>
      <c r="AZ131" s="22" t="s">
        <v>67</v>
      </c>
      <c r="BA131" s="20">
        <v>504</v>
      </c>
      <c r="BB131" s="106">
        <f t="shared" si="13"/>
        <v>1311</v>
      </c>
      <c r="BC131" s="24"/>
      <c r="BD131" s="50">
        <v>14</v>
      </c>
      <c r="BE131" s="70" t="s">
        <v>66</v>
      </c>
      <c r="BF131" s="114" t="str">
        <f t="shared" si="14"/>
        <v>..</v>
      </c>
      <c r="BG131" s="73"/>
      <c r="BH131" s="73"/>
      <c r="BI131" s="72">
        <v>100</v>
      </c>
      <c r="BJ131" s="72">
        <v>31</v>
      </c>
      <c r="BK131" s="71" t="s">
        <v>66</v>
      </c>
      <c r="BL131" s="114">
        <f t="shared" si="33"/>
        <v>131</v>
      </c>
    </row>
    <row r="132" spans="1:64" x14ac:dyDescent="0.2">
      <c r="A132" s="13" t="str">
        <f t="shared" si="9"/>
        <v>1999Q3</v>
      </c>
      <c r="B132" s="11">
        <f t="shared" si="34"/>
        <v>1999</v>
      </c>
      <c r="C132" s="11" t="s">
        <v>3</v>
      </c>
      <c r="D132" s="44">
        <v>1240</v>
      </c>
      <c r="E132" s="44">
        <v>2136</v>
      </c>
      <c r="F132" s="87">
        <f t="shared" si="10"/>
        <v>3376</v>
      </c>
      <c r="G132" s="41">
        <v>1239153</v>
      </c>
      <c r="H132" s="41">
        <v>1382419</v>
      </c>
      <c r="I132" s="93">
        <f t="shared" si="16"/>
        <v>143266</v>
      </c>
      <c r="J132" s="95">
        <f t="shared" si="22"/>
        <v>1.1767904078609135</v>
      </c>
      <c r="K132" s="95">
        <f t="shared" si="23"/>
        <v>1.0569449304380771</v>
      </c>
      <c r="L132" s="50">
        <v>375</v>
      </c>
      <c r="M132" s="50">
        <v>64</v>
      </c>
      <c r="N132" s="42" t="s">
        <v>67</v>
      </c>
      <c r="O132" s="42" t="s">
        <v>67</v>
      </c>
      <c r="P132" s="51">
        <v>120</v>
      </c>
      <c r="Q132" s="99">
        <v>5365</v>
      </c>
      <c r="R132" s="42" t="s">
        <v>67</v>
      </c>
      <c r="S132" s="50">
        <v>3102</v>
      </c>
      <c r="T132" s="96">
        <f t="shared" si="27"/>
        <v>57.819198508853688</v>
      </c>
      <c r="U132" s="50">
        <v>2263</v>
      </c>
      <c r="V132" s="96">
        <f t="shared" si="28"/>
        <v>42.180801491146319</v>
      </c>
      <c r="W132" s="50">
        <v>2614</v>
      </c>
      <c r="X132" s="96">
        <f t="shared" si="29"/>
        <v>48.723205964585276</v>
      </c>
      <c r="Y132" s="102">
        <v>2751</v>
      </c>
      <c r="Z132" s="96">
        <f t="shared" si="30"/>
        <v>51.276794035414731</v>
      </c>
      <c r="AA132" s="53">
        <v>2227</v>
      </c>
      <c r="AB132" s="50">
        <v>0</v>
      </c>
      <c r="AC132" s="105">
        <f t="shared" si="20"/>
        <v>7592</v>
      </c>
      <c r="AD132" s="48">
        <v>690</v>
      </c>
      <c r="AE132" s="48" t="s">
        <v>67</v>
      </c>
      <c r="AF132" s="49">
        <f t="shared" si="21"/>
        <v>690</v>
      </c>
      <c r="AG132" s="37">
        <v>1306.43</v>
      </c>
      <c r="AH132" s="33">
        <v>2145.39</v>
      </c>
      <c r="AI132" s="109">
        <f t="shared" si="31"/>
        <v>3451.8199999999997</v>
      </c>
      <c r="AJ132" s="26">
        <v>5355.74</v>
      </c>
      <c r="AK132" s="26">
        <v>2137.75</v>
      </c>
      <c r="AL132" s="69">
        <f t="shared" si="32"/>
        <v>7493.49</v>
      </c>
      <c r="AM132" s="24"/>
      <c r="AN132" s="20">
        <v>98</v>
      </c>
      <c r="AO132" s="20">
        <v>46</v>
      </c>
      <c r="AP132" s="106">
        <f t="shared" si="24"/>
        <v>144</v>
      </c>
      <c r="AQ132" s="20">
        <v>70991</v>
      </c>
      <c r="AR132" s="20">
        <v>78010</v>
      </c>
      <c r="AS132" s="118">
        <f t="shared" si="25"/>
        <v>0.8286834183912859</v>
      </c>
      <c r="AT132" s="118">
        <f t="shared" si="26"/>
        <v>0.75110490279145392</v>
      </c>
      <c r="AU132" s="20">
        <v>17</v>
      </c>
      <c r="AV132" s="20">
        <v>0</v>
      </c>
      <c r="AW132" s="19" t="s">
        <v>67</v>
      </c>
      <c r="AX132" s="22">
        <v>0</v>
      </c>
      <c r="AY132" s="22">
        <v>842</v>
      </c>
      <c r="AZ132" s="22" t="s">
        <v>67</v>
      </c>
      <c r="BA132" s="20">
        <v>609</v>
      </c>
      <c r="BB132" s="106">
        <f t="shared" si="13"/>
        <v>1451</v>
      </c>
      <c r="BC132" s="24"/>
      <c r="BD132" s="50">
        <v>14</v>
      </c>
      <c r="BE132" s="70" t="s">
        <v>66</v>
      </c>
      <c r="BF132" s="114" t="str">
        <f t="shared" si="14"/>
        <v>..</v>
      </c>
      <c r="BG132" s="73"/>
      <c r="BH132" s="73"/>
      <c r="BI132" s="72">
        <v>68</v>
      </c>
      <c r="BJ132" s="72">
        <v>40</v>
      </c>
      <c r="BK132" s="71" t="s">
        <v>66</v>
      </c>
      <c r="BL132" s="114">
        <f t="shared" si="33"/>
        <v>108</v>
      </c>
    </row>
    <row r="133" spans="1:64" ht="12.75" customHeight="1" x14ac:dyDescent="0.2">
      <c r="A133" s="13" t="str">
        <f t="shared" si="9"/>
        <v>1999Q4</v>
      </c>
      <c r="B133" s="11">
        <f t="shared" si="34"/>
        <v>1999</v>
      </c>
      <c r="C133" s="11" t="s">
        <v>4</v>
      </c>
      <c r="D133" s="44">
        <v>1296</v>
      </c>
      <c r="E133" s="44">
        <v>2106</v>
      </c>
      <c r="F133" s="87">
        <f t="shared" si="10"/>
        <v>3402</v>
      </c>
      <c r="G133" s="41">
        <v>1258002</v>
      </c>
      <c r="H133" s="41">
        <v>1401176</v>
      </c>
      <c r="I133" s="93">
        <f t="shared" si="16"/>
        <v>143174</v>
      </c>
      <c r="J133" s="95">
        <f t="shared" si="22"/>
        <v>1.1613624945383227</v>
      </c>
      <c r="K133" s="95">
        <f t="shared" si="23"/>
        <v>1.0423785648133364</v>
      </c>
      <c r="L133" s="50">
        <v>427</v>
      </c>
      <c r="M133" s="50">
        <v>102</v>
      </c>
      <c r="N133" s="42" t="s">
        <v>67</v>
      </c>
      <c r="O133" s="42" t="s">
        <v>67</v>
      </c>
      <c r="P133" s="51">
        <v>121</v>
      </c>
      <c r="Q133" s="99">
        <v>4920</v>
      </c>
      <c r="R133" s="42" t="s">
        <v>67</v>
      </c>
      <c r="S133" s="50">
        <v>2793</v>
      </c>
      <c r="T133" s="96">
        <f t="shared" si="27"/>
        <v>56.768292682926827</v>
      </c>
      <c r="U133" s="50">
        <v>2127</v>
      </c>
      <c r="V133" s="96">
        <f t="shared" si="28"/>
        <v>43.231707317073173</v>
      </c>
      <c r="W133" s="50">
        <v>2392</v>
      </c>
      <c r="X133" s="96">
        <f t="shared" si="29"/>
        <v>48.617886178861788</v>
      </c>
      <c r="Y133" s="102">
        <v>2528</v>
      </c>
      <c r="Z133" s="96">
        <f t="shared" si="30"/>
        <v>51.382113821138212</v>
      </c>
      <c r="AA133" s="53">
        <v>2149</v>
      </c>
      <c r="AB133" s="50">
        <v>0</v>
      </c>
      <c r="AC133" s="105">
        <f t="shared" si="20"/>
        <v>7069</v>
      </c>
      <c r="AD133" s="48">
        <v>696</v>
      </c>
      <c r="AE133" s="48" t="s">
        <v>67</v>
      </c>
      <c r="AF133" s="49">
        <f t="shared" si="21"/>
        <v>696</v>
      </c>
      <c r="AG133" s="37">
        <v>1339.96</v>
      </c>
      <c r="AH133" s="33">
        <v>2160.69</v>
      </c>
      <c r="AI133" s="109">
        <f t="shared" si="31"/>
        <v>3500.65</v>
      </c>
      <c r="AJ133" s="26">
        <v>5373.51</v>
      </c>
      <c r="AK133" s="26">
        <v>2126.56</v>
      </c>
      <c r="AL133" s="69">
        <f t="shared" si="32"/>
        <v>7500.07</v>
      </c>
      <c r="AM133" s="24"/>
      <c r="AN133" s="20">
        <v>94</v>
      </c>
      <c r="AO133" s="20">
        <v>45</v>
      </c>
      <c r="AP133" s="106">
        <f t="shared" si="24"/>
        <v>139</v>
      </c>
      <c r="AQ133" s="20">
        <v>71810.332999999999</v>
      </c>
      <c r="AR133" s="20">
        <v>78867.665999999997</v>
      </c>
      <c r="AS133" s="118">
        <f t="shared" si="25"/>
        <v>0.81207224037062897</v>
      </c>
      <c r="AT133" s="118">
        <f t="shared" si="26"/>
        <v>0.73830585640533231</v>
      </c>
      <c r="AU133" s="20">
        <v>9</v>
      </c>
      <c r="AV133" s="20">
        <v>0</v>
      </c>
      <c r="AW133" s="19" t="s">
        <v>67</v>
      </c>
      <c r="AX133" s="22">
        <v>0</v>
      </c>
      <c r="AY133" s="22">
        <v>770</v>
      </c>
      <c r="AZ133" s="22" t="s">
        <v>67</v>
      </c>
      <c r="BA133" s="20">
        <v>594</v>
      </c>
      <c r="BB133" s="106">
        <f t="shared" si="13"/>
        <v>1364</v>
      </c>
      <c r="BC133" s="24"/>
      <c r="BD133" s="50">
        <v>14</v>
      </c>
      <c r="BE133" s="70" t="s">
        <v>66</v>
      </c>
      <c r="BF133" s="114" t="str">
        <f t="shared" si="14"/>
        <v>..</v>
      </c>
      <c r="BG133" s="73"/>
      <c r="BH133" s="73"/>
      <c r="BI133" s="72">
        <v>123</v>
      </c>
      <c r="BJ133" s="72">
        <v>64</v>
      </c>
      <c r="BK133" s="71" t="s">
        <v>66</v>
      </c>
      <c r="BL133" s="114">
        <f t="shared" si="33"/>
        <v>187</v>
      </c>
    </row>
    <row r="134" spans="1:64" x14ac:dyDescent="0.2">
      <c r="A134" s="13" t="str">
        <f t="shared" ref="A134:A197" si="35">B134&amp;C134</f>
        <v>2000Q1</v>
      </c>
      <c r="B134" s="11">
        <f t="shared" si="34"/>
        <v>2000</v>
      </c>
      <c r="C134" s="11" t="s">
        <v>1</v>
      </c>
      <c r="D134" s="44">
        <v>1210</v>
      </c>
      <c r="E134" s="44">
        <v>2427</v>
      </c>
      <c r="F134" s="87">
        <f t="shared" ref="F134:F197" si="36">D134+E134</f>
        <v>3637</v>
      </c>
      <c r="G134" s="41">
        <v>1275180</v>
      </c>
      <c r="H134" s="41">
        <v>1418810</v>
      </c>
      <c r="I134" s="93">
        <f t="shared" si="16"/>
        <v>143630</v>
      </c>
      <c r="J134" s="95">
        <f t="shared" si="22"/>
        <v>1.1215466693147074</v>
      </c>
      <c r="K134" s="95">
        <f t="shared" si="23"/>
        <v>1.0066325983286162</v>
      </c>
      <c r="L134" s="50">
        <v>454</v>
      </c>
      <c r="M134" s="50">
        <v>89</v>
      </c>
      <c r="N134" s="42" t="s">
        <v>67</v>
      </c>
      <c r="O134" s="42" t="s">
        <v>67</v>
      </c>
      <c r="P134" s="51">
        <v>124</v>
      </c>
      <c r="Q134" s="99">
        <v>5667</v>
      </c>
      <c r="R134" s="42" t="s">
        <v>67</v>
      </c>
      <c r="S134" s="50">
        <v>3554</v>
      </c>
      <c r="T134" s="96">
        <f t="shared" si="27"/>
        <v>62.713958002470434</v>
      </c>
      <c r="U134" s="50">
        <v>2113</v>
      </c>
      <c r="V134" s="96">
        <f t="shared" si="28"/>
        <v>37.286041997529559</v>
      </c>
      <c r="W134" s="50">
        <v>2571</v>
      </c>
      <c r="X134" s="96">
        <f t="shared" si="29"/>
        <v>45.367919534145052</v>
      </c>
      <c r="Y134" s="102">
        <v>3096</v>
      </c>
      <c r="Z134" s="96">
        <f t="shared" si="30"/>
        <v>54.632080465854948</v>
      </c>
      <c r="AA134" s="53">
        <v>2170</v>
      </c>
      <c r="AB134" s="50">
        <v>0</v>
      </c>
      <c r="AC134" s="105">
        <f t="shared" ref="AC134:AC165" si="37">IF(AA134=":",Q134+AB134,Q134+AA134+AB134)</f>
        <v>7837</v>
      </c>
      <c r="AD134" s="48">
        <v>486</v>
      </c>
      <c r="AE134" s="48" t="s">
        <v>67</v>
      </c>
      <c r="AF134" s="49">
        <f t="shared" ref="AF134:AF145" si="38">IF(AE134=":",AD134,AD134+AE134)</f>
        <v>486</v>
      </c>
      <c r="AG134" s="37">
        <v>1162.76</v>
      </c>
      <c r="AH134" s="33">
        <v>2288.65</v>
      </c>
      <c r="AI134" s="109">
        <f t="shared" si="31"/>
        <v>3451.41</v>
      </c>
      <c r="AJ134" s="26">
        <v>5315.8</v>
      </c>
      <c r="AK134" s="26">
        <v>2322.9</v>
      </c>
      <c r="AL134" s="69">
        <f t="shared" si="32"/>
        <v>7638.7000000000007</v>
      </c>
      <c r="AM134" s="24"/>
      <c r="AN134" s="20">
        <v>75</v>
      </c>
      <c r="AO134" s="20">
        <v>61</v>
      </c>
      <c r="AP134" s="106">
        <f t="shared" si="24"/>
        <v>136</v>
      </c>
      <c r="AQ134" s="20">
        <v>72560</v>
      </c>
      <c r="AR134" s="20">
        <v>79621</v>
      </c>
      <c r="AS134" s="118">
        <f t="shared" si="25"/>
        <v>0.77774572943761244</v>
      </c>
      <c r="AT134" s="118">
        <f t="shared" si="26"/>
        <v>0.70780960709724661</v>
      </c>
      <c r="AU134" s="20">
        <v>24</v>
      </c>
      <c r="AV134" s="20">
        <v>2</v>
      </c>
      <c r="AW134" s="19" t="s">
        <v>67</v>
      </c>
      <c r="AX134" s="22">
        <v>1</v>
      </c>
      <c r="AY134" s="22">
        <v>751</v>
      </c>
      <c r="AZ134" s="22" t="s">
        <v>67</v>
      </c>
      <c r="BA134" s="20">
        <v>644</v>
      </c>
      <c r="BB134" s="106">
        <f t="shared" ref="BB134:BB197" si="39">IF(BA134=":",AY134,AY134+BA134)</f>
        <v>1395</v>
      </c>
      <c r="BC134" s="24"/>
      <c r="BD134" s="50">
        <v>22</v>
      </c>
      <c r="BE134" s="70" t="s">
        <v>66</v>
      </c>
      <c r="BF134" s="114" t="str">
        <f t="shared" ref="BF134:BF197" si="40">IF(BE134="..","..",BD134+BE134)</f>
        <v>..</v>
      </c>
      <c r="BG134" s="73"/>
      <c r="BH134" s="73"/>
      <c r="BI134" s="72">
        <v>104</v>
      </c>
      <c r="BJ134" s="72">
        <v>98</v>
      </c>
      <c r="BK134" s="71" t="s">
        <v>66</v>
      </c>
      <c r="BL134" s="114">
        <f t="shared" si="33"/>
        <v>202</v>
      </c>
    </row>
    <row r="135" spans="1:64" x14ac:dyDescent="0.2">
      <c r="A135" s="13" t="str">
        <f t="shared" si="35"/>
        <v>2000Q2</v>
      </c>
      <c r="B135" s="11">
        <f t="shared" si="34"/>
        <v>2000</v>
      </c>
      <c r="C135" s="11" t="s">
        <v>2</v>
      </c>
      <c r="D135" s="44">
        <v>1300</v>
      </c>
      <c r="E135" s="44">
        <v>2070</v>
      </c>
      <c r="F135" s="87">
        <f t="shared" si="36"/>
        <v>3370</v>
      </c>
      <c r="G135" s="41">
        <v>1300372</v>
      </c>
      <c r="H135" s="41">
        <v>1447422</v>
      </c>
      <c r="I135" s="93">
        <f t="shared" si="16"/>
        <v>147050</v>
      </c>
      <c r="J135" s="95">
        <f t="shared" si="22"/>
        <v>1.0869935913901592</v>
      </c>
      <c r="K135" s="95">
        <f t="shared" si="23"/>
        <v>0.97595908688885513</v>
      </c>
      <c r="L135" s="50">
        <v>429</v>
      </c>
      <c r="M135" s="50">
        <v>135</v>
      </c>
      <c r="N135" s="42" t="s">
        <v>67</v>
      </c>
      <c r="O135" s="42" t="s">
        <v>67</v>
      </c>
      <c r="P135" s="51">
        <v>160</v>
      </c>
      <c r="Q135" s="99">
        <v>5414</v>
      </c>
      <c r="R135" s="42" t="s">
        <v>67</v>
      </c>
      <c r="S135" s="50">
        <v>3276</v>
      </c>
      <c r="T135" s="96">
        <f t="shared" si="27"/>
        <v>60.50978943479867</v>
      </c>
      <c r="U135" s="50">
        <v>2138</v>
      </c>
      <c r="V135" s="96">
        <f t="shared" si="28"/>
        <v>39.49021056520133</v>
      </c>
      <c r="W135" s="50">
        <v>2519</v>
      </c>
      <c r="X135" s="96">
        <f t="shared" si="29"/>
        <v>46.527521241226452</v>
      </c>
      <c r="Y135" s="102">
        <v>2895</v>
      </c>
      <c r="Z135" s="96">
        <f t="shared" si="30"/>
        <v>53.472478758773548</v>
      </c>
      <c r="AA135" s="53">
        <v>2118</v>
      </c>
      <c r="AB135" s="50">
        <v>0</v>
      </c>
      <c r="AC135" s="105">
        <f t="shared" si="37"/>
        <v>7532</v>
      </c>
      <c r="AD135" s="48">
        <v>540</v>
      </c>
      <c r="AE135" s="48" t="s">
        <v>67</v>
      </c>
      <c r="AF135" s="49">
        <f t="shared" si="38"/>
        <v>540</v>
      </c>
      <c r="AG135" s="37">
        <v>1219.94</v>
      </c>
      <c r="AH135" s="33">
        <v>2159.21</v>
      </c>
      <c r="AI135" s="109">
        <f t="shared" si="31"/>
        <v>3379.15</v>
      </c>
      <c r="AJ135" s="26">
        <v>5318.29</v>
      </c>
      <c r="AK135" s="26">
        <v>2099.5</v>
      </c>
      <c r="AL135" s="69">
        <f t="shared" si="32"/>
        <v>7417.79</v>
      </c>
      <c r="AM135" s="24"/>
      <c r="AN135" s="20">
        <v>92</v>
      </c>
      <c r="AO135" s="20">
        <v>61</v>
      </c>
      <c r="AP135" s="106">
        <f t="shared" si="24"/>
        <v>153</v>
      </c>
      <c r="AQ135" s="20">
        <v>73661.333299999998</v>
      </c>
      <c r="AR135" s="20">
        <v>81100.333299999998</v>
      </c>
      <c r="AS135" s="118">
        <f t="shared" si="25"/>
        <v>0.79163341383927999</v>
      </c>
      <c r="AT135" s="118">
        <f t="shared" si="26"/>
        <v>0.72040529253644903</v>
      </c>
      <c r="AU135" s="20">
        <v>35</v>
      </c>
      <c r="AV135" s="20">
        <v>1</v>
      </c>
      <c r="AW135" s="19" t="s">
        <v>67</v>
      </c>
      <c r="AX135" s="22">
        <v>0</v>
      </c>
      <c r="AY135" s="22">
        <v>751</v>
      </c>
      <c r="AZ135" s="22" t="s">
        <v>67</v>
      </c>
      <c r="BA135" s="20">
        <v>776</v>
      </c>
      <c r="BB135" s="106">
        <f t="shared" si="39"/>
        <v>1527</v>
      </c>
      <c r="BC135" s="24"/>
      <c r="BD135" s="50">
        <v>27</v>
      </c>
      <c r="BE135" s="70" t="s">
        <v>66</v>
      </c>
      <c r="BF135" s="114" t="str">
        <f t="shared" si="40"/>
        <v>..</v>
      </c>
      <c r="BG135" s="73"/>
      <c r="BH135" s="73"/>
      <c r="BI135" s="72">
        <v>116</v>
      </c>
      <c r="BJ135" s="72">
        <v>55</v>
      </c>
      <c r="BK135" s="71" t="s">
        <v>66</v>
      </c>
      <c r="BL135" s="114">
        <f t="shared" si="33"/>
        <v>171</v>
      </c>
    </row>
    <row r="136" spans="1:64" x14ac:dyDescent="0.2">
      <c r="A136" s="13" t="str">
        <f t="shared" si="35"/>
        <v>2000Q3</v>
      </c>
      <c r="B136" s="11">
        <f t="shared" si="34"/>
        <v>2000</v>
      </c>
      <c r="C136" s="11" t="s">
        <v>3</v>
      </c>
      <c r="D136" s="44">
        <v>1231</v>
      </c>
      <c r="E136" s="44">
        <v>2478</v>
      </c>
      <c r="F136" s="87">
        <f t="shared" si="36"/>
        <v>3709</v>
      </c>
      <c r="G136" s="41">
        <v>1323361.6000000001</v>
      </c>
      <c r="H136" s="41">
        <v>1472328.6</v>
      </c>
      <c r="I136" s="93">
        <f t="shared" si="16"/>
        <v>148967</v>
      </c>
      <c r="J136" s="95">
        <f t="shared" si="22"/>
        <v>1.0950731867707901</v>
      </c>
      <c r="K136" s="95">
        <f t="shared" si="23"/>
        <v>0.98387790129602815</v>
      </c>
      <c r="L136" s="50">
        <v>355</v>
      </c>
      <c r="M136" s="50">
        <v>101</v>
      </c>
      <c r="N136" s="42" t="s">
        <v>67</v>
      </c>
      <c r="O136" s="42" t="s">
        <v>67</v>
      </c>
      <c r="P136" s="51">
        <v>121</v>
      </c>
      <c r="Q136" s="99">
        <v>5451</v>
      </c>
      <c r="R136" s="42" t="s">
        <v>67</v>
      </c>
      <c r="S136" s="50">
        <v>3292</v>
      </c>
      <c r="T136" s="96">
        <f t="shared" si="27"/>
        <v>60.392588515868653</v>
      </c>
      <c r="U136" s="50">
        <v>2159</v>
      </c>
      <c r="V136" s="96">
        <f t="shared" si="28"/>
        <v>39.607411484131347</v>
      </c>
      <c r="W136" s="50">
        <v>2518</v>
      </c>
      <c r="X136" s="96">
        <f t="shared" si="29"/>
        <v>46.193359016694188</v>
      </c>
      <c r="Y136" s="102">
        <v>2933</v>
      </c>
      <c r="Z136" s="96">
        <f t="shared" si="30"/>
        <v>53.806640983305819</v>
      </c>
      <c r="AA136" s="53">
        <v>1865</v>
      </c>
      <c r="AB136" s="50">
        <v>0</v>
      </c>
      <c r="AC136" s="105">
        <f t="shared" si="37"/>
        <v>7316</v>
      </c>
      <c r="AD136" s="48">
        <v>652</v>
      </c>
      <c r="AE136" s="48" t="s">
        <v>67</v>
      </c>
      <c r="AF136" s="49">
        <f t="shared" si="38"/>
        <v>652</v>
      </c>
      <c r="AG136" s="37">
        <v>1313.49</v>
      </c>
      <c r="AH136" s="33">
        <v>2482.42</v>
      </c>
      <c r="AI136" s="109">
        <f t="shared" si="31"/>
        <v>3795.91</v>
      </c>
      <c r="AJ136" s="26">
        <v>5440.05</v>
      </c>
      <c r="AK136" s="26">
        <v>1767.5</v>
      </c>
      <c r="AL136" s="69">
        <f t="shared" si="32"/>
        <v>7207.55</v>
      </c>
      <c r="AM136" s="24"/>
      <c r="AN136" s="20">
        <v>85</v>
      </c>
      <c r="AO136" s="20">
        <v>54</v>
      </c>
      <c r="AP136" s="106">
        <f t="shared" si="24"/>
        <v>139</v>
      </c>
      <c r="AQ136" s="20">
        <v>74815.332999999999</v>
      </c>
      <c r="AR136" s="20">
        <v>82670.332999999999</v>
      </c>
      <c r="AS136" s="118">
        <f t="shared" si="25"/>
        <v>0.77446584920496409</v>
      </c>
      <c r="AT136" s="118">
        <f t="shared" si="26"/>
        <v>0.70378101506418345</v>
      </c>
      <c r="AU136" s="20">
        <v>30</v>
      </c>
      <c r="AV136" s="20">
        <v>0</v>
      </c>
      <c r="AW136" s="19" t="s">
        <v>67</v>
      </c>
      <c r="AX136" s="22">
        <v>1</v>
      </c>
      <c r="AY136" s="22">
        <v>712</v>
      </c>
      <c r="AZ136" s="22" t="s">
        <v>67</v>
      </c>
      <c r="BA136" s="20">
        <v>679</v>
      </c>
      <c r="BB136" s="106">
        <f t="shared" si="39"/>
        <v>1391</v>
      </c>
      <c r="BC136" s="24"/>
      <c r="BD136" s="50">
        <v>15</v>
      </c>
      <c r="BE136" s="70" t="s">
        <v>66</v>
      </c>
      <c r="BF136" s="114" t="str">
        <f t="shared" si="40"/>
        <v>..</v>
      </c>
      <c r="BG136" s="73"/>
      <c r="BH136" s="73"/>
      <c r="BI136" s="72">
        <v>54</v>
      </c>
      <c r="BJ136" s="72">
        <v>56</v>
      </c>
      <c r="BK136" s="71" t="s">
        <v>66</v>
      </c>
      <c r="BL136" s="114">
        <f t="shared" si="33"/>
        <v>110</v>
      </c>
    </row>
    <row r="137" spans="1:64" x14ac:dyDescent="0.2">
      <c r="A137" s="13" t="str">
        <f t="shared" si="35"/>
        <v>2000Q4</v>
      </c>
      <c r="B137" s="11">
        <f t="shared" si="34"/>
        <v>2000</v>
      </c>
      <c r="C137" s="11" t="s">
        <v>4</v>
      </c>
      <c r="D137" s="44">
        <v>1184</v>
      </c>
      <c r="E137" s="44">
        <v>2417</v>
      </c>
      <c r="F137" s="87">
        <f t="shared" si="36"/>
        <v>3601</v>
      </c>
      <c r="G137" s="41">
        <v>1339993</v>
      </c>
      <c r="H137" s="41">
        <v>1488865</v>
      </c>
      <c r="I137" s="93">
        <f t="shared" si="16"/>
        <v>148872</v>
      </c>
      <c r="J137" s="95">
        <f t="shared" ref="J137:J147" si="41">SUM(F134:F137)/AVERAGE(G134:G137)*100</f>
        <v>1.0931288601327613</v>
      </c>
      <c r="K137" s="95">
        <f t="shared" si="23"/>
        <v>0.9827324093163885</v>
      </c>
      <c r="L137" s="50">
        <v>357</v>
      </c>
      <c r="M137" s="50">
        <v>113</v>
      </c>
      <c r="N137" s="42" t="s">
        <v>67</v>
      </c>
      <c r="O137" s="42" t="s">
        <v>67</v>
      </c>
      <c r="P137" s="51">
        <v>152</v>
      </c>
      <c r="Q137" s="99">
        <v>5018</v>
      </c>
      <c r="R137" s="42" t="s">
        <v>67</v>
      </c>
      <c r="S137" s="50">
        <v>3190</v>
      </c>
      <c r="T137" s="96">
        <f t="shared" si="27"/>
        <v>63.571143882024714</v>
      </c>
      <c r="U137" s="50">
        <v>1828</v>
      </c>
      <c r="V137" s="96">
        <f t="shared" si="28"/>
        <v>36.428856117975286</v>
      </c>
      <c r="W137" s="50">
        <v>2344</v>
      </c>
      <c r="X137" s="96">
        <f t="shared" si="29"/>
        <v>46.711837385412515</v>
      </c>
      <c r="Y137" s="102">
        <v>2674</v>
      </c>
      <c r="Z137" s="96">
        <f t="shared" si="30"/>
        <v>53.288162614587485</v>
      </c>
      <c r="AA137" s="53">
        <v>1825</v>
      </c>
      <c r="AB137" s="50">
        <v>0</v>
      </c>
      <c r="AC137" s="105">
        <f t="shared" si="37"/>
        <v>6843</v>
      </c>
      <c r="AD137" s="48">
        <v>668</v>
      </c>
      <c r="AE137" s="48" t="s">
        <v>67</v>
      </c>
      <c r="AF137" s="49">
        <f t="shared" si="38"/>
        <v>668</v>
      </c>
      <c r="AG137" s="37">
        <v>1228.81</v>
      </c>
      <c r="AH137" s="33">
        <v>2461.73</v>
      </c>
      <c r="AI137" s="109">
        <f t="shared" si="31"/>
        <v>3690.54</v>
      </c>
      <c r="AJ137" s="26">
        <v>5475.86</v>
      </c>
      <c r="AK137" s="26">
        <v>1788.09</v>
      </c>
      <c r="AL137" s="69">
        <f t="shared" si="32"/>
        <v>7263.95</v>
      </c>
      <c r="AM137" s="24"/>
      <c r="AN137" s="20">
        <v>92</v>
      </c>
      <c r="AO137" s="20">
        <v>63</v>
      </c>
      <c r="AP137" s="106">
        <f t="shared" si="24"/>
        <v>155</v>
      </c>
      <c r="AQ137" s="20">
        <v>75904</v>
      </c>
      <c r="AR137" s="20">
        <v>83348</v>
      </c>
      <c r="AS137" s="118">
        <f t="shared" si="25"/>
        <v>0.78534207828710589</v>
      </c>
      <c r="AT137" s="118">
        <f t="shared" si="26"/>
        <v>0.71371805768413987</v>
      </c>
      <c r="AU137" s="20">
        <v>19</v>
      </c>
      <c r="AV137" s="20">
        <v>3</v>
      </c>
      <c r="AW137" s="19" t="s">
        <v>67</v>
      </c>
      <c r="AX137" s="22">
        <v>0</v>
      </c>
      <c r="AY137" s="22">
        <v>751</v>
      </c>
      <c r="AZ137" s="22" t="s">
        <v>67</v>
      </c>
      <c r="BA137" s="20">
        <v>702</v>
      </c>
      <c r="BB137" s="106">
        <f t="shared" si="39"/>
        <v>1453</v>
      </c>
      <c r="BC137" s="24"/>
      <c r="BD137" s="50">
        <v>19</v>
      </c>
      <c r="BE137" s="70" t="s">
        <v>66</v>
      </c>
      <c r="BF137" s="114" t="str">
        <f t="shared" si="40"/>
        <v>..</v>
      </c>
      <c r="BG137" s="73"/>
      <c r="BH137" s="73"/>
      <c r="BI137" s="72">
        <v>75</v>
      </c>
      <c r="BJ137" s="72">
        <v>58</v>
      </c>
      <c r="BK137" s="71" t="s">
        <v>66</v>
      </c>
      <c r="BL137" s="114">
        <f t="shared" si="33"/>
        <v>133</v>
      </c>
    </row>
    <row r="138" spans="1:64" x14ac:dyDescent="0.2">
      <c r="A138" s="13" t="str">
        <f t="shared" si="35"/>
        <v>2001Q1</v>
      </c>
      <c r="B138" s="11">
        <f t="shared" si="34"/>
        <v>2001</v>
      </c>
      <c r="C138" s="11" t="s">
        <v>1</v>
      </c>
      <c r="D138" s="44">
        <v>1359</v>
      </c>
      <c r="E138" s="44">
        <v>2584</v>
      </c>
      <c r="F138" s="87">
        <f t="shared" si="36"/>
        <v>3943</v>
      </c>
      <c r="G138" s="41">
        <v>1353584.3330000001</v>
      </c>
      <c r="H138" s="41">
        <v>1500555</v>
      </c>
      <c r="I138" s="93">
        <f t="shared" si="16"/>
        <v>146970.6669999999</v>
      </c>
      <c r="J138" s="95">
        <f t="shared" si="41"/>
        <v>1.1000297093214955</v>
      </c>
      <c r="K138" s="95">
        <f t="shared" si="23"/>
        <v>0.9898512660981561</v>
      </c>
      <c r="L138" s="50">
        <v>649</v>
      </c>
      <c r="M138" s="50">
        <v>125</v>
      </c>
      <c r="N138" s="42" t="s">
        <v>67</v>
      </c>
      <c r="O138" s="42" t="s">
        <v>67</v>
      </c>
      <c r="P138" s="51">
        <v>132</v>
      </c>
      <c r="Q138" s="99">
        <v>6078</v>
      </c>
      <c r="R138" s="42" t="s">
        <v>67</v>
      </c>
      <c r="S138" s="50">
        <v>3987</v>
      </c>
      <c r="T138" s="96">
        <f t="shared" si="27"/>
        <v>65.59723593287265</v>
      </c>
      <c r="U138" s="50">
        <v>2091</v>
      </c>
      <c r="V138" s="96">
        <f t="shared" si="28"/>
        <v>34.402764067127343</v>
      </c>
      <c r="W138" s="50">
        <v>2666</v>
      </c>
      <c r="X138" s="96">
        <f t="shared" si="29"/>
        <v>43.863112866074367</v>
      </c>
      <c r="Y138" s="102">
        <v>3412</v>
      </c>
      <c r="Z138" s="96">
        <f t="shared" si="30"/>
        <v>56.136887133925626</v>
      </c>
      <c r="AA138" s="53">
        <v>1672</v>
      </c>
      <c r="AB138" s="50">
        <v>0</v>
      </c>
      <c r="AC138" s="105">
        <f t="shared" si="37"/>
        <v>7750</v>
      </c>
      <c r="AD138" s="48">
        <v>565</v>
      </c>
      <c r="AE138" s="48" t="s">
        <v>67</v>
      </c>
      <c r="AF138" s="49">
        <f t="shared" si="38"/>
        <v>565</v>
      </c>
      <c r="AG138" s="38">
        <v>1316.36</v>
      </c>
      <c r="AH138" s="34">
        <v>2450.5500000000002</v>
      </c>
      <c r="AI138" s="109">
        <f t="shared" si="31"/>
        <v>3766.91</v>
      </c>
      <c r="AJ138" s="26">
        <v>5707.09</v>
      </c>
      <c r="AK138" s="26">
        <v>1788.47</v>
      </c>
      <c r="AL138" s="69">
        <f t="shared" si="32"/>
        <v>7495.56</v>
      </c>
      <c r="AM138" s="24"/>
      <c r="AN138" s="20">
        <v>102</v>
      </c>
      <c r="AO138" s="20">
        <v>64</v>
      </c>
      <c r="AP138" s="106">
        <f t="shared" si="24"/>
        <v>166</v>
      </c>
      <c r="AQ138" s="20">
        <v>76709.332999999999</v>
      </c>
      <c r="AR138" s="20">
        <v>84389.332999999999</v>
      </c>
      <c r="AS138" s="118">
        <f t="shared" si="25"/>
        <v>0.8143744414296793</v>
      </c>
      <c r="AT138" s="118">
        <f t="shared" si="26"/>
        <v>0.73965032674250775</v>
      </c>
      <c r="AU138" s="20">
        <v>26</v>
      </c>
      <c r="AV138" s="20">
        <v>2</v>
      </c>
      <c r="AW138" s="19" t="s">
        <v>67</v>
      </c>
      <c r="AX138" s="22">
        <v>1</v>
      </c>
      <c r="AY138" s="22">
        <v>709</v>
      </c>
      <c r="AZ138" s="22" t="s">
        <v>67</v>
      </c>
      <c r="BA138" s="20">
        <v>794</v>
      </c>
      <c r="BB138" s="106">
        <f t="shared" si="39"/>
        <v>1503</v>
      </c>
      <c r="BC138" s="24"/>
      <c r="BD138" s="50">
        <v>16</v>
      </c>
      <c r="BE138" s="70" t="s">
        <v>66</v>
      </c>
      <c r="BF138" s="114" t="str">
        <f t="shared" si="40"/>
        <v>..</v>
      </c>
      <c r="BG138" s="73"/>
      <c r="BH138" s="73"/>
      <c r="BI138" s="72">
        <v>86</v>
      </c>
      <c r="BJ138" s="72">
        <v>51</v>
      </c>
      <c r="BK138" s="71" t="s">
        <v>66</v>
      </c>
      <c r="BL138" s="114">
        <f t="shared" si="33"/>
        <v>137</v>
      </c>
    </row>
    <row r="139" spans="1:64" x14ac:dyDescent="0.2">
      <c r="A139" s="13" t="str">
        <f t="shared" si="35"/>
        <v>2001Q2</v>
      </c>
      <c r="B139" s="11">
        <f t="shared" si="34"/>
        <v>2001</v>
      </c>
      <c r="C139" s="11" t="s">
        <v>2</v>
      </c>
      <c r="D139" s="44">
        <v>1348</v>
      </c>
      <c r="E139" s="44">
        <v>2336</v>
      </c>
      <c r="F139" s="87">
        <f t="shared" si="36"/>
        <v>3684</v>
      </c>
      <c r="G139" s="41">
        <v>1368072</v>
      </c>
      <c r="H139" s="41">
        <v>1517815.3</v>
      </c>
      <c r="I139" s="93">
        <f t="shared" si="16"/>
        <v>149743.30000000005</v>
      </c>
      <c r="J139" s="95">
        <f t="shared" si="41"/>
        <v>1.1095242097626397</v>
      </c>
      <c r="K139" s="95">
        <f t="shared" si="23"/>
        <v>0.99920330310375982</v>
      </c>
      <c r="L139" s="50">
        <v>435</v>
      </c>
      <c r="M139" s="50">
        <v>141</v>
      </c>
      <c r="N139" s="42" t="s">
        <v>67</v>
      </c>
      <c r="O139" s="42" t="s">
        <v>67</v>
      </c>
      <c r="P139" s="51">
        <v>163</v>
      </c>
      <c r="Q139" s="99">
        <v>6115</v>
      </c>
      <c r="R139" s="42" t="s">
        <v>67</v>
      </c>
      <c r="S139" s="50">
        <v>3890</v>
      </c>
      <c r="T139" s="96">
        <f t="shared" si="27"/>
        <v>63.614063777596073</v>
      </c>
      <c r="U139" s="50">
        <v>2225</v>
      </c>
      <c r="V139" s="96">
        <f t="shared" si="28"/>
        <v>36.385936222403927</v>
      </c>
      <c r="W139" s="50">
        <v>2609</v>
      </c>
      <c r="X139" s="96">
        <f t="shared" si="29"/>
        <v>42.665576451349139</v>
      </c>
      <c r="Y139" s="102">
        <v>3506</v>
      </c>
      <c r="Z139" s="96">
        <f t="shared" si="30"/>
        <v>57.334423548650861</v>
      </c>
      <c r="AA139" s="53">
        <v>1599</v>
      </c>
      <c r="AB139" s="50">
        <v>0</v>
      </c>
      <c r="AC139" s="105">
        <f t="shared" si="37"/>
        <v>7714</v>
      </c>
      <c r="AD139" s="48">
        <v>458</v>
      </c>
      <c r="AE139" s="48" t="s">
        <v>67</v>
      </c>
      <c r="AF139" s="49">
        <f t="shared" si="38"/>
        <v>458</v>
      </c>
      <c r="AG139" s="38">
        <v>1266.8900000000001</v>
      </c>
      <c r="AH139" s="34">
        <v>2437.4699999999998</v>
      </c>
      <c r="AI139" s="109">
        <f t="shared" si="31"/>
        <v>3704.3599999999997</v>
      </c>
      <c r="AJ139" s="26">
        <v>5994.59</v>
      </c>
      <c r="AK139" s="26">
        <v>1581.1</v>
      </c>
      <c r="AL139" s="69">
        <f t="shared" si="32"/>
        <v>7575.6900000000005</v>
      </c>
      <c r="AM139" s="24"/>
      <c r="AN139" s="20">
        <v>82</v>
      </c>
      <c r="AO139" s="20">
        <v>59</v>
      </c>
      <c r="AP139" s="106">
        <f t="shared" si="24"/>
        <v>141</v>
      </c>
      <c r="AQ139" s="20">
        <v>77833</v>
      </c>
      <c r="AR139" s="20">
        <v>85863.665999999997</v>
      </c>
      <c r="AS139" s="118">
        <f t="shared" si="25"/>
        <v>0.78752109018496941</v>
      </c>
      <c r="AT139" s="118">
        <f t="shared" si="26"/>
        <v>0.71489888409518076</v>
      </c>
      <c r="AU139" s="20">
        <v>27</v>
      </c>
      <c r="AV139" s="20">
        <v>1</v>
      </c>
      <c r="AW139" s="19" t="s">
        <v>67</v>
      </c>
      <c r="AX139" s="22">
        <v>1</v>
      </c>
      <c r="AY139" s="22">
        <v>750</v>
      </c>
      <c r="AZ139" s="22" t="s">
        <v>67</v>
      </c>
      <c r="BA139" s="20">
        <v>996</v>
      </c>
      <c r="BB139" s="106">
        <f t="shared" si="39"/>
        <v>1746</v>
      </c>
      <c r="BC139" s="24"/>
      <c r="BD139" s="50">
        <v>18</v>
      </c>
      <c r="BE139" s="70" t="s">
        <v>66</v>
      </c>
      <c r="BF139" s="114" t="str">
        <f t="shared" si="40"/>
        <v>..</v>
      </c>
      <c r="BG139" s="73"/>
      <c r="BH139" s="73"/>
      <c r="BI139" s="72">
        <v>88</v>
      </c>
      <c r="BJ139" s="72">
        <v>49</v>
      </c>
      <c r="BK139" s="71" t="s">
        <v>66</v>
      </c>
      <c r="BL139" s="114">
        <f t="shared" si="33"/>
        <v>137</v>
      </c>
    </row>
    <row r="140" spans="1:64" x14ac:dyDescent="0.2">
      <c r="A140" s="13" t="str">
        <f t="shared" si="35"/>
        <v>2001Q3</v>
      </c>
      <c r="B140" s="11">
        <f t="shared" si="34"/>
        <v>2001</v>
      </c>
      <c r="C140" s="11" t="s">
        <v>3</v>
      </c>
      <c r="D140" s="44">
        <v>940</v>
      </c>
      <c r="E140" s="44">
        <v>2700</v>
      </c>
      <c r="F140" s="87">
        <f t="shared" si="36"/>
        <v>3640</v>
      </c>
      <c r="G140" s="41">
        <v>1378445</v>
      </c>
      <c r="H140" s="41">
        <v>1532041.3330000001</v>
      </c>
      <c r="I140" s="93">
        <f t="shared" si="16"/>
        <v>153596.3330000001</v>
      </c>
      <c r="J140" s="95">
        <f t="shared" si="41"/>
        <v>1.0932163370631021</v>
      </c>
      <c r="K140" s="95">
        <f t="shared" si="23"/>
        <v>0.98475369839876659</v>
      </c>
      <c r="L140" s="50">
        <v>369</v>
      </c>
      <c r="M140" s="50">
        <v>146</v>
      </c>
      <c r="N140" s="42" t="s">
        <v>67</v>
      </c>
      <c r="O140" s="42" t="s">
        <v>67</v>
      </c>
      <c r="P140" s="51">
        <v>141</v>
      </c>
      <c r="Q140" s="99">
        <v>5817</v>
      </c>
      <c r="R140" s="42" t="s">
        <v>67</v>
      </c>
      <c r="S140" s="50">
        <v>3889</v>
      </c>
      <c r="T140" s="96">
        <f t="shared" si="27"/>
        <v>66.855767577789237</v>
      </c>
      <c r="U140" s="50">
        <v>1928</v>
      </c>
      <c r="V140" s="96">
        <f t="shared" si="28"/>
        <v>33.144232422210763</v>
      </c>
      <c r="W140" s="50">
        <v>2414</v>
      </c>
      <c r="X140" s="96">
        <f t="shared" si="29"/>
        <v>41.499054495444391</v>
      </c>
      <c r="Y140" s="102">
        <v>3403</v>
      </c>
      <c r="Z140" s="96">
        <f t="shared" si="30"/>
        <v>58.500945504555609</v>
      </c>
      <c r="AA140" s="53">
        <v>1617</v>
      </c>
      <c r="AB140" s="50">
        <v>0</v>
      </c>
      <c r="AC140" s="105">
        <f t="shared" si="37"/>
        <v>7434</v>
      </c>
      <c r="AD140" s="48">
        <v>710</v>
      </c>
      <c r="AE140" s="48" t="s">
        <v>67</v>
      </c>
      <c r="AF140" s="49">
        <f t="shared" si="38"/>
        <v>710</v>
      </c>
      <c r="AG140" s="37">
        <v>1021.35</v>
      </c>
      <c r="AH140" s="33">
        <v>2700.56</v>
      </c>
      <c r="AI140" s="109">
        <f t="shared" si="31"/>
        <v>3721.91</v>
      </c>
      <c r="AJ140" s="26">
        <v>5808.04</v>
      </c>
      <c r="AK140" s="26">
        <v>1539.84</v>
      </c>
      <c r="AL140" s="69">
        <f t="shared" si="32"/>
        <v>7347.88</v>
      </c>
      <c r="AM140" s="24"/>
      <c r="AN140" s="20">
        <v>75</v>
      </c>
      <c r="AO140" s="20">
        <v>33</v>
      </c>
      <c r="AP140" s="106">
        <f t="shared" si="24"/>
        <v>108</v>
      </c>
      <c r="AQ140" s="20">
        <v>78627.332999999999</v>
      </c>
      <c r="AR140" s="20">
        <v>86807.332999999999</v>
      </c>
      <c r="AS140" s="118">
        <f t="shared" si="25"/>
        <v>0.7376882118452629</v>
      </c>
      <c r="AT140" s="118">
        <f t="shared" si="26"/>
        <v>0.66978384066110341</v>
      </c>
      <c r="AU140" s="20">
        <v>19</v>
      </c>
      <c r="AV140" s="20">
        <v>1</v>
      </c>
      <c r="AW140" s="19" t="s">
        <v>67</v>
      </c>
      <c r="AX140" s="22">
        <v>1</v>
      </c>
      <c r="AY140" s="22">
        <v>839</v>
      </c>
      <c r="AZ140" s="22" t="s">
        <v>67</v>
      </c>
      <c r="BA140" s="20">
        <v>1042</v>
      </c>
      <c r="BB140" s="106">
        <f t="shared" si="39"/>
        <v>1881</v>
      </c>
      <c r="BC140" s="24"/>
      <c r="BD140" s="50">
        <v>11</v>
      </c>
      <c r="BE140" s="70" t="s">
        <v>66</v>
      </c>
      <c r="BF140" s="114" t="str">
        <f t="shared" si="40"/>
        <v>..</v>
      </c>
      <c r="BG140" s="73"/>
      <c r="BH140" s="73"/>
      <c r="BI140" s="72">
        <v>37</v>
      </c>
      <c r="BJ140" s="72">
        <v>42</v>
      </c>
      <c r="BK140" s="71" t="s">
        <v>66</v>
      </c>
      <c r="BL140" s="114">
        <f t="shared" si="33"/>
        <v>79</v>
      </c>
    </row>
    <row r="141" spans="1:64" x14ac:dyDescent="0.2">
      <c r="A141" s="13" t="str">
        <f t="shared" si="35"/>
        <v>2001Q4</v>
      </c>
      <c r="B141" s="11">
        <f t="shared" si="34"/>
        <v>2001</v>
      </c>
      <c r="C141" s="11" t="s">
        <v>4</v>
      </c>
      <c r="D141" s="44">
        <v>1028</v>
      </c>
      <c r="E141" s="44">
        <v>2677</v>
      </c>
      <c r="F141" s="87">
        <f t="shared" si="36"/>
        <v>3705</v>
      </c>
      <c r="G141" s="41">
        <v>1389815.3</v>
      </c>
      <c r="H141" s="41">
        <v>1546100</v>
      </c>
      <c r="I141" s="93">
        <f t="shared" si="16"/>
        <v>156284.69999999995</v>
      </c>
      <c r="J141" s="95">
        <f t="shared" si="41"/>
        <v>1.0908726671733413</v>
      </c>
      <c r="K141" s="95">
        <f t="shared" si="23"/>
        <v>0.98233225170653926</v>
      </c>
      <c r="L141" s="50">
        <v>461</v>
      </c>
      <c r="M141" s="50">
        <v>286</v>
      </c>
      <c r="N141" s="42" t="s">
        <v>67</v>
      </c>
      <c r="O141" s="42" t="s">
        <v>67</v>
      </c>
      <c r="P141" s="51">
        <v>161</v>
      </c>
      <c r="Q141" s="99">
        <v>5467</v>
      </c>
      <c r="R141" s="42" t="s">
        <v>67</v>
      </c>
      <c r="S141" s="45">
        <v>3748</v>
      </c>
      <c r="T141" s="96">
        <f t="shared" si="27"/>
        <v>68.556795317358706</v>
      </c>
      <c r="U141" s="45">
        <v>1719</v>
      </c>
      <c r="V141" s="96">
        <f t="shared" si="28"/>
        <v>31.443204682641301</v>
      </c>
      <c r="W141" s="45">
        <v>2150</v>
      </c>
      <c r="X141" s="96">
        <f t="shared" si="29"/>
        <v>39.326870312785807</v>
      </c>
      <c r="Y141" s="102">
        <v>3317</v>
      </c>
      <c r="Z141" s="96">
        <f t="shared" si="30"/>
        <v>60.673129687214185</v>
      </c>
      <c r="AA141" s="53">
        <v>1410</v>
      </c>
      <c r="AB141" s="45">
        <v>0</v>
      </c>
      <c r="AC141" s="105">
        <f t="shared" si="37"/>
        <v>6877</v>
      </c>
      <c r="AD141" s="48">
        <v>663</v>
      </c>
      <c r="AE141" s="48" t="s">
        <v>67</v>
      </c>
      <c r="AF141" s="49">
        <f t="shared" si="38"/>
        <v>663</v>
      </c>
      <c r="AG141" s="37">
        <v>1070.4100000000001</v>
      </c>
      <c r="AH141" s="33">
        <v>2708.42</v>
      </c>
      <c r="AI141" s="109">
        <f t="shared" si="31"/>
        <v>3778.83</v>
      </c>
      <c r="AJ141" s="26">
        <v>5967.28</v>
      </c>
      <c r="AK141" s="26">
        <v>1388.58</v>
      </c>
      <c r="AL141" s="69">
        <f t="shared" si="32"/>
        <v>7355.86</v>
      </c>
      <c r="AM141" s="24"/>
      <c r="AN141" s="20">
        <v>119</v>
      </c>
      <c r="AO141" s="20">
        <v>68</v>
      </c>
      <c r="AP141" s="106">
        <f t="shared" si="24"/>
        <v>187</v>
      </c>
      <c r="AQ141" s="20">
        <v>79588.33</v>
      </c>
      <c r="AR141" s="20">
        <v>87771.67</v>
      </c>
      <c r="AS141" s="118">
        <f t="shared" si="25"/>
        <v>0.76992436030316558</v>
      </c>
      <c r="AT141" s="118">
        <f t="shared" si="26"/>
        <v>0.69831105756825895</v>
      </c>
      <c r="AU141" s="20">
        <v>25</v>
      </c>
      <c r="AV141" s="20">
        <v>0</v>
      </c>
      <c r="AW141" s="19" t="s">
        <v>67</v>
      </c>
      <c r="AX141" s="22">
        <v>0</v>
      </c>
      <c r="AY141" s="22">
        <v>750</v>
      </c>
      <c r="AZ141" s="22" t="s">
        <v>67</v>
      </c>
      <c r="BA141" s="20">
        <v>947</v>
      </c>
      <c r="BB141" s="106">
        <f t="shared" si="39"/>
        <v>1697</v>
      </c>
      <c r="BC141" s="24"/>
      <c r="BD141" s="50">
        <v>15</v>
      </c>
      <c r="BE141" s="70" t="s">
        <v>66</v>
      </c>
      <c r="BF141" s="114" t="str">
        <f t="shared" si="40"/>
        <v>..</v>
      </c>
      <c r="BG141" s="73"/>
      <c r="BH141" s="73"/>
      <c r="BI141" s="72">
        <v>81</v>
      </c>
      <c r="BJ141" s="72">
        <v>34</v>
      </c>
      <c r="BK141" s="71" t="s">
        <v>66</v>
      </c>
      <c r="BL141" s="114">
        <f t="shared" si="33"/>
        <v>115</v>
      </c>
    </row>
    <row r="142" spans="1:64" x14ac:dyDescent="0.2">
      <c r="A142" s="13" t="str">
        <f t="shared" si="35"/>
        <v>2002Q1</v>
      </c>
      <c r="B142" s="11">
        <f t="shared" si="34"/>
        <v>2002</v>
      </c>
      <c r="C142" s="11" t="s">
        <v>1</v>
      </c>
      <c r="D142" s="45">
        <v>1408</v>
      </c>
      <c r="E142" s="45">
        <v>2733</v>
      </c>
      <c r="F142" s="87">
        <f t="shared" si="36"/>
        <v>4141</v>
      </c>
      <c r="G142" s="41">
        <v>1401254</v>
      </c>
      <c r="H142" s="41">
        <v>1557953</v>
      </c>
      <c r="I142" s="93">
        <f t="shared" ref="I142:I205" si="42">H142-G142</f>
        <v>156699</v>
      </c>
      <c r="J142" s="95">
        <f t="shared" si="41"/>
        <v>1.0957842769872499</v>
      </c>
      <c r="K142" s="95">
        <f t="shared" si="23"/>
        <v>0.98603982864172801</v>
      </c>
      <c r="L142" s="50">
        <v>455</v>
      </c>
      <c r="M142" s="50">
        <v>176</v>
      </c>
      <c r="N142" s="42" t="s">
        <v>67</v>
      </c>
      <c r="O142" s="42" t="s">
        <v>67</v>
      </c>
      <c r="P142" s="51">
        <v>151</v>
      </c>
      <c r="Q142" s="99">
        <v>6027</v>
      </c>
      <c r="R142" s="42" t="s">
        <v>67</v>
      </c>
      <c r="S142" s="45">
        <v>4223</v>
      </c>
      <c r="T142" s="96">
        <f t="shared" si="27"/>
        <v>70.068027210884352</v>
      </c>
      <c r="U142" s="45">
        <v>1804</v>
      </c>
      <c r="V142" s="96">
        <f t="shared" si="28"/>
        <v>29.931972789115648</v>
      </c>
      <c r="W142" s="45">
        <v>2261</v>
      </c>
      <c r="X142" s="96">
        <f t="shared" si="29"/>
        <v>37.51451800232288</v>
      </c>
      <c r="Y142" s="102">
        <v>3766</v>
      </c>
      <c r="Z142" s="96">
        <f t="shared" si="30"/>
        <v>62.48548199767712</v>
      </c>
      <c r="AA142" s="53">
        <v>1384</v>
      </c>
      <c r="AB142" s="45">
        <v>0</v>
      </c>
      <c r="AC142" s="105">
        <f t="shared" si="37"/>
        <v>7411</v>
      </c>
      <c r="AD142" s="48">
        <v>565</v>
      </c>
      <c r="AE142" s="48" t="s">
        <v>67</v>
      </c>
      <c r="AF142" s="49">
        <f t="shared" si="38"/>
        <v>565</v>
      </c>
      <c r="AG142" s="39">
        <v>1364.35</v>
      </c>
      <c r="AH142" s="35">
        <v>2617.7399999999998</v>
      </c>
      <c r="AI142" s="109">
        <f t="shared" si="31"/>
        <v>3982.0899999999997</v>
      </c>
      <c r="AJ142" s="26">
        <v>6018.56</v>
      </c>
      <c r="AK142" s="26">
        <v>1492.33</v>
      </c>
      <c r="AL142" s="69">
        <f t="shared" si="32"/>
        <v>7510.89</v>
      </c>
      <c r="AM142" s="24"/>
      <c r="AN142" s="20">
        <v>170</v>
      </c>
      <c r="AO142" s="20">
        <v>70</v>
      </c>
      <c r="AP142" s="106">
        <f t="shared" si="24"/>
        <v>240</v>
      </c>
      <c r="AQ142" s="20">
        <v>80404</v>
      </c>
      <c r="AR142" s="20">
        <v>88403</v>
      </c>
      <c r="AS142" s="118">
        <f t="shared" si="25"/>
        <v>0.85447219004758379</v>
      </c>
      <c r="AT142" s="118">
        <f t="shared" si="26"/>
        <v>0.77512786893736674</v>
      </c>
      <c r="AU142" s="20">
        <v>26</v>
      </c>
      <c r="AV142" s="20">
        <v>5</v>
      </c>
      <c r="AW142" s="19" t="s">
        <v>67</v>
      </c>
      <c r="AX142" s="22">
        <v>0</v>
      </c>
      <c r="AY142" s="22">
        <v>832</v>
      </c>
      <c r="AZ142" s="22" t="s">
        <v>67</v>
      </c>
      <c r="BA142" s="20">
        <v>1026</v>
      </c>
      <c r="BB142" s="106">
        <f t="shared" si="39"/>
        <v>1858</v>
      </c>
      <c r="BC142" s="24"/>
      <c r="BD142" s="50">
        <v>12</v>
      </c>
      <c r="BE142" s="50">
        <v>12</v>
      </c>
      <c r="BF142" s="114">
        <f t="shared" si="40"/>
        <v>24</v>
      </c>
      <c r="BG142" s="73"/>
      <c r="BH142" s="73"/>
      <c r="BI142" s="72">
        <v>74</v>
      </c>
      <c r="BJ142" s="72">
        <v>47</v>
      </c>
      <c r="BK142" s="71" t="s">
        <v>66</v>
      </c>
      <c r="BL142" s="114">
        <f t="shared" si="33"/>
        <v>121</v>
      </c>
    </row>
    <row r="143" spans="1:64" x14ac:dyDescent="0.2">
      <c r="A143" s="13" t="str">
        <f t="shared" si="35"/>
        <v>2002Q2</v>
      </c>
      <c r="B143" s="11">
        <f t="shared" si="34"/>
        <v>2002</v>
      </c>
      <c r="C143" s="11" t="s">
        <v>2</v>
      </c>
      <c r="D143" s="45">
        <v>1679</v>
      </c>
      <c r="E143" s="45">
        <v>2387</v>
      </c>
      <c r="F143" s="87">
        <f t="shared" si="36"/>
        <v>4066</v>
      </c>
      <c r="G143" s="41">
        <v>1420588</v>
      </c>
      <c r="H143" s="41">
        <v>1585496.3330000001</v>
      </c>
      <c r="I143" s="93">
        <f t="shared" si="42"/>
        <v>164908.3330000001</v>
      </c>
      <c r="J143" s="95">
        <f t="shared" si="41"/>
        <v>1.1128239996609721</v>
      </c>
      <c r="K143" s="95">
        <f t="shared" si="23"/>
        <v>0.99987291577950921</v>
      </c>
      <c r="L143" s="50">
        <v>346</v>
      </c>
      <c r="M143" s="50">
        <v>151</v>
      </c>
      <c r="N143" s="42" t="s">
        <v>67</v>
      </c>
      <c r="O143" s="42" t="s">
        <v>67</v>
      </c>
      <c r="P143" s="51">
        <v>151</v>
      </c>
      <c r="Q143" s="99">
        <v>6269</v>
      </c>
      <c r="R143" s="42" t="s">
        <v>67</v>
      </c>
      <c r="S143" s="50">
        <v>4333</v>
      </c>
      <c r="T143" s="96">
        <f t="shared" si="27"/>
        <v>69.117881639814954</v>
      </c>
      <c r="U143" s="50">
        <v>1936</v>
      </c>
      <c r="V143" s="96">
        <f t="shared" si="28"/>
        <v>30.882118360185039</v>
      </c>
      <c r="W143" s="50">
        <v>2235</v>
      </c>
      <c r="X143" s="96">
        <f t="shared" si="29"/>
        <v>35.651619078002874</v>
      </c>
      <c r="Y143" s="102">
        <v>4034</v>
      </c>
      <c r="Z143" s="96">
        <f t="shared" si="30"/>
        <v>64.348380921997133</v>
      </c>
      <c r="AA143" s="53">
        <v>1592</v>
      </c>
      <c r="AB143" s="45">
        <v>0</v>
      </c>
      <c r="AC143" s="105">
        <f t="shared" si="37"/>
        <v>7861</v>
      </c>
      <c r="AD143" s="48">
        <v>458</v>
      </c>
      <c r="AE143" s="48" t="s">
        <v>67</v>
      </c>
      <c r="AF143" s="49">
        <f t="shared" si="38"/>
        <v>458</v>
      </c>
      <c r="AG143" s="39">
        <v>1555.97</v>
      </c>
      <c r="AH143" s="35">
        <v>2480.7199999999998</v>
      </c>
      <c r="AI143" s="109">
        <f t="shared" si="31"/>
        <v>4036.6899999999996</v>
      </c>
      <c r="AJ143" s="26">
        <v>5768.73</v>
      </c>
      <c r="AK143" s="26">
        <v>1574.66</v>
      </c>
      <c r="AL143" s="69">
        <f t="shared" si="32"/>
        <v>7343.3899999999994</v>
      </c>
      <c r="AM143" s="24"/>
      <c r="AN143" s="20">
        <v>123</v>
      </c>
      <c r="AO143" s="20">
        <v>52</v>
      </c>
      <c r="AP143" s="106">
        <f t="shared" si="24"/>
        <v>175</v>
      </c>
      <c r="AQ143" s="20">
        <v>81431.332999999999</v>
      </c>
      <c r="AR143" s="20">
        <v>89836.667000000001</v>
      </c>
      <c r="AS143" s="118">
        <f t="shared" si="25"/>
        <v>0.88735858831696934</v>
      </c>
      <c r="AT143" s="118">
        <f t="shared" si="26"/>
        <v>0.80494606478733099</v>
      </c>
      <c r="AU143" s="20">
        <v>26</v>
      </c>
      <c r="AV143" s="20">
        <v>3</v>
      </c>
      <c r="AW143" s="19" t="s">
        <v>67</v>
      </c>
      <c r="AX143" s="22">
        <v>1</v>
      </c>
      <c r="AY143" s="22">
        <v>797</v>
      </c>
      <c r="AZ143" s="22" t="s">
        <v>67</v>
      </c>
      <c r="BA143" s="20">
        <v>1339</v>
      </c>
      <c r="BB143" s="106">
        <f t="shared" si="39"/>
        <v>2136</v>
      </c>
      <c r="BC143" s="24"/>
      <c r="BD143" s="50">
        <v>5</v>
      </c>
      <c r="BE143" s="50">
        <v>14</v>
      </c>
      <c r="BF143" s="114">
        <f t="shared" si="40"/>
        <v>19</v>
      </c>
      <c r="BG143" s="73"/>
      <c r="BH143" s="73"/>
      <c r="BI143" s="72">
        <v>85</v>
      </c>
      <c r="BJ143" s="72">
        <v>58</v>
      </c>
      <c r="BK143" s="71" t="s">
        <v>66</v>
      </c>
      <c r="BL143" s="114">
        <f t="shared" si="33"/>
        <v>143</v>
      </c>
    </row>
    <row r="144" spans="1:64" x14ac:dyDescent="0.2">
      <c r="A144" s="13" t="str">
        <f t="shared" si="35"/>
        <v>2002Q3</v>
      </c>
      <c r="B144" s="11">
        <f t="shared" si="34"/>
        <v>2002</v>
      </c>
      <c r="C144" s="11" t="s">
        <v>3</v>
      </c>
      <c r="D144" s="44">
        <v>1390</v>
      </c>
      <c r="E144" s="44">
        <v>2418</v>
      </c>
      <c r="F144" s="87">
        <f t="shared" si="36"/>
        <v>3808</v>
      </c>
      <c r="G144" s="41">
        <v>1449309</v>
      </c>
      <c r="H144" s="41">
        <v>1614244</v>
      </c>
      <c r="I144" s="93">
        <f t="shared" si="42"/>
        <v>164935</v>
      </c>
      <c r="J144" s="95">
        <f t="shared" si="41"/>
        <v>1.110764429033962</v>
      </c>
      <c r="K144" s="95">
        <f t="shared" si="23"/>
        <v>0.99749463027010676</v>
      </c>
      <c r="L144" s="50">
        <v>377</v>
      </c>
      <c r="M144" s="50">
        <v>162</v>
      </c>
      <c r="N144" s="42" t="s">
        <v>67</v>
      </c>
      <c r="O144" s="42" t="s">
        <v>67</v>
      </c>
      <c r="P144" s="51">
        <v>181</v>
      </c>
      <c r="Q144" s="99">
        <v>6249</v>
      </c>
      <c r="R144" s="42" t="s">
        <v>67</v>
      </c>
      <c r="S144" s="50">
        <v>4374</v>
      </c>
      <c r="T144" s="96">
        <f t="shared" si="27"/>
        <v>69.995199231877109</v>
      </c>
      <c r="U144" s="50">
        <v>1875</v>
      </c>
      <c r="V144" s="96">
        <f t="shared" si="28"/>
        <v>30.004800768122902</v>
      </c>
      <c r="W144" s="50">
        <v>2244</v>
      </c>
      <c r="X144" s="96">
        <f t="shared" si="29"/>
        <v>35.909745559289483</v>
      </c>
      <c r="Y144" s="102">
        <v>4005</v>
      </c>
      <c r="Z144" s="96">
        <f t="shared" si="30"/>
        <v>64.09025444071051</v>
      </c>
      <c r="AA144" s="53">
        <v>1643</v>
      </c>
      <c r="AB144" s="45">
        <v>0</v>
      </c>
      <c r="AC144" s="105">
        <f t="shared" si="37"/>
        <v>7892</v>
      </c>
      <c r="AD144" s="48">
        <v>630</v>
      </c>
      <c r="AE144" s="48" t="s">
        <v>67</v>
      </c>
      <c r="AF144" s="49">
        <f t="shared" si="38"/>
        <v>630</v>
      </c>
      <c r="AG144" s="39">
        <v>1502.46</v>
      </c>
      <c r="AH144" s="35">
        <v>2427.29</v>
      </c>
      <c r="AI144" s="109">
        <f t="shared" si="31"/>
        <v>3929.75</v>
      </c>
      <c r="AJ144" s="26">
        <v>6246.19</v>
      </c>
      <c r="AK144" s="26">
        <v>1568.59</v>
      </c>
      <c r="AL144" s="69">
        <f t="shared" si="32"/>
        <v>7814.78</v>
      </c>
      <c r="AM144" s="24"/>
      <c r="AN144" s="20">
        <v>139</v>
      </c>
      <c r="AO144" s="20">
        <v>45</v>
      </c>
      <c r="AP144" s="106">
        <f t="shared" si="24"/>
        <v>184</v>
      </c>
      <c r="AQ144" s="20">
        <v>83080</v>
      </c>
      <c r="AR144" s="20">
        <v>91514</v>
      </c>
      <c r="AS144" s="118">
        <f t="shared" si="25"/>
        <v>0.96886425593291381</v>
      </c>
      <c r="AT144" s="118">
        <f t="shared" si="26"/>
        <v>0.87937823550670491</v>
      </c>
      <c r="AU144" s="20">
        <v>29</v>
      </c>
      <c r="AV144" s="20">
        <v>3</v>
      </c>
      <c r="AW144" s="19" t="s">
        <v>67</v>
      </c>
      <c r="AX144" s="22">
        <v>1</v>
      </c>
      <c r="AY144" s="22">
        <v>834</v>
      </c>
      <c r="AZ144" s="22" t="s">
        <v>67</v>
      </c>
      <c r="BA144" s="20">
        <v>1413</v>
      </c>
      <c r="BB144" s="106">
        <f t="shared" si="39"/>
        <v>2247</v>
      </c>
      <c r="BC144" s="24"/>
      <c r="BD144" s="50">
        <v>17</v>
      </c>
      <c r="BE144" s="50">
        <v>16</v>
      </c>
      <c r="BF144" s="114">
        <f t="shared" si="40"/>
        <v>33</v>
      </c>
      <c r="BG144" s="73"/>
      <c r="BH144" s="73"/>
      <c r="BI144" s="72">
        <v>74</v>
      </c>
      <c r="BJ144" s="72">
        <v>47</v>
      </c>
      <c r="BK144" s="71" t="s">
        <v>66</v>
      </c>
      <c r="BL144" s="114">
        <f t="shared" si="33"/>
        <v>121</v>
      </c>
    </row>
    <row r="145" spans="1:64" x14ac:dyDescent="0.2">
      <c r="A145" s="13" t="str">
        <f t="shared" si="35"/>
        <v>2002Q4</v>
      </c>
      <c r="B145" s="11">
        <f t="shared" si="34"/>
        <v>2002</v>
      </c>
      <c r="C145" s="11" t="s">
        <v>4</v>
      </c>
      <c r="D145" s="44">
        <v>1754</v>
      </c>
      <c r="E145" s="44">
        <v>2537</v>
      </c>
      <c r="F145" s="87">
        <f t="shared" si="36"/>
        <v>4291</v>
      </c>
      <c r="G145" s="41">
        <v>1486866</v>
      </c>
      <c r="H145" s="41">
        <v>1648257.3</v>
      </c>
      <c r="I145" s="93">
        <f t="shared" si="42"/>
        <v>161391.30000000005</v>
      </c>
      <c r="J145" s="95">
        <f t="shared" si="41"/>
        <v>1.1327510842708524</v>
      </c>
      <c r="K145" s="95">
        <f>SUM(F142:F145)/AVERAGE(H142:H145)*100</f>
        <v>1.0181783116466923</v>
      </c>
      <c r="L145" s="50">
        <v>363</v>
      </c>
      <c r="M145" s="50">
        <v>154</v>
      </c>
      <c r="N145" s="42" t="s">
        <v>67</v>
      </c>
      <c r="O145" s="42" t="s">
        <v>67</v>
      </c>
      <c r="P145" s="51">
        <v>168</v>
      </c>
      <c r="Q145" s="99">
        <v>5747</v>
      </c>
      <c r="R145" s="42" t="s">
        <v>67</v>
      </c>
      <c r="S145" s="50">
        <v>4025</v>
      </c>
      <c r="T145" s="96">
        <f t="shared" si="27"/>
        <v>70.03654080389768</v>
      </c>
      <c r="U145" s="50">
        <v>1722</v>
      </c>
      <c r="V145" s="96">
        <f t="shared" si="28"/>
        <v>29.963459196102317</v>
      </c>
      <c r="W145" s="50">
        <v>2114</v>
      </c>
      <c r="X145" s="96">
        <f t="shared" si="29"/>
        <v>36.784409257003652</v>
      </c>
      <c r="Y145" s="102">
        <v>3633</v>
      </c>
      <c r="Z145" s="96">
        <f t="shared" si="30"/>
        <v>63.215590742996341</v>
      </c>
      <c r="AA145" s="53">
        <v>1676</v>
      </c>
      <c r="AB145" s="45">
        <v>0</v>
      </c>
      <c r="AC145" s="105">
        <f t="shared" si="37"/>
        <v>7423</v>
      </c>
      <c r="AD145" s="48">
        <v>669</v>
      </c>
      <c r="AE145" s="48" t="s">
        <v>67</v>
      </c>
      <c r="AF145" s="49">
        <f t="shared" si="38"/>
        <v>669</v>
      </c>
      <c r="AG145" s="39">
        <v>1808.22</v>
      </c>
      <c r="AH145" s="35">
        <v>2549.2600000000002</v>
      </c>
      <c r="AI145" s="109">
        <f t="shared" si="31"/>
        <v>4357.4800000000005</v>
      </c>
      <c r="AJ145" s="26">
        <v>6258.52</v>
      </c>
      <c r="AK145" s="26">
        <v>1659.42</v>
      </c>
      <c r="AL145" s="69">
        <f t="shared" si="32"/>
        <v>7917.9400000000005</v>
      </c>
      <c r="AM145" s="24"/>
      <c r="AN145" s="20">
        <v>124</v>
      </c>
      <c r="AO145" s="20">
        <v>65</v>
      </c>
      <c r="AP145" s="106">
        <f t="shared" si="24"/>
        <v>189</v>
      </c>
      <c r="AQ145" s="20">
        <v>85206.6</v>
      </c>
      <c r="AR145" s="20">
        <v>93500.3</v>
      </c>
      <c r="AS145" s="118">
        <f t="shared" si="25"/>
        <v>0.95479872281009592</v>
      </c>
      <c r="AT145" s="118">
        <f t="shared" si="26"/>
        <v>0.86771247841596166</v>
      </c>
      <c r="AU145" s="20">
        <v>37</v>
      </c>
      <c r="AV145" s="20">
        <v>1</v>
      </c>
      <c r="AW145" s="19" t="s">
        <v>67</v>
      </c>
      <c r="AX145" s="22">
        <v>0</v>
      </c>
      <c r="AY145" s="22">
        <v>752</v>
      </c>
      <c r="AZ145" s="22" t="s">
        <v>67</v>
      </c>
      <c r="BA145" s="20">
        <v>1396</v>
      </c>
      <c r="BB145" s="106">
        <f t="shared" si="39"/>
        <v>2148</v>
      </c>
      <c r="BC145" s="24"/>
      <c r="BD145" s="50">
        <v>15</v>
      </c>
      <c r="BE145" s="50">
        <v>11</v>
      </c>
      <c r="BF145" s="114">
        <f t="shared" si="40"/>
        <v>26</v>
      </c>
      <c r="BG145" s="73"/>
      <c r="BH145" s="73"/>
      <c r="BI145" s="72">
        <v>101</v>
      </c>
      <c r="BJ145" s="72">
        <v>55</v>
      </c>
      <c r="BK145" s="71" t="s">
        <v>66</v>
      </c>
      <c r="BL145" s="114">
        <f t="shared" si="33"/>
        <v>156</v>
      </c>
    </row>
    <row r="146" spans="1:64" x14ac:dyDescent="0.2">
      <c r="A146" s="13" t="str">
        <f t="shared" si="35"/>
        <v>2003Q1</v>
      </c>
      <c r="B146" s="11">
        <f t="shared" si="34"/>
        <v>2003</v>
      </c>
      <c r="C146" s="11" t="s">
        <v>1</v>
      </c>
      <c r="D146" s="44">
        <v>1585</v>
      </c>
      <c r="E146" s="44">
        <v>2212</v>
      </c>
      <c r="F146" s="87">
        <f t="shared" si="36"/>
        <v>3797</v>
      </c>
      <c r="G146" s="41">
        <v>1523829.6</v>
      </c>
      <c r="H146" s="41">
        <v>1680784.6</v>
      </c>
      <c r="I146" s="93">
        <f t="shared" si="42"/>
        <v>156955</v>
      </c>
      <c r="J146" s="95">
        <f t="shared" si="41"/>
        <v>1.0857409166552363</v>
      </c>
      <c r="K146" s="95">
        <f>SUM(F143:F146)/AVERAGE(H143:H146)*100</f>
        <v>0.97794654073890885</v>
      </c>
      <c r="L146" s="50">
        <v>315</v>
      </c>
      <c r="M146" s="50">
        <v>160</v>
      </c>
      <c r="N146" s="42" t="s">
        <v>67</v>
      </c>
      <c r="O146" s="42" t="s">
        <v>67</v>
      </c>
      <c r="P146" s="51">
        <v>178</v>
      </c>
      <c r="Q146" s="99">
        <v>6912</v>
      </c>
      <c r="R146" s="42" t="s">
        <v>67</v>
      </c>
      <c r="S146" s="44">
        <v>4892</v>
      </c>
      <c r="T146" s="96">
        <f t="shared" si="27"/>
        <v>70.775462962962962</v>
      </c>
      <c r="U146" s="44">
        <v>2020</v>
      </c>
      <c r="V146" s="96">
        <f t="shared" si="28"/>
        <v>29.224537037037035</v>
      </c>
      <c r="W146" s="44">
        <v>2468</v>
      </c>
      <c r="X146" s="96">
        <f t="shared" si="29"/>
        <v>35.706018518518519</v>
      </c>
      <c r="Y146" s="102">
        <v>4444</v>
      </c>
      <c r="Z146" s="96">
        <f t="shared" si="30"/>
        <v>64.293981481481481</v>
      </c>
      <c r="AA146" s="53">
        <v>1514</v>
      </c>
      <c r="AB146" s="45">
        <v>0</v>
      </c>
      <c r="AC146" s="105">
        <f t="shared" si="37"/>
        <v>8426</v>
      </c>
      <c r="AD146" s="48">
        <v>462</v>
      </c>
      <c r="AE146" s="48">
        <v>2</v>
      </c>
      <c r="AF146" s="49">
        <f t="shared" ref="AF146:AF178" si="43">AD146+AE146</f>
        <v>464</v>
      </c>
      <c r="AG146" s="39">
        <v>1550</v>
      </c>
      <c r="AH146" s="35">
        <v>2174</v>
      </c>
      <c r="AI146" s="109">
        <f t="shared" si="31"/>
        <v>3724</v>
      </c>
      <c r="AJ146" s="26">
        <v>6532</v>
      </c>
      <c r="AK146" s="26">
        <v>1700</v>
      </c>
      <c r="AL146" s="69">
        <f t="shared" si="32"/>
        <v>8232</v>
      </c>
      <c r="AM146" s="24"/>
      <c r="AN146" s="20">
        <v>133</v>
      </c>
      <c r="AO146" s="20">
        <v>50</v>
      </c>
      <c r="AP146" s="106">
        <f t="shared" si="24"/>
        <v>183</v>
      </c>
      <c r="AQ146" s="20">
        <v>87689</v>
      </c>
      <c r="AR146" s="20">
        <v>95933</v>
      </c>
      <c r="AS146" s="118">
        <f t="shared" si="25"/>
        <v>0.8666093414268996</v>
      </c>
      <c r="AT146" s="118">
        <f t="shared" si="26"/>
        <v>0.78859936249616758</v>
      </c>
      <c r="AU146" s="20">
        <v>41</v>
      </c>
      <c r="AV146" s="20">
        <v>4</v>
      </c>
      <c r="AW146" s="19" t="s">
        <v>67</v>
      </c>
      <c r="AX146" s="22">
        <v>0</v>
      </c>
      <c r="AY146" s="22">
        <v>799</v>
      </c>
      <c r="AZ146" s="22" t="s">
        <v>67</v>
      </c>
      <c r="BA146" s="20">
        <v>1216</v>
      </c>
      <c r="BB146" s="106">
        <f t="shared" si="39"/>
        <v>2015</v>
      </c>
      <c r="BC146" s="24"/>
      <c r="BD146" s="50">
        <v>30</v>
      </c>
      <c r="BE146" s="50">
        <v>7</v>
      </c>
      <c r="BF146" s="114">
        <f t="shared" si="40"/>
        <v>37</v>
      </c>
      <c r="BG146" s="73"/>
      <c r="BH146" s="73"/>
      <c r="BI146" s="72">
        <v>90</v>
      </c>
      <c r="BJ146" s="72">
        <v>56</v>
      </c>
      <c r="BK146" s="71" t="s">
        <v>66</v>
      </c>
      <c r="BL146" s="114">
        <f t="shared" si="33"/>
        <v>146</v>
      </c>
    </row>
    <row r="147" spans="1:64" x14ac:dyDescent="0.2">
      <c r="A147" s="13" t="str">
        <f t="shared" si="35"/>
        <v>2003Q2</v>
      </c>
      <c r="B147" s="11">
        <f t="shared" si="34"/>
        <v>2003</v>
      </c>
      <c r="C147" s="11" t="s">
        <v>2</v>
      </c>
      <c r="D147" s="44">
        <v>1470</v>
      </c>
      <c r="E147" s="44">
        <v>2297</v>
      </c>
      <c r="F147" s="87">
        <f t="shared" si="36"/>
        <v>3767</v>
      </c>
      <c r="G147" s="41">
        <v>1579244</v>
      </c>
      <c r="H147" s="41">
        <v>1738866</v>
      </c>
      <c r="I147" s="93">
        <f t="shared" si="42"/>
        <v>159622</v>
      </c>
      <c r="J147" s="95">
        <f t="shared" si="41"/>
        <v>1.0374138266141255</v>
      </c>
      <c r="K147" s="95">
        <f>SUM(F144:F147)/AVERAGE(H144:H147)*100</f>
        <v>0.93760215178586392</v>
      </c>
      <c r="L147" s="50">
        <v>298</v>
      </c>
      <c r="M147" s="50">
        <v>167</v>
      </c>
      <c r="N147" s="42" t="s">
        <v>67</v>
      </c>
      <c r="O147" s="42" t="s">
        <v>67</v>
      </c>
      <c r="P147" s="51">
        <v>165</v>
      </c>
      <c r="Q147" s="99">
        <v>6948</v>
      </c>
      <c r="R147" s="42" t="s">
        <v>67</v>
      </c>
      <c r="S147" s="44">
        <v>4851</v>
      </c>
      <c r="T147" s="96">
        <f t="shared" si="27"/>
        <v>69.818652849740943</v>
      </c>
      <c r="U147" s="44">
        <v>2097</v>
      </c>
      <c r="V147" s="96">
        <f t="shared" si="28"/>
        <v>30.181347150259068</v>
      </c>
      <c r="W147" s="44">
        <v>2267</v>
      </c>
      <c r="X147" s="96">
        <f t="shared" si="29"/>
        <v>32.628094415659184</v>
      </c>
      <c r="Y147" s="102">
        <v>4681</v>
      </c>
      <c r="Z147" s="96">
        <f t="shared" si="30"/>
        <v>67.371905584340823</v>
      </c>
      <c r="AA147" s="53">
        <v>1941</v>
      </c>
      <c r="AB147" s="45">
        <v>0</v>
      </c>
      <c r="AC147" s="105">
        <f t="shared" si="37"/>
        <v>8889</v>
      </c>
      <c r="AD147" s="48">
        <v>432</v>
      </c>
      <c r="AE147" s="48">
        <v>12</v>
      </c>
      <c r="AF147" s="49">
        <f t="shared" si="43"/>
        <v>444</v>
      </c>
      <c r="AG147" s="39">
        <v>1440</v>
      </c>
      <c r="AH147" s="35">
        <v>2258</v>
      </c>
      <c r="AI147" s="109">
        <f t="shared" si="31"/>
        <v>3698</v>
      </c>
      <c r="AJ147" s="26">
        <v>6748</v>
      </c>
      <c r="AK147" s="26">
        <v>1896</v>
      </c>
      <c r="AL147" s="69">
        <f t="shared" si="32"/>
        <v>8644</v>
      </c>
      <c r="AM147" s="24"/>
      <c r="AN147" s="20">
        <v>118</v>
      </c>
      <c r="AO147" s="20">
        <v>50</v>
      </c>
      <c r="AP147" s="106">
        <f t="shared" si="24"/>
        <v>168</v>
      </c>
      <c r="AQ147" s="20">
        <v>90809</v>
      </c>
      <c r="AR147" s="20">
        <v>99411</v>
      </c>
      <c r="AS147" s="118">
        <f t="shared" si="25"/>
        <v>0.83510052061135354</v>
      </c>
      <c r="AT147" s="118">
        <f t="shared" si="26"/>
        <v>0.76138735502814059</v>
      </c>
      <c r="AU147" s="20">
        <v>21</v>
      </c>
      <c r="AV147" s="20">
        <v>1</v>
      </c>
      <c r="AW147" s="19" t="s">
        <v>67</v>
      </c>
      <c r="AX147" s="22">
        <v>3</v>
      </c>
      <c r="AY147" s="22">
        <v>858</v>
      </c>
      <c r="AZ147" s="22" t="s">
        <v>67</v>
      </c>
      <c r="BA147" s="20">
        <v>1331</v>
      </c>
      <c r="BB147" s="106">
        <f t="shared" si="39"/>
        <v>2189</v>
      </c>
      <c r="BC147" s="24"/>
      <c r="BD147" s="50">
        <v>25</v>
      </c>
      <c r="BE147" s="50">
        <v>17</v>
      </c>
      <c r="BF147" s="114">
        <f t="shared" si="40"/>
        <v>42</v>
      </c>
      <c r="BG147" s="73"/>
      <c r="BH147" s="73"/>
      <c r="BI147" s="72">
        <v>141</v>
      </c>
      <c r="BJ147" s="72">
        <v>78</v>
      </c>
      <c r="BK147" s="71" t="s">
        <v>66</v>
      </c>
      <c r="BL147" s="114">
        <f t="shared" si="33"/>
        <v>219</v>
      </c>
    </row>
    <row r="148" spans="1:64" x14ac:dyDescent="0.2">
      <c r="A148" s="13" t="str">
        <f t="shared" si="35"/>
        <v>2003Q3</v>
      </c>
      <c r="B148" s="11">
        <f t="shared" si="34"/>
        <v>2003</v>
      </c>
      <c r="C148" s="11" t="s">
        <v>3</v>
      </c>
      <c r="D148" s="45">
        <v>1075</v>
      </c>
      <c r="E148" s="45">
        <v>2239</v>
      </c>
      <c r="F148" s="87">
        <f t="shared" si="36"/>
        <v>3314</v>
      </c>
      <c r="G148" s="41">
        <v>1635599</v>
      </c>
      <c r="H148" s="41">
        <v>1794811</v>
      </c>
      <c r="I148" s="93">
        <f t="shared" si="42"/>
        <v>159212</v>
      </c>
      <c r="J148" s="95">
        <f t="shared" ref="J148:J179" si="44">SUM(F145:F148,O145:O148)/AVERAGE(G145:G148)*100</f>
        <v>0.97463053236871744</v>
      </c>
      <c r="K148" s="95">
        <f t="shared" ref="K148:K179" si="45">SUM(F145:F148,O145:O148)/AVERAGE(H145:H148)*100</f>
        <v>0.88413937513891172</v>
      </c>
      <c r="L148" s="50">
        <v>334</v>
      </c>
      <c r="M148" s="50">
        <v>154</v>
      </c>
      <c r="N148" s="50">
        <v>14</v>
      </c>
      <c r="O148" s="50">
        <v>0</v>
      </c>
      <c r="P148" s="51">
        <v>171</v>
      </c>
      <c r="Q148" s="99">
        <v>7221</v>
      </c>
      <c r="R148" s="42" t="s">
        <v>67</v>
      </c>
      <c r="S148" s="44">
        <v>5148</v>
      </c>
      <c r="T148" s="96">
        <f t="shared" si="27"/>
        <v>71.292064810968014</v>
      </c>
      <c r="U148" s="44">
        <v>2073</v>
      </c>
      <c r="V148" s="96">
        <f t="shared" si="28"/>
        <v>28.707935189031993</v>
      </c>
      <c r="W148" s="44">
        <v>2296</v>
      </c>
      <c r="X148" s="96">
        <f t="shared" si="29"/>
        <v>31.79615011771223</v>
      </c>
      <c r="Y148" s="102">
        <v>4925</v>
      </c>
      <c r="Z148" s="96">
        <f t="shared" si="30"/>
        <v>68.20384988228777</v>
      </c>
      <c r="AA148" s="53">
        <v>2070</v>
      </c>
      <c r="AB148" s="45">
        <v>0</v>
      </c>
      <c r="AC148" s="105">
        <f t="shared" si="37"/>
        <v>9291</v>
      </c>
      <c r="AD148" s="48">
        <v>885</v>
      </c>
      <c r="AE148" s="48">
        <v>32</v>
      </c>
      <c r="AF148" s="49">
        <f t="shared" si="43"/>
        <v>917</v>
      </c>
      <c r="AG148" s="39">
        <v>1137</v>
      </c>
      <c r="AH148" s="35">
        <v>2282</v>
      </c>
      <c r="AI148" s="109">
        <f t="shared" si="31"/>
        <v>3419</v>
      </c>
      <c r="AJ148" s="26">
        <v>7245</v>
      </c>
      <c r="AK148" s="26">
        <v>1957</v>
      </c>
      <c r="AL148" s="69">
        <f t="shared" si="32"/>
        <v>9202</v>
      </c>
      <c r="AM148" s="24"/>
      <c r="AN148" s="20">
        <v>109</v>
      </c>
      <c r="AO148" s="20">
        <v>45</v>
      </c>
      <c r="AP148" s="106">
        <f t="shared" si="24"/>
        <v>154</v>
      </c>
      <c r="AQ148" s="20">
        <v>93359</v>
      </c>
      <c r="AR148" s="20">
        <v>102064</v>
      </c>
      <c r="AS148" s="118">
        <f t="shared" si="25"/>
        <v>0.77745253226596045</v>
      </c>
      <c r="AT148" s="118">
        <f t="shared" si="26"/>
        <v>0.71014097168057067</v>
      </c>
      <c r="AU148" s="20">
        <v>36</v>
      </c>
      <c r="AV148" s="20">
        <v>1</v>
      </c>
      <c r="AW148" s="20">
        <v>1</v>
      </c>
      <c r="AX148" s="22">
        <v>1</v>
      </c>
      <c r="AY148" s="22">
        <v>845</v>
      </c>
      <c r="AZ148" s="22" t="s">
        <v>67</v>
      </c>
      <c r="BA148" s="20">
        <v>1522</v>
      </c>
      <c r="BB148" s="106">
        <f t="shared" si="39"/>
        <v>2367</v>
      </c>
      <c r="BC148" s="24"/>
      <c r="BD148" s="50">
        <v>19</v>
      </c>
      <c r="BE148" s="50">
        <v>10</v>
      </c>
      <c r="BF148" s="114">
        <f t="shared" si="40"/>
        <v>29</v>
      </c>
      <c r="BG148" s="73"/>
      <c r="BH148" s="73"/>
      <c r="BI148" s="72">
        <v>109</v>
      </c>
      <c r="BJ148" s="72">
        <v>96</v>
      </c>
      <c r="BK148" s="71" t="s">
        <v>66</v>
      </c>
      <c r="BL148" s="114">
        <f t="shared" si="33"/>
        <v>205</v>
      </c>
    </row>
    <row r="149" spans="1:64" x14ac:dyDescent="0.2">
      <c r="A149" s="13" t="str">
        <f t="shared" si="35"/>
        <v>2003Q4</v>
      </c>
      <c r="B149" s="11">
        <f t="shared" si="34"/>
        <v>2003</v>
      </c>
      <c r="C149" s="11" t="s">
        <v>4</v>
      </c>
      <c r="D149" s="45">
        <v>1104</v>
      </c>
      <c r="E149" s="45">
        <v>2202</v>
      </c>
      <c r="F149" s="87">
        <f t="shared" si="36"/>
        <v>3306</v>
      </c>
      <c r="G149" s="41">
        <v>1689041.3</v>
      </c>
      <c r="H149" s="41">
        <v>1848742</v>
      </c>
      <c r="I149" s="93">
        <f t="shared" si="42"/>
        <v>159700.69999999995</v>
      </c>
      <c r="J149" s="95">
        <f t="shared" si="44"/>
        <v>0.88267774332644144</v>
      </c>
      <c r="K149" s="95">
        <f t="shared" si="45"/>
        <v>0.80326156816433836</v>
      </c>
      <c r="L149" s="50">
        <v>314</v>
      </c>
      <c r="M149" s="50">
        <v>16</v>
      </c>
      <c r="N149" s="50">
        <v>233</v>
      </c>
      <c r="O149" s="50">
        <v>0</v>
      </c>
      <c r="P149" s="51">
        <v>212</v>
      </c>
      <c r="Q149" s="99">
        <v>6940</v>
      </c>
      <c r="R149" s="42" t="s">
        <v>67</v>
      </c>
      <c r="S149" s="44">
        <v>4991</v>
      </c>
      <c r="T149" s="96">
        <f t="shared" si="27"/>
        <v>71.9164265129683</v>
      </c>
      <c r="U149" s="44">
        <v>1949</v>
      </c>
      <c r="V149" s="96">
        <f t="shared" si="28"/>
        <v>28.0835734870317</v>
      </c>
      <c r="W149" s="44">
        <v>2108</v>
      </c>
      <c r="X149" s="96">
        <f t="shared" si="29"/>
        <v>30.37463976945245</v>
      </c>
      <c r="Y149" s="102">
        <v>4832</v>
      </c>
      <c r="Z149" s="96">
        <f t="shared" si="30"/>
        <v>69.625360230547557</v>
      </c>
      <c r="AA149" s="53">
        <v>2058</v>
      </c>
      <c r="AB149" s="45">
        <v>0</v>
      </c>
      <c r="AC149" s="105">
        <f t="shared" si="37"/>
        <v>8998</v>
      </c>
      <c r="AD149" s="48">
        <v>941</v>
      </c>
      <c r="AE149" s="48">
        <v>46</v>
      </c>
      <c r="AF149" s="49">
        <f t="shared" si="43"/>
        <v>987</v>
      </c>
      <c r="AG149" s="39">
        <v>1107</v>
      </c>
      <c r="AH149" s="35">
        <v>2236</v>
      </c>
      <c r="AI149" s="109">
        <f t="shared" si="31"/>
        <v>3343</v>
      </c>
      <c r="AJ149" s="26">
        <v>7496</v>
      </c>
      <c r="AK149" s="26">
        <v>2030</v>
      </c>
      <c r="AL149" s="69">
        <f t="shared" si="32"/>
        <v>9526</v>
      </c>
      <c r="AM149" s="24"/>
      <c r="AN149" s="20">
        <v>76</v>
      </c>
      <c r="AO149" s="20">
        <v>50</v>
      </c>
      <c r="AP149" s="106">
        <f t="shared" si="24"/>
        <v>126</v>
      </c>
      <c r="AQ149" s="20">
        <v>96094.332999999999</v>
      </c>
      <c r="AR149" s="20">
        <v>104796.333</v>
      </c>
      <c r="AS149" s="118">
        <f t="shared" si="25"/>
        <v>0.68596028160061051</v>
      </c>
      <c r="AT149" s="118">
        <f t="shared" si="26"/>
        <v>0.62754172267955155</v>
      </c>
      <c r="AU149" s="20">
        <v>20</v>
      </c>
      <c r="AV149" s="20">
        <v>0</v>
      </c>
      <c r="AW149" s="20">
        <v>2</v>
      </c>
      <c r="AX149" s="22">
        <v>3</v>
      </c>
      <c r="AY149" s="22">
        <v>826</v>
      </c>
      <c r="AZ149" s="22" t="s">
        <v>67</v>
      </c>
      <c r="BA149" s="20">
        <v>1383</v>
      </c>
      <c r="BB149" s="106">
        <f t="shared" si="39"/>
        <v>2209</v>
      </c>
      <c r="BC149" s="24"/>
      <c r="BD149" s="50">
        <v>21</v>
      </c>
      <c r="BE149" s="50">
        <v>13</v>
      </c>
      <c r="BF149" s="114">
        <f t="shared" si="40"/>
        <v>34</v>
      </c>
      <c r="BG149" s="73"/>
      <c r="BH149" s="73"/>
      <c r="BI149" s="72">
        <v>177</v>
      </c>
      <c r="BJ149" s="72">
        <v>88</v>
      </c>
      <c r="BK149" s="71" t="s">
        <v>66</v>
      </c>
      <c r="BL149" s="114">
        <f t="shared" si="33"/>
        <v>265</v>
      </c>
    </row>
    <row r="150" spans="1:64" x14ac:dyDescent="0.2">
      <c r="A150" s="13" t="str">
        <f t="shared" si="35"/>
        <v>2004Q1</v>
      </c>
      <c r="B150" s="11">
        <f t="shared" si="34"/>
        <v>2004</v>
      </c>
      <c r="C150" s="11" t="s">
        <v>1</v>
      </c>
      <c r="D150" s="44">
        <v>1208</v>
      </c>
      <c r="E150" s="44">
        <v>2040</v>
      </c>
      <c r="F150" s="87">
        <f t="shared" si="36"/>
        <v>3248</v>
      </c>
      <c r="G150" s="41">
        <v>1724146.6666666667</v>
      </c>
      <c r="H150" s="41">
        <v>1887273.6666666667</v>
      </c>
      <c r="I150" s="93">
        <f t="shared" si="42"/>
        <v>163127</v>
      </c>
      <c r="J150" s="95">
        <f t="shared" si="44"/>
        <v>0.82359301389101847</v>
      </c>
      <c r="K150" s="95">
        <f t="shared" si="45"/>
        <v>0.75089831858091383</v>
      </c>
      <c r="L150" s="50">
        <v>224</v>
      </c>
      <c r="M150" s="50">
        <v>1</v>
      </c>
      <c r="N150" s="50">
        <v>331</v>
      </c>
      <c r="O150" s="50">
        <v>12</v>
      </c>
      <c r="P150" s="51">
        <v>176</v>
      </c>
      <c r="Q150" s="99">
        <v>8524</v>
      </c>
      <c r="R150" s="42" t="s">
        <v>67</v>
      </c>
      <c r="S150" s="44">
        <v>6472</v>
      </c>
      <c r="T150" s="96">
        <f t="shared" si="27"/>
        <v>75.926794931956834</v>
      </c>
      <c r="U150" s="44">
        <v>2052</v>
      </c>
      <c r="V150" s="96">
        <f t="shared" si="28"/>
        <v>24.073205068043173</v>
      </c>
      <c r="W150" s="44">
        <v>2437</v>
      </c>
      <c r="X150" s="96">
        <f t="shared" si="29"/>
        <v>28.589863913655559</v>
      </c>
      <c r="Y150" s="102">
        <v>6087</v>
      </c>
      <c r="Z150" s="96">
        <f t="shared" si="30"/>
        <v>71.410136086344451</v>
      </c>
      <c r="AA150" s="53">
        <v>2141</v>
      </c>
      <c r="AB150" s="45">
        <v>0</v>
      </c>
      <c r="AC150" s="105">
        <f t="shared" si="37"/>
        <v>10665</v>
      </c>
      <c r="AD150" s="48">
        <v>709</v>
      </c>
      <c r="AE150" s="48">
        <v>74</v>
      </c>
      <c r="AF150" s="49">
        <f t="shared" si="43"/>
        <v>783</v>
      </c>
      <c r="AG150" s="38">
        <v>1179</v>
      </c>
      <c r="AH150" s="34">
        <v>1998</v>
      </c>
      <c r="AI150" s="109">
        <f t="shared" si="31"/>
        <v>3177</v>
      </c>
      <c r="AJ150" s="26">
        <v>8027</v>
      </c>
      <c r="AK150" s="26">
        <v>2386</v>
      </c>
      <c r="AL150" s="69">
        <f t="shared" si="32"/>
        <v>10413</v>
      </c>
      <c r="AM150" s="24"/>
      <c r="AN150" s="20">
        <v>95</v>
      </c>
      <c r="AO150" s="20">
        <v>58</v>
      </c>
      <c r="AP150" s="106">
        <f t="shared" si="24"/>
        <v>153</v>
      </c>
      <c r="AQ150" s="20">
        <v>98193</v>
      </c>
      <c r="AR150" s="20">
        <v>106953</v>
      </c>
      <c r="AS150" s="118">
        <f t="shared" si="25"/>
        <v>0.63521366734182083</v>
      </c>
      <c r="AT150" s="118">
        <f t="shared" si="26"/>
        <v>0.58176632110384463</v>
      </c>
      <c r="AU150" s="20">
        <v>30</v>
      </c>
      <c r="AV150" s="20">
        <v>0</v>
      </c>
      <c r="AW150" s="20">
        <v>9</v>
      </c>
      <c r="AX150" s="22">
        <v>1</v>
      </c>
      <c r="AY150" s="22">
        <v>720</v>
      </c>
      <c r="AZ150" s="22" t="s">
        <v>67</v>
      </c>
      <c r="BA150" s="20">
        <v>1434</v>
      </c>
      <c r="BB150" s="106">
        <f t="shared" si="39"/>
        <v>2154</v>
      </c>
      <c r="BC150" s="24"/>
      <c r="BD150" s="50">
        <v>19</v>
      </c>
      <c r="BE150" s="50">
        <v>16</v>
      </c>
      <c r="BF150" s="114">
        <f t="shared" si="40"/>
        <v>35</v>
      </c>
      <c r="BG150" s="73"/>
      <c r="BH150" s="73"/>
      <c r="BI150" s="72">
        <v>155</v>
      </c>
      <c r="BJ150" s="72">
        <v>98</v>
      </c>
      <c r="BK150" s="71" t="s">
        <v>66</v>
      </c>
      <c r="BL150" s="114">
        <f t="shared" si="33"/>
        <v>253</v>
      </c>
    </row>
    <row r="151" spans="1:64" x14ac:dyDescent="0.2">
      <c r="A151" s="13" t="str">
        <f t="shared" si="35"/>
        <v>2004Q2</v>
      </c>
      <c r="B151" s="11">
        <f t="shared" si="34"/>
        <v>2004</v>
      </c>
      <c r="C151" s="11" t="s">
        <v>2</v>
      </c>
      <c r="D151" s="44">
        <v>1197</v>
      </c>
      <c r="E151" s="44">
        <v>1911</v>
      </c>
      <c r="F151" s="87">
        <f t="shared" si="36"/>
        <v>3108</v>
      </c>
      <c r="G151" s="41">
        <v>1759576.6</v>
      </c>
      <c r="H151" s="41">
        <v>1927919.6</v>
      </c>
      <c r="I151" s="93">
        <f t="shared" si="42"/>
        <v>168343</v>
      </c>
      <c r="J151" s="95">
        <f t="shared" si="44"/>
        <v>0.76411900584607939</v>
      </c>
      <c r="K151" s="95">
        <f t="shared" si="45"/>
        <v>0.69748987483991265</v>
      </c>
      <c r="L151" s="50">
        <v>199</v>
      </c>
      <c r="M151" s="50">
        <v>0</v>
      </c>
      <c r="N151" s="50">
        <v>392</v>
      </c>
      <c r="O151" s="50">
        <v>18</v>
      </c>
      <c r="P151" s="51">
        <v>154</v>
      </c>
      <c r="Q151" s="99">
        <v>9060</v>
      </c>
      <c r="R151" s="42" t="s">
        <v>67</v>
      </c>
      <c r="S151" s="44">
        <v>7028</v>
      </c>
      <c r="T151" s="96">
        <f t="shared" si="27"/>
        <v>77.571743929359826</v>
      </c>
      <c r="U151" s="44">
        <v>2032</v>
      </c>
      <c r="V151" s="96">
        <f t="shared" si="28"/>
        <v>22.428256070640177</v>
      </c>
      <c r="W151" s="44">
        <v>2455</v>
      </c>
      <c r="X151" s="96">
        <f t="shared" si="29"/>
        <v>27.097130242825607</v>
      </c>
      <c r="Y151" s="102">
        <v>6605</v>
      </c>
      <c r="Z151" s="96">
        <f t="shared" si="30"/>
        <v>72.902869757174386</v>
      </c>
      <c r="AA151" s="53">
        <f>2475+1</f>
        <v>2476</v>
      </c>
      <c r="AB151" s="45">
        <v>1</v>
      </c>
      <c r="AC151" s="105">
        <f t="shared" si="37"/>
        <v>11537</v>
      </c>
      <c r="AD151" s="48">
        <v>413</v>
      </c>
      <c r="AE151" s="48">
        <v>844</v>
      </c>
      <c r="AF151" s="49">
        <f t="shared" si="43"/>
        <v>1257</v>
      </c>
      <c r="AG151" s="38">
        <v>1172</v>
      </c>
      <c r="AH151" s="34">
        <v>1883</v>
      </c>
      <c r="AI151" s="109">
        <f t="shared" si="31"/>
        <v>3055</v>
      </c>
      <c r="AJ151" s="26">
        <v>8813</v>
      </c>
      <c r="AK151" s="26">
        <v>2416</v>
      </c>
      <c r="AL151" s="69">
        <f t="shared" si="32"/>
        <v>11229</v>
      </c>
      <c r="AM151" s="24"/>
      <c r="AN151" s="20">
        <v>110</v>
      </c>
      <c r="AO151" s="20">
        <v>37</v>
      </c>
      <c r="AP151" s="106">
        <f t="shared" si="24"/>
        <v>147</v>
      </c>
      <c r="AQ151" s="20">
        <v>100174</v>
      </c>
      <c r="AR151" s="20">
        <v>109407</v>
      </c>
      <c r="AS151" s="118">
        <f t="shared" si="25"/>
        <v>0.59821515340713205</v>
      </c>
      <c r="AT151" s="118">
        <f t="shared" si="26"/>
        <v>0.54817782112562163</v>
      </c>
      <c r="AU151" s="20">
        <v>23</v>
      </c>
      <c r="AV151" s="20">
        <v>0</v>
      </c>
      <c r="AW151" s="20">
        <v>11</v>
      </c>
      <c r="AX151" s="22">
        <v>4</v>
      </c>
      <c r="AY151" s="22">
        <v>851</v>
      </c>
      <c r="AZ151" s="22" t="s">
        <v>67</v>
      </c>
      <c r="BA151" s="20">
        <v>1309</v>
      </c>
      <c r="BB151" s="106">
        <f t="shared" si="39"/>
        <v>2160</v>
      </c>
      <c r="BC151" s="24"/>
      <c r="BD151" s="50">
        <v>27</v>
      </c>
      <c r="BE151" s="50">
        <v>12</v>
      </c>
      <c r="BF151" s="114">
        <f t="shared" si="40"/>
        <v>39</v>
      </c>
      <c r="BG151" s="73"/>
      <c r="BH151" s="73"/>
      <c r="BI151" s="72">
        <v>173</v>
      </c>
      <c r="BJ151" s="72">
        <v>109</v>
      </c>
      <c r="BK151" s="71" t="s">
        <v>66</v>
      </c>
      <c r="BL151" s="114">
        <f t="shared" si="33"/>
        <v>282</v>
      </c>
    </row>
    <row r="152" spans="1:64" x14ac:dyDescent="0.2">
      <c r="A152" s="13" t="str">
        <f t="shared" si="35"/>
        <v>2004Q3</v>
      </c>
      <c r="B152" s="11">
        <f t="shared" si="34"/>
        <v>2004</v>
      </c>
      <c r="C152" s="11" t="s">
        <v>3</v>
      </c>
      <c r="D152" s="44">
        <v>1061</v>
      </c>
      <c r="E152" s="44">
        <v>1839</v>
      </c>
      <c r="F152" s="87">
        <f t="shared" si="36"/>
        <v>2900</v>
      </c>
      <c r="G152" s="41">
        <v>1790374.3</v>
      </c>
      <c r="H152" s="41">
        <v>1958287</v>
      </c>
      <c r="I152" s="93">
        <f t="shared" si="42"/>
        <v>167912.69999999995</v>
      </c>
      <c r="J152" s="95">
        <f t="shared" si="44"/>
        <v>0.72541997175737305</v>
      </c>
      <c r="K152" s="95">
        <f t="shared" si="45"/>
        <v>0.66269387368691612</v>
      </c>
      <c r="L152" s="50">
        <v>203</v>
      </c>
      <c r="M152" s="50">
        <v>0</v>
      </c>
      <c r="N152" s="50">
        <v>421</v>
      </c>
      <c r="O152" s="50">
        <v>36</v>
      </c>
      <c r="P152" s="51">
        <v>137</v>
      </c>
      <c r="Q152" s="99">
        <v>9315</v>
      </c>
      <c r="R152" s="42" t="s">
        <v>67</v>
      </c>
      <c r="S152" s="44">
        <v>7236</v>
      </c>
      <c r="T152" s="96">
        <f t="shared" si="27"/>
        <v>77.681159420289859</v>
      </c>
      <c r="U152" s="44">
        <v>2079</v>
      </c>
      <c r="V152" s="96">
        <f t="shared" si="28"/>
        <v>22.318840579710145</v>
      </c>
      <c r="W152" s="44">
        <v>2300</v>
      </c>
      <c r="X152" s="96">
        <f t="shared" si="29"/>
        <v>24.691358024691358</v>
      </c>
      <c r="Y152" s="102">
        <v>7015</v>
      </c>
      <c r="Z152" s="96">
        <f t="shared" si="30"/>
        <v>75.308641975308646</v>
      </c>
      <c r="AA152" s="53">
        <v>2912</v>
      </c>
      <c r="AB152" s="45">
        <v>0</v>
      </c>
      <c r="AC152" s="105">
        <f t="shared" si="37"/>
        <v>12227</v>
      </c>
      <c r="AD152" s="48">
        <v>90</v>
      </c>
      <c r="AE152" s="48">
        <v>2050</v>
      </c>
      <c r="AF152" s="49">
        <f t="shared" si="43"/>
        <v>2140</v>
      </c>
      <c r="AG152" s="38">
        <v>1115</v>
      </c>
      <c r="AH152" s="34">
        <v>1872</v>
      </c>
      <c r="AI152" s="109">
        <f t="shared" si="31"/>
        <v>2987</v>
      </c>
      <c r="AJ152" s="26">
        <v>9365</v>
      </c>
      <c r="AK152" s="26">
        <v>2759</v>
      </c>
      <c r="AL152" s="69">
        <f t="shared" si="32"/>
        <v>12124</v>
      </c>
      <c r="AM152" s="24"/>
      <c r="AN152" s="20">
        <v>113</v>
      </c>
      <c r="AO152" s="20">
        <v>55</v>
      </c>
      <c r="AP152" s="106">
        <f t="shared" si="24"/>
        <v>168</v>
      </c>
      <c r="AQ152" s="20">
        <v>101980</v>
      </c>
      <c r="AR152" s="20">
        <v>111035</v>
      </c>
      <c r="AS152" s="118">
        <f t="shared" si="25"/>
        <v>0.59933205804249479</v>
      </c>
      <c r="AT152" s="118">
        <f t="shared" si="26"/>
        <v>0.54975651258605873</v>
      </c>
      <c r="AU152" s="20">
        <v>13</v>
      </c>
      <c r="AV152" s="20">
        <v>0</v>
      </c>
      <c r="AW152" s="20">
        <v>7</v>
      </c>
      <c r="AX152" s="22">
        <v>0</v>
      </c>
      <c r="AY152" s="22">
        <v>923</v>
      </c>
      <c r="AZ152" s="22" t="s">
        <v>67</v>
      </c>
      <c r="BA152" s="20">
        <v>1518</v>
      </c>
      <c r="BB152" s="106">
        <f t="shared" si="39"/>
        <v>2441</v>
      </c>
      <c r="BC152" s="24"/>
      <c r="BD152" s="50">
        <v>20</v>
      </c>
      <c r="BE152" s="50">
        <v>8</v>
      </c>
      <c r="BF152" s="114">
        <f t="shared" si="40"/>
        <v>28</v>
      </c>
      <c r="BG152" s="73"/>
      <c r="BH152" s="73"/>
      <c r="BI152" s="72">
        <v>165</v>
      </c>
      <c r="BJ152" s="72">
        <v>121</v>
      </c>
      <c r="BK152" s="71" t="s">
        <v>66</v>
      </c>
      <c r="BL152" s="114">
        <f t="shared" si="33"/>
        <v>286</v>
      </c>
    </row>
    <row r="153" spans="1:64" x14ac:dyDescent="0.2">
      <c r="A153" s="13" t="str">
        <f t="shared" si="35"/>
        <v>2004Q4</v>
      </c>
      <c r="B153" s="11">
        <f t="shared" si="34"/>
        <v>2004</v>
      </c>
      <c r="C153" s="11" t="s">
        <v>4</v>
      </c>
      <c r="D153" s="44">
        <v>1118</v>
      </c>
      <c r="E153" s="44">
        <v>1818</v>
      </c>
      <c r="F153" s="87">
        <f t="shared" si="36"/>
        <v>2936</v>
      </c>
      <c r="G153" s="41">
        <v>1820052</v>
      </c>
      <c r="H153" s="41">
        <v>1992784.6</v>
      </c>
      <c r="I153" s="93">
        <f t="shared" si="42"/>
        <v>172732.60000000009</v>
      </c>
      <c r="J153" s="95">
        <f t="shared" si="44"/>
        <v>0.69674313369776864</v>
      </c>
      <c r="K153" s="95">
        <f t="shared" si="45"/>
        <v>0.63644494294996701</v>
      </c>
      <c r="L153" s="50">
        <v>238</v>
      </c>
      <c r="M153" s="50">
        <v>0</v>
      </c>
      <c r="N153" s="50">
        <v>457</v>
      </c>
      <c r="O153" s="50">
        <v>99</v>
      </c>
      <c r="P153" s="51">
        <v>130</v>
      </c>
      <c r="Q153" s="99">
        <v>8999</v>
      </c>
      <c r="R153" s="42" t="s">
        <v>67</v>
      </c>
      <c r="S153" s="44">
        <v>7136</v>
      </c>
      <c r="T153" s="96">
        <f t="shared" si="27"/>
        <v>79.29769974441605</v>
      </c>
      <c r="U153" s="44">
        <v>1863</v>
      </c>
      <c r="V153" s="96">
        <f t="shared" si="28"/>
        <v>20.702300255583953</v>
      </c>
      <c r="W153" s="44">
        <v>2372</v>
      </c>
      <c r="X153" s="96">
        <f t="shared" si="29"/>
        <v>26.358484276030669</v>
      </c>
      <c r="Y153" s="102">
        <v>6627</v>
      </c>
      <c r="Z153" s="96">
        <f t="shared" si="30"/>
        <v>73.641515723969334</v>
      </c>
      <c r="AA153" s="53">
        <v>3224</v>
      </c>
      <c r="AB153" s="45">
        <v>0</v>
      </c>
      <c r="AC153" s="105">
        <f t="shared" si="37"/>
        <v>12223</v>
      </c>
      <c r="AD153" s="48">
        <v>26</v>
      </c>
      <c r="AE153" s="48">
        <v>2032</v>
      </c>
      <c r="AF153" s="49">
        <f t="shared" si="43"/>
        <v>2058</v>
      </c>
      <c r="AG153" s="38">
        <v>1118</v>
      </c>
      <c r="AH153" s="34">
        <v>1854</v>
      </c>
      <c r="AI153" s="109">
        <f t="shared" si="31"/>
        <v>2972</v>
      </c>
      <c r="AJ153" s="26">
        <v>9693</v>
      </c>
      <c r="AK153" s="26">
        <v>3192</v>
      </c>
      <c r="AL153" s="69">
        <f t="shared" si="32"/>
        <v>12885</v>
      </c>
      <c r="AM153" s="24"/>
      <c r="AN153" s="20">
        <v>113</v>
      </c>
      <c r="AO153" s="20">
        <v>40</v>
      </c>
      <c r="AP153" s="106">
        <f t="shared" si="24"/>
        <v>153</v>
      </c>
      <c r="AQ153" s="20">
        <v>103628.7</v>
      </c>
      <c r="AR153" s="20">
        <v>112755.7</v>
      </c>
      <c r="AS153" s="118">
        <f t="shared" si="25"/>
        <v>0.61488846977677114</v>
      </c>
      <c r="AT153" s="118">
        <f t="shared" si="26"/>
        <v>0.56435216392930876</v>
      </c>
      <c r="AU153" s="20">
        <v>16</v>
      </c>
      <c r="AV153" s="20">
        <v>0</v>
      </c>
      <c r="AW153" s="20">
        <v>4</v>
      </c>
      <c r="AX153" s="22">
        <v>1</v>
      </c>
      <c r="AY153" s="22">
        <v>803</v>
      </c>
      <c r="AZ153" s="22" t="s">
        <v>67</v>
      </c>
      <c r="BA153" s="20">
        <v>1763</v>
      </c>
      <c r="BB153" s="106">
        <f t="shared" si="39"/>
        <v>2566</v>
      </c>
      <c r="BC153" s="24"/>
      <c r="BD153" s="50">
        <v>10</v>
      </c>
      <c r="BE153" s="50">
        <v>9</v>
      </c>
      <c r="BF153" s="114">
        <f t="shared" si="40"/>
        <v>19</v>
      </c>
      <c r="BG153" s="73"/>
      <c r="BH153" s="73"/>
      <c r="BI153" s="72">
        <v>173</v>
      </c>
      <c r="BJ153" s="72">
        <v>121</v>
      </c>
      <c r="BK153" s="71" t="s">
        <v>66</v>
      </c>
      <c r="BL153" s="114">
        <f t="shared" si="33"/>
        <v>294</v>
      </c>
    </row>
    <row r="154" spans="1:64" x14ac:dyDescent="0.2">
      <c r="A154" s="13" t="str">
        <f t="shared" si="35"/>
        <v>2005Q1</v>
      </c>
      <c r="B154" s="11">
        <f t="shared" si="34"/>
        <v>2005</v>
      </c>
      <c r="C154" s="11" t="s">
        <v>1</v>
      </c>
      <c r="D154" s="44">
        <v>1101</v>
      </c>
      <c r="E154" s="44">
        <v>1909</v>
      </c>
      <c r="F154" s="87">
        <f t="shared" si="36"/>
        <v>3010</v>
      </c>
      <c r="G154" s="41">
        <v>1852631.6</v>
      </c>
      <c r="H154" s="41">
        <v>2023757.3</v>
      </c>
      <c r="I154" s="93">
        <f t="shared" si="42"/>
        <v>171125.69999999995</v>
      </c>
      <c r="J154" s="95">
        <f t="shared" si="44"/>
        <v>0.68180107964759951</v>
      </c>
      <c r="K154" s="95">
        <f t="shared" si="45"/>
        <v>0.62312497987250892</v>
      </c>
      <c r="L154" s="50">
        <v>114</v>
      </c>
      <c r="M154" s="50">
        <v>0</v>
      </c>
      <c r="N154" s="50">
        <v>489</v>
      </c>
      <c r="O154" s="50">
        <v>204</v>
      </c>
      <c r="P154" s="51">
        <v>179</v>
      </c>
      <c r="Q154" s="99">
        <v>10188</v>
      </c>
      <c r="R154" s="42" t="s">
        <v>67</v>
      </c>
      <c r="S154" s="44">
        <v>8219</v>
      </c>
      <c r="T154" s="96">
        <f t="shared" si="27"/>
        <v>80.673341185708679</v>
      </c>
      <c r="U154" s="44">
        <v>1969</v>
      </c>
      <c r="V154" s="96">
        <f t="shared" si="28"/>
        <v>19.326658814291324</v>
      </c>
      <c r="W154" s="44">
        <v>2446</v>
      </c>
      <c r="X154" s="96">
        <f t="shared" si="29"/>
        <v>24.008637612877894</v>
      </c>
      <c r="Y154" s="102">
        <v>7742</v>
      </c>
      <c r="Z154" s="96">
        <f t="shared" si="30"/>
        <v>75.991362387122109</v>
      </c>
      <c r="AA154" s="53">
        <v>3002</v>
      </c>
      <c r="AB154" s="45">
        <v>0</v>
      </c>
      <c r="AC154" s="105">
        <f t="shared" si="37"/>
        <v>13190</v>
      </c>
      <c r="AD154" s="48">
        <v>25</v>
      </c>
      <c r="AE154" s="48">
        <v>1405</v>
      </c>
      <c r="AF154" s="49">
        <f t="shared" si="43"/>
        <v>1430</v>
      </c>
      <c r="AG154" s="38">
        <v>1182</v>
      </c>
      <c r="AH154" s="34">
        <v>1854</v>
      </c>
      <c r="AI154" s="109">
        <f t="shared" si="31"/>
        <v>3036</v>
      </c>
      <c r="AJ154" s="26">
        <v>10089</v>
      </c>
      <c r="AK154" s="26">
        <v>3362</v>
      </c>
      <c r="AL154" s="69">
        <f t="shared" si="32"/>
        <v>13451</v>
      </c>
      <c r="AM154" s="24"/>
      <c r="AN154" s="20">
        <v>103</v>
      </c>
      <c r="AO154" s="20">
        <v>37</v>
      </c>
      <c r="AP154" s="106">
        <f t="shared" si="24"/>
        <v>140</v>
      </c>
      <c r="AQ154" s="20">
        <v>105284.33</v>
      </c>
      <c r="AR154" s="20">
        <v>114583</v>
      </c>
      <c r="AS154" s="118">
        <f t="shared" si="25"/>
        <v>0.59163100480230679</v>
      </c>
      <c r="AT154" s="118">
        <f t="shared" si="26"/>
        <v>0.54312300641809708</v>
      </c>
      <c r="AU154" s="20">
        <v>27</v>
      </c>
      <c r="AV154" s="20">
        <v>0</v>
      </c>
      <c r="AW154" s="20">
        <v>8</v>
      </c>
      <c r="AX154" s="22">
        <v>1</v>
      </c>
      <c r="AY154" s="22">
        <v>908</v>
      </c>
      <c r="AZ154" s="22" t="s">
        <v>67</v>
      </c>
      <c r="BA154" s="20">
        <v>1554</v>
      </c>
      <c r="BB154" s="106">
        <f t="shared" si="39"/>
        <v>2462</v>
      </c>
      <c r="BC154" s="24"/>
      <c r="BD154" s="50">
        <v>15</v>
      </c>
      <c r="BE154" s="50">
        <v>14</v>
      </c>
      <c r="BF154" s="114">
        <f t="shared" si="40"/>
        <v>29</v>
      </c>
      <c r="BG154" s="73"/>
      <c r="BH154" s="73"/>
      <c r="BI154" s="72">
        <v>174</v>
      </c>
      <c r="BJ154" s="72">
        <v>128</v>
      </c>
      <c r="BK154" s="71" t="s">
        <v>66</v>
      </c>
      <c r="BL154" s="114">
        <f t="shared" si="33"/>
        <v>302</v>
      </c>
    </row>
    <row r="155" spans="1:64" x14ac:dyDescent="0.2">
      <c r="A155" s="13" t="str">
        <f t="shared" si="35"/>
        <v>2005Q2</v>
      </c>
      <c r="B155" s="11">
        <f t="shared" si="34"/>
        <v>2005</v>
      </c>
      <c r="C155" s="11" t="s">
        <v>2</v>
      </c>
      <c r="D155" s="44">
        <v>1422</v>
      </c>
      <c r="E155" s="44">
        <v>1985</v>
      </c>
      <c r="F155" s="87">
        <f t="shared" si="36"/>
        <v>3407</v>
      </c>
      <c r="G155" s="41">
        <v>1887570.3</v>
      </c>
      <c r="H155" s="41">
        <v>2066862.3</v>
      </c>
      <c r="I155" s="93">
        <f t="shared" si="42"/>
        <v>179292</v>
      </c>
      <c r="J155" s="95">
        <f t="shared" si="44"/>
        <v>0.69321966250449174</v>
      </c>
      <c r="K155" s="95">
        <f t="shared" si="45"/>
        <v>0.63364780781435626</v>
      </c>
      <c r="L155" s="50">
        <v>167</v>
      </c>
      <c r="M155" s="50">
        <v>4</v>
      </c>
      <c r="N155" s="50">
        <v>568</v>
      </c>
      <c r="O155" s="50">
        <v>147</v>
      </c>
      <c r="P155" s="51">
        <v>183</v>
      </c>
      <c r="Q155" s="99">
        <v>12338</v>
      </c>
      <c r="R155" s="42" t="s">
        <v>67</v>
      </c>
      <c r="S155" s="45">
        <v>9840</v>
      </c>
      <c r="T155" s="96">
        <f t="shared" si="27"/>
        <v>79.753606743394386</v>
      </c>
      <c r="U155" s="45">
        <v>2498</v>
      </c>
      <c r="V155" s="96">
        <f t="shared" si="28"/>
        <v>20.246393256605607</v>
      </c>
      <c r="W155" s="45">
        <v>2835</v>
      </c>
      <c r="X155" s="96">
        <f t="shared" si="29"/>
        <v>22.977792186740153</v>
      </c>
      <c r="Y155" s="102">
        <v>9503</v>
      </c>
      <c r="Z155" s="96">
        <f t="shared" si="30"/>
        <v>77.02220781325984</v>
      </c>
      <c r="AA155" s="53">
        <v>4535</v>
      </c>
      <c r="AB155" s="45">
        <v>0</v>
      </c>
      <c r="AC155" s="105">
        <f t="shared" si="37"/>
        <v>16873</v>
      </c>
      <c r="AD155" s="48">
        <v>11</v>
      </c>
      <c r="AE155" s="48">
        <v>1871</v>
      </c>
      <c r="AF155" s="49">
        <f t="shared" si="43"/>
        <v>1882</v>
      </c>
      <c r="AG155" s="38">
        <v>1270</v>
      </c>
      <c r="AH155" s="34">
        <v>1960</v>
      </c>
      <c r="AI155" s="109">
        <f t="shared" si="31"/>
        <v>3230</v>
      </c>
      <c r="AJ155" s="26">
        <v>11424</v>
      </c>
      <c r="AK155" s="26">
        <v>4459</v>
      </c>
      <c r="AL155" s="69">
        <f t="shared" si="32"/>
        <v>15883</v>
      </c>
      <c r="AM155" s="24"/>
      <c r="AN155" s="20">
        <v>120</v>
      </c>
      <c r="AO155" s="20">
        <v>39</v>
      </c>
      <c r="AP155" s="106">
        <f t="shared" si="24"/>
        <v>159</v>
      </c>
      <c r="AQ155" s="20">
        <v>107355.33</v>
      </c>
      <c r="AR155" s="20">
        <v>117128.33</v>
      </c>
      <c r="AS155" s="118">
        <f t="shared" si="25"/>
        <v>0.59294912716453918</v>
      </c>
      <c r="AT155" s="118">
        <f t="shared" si="26"/>
        <v>0.54445421461678223</v>
      </c>
      <c r="AU155" s="20">
        <v>9</v>
      </c>
      <c r="AV155" s="20">
        <v>0</v>
      </c>
      <c r="AW155" s="20">
        <v>7</v>
      </c>
      <c r="AX155" s="22">
        <v>4</v>
      </c>
      <c r="AY155" s="22">
        <v>1334</v>
      </c>
      <c r="AZ155" s="22" t="s">
        <v>67</v>
      </c>
      <c r="BA155" s="20">
        <v>1523</v>
      </c>
      <c r="BB155" s="106">
        <f t="shared" si="39"/>
        <v>2857</v>
      </c>
      <c r="BC155" s="24"/>
      <c r="BD155" s="50">
        <v>28</v>
      </c>
      <c r="BE155" s="50">
        <v>19</v>
      </c>
      <c r="BF155" s="114">
        <f t="shared" si="40"/>
        <v>47</v>
      </c>
      <c r="BG155" s="73"/>
      <c r="BH155" s="73"/>
      <c r="BI155" s="72">
        <v>241</v>
      </c>
      <c r="BJ155" s="72">
        <v>197</v>
      </c>
      <c r="BK155" s="71" t="s">
        <v>66</v>
      </c>
      <c r="BL155" s="114">
        <f t="shared" si="33"/>
        <v>438</v>
      </c>
    </row>
    <row r="156" spans="1:64" x14ac:dyDescent="0.2">
      <c r="A156" s="13" t="str">
        <f t="shared" si="35"/>
        <v>2005Q3</v>
      </c>
      <c r="B156" s="11">
        <f t="shared" si="34"/>
        <v>2005</v>
      </c>
      <c r="C156" s="11" t="s">
        <v>3</v>
      </c>
      <c r="D156" s="44">
        <v>1454</v>
      </c>
      <c r="E156" s="44">
        <v>1852</v>
      </c>
      <c r="F156" s="87">
        <f t="shared" si="36"/>
        <v>3306</v>
      </c>
      <c r="G156" s="41">
        <v>1920546.3333333333</v>
      </c>
      <c r="H156" s="41">
        <v>2098553</v>
      </c>
      <c r="I156" s="93">
        <f t="shared" si="42"/>
        <v>178006.66666666674</v>
      </c>
      <c r="J156" s="95">
        <f t="shared" si="44"/>
        <v>0.70890811605551629</v>
      </c>
      <c r="K156" s="95">
        <f t="shared" si="45"/>
        <v>0.64815787596640084</v>
      </c>
      <c r="L156" s="50">
        <v>170</v>
      </c>
      <c r="M156" s="50">
        <v>0</v>
      </c>
      <c r="N156" s="50">
        <v>620</v>
      </c>
      <c r="O156" s="50">
        <v>149</v>
      </c>
      <c r="P156" s="51">
        <v>130</v>
      </c>
      <c r="Q156" s="99">
        <v>12256</v>
      </c>
      <c r="R156" s="42" t="s">
        <v>67</v>
      </c>
      <c r="S156" s="45">
        <v>9902</v>
      </c>
      <c r="T156" s="96">
        <f t="shared" si="27"/>
        <v>80.793080939947785</v>
      </c>
      <c r="U156" s="45">
        <v>2354</v>
      </c>
      <c r="V156" s="96">
        <f t="shared" si="28"/>
        <v>19.206919060052218</v>
      </c>
      <c r="W156" s="45">
        <v>2850</v>
      </c>
      <c r="X156" s="96">
        <f t="shared" si="29"/>
        <v>23.253916449086162</v>
      </c>
      <c r="Y156" s="102">
        <v>9406</v>
      </c>
      <c r="Z156" s="96">
        <f t="shared" si="30"/>
        <v>76.746083550913838</v>
      </c>
      <c r="AA156" s="53">
        <v>5754</v>
      </c>
      <c r="AB156" s="45">
        <v>0</v>
      </c>
      <c r="AC156" s="105">
        <f t="shared" si="37"/>
        <v>18010</v>
      </c>
      <c r="AD156" s="48">
        <v>12</v>
      </c>
      <c r="AE156" s="48">
        <v>2888</v>
      </c>
      <c r="AF156" s="49">
        <f t="shared" si="43"/>
        <v>2900</v>
      </c>
      <c r="AG156" s="38">
        <v>1527</v>
      </c>
      <c r="AH156" s="34">
        <v>1881</v>
      </c>
      <c r="AI156" s="109">
        <f t="shared" si="31"/>
        <v>3408</v>
      </c>
      <c r="AJ156" s="26">
        <v>12383</v>
      </c>
      <c r="AK156" s="26">
        <v>5515</v>
      </c>
      <c r="AL156" s="69">
        <f t="shared" si="32"/>
        <v>17898</v>
      </c>
      <c r="AM156" s="24"/>
      <c r="AN156" s="20">
        <v>115</v>
      </c>
      <c r="AO156" s="20">
        <v>36</v>
      </c>
      <c r="AP156" s="106">
        <f t="shared" si="24"/>
        <v>151</v>
      </c>
      <c r="AQ156" s="20">
        <v>108938</v>
      </c>
      <c r="AR156" s="20">
        <v>118965</v>
      </c>
      <c r="AS156" s="118">
        <f t="shared" ref="AS156:AS172" si="46">4*(SUM($AP153:$AP156)/SUM(AQ153:AQ156))*100</f>
        <v>0.56725397992635862</v>
      </c>
      <c r="AT156" s="118">
        <f t="shared" ref="AT156:AT172" si="47">4*(SUM($AP153:$AP156)/SUM(AR153:AR156))*100</f>
        <v>0.5204646731042738</v>
      </c>
      <c r="AU156" s="20">
        <v>12</v>
      </c>
      <c r="AV156" s="20">
        <v>0</v>
      </c>
      <c r="AW156" s="20">
        <v>19</v>
      </c>
      <c r="AX156" s="22">
        <v>2</v>
      </c>
      <c r="AY156" s="22">
        <v>1496</v>
      </c>
      <c r="AZ156" s="22" t="s">
        <v>67</v>
      </c>
      <c r="BA156" s="20">
        <v>2132</v>
      </c>
      <c r="BB156" s="106">
        <f t="shared" si="39"/>
        <v>3628</v>
      </c>
      <c r="BC156" s="24"/>
      <c r="BD156" s="50">
        <v>19</v>
      </c>
      <c r="BE156" s="50">
        <v>12</v>
      </c>
      <c r="BF156" s="114">
        <f t="shared" si="40"/>
        <v>31</v>
      </c>
      <c r="BG156" s="73"/>
      <c r="BH156" s="73"/>
      <c r="BI156" s="72">
        <v>193</v>
      </c>
      <c r="BJ156" s="72">
        <v>127</v>
      </c>
      <c r="BK156" s="71" t="s">
        <v>66</v>
      </c>
      <c r="BL156" s="114">
        <f t="shared" si="33"/>
        <v>320</v>
      </c>
    </row>
    <row r="157" spans="1:64" x14ac:dyDescent="0.2">
      <c r="A157" s="13" t="str">
        <f t="shared" si="35"/>
        <v>2005Q4</v>
      </c>
      <c r="B157" s="11">
        <f t="shared" si="34"/>
        <v>2005</v>
      </c>
      <c r="C157" s="11" t="s">
        <v>4</v>
      </c>
      <c r="D157" s="44">
        <v>1256</v>
      </c>
      <c r="E157" s="44">
        <v>1914</v>
      </c>
      <c r="F157" s="87">
        <f t="shared" si="36"/>
        <v>3170</v>
      </c>
      <c r="G157" s="41">
        <v>1955670.6666666667</v>
      </c>
      <c r="H157" s="41">
        <v>2132461.3333333335</v>
      </c>
      <c r="I157" s="93">
        <f t="shared" si="42"/>
        <v>176790.66666666674</v>
      </c>
      <c r="J157" s="95">
        <f t="shared" si="44"/>
        <v>0.71288095774248972</v>
      </c>
      <c r="K157" s="95">
        <f t="shared" si="45"/>
        <v>0.65246801811974287</v>
      </c>
      <c r="L157" s="50">
        <v>139</v>
      </c>
      <c r="M157" s="50">
        <v>0</v>
      </c>
      <c r="N157" s="50">
        <v>580</v>
      </c>
      <c r="O157" s="50">
        <v>181</v>
      </c>
      <c r="P157" s="51">
        <v>112</v>
      </c>
      <c r="Q157" s="99">
        <v>12509</v>
      </c>
      <c r="R157" s="42" t="s">
        <v>67</v>
      </c>
      <c r="S157" s="45">
        <v>10170</v>
      </c>
      <c r="T157" s="96">
        <f t="shared" si="27"/>
        <v>81.301462946678399</v>
      </c>
      <c r="U157" s="45">
        <v>2339</v>
      </c>
      <c r="V157" s="96">
        <f t="shared" si="28"/>
        <v>18.698537053321608</v>
      </c>
      <c r="W157" s="45">
        <v>2708</v>
      </c>
      <c r="X157" s="96">
        <f t="shared" si="29"/>
        <v>21.648413142537372</v>
      </c>
      <c r="Y157" s="102">
        <v>9801</v>
      </c>
      <c r="Z157" s="96">
        <f t="shared" si="30"/>
        <v>78.351586857462635</v>
      </c>
      <c r="AA157" s="53">
        <v>7002</v>
      </c>
      <c r="AB157" s="45">
        <v>0</v>
      </c>
      <c r="AC157" s="105">
        <f t="shared" si="37"/>
        <v>19511</v>
      </c>
      <c r="AD157" s="48">
        <v>21</v>
      </c>
      <c r="AE157" s="48">
        <v>2869</v>
      </c>
      <c r="AF157" s="49">
        <f t="shared" si="43"/>
        <v>2890</v>
      </c>
      <c r="AG157" s="38">
        <v>1254</v>
      </c>
      <c r="AH157" s="34">
        <v>1966</v>
      </c>
      <c r="AI157" s="109">
        <f t="shared" si="31"/>
        <v>3220</v>
      </c>
      <c r="AJ157" s="26">
        <v>13395</v>
      </c>
      <c r="AK157" s="26">
        <v>6957</v>
      </c>
      <c r="AL157" s="69">
        <f t="shared" si="32"/>
        <v>20352</v>
      </c>
      <c r="AM157" s="24"/>
      <c r="AN157" s="20">
        <v>82</v>
      </c>
      <c r="AO157" s="20">
        <v>37</v>
      </c>
      <c r="AP157" s="106">
        <f t="shared" si="24"/>
        <v>119</v>
      </c>
      <c r="AQ157" s="20">
        <v>110476.66666666667</v>
      </c>
      <c r="AR157" s="20">
        <v>121066.66666666667</v>
      </c>
      <c r="AS157" s="118">
        <f t="shared" si="46"/>
        <v>0.52678560531022101</v>
      </c>
      <c r="AT157" s="118">
        <f t="shared" si="47"/>
        <v>0.48246609193611839</v>
      </c>
      <c r="AU157" s="20">
        <v>8</v>
      </c>
      <c r="AV157" s="20">
        <v>0</v>
      </c>
      <c r="AW157" s="20">
        <v>21</v>
      </c>
      <c r="AX157" s="22">
        <v>1</v>
      </c>
      <c r="AY157" s="22">
        <v>1295</v>
      </c>
      <c r="AZ157" s="22" t="s">
        <v>67</v>
      </c>
      <c r="BA157" s="20">
        <v>1655</v>
      </c>
      <c r="BB157" s="106">
        <f t="shared" si="39"/>
        <v>2950</v>
      </c>
      <c r="BC157" s="24"/>
      <c r="BD157" s="50">
        <v>23</v>
      </c>
      <c r="BE157" s="50">
        <v>8</v>
      </c>
      <c r="BF157" s="114">
        <f t="shared" si="40"/>
        <v>31</v>
      </c>
      <c r="BG157" s="73"/>
      <c r="BH157" s="73"/>
      <c r="BI157" s="72">
        <v>213</v>
      </c>
      <c r="BJ157" s="72">
        <v>181</v>
      </c>
      <c r="BK157" s="71" t="s">
        <v>66</v>
      </c>
      <c r="BL157" s="114">
        <f t="shared" si="33"/>
        <v>394</v>
      </c>
    </row>
    <row r="158" spans="1:64" x14ac:dyDescent="0.2">
      <c r="A158" s="13" t="str">
        <f t="shared" si="35"/>
        <v>2006Q1</v>
      </c>
      <c r="B158" s="11">
        <f t="shared" si="34"/>
        <v>2006</v>
      </c>
      <c r="C158" s="11" t="s">
        <v>1</v>
      </c>
      <c r="D158" s="44">
        <v>1473</v>
      </c>
      <c r="E158" s="44">
        <v>2091</v>
      </c>
      <c r="F158" s="87">
        <f t="shared" si="36"/>
        <v>3564</v>
      </c>
      <c r="G158" s="41">
        <v>1988843</v>
      </c>
      <c r="H158" s="41">
        <v>2167736</v>
      </c>
      <c r="I158" s="93">
        <f t="shared" si="42"/>
        <v>178893</v>
      </c>
      <c r="J158" s="95">
        <f t="shared" si="44"/>
        <v>0.72935246247973418</v>
      </c>
      <c r="K158" s="95">
        <f t="shared" si="45"/>
        <v>0.66792567117184309</v>
      </c>
      <c r="L158" s="50">
        <v>180</v>
      </c>
      <c r="M158" s="50">
        <v>0</v>
      </c>
      <c r="N158" s="50">
        <v>753</v>
      </c>
      <c r="O158" s="50">
        <v>212</v>
      </c>
      <c r="P158" s="51">
        <v>124</v>
      </c>
      <c r="Q158" s="98">
        <v>16283</v>
      </c>
      <c r="R158" s="42" t="s">
        <v>67</v>
      </c>
      <c r="S158" s="45">
        <v>13492</v>
      </c>
      <c r="T158" s="96">
        <f t="shared" si="27"/>
        <v>82.859423939077573</v>
      </c>
      <c r="U158" s="45">
        <v>2791</v>
      </c>
      <c r="V158" s="96">
        <f t="shared" si="28"/>
        <v>17.140576060922434</v>
      </c>
      <c r="W158" s="45">
        <v>3150</v>
      </c>
      <c r="X158" s="96">
        <f t="shared" si="29"/>
        <v>19.345329484738684</v>
      </c>
      <c r="Y158" s="102">
        <v>13133</v>
      </c>
      <c r="Z158" s="96">
        <f t="shared" si="30"/>
        <v>80.654670515261316</v>
      </c>
      <c r="AA158" s="53">
        <v>7656</v>
      </c>
      <c r="AB158" s="45">
        <v>0</v>
      </c>
      <c r="AC158" s="105">
        <f t="shared" si="37"/>
        <v>23939</v>
      </c>
      <c r="AD158" s="48">
        <v>29</v>
      </c>
      <c r="AE158" s="48">
        <v>1944</v>
      </c>
      <c r="AF158" s="49">
        <f t="shared" si="43"/>
        <v>1973</v>
      </c>
      <c r="AG158" s="38">
        <v>1439</v>
      </c>
      <c r="AH158" s="34">
        <v>2015</v>
      </c>
      <c r="AI158" s="109">
        <f t="shared" ref="AI158:AI189" si="48">AG158+AH158</f>
        <v>3454</v>
      </c>
      <c r="AJ158" s="26">
        <v>15217</v>
      </c>
      <c r="AK158" s="26">
        <v>8588</v>
      </c>
      <c r="AL158" s="69">
        <f t="shared" si="32"/>
        <v>23805</v>
      </c>
      <c r="AM158" s="24"/>
      <c r="AN158" s="20">
        <v>96</v>
      </c>
      <c r="AO158" s="20">
        <v>32</v>
      </c>
      <c r="AP158" s="106">
        <f t="shared" si="24"/>
        <v>128</v>
      </c>
      <c r="AQ158" s="20">
        <v>111816.33333333333</v>
      </c>
      <c r="AR158" s="20">
        <v>122782.33333333333</v>
      </c>
      <c r="AS158" s="118">
        <f t="shared" si="46"/>
        <v>0.50799576904277888</v>
      </c>
      <c r="AT158" s="118">
        <f t="shared" si="47"/>
        <v>0.4642224410586997</v>
      </c>
      <c r="AU158" s="20">
        <v>11</v>
      </c>
      <c r="AV158" s="20">
        <v>0</v>
      </c>
      <c r="AW158" s="20">
        <v>28</v>
      </c>
      <c r="AX158" s="22">
        <v>2</v>
      </c>
      <c r="AY158" s="22">
        <v>1298</v>
      </c>
      <c r="AZ158" s="22" t="s">
        <v>67</v>
      </c>
      <c r="BA158" s="20">
        <v>1889</v>
      </c>
      <c r="BB158" s="106">
        <f t="shared" si="39"/>
        <v>3187</v>
      </c>
      <c r="BC158" s="24"/>
      <c r="BD158" s="50">
        <v>19</v>
      </c>
      <c r="BE158" s="50">
        <v>10</v>
      </c>
      <c r="BF158" s="114">
        <f t="shared" si="40"/>
        <v>29</v>
      </c>
      <c r="BG158" s="73"/>
      <c r="BH158" s="73"/>
      <c r="BI158" s="72">
        <v>245</v>
      </c>
      <c r="BJ158" s="72">
        <v>163</v>
      </c>
      <c r="BK158" s="71" t="s">
        <v>66</v>
      </c>
      <c r="BL158" s="114">
        <f t="shared" ref="BL158:BL179" si="49">BI158+BJ158</f>
        <v>408</v>
      </c>
    </row>
    <row r="159" spans="1:64" x14ac:dyDescent="0.2">
      <c r="A159" s="13" t="str">
        <f t="shared" si="35"/>
        <v>2006Q2</v>
      </c>
      <c r="B159" s="11">
        <f t="shared" si="34"/>
        <v>2006</v>
      </c>
      <c r="C159" s="11" t="s">
        <v>2</v>
      </c>
      <c r="D159" s="44">
        <v>1263</v>
      </c>
      <c r="E159" s="44">
        <v>1972</v>
      </c>
      <c r="F159" s="87">
        <f t="shared" si="36"/>
        <v>3235</v>
      </c>
      <c r="G159" s="41">
        <v>2038026.3333333333</v>
      </c>
      <c r="H159" s="41">
        <v>2223429.6666666665</v>
      </c>
      <c r="I159" s="93">
        <f t="shared" si="42"/>
        <v>185403.33333333326</v>
      </c>
      <c r="J159" s="95">
        <f t="shared" si="44"/>
        <v>0.71025416694802646</v>
      </c>
      <c r="K159" s="95">
        <f t="shared" si="45"/>
        <v>0.65101865189546038</v>
      </c>
      <c r="L159" s="50">
        <v>153</v>
      </c>
      <c r="M159" s="50">
        <v>0</v>
      </c>
      <c r="N159" s="50">
        <v>653</v>
      </c>
      <c r="O159" s="50">
        <v>216</v>
      </c>
      <c r="P159" s="51">
        <v>147</v>
      </c>
      <c r="Q159" s="98">
        <v>15489</v>
      </c>
      <c r="R159" s="42" t="s">
        <v>67</v>
      </c>
      <c r="S159" s="45">
        <v>13086</v>
      </c>
      <c r="T159" s="96">
        <f t="shared" si="27"/>
        <v>84.485764090644977</v>
      </c>
      <c r="U159" s="45">
        <v>2403</v>
      </c>
      <c r="V159" s="96">
        <f t="shared" si="28"/>
        <v>15.514235909355026</v>
      </c>
      <c r="W159" s="45">
        <v>2898</v>
      </c>
      <c r="X159" s="96">
        <f t="shared" si="29"/>
        <v>18.710052295177224</v>
      </c>
      <c r="Y159" s="102">
        <v>12591</v>
      </c>
      <c r="Z159" s="96">
        <f t="shared" si="30"/>
        <v>81.289947704822779</v>
      </c>
      <c r="AA159" s="53">
        <v>11233</v>
      </c>
      <c r="AB159" s="45">
        <v>0</v>
      </c>
      <c r="AC159" s="105">
        <f t="shared" si="37"/>
        <v>26722</v>
      </c>
      <c r="AD159" s="48">
        <v>21</v>
      </c>
      <c r="AE159" s="48">
        <v>2511</v>
      </c>
      <c r="AF159" s="49">
        <f t="shared" si="43"/>
        <v>2532</v>
      </c>
      <c r="AG159" s="38">
        <v>1241</v>
      </c>
      <c r="AH159" s="34">
        <v>1953</v>
      </c>
      <c r="AI159" s="109">
        <f t="shared" si="48"/>
        <v>3194</v>
      </c>
      <c r="AJ159" s="26">
        <v>15265</v>
      </c>
      <c r="AK159" s="26">
        <v>11031</v>
      </c>
      <c r="AL159" s="69">
        <f t="shared" si="32"/>
        <v>26296</v>
      </c>
      <c r="AM159" s="24"/>
      <c r="AN159" s="20">
        <v>99</v>
      </c>
      <c r="AO159" s="20">
        <v>34</v>
      </c>
      <c r="AP159" s="106">
        <f t="shared" si="24"/>
        <v>133</v>
      </c>
      <c r="AQ159" s="20">
        <v>114168</v>
      </c>
      <c r="AR159" s="20">
        <v>125542.66666666667</v>
      </c>
      <c r="AS159" s="118">
        <f t="shared" si="46"/>
        <v>0.47687579002198027</v>
      </c>
      <c r="AT159" s="118">
        <f t="shared" si="47"/>
        <v>0.43492802391694591</v>
      </c>
      <c r="AU159" s="20">
        <v>16</v>
      </c>
      <c r="AV159" s="20">
        <v>0</v>
      </c>
      <c r="AW159" s="20">
        <v>20</v>
      </c>
      <c r="AX159" s="22">
        <v>1</v>
      </c>
      <c r="AY159" s="22">
        <v>1263</v>
      </c>
      <c r="AZ159" s="22" t="s">
        <v>67</v>
      </c>
      <c r="BA159" s="20">
        <v>2237</v>
      </c>
      <c r="BB159" s="106">
        <f t="shared" si="39"/>
        <v>3500</v>
      </c>
      <c r="BC159" s="24"/>
      <c r="BD159" s="50">
        <v>24</v>
      </c>
      <c r="BE159" s="50">
        <v>17</v>
      </c>
      <c r="BF159" s="114">
        <f t="shared" si="40"/>
        <v>41</v>
      </c>
      <c r="BG159" s="73"/>
      <c r="BH159" s="73"/>
      <c r="BI159" s="72">
        <v>285</v>
      </c>
      <c r="BJ159" s="72">
        <v>209</v>
      </c>
      <c r="BK159" s="71" t="s">
        <v>66</v>
      </c>
      <c r="BL159" s="114">
        <f t="shared" si="49"/>
        <v>494</v>
      </c>
    </row>
    <row r="160" spans="1:64" x14ac:dyDescent="0.2">
      <c r="A160" s="13" t="str">
        <f t="shared" si="35"/>
        <v>2006Q3</v>
      </c>
      <c r="B160" s="11">
        <f t="shared" si="34"/>
        <v>2006</v>
      </c>
      <c r="C160" s="11" t="s">
        <v>3</v>
      </c>
      <c r="D160" s="44">
        <v>1286</v>
      </c>
      <c r="E160" s="44">
        <v>1886</v>
      </c>
      <c r="F160" s="87">
        <f t="shared" si="36"/>
        <v>3172</v>
      </c>
      <c r="G160" s="41">
        <v>2072738.6666666667</v>
      </c>
      <c r="H160" s="41">
        <v>2259638.3333333335</v>
      </c>
      <c r="I160" s="93">
        <f t="shared" si="42"/>
        <v>186899.66666666674</v>
      </c>
      <c r="J160" s="95">
        <f t="shared" si="44"/>
        <v>0.69489836809287286</v>
      </c>
      <c r="K160" s="95">
        <f t="shared" si="45"/>
        <v>0.63730284667099502</v>
      </c>
      <c r="L160" s="50">
        <v>93</v>
      </c>
      <c r="M160" s="50">
        <v>0</v>
      </c>
      <c r="N160" s="50">
        <v>675</v>
      </c>
      <c r="O160" s="50">
        <v>244</v>
      </c>
      <c r="P160" s="51">
        <v>157</v>
      </c>
      <c r="Q160" s="98">
        <v>15418</v>
      </c>
      <c r="R160" s="42" t="s">
        <v>67</v>
      </c>
      <c r="S160" s="45">
        <v>13036</v>
      </c>
      <c r="T160" s="96">
        <f t="shared" si="27"/>
        <v>84.550525359968859</v>
      </c>
      <c r="U160" s="45">
        <v>2382</v>
      </c>
      <c r="V160" s="96">
        <f t="shared" si="28"/>
        <v>15.449474640031132</v>
      </c>
      <c r="W160" s="45">
        <v>2990</v>
      </c>
      <c r="X160" s="96">
        <f t="shared" si="29"/>
        <v>19.392917369308602</v>
      </c>
      <c r="Y160" s="102">
        <v>12428</v>
      </c>
      <c r="Z160" s="96">
        <f t="shared" si="30"/>
        <v>80.607082630691394</v>
      </c>
      <c r="AA160" s="53">
        <v>12665</v>
      </c>
      <c r="AB160" s="45">
        <v>0</v>
      </c>
      <c r="AC160" s="105">
        <f t="shared" si="37"/>
        <v>28083</v>
      </c>
      <c r="AD160" s="48">
        <v>20</v>
      </c>
      <c r="AE160" s="48">
        <v>3778</v>
      </c>
      <c r="AF160" s="49">
        <f t="shared" si="43"/>
        <v>3798</v>
      </c>
      <c r="AG160" s="38">
        <v>1353</v>
      </c>
      <c r="AH160" s="34">
        <v>1919</v>
      </c>
      <c r="AI160" s="109">
        <f t="shared" si="48"/>
        <v>3272</v>
      </c>
      <c r="AJ160" s="26">
        <v>15657</v>
      </c>
      <c r="AK160" s="26">
        <v>12137</v>
      </c>
      <c r="AL160" s="69">
        <f t="shared" si="32"/>
        <v>27794</v>
      </c>
      <c r="AM160" s="24"/>
      <c r="AN160" s="20">
        <v>132</v>
      </c>
      <c r="AO160" s="20">
        <v>24</v>
      </c>
      <c r="AP160" s="106">
        <f t="shared" si="24"/>
        <v>156</v>
      </c>
      <c r="AQ160" s="20">
        <v>116012.66666666667</v>
      </c>
      <c r="AR160" s="20">
        <v>127038</v>
      </c>
      <c r="AS160" s="118">
        <f t="shared" si="46"/>
        <v>0.47383972989956685</v>
      </c>
      <c r="AT160" s="118">
        <f t="shared" si="47"/>
        <v>0.43188393924886309</v>
      </c>
      <c r="AU160" s="20">
        <v>3</v>
      </c>
      <c r="AV160" s="20">
        <v>0</v>
      </c>
      <c r="AW160" s="20">
        <v>18</v>
      </c>
      <c r="AX160" s="22">
        <v>1</v>
      </c>
      <c r="AY160" s="22">
        <v>1489</v>
      </c>
      <c r="AZ160" s="22" t="s">
        <v>67</v>
      </c>
      <c r="BA160" s="20">
        <v>2073</v>
      </c>
      <c r="BB160" s="106">
        <f t="shared" si="39"/>
        <v>3562</v>
      </c>
      <c r="BC160" s="24"/>
      <c r="BD160" s="50">
        <v>15</v>
      </c>
      <c r="BE160" s="50">
        <v>13</v>
      </c>
      <c r="BF160" s="114">
        <f t="shared" si="40"/>
        <v>28</v>
      </c>
      <c r="BG160" s="73"/>
      <c r="BH160" s="73"/>
      <c r="BI160" s="72">
        <v>241</v>
      </c>
      <c r="BJ160" s="72">
        <v>184</v>
      </c>
      <c r="BK160" s="71" t="s">
        <v>66</v>
      </c>
      <c r="BL160" s="114">
        <f t="shared" si="49"/>
        <v>425</v>
      </c>
    </row>
    <row r="161" spans="1:64" x14ac:dyDescent="0.2">
      <c r="A161" s="13" t="str">
        <f t="shared" si="35"/>
        <v>2006Q4</v>
      </c>
      <c r="B161" s="11">
        <f t="shared" si="34"/>
        <v>2006</v>
      </c>
      <c r="C161" s="11" t="s">
        <v>4</v>
      </c>
      <c r="D161" s="44">
        <v>1396</v>
      </c>
      <c r="E161" s="44">
        <v>1770</v>
      </c>
      <c r="F161" s="87">
        <f t="shared" si="36"/>
        <v>3166</v>
      </c>
      <c r="G161" s="41">
        <v>2108728.3333333335</v>
      </c>
      <c r="H161" s="41">
        <v>2297567</v>
      </c>
      <c r="I161" s="93">
        <f t="shared" si="42"/>
        <v>188838.66666666651</v>
      </c>
      <c r="J161" s="95">
        <f t="shared" si="44"/>
        <v>0.68471853147343009</v>
      </c>
      <c r="K161" s="95">
        <f t="shared" si="45"/>
        <v>0.62809197338822897</v>
      </c>
      <c r="L161" s="50">
        <v>162</v>
      </c>
      <c r="M161" s="50">
        <v>0</v>
      </c>
      <c r="N161" s="50">
        <v>1479</v>
      </c>
      <c r="O161" s="50">
        <v>242</v>
      </c>
      <c r="P161" s="51">
        <v>106</v>
      </c>
      <c r="Q161" s="98">
        <v>15766</v>
      </c>
      <c r="R161" s="42" t="s">
        <v>67</v>
      </c>
      <c r="S161" s="45">
        <v>13424</v>
      </c>
      <c r="T161" s="96">
        <f t="shared" si="27"/>
        <v>85.145249270582269</v>
      </c>
      <c r="U161" s="45">
        <v>2342</v>
      </c>
      <c r="V161" s="96">
        <f t="shared" si="28"/>
        <v>14.854750729417734</v>
      </c>
      <c r="W161" s="45">
        <v>1856</v>
      </c>
      <c r="X161" s="96">
        <f t="shared" si="29"/>
        <v>11.772167956361791</v>
      </c>
      <c r="Y161" s="102">
        <v>13910</v>
      </c>
      <c r="Z161" s="96">
        <f t="shared" si="30"/>
        <v>88.227832043638216</v>
      </c>
      <c r="AA161" s="53">
        <v>12778</v>
      </c>
      <c r="AB161" s="45">
        <v>0</v>
      </c>
      <c r="AC161" s="105">
        <f t="shared" si="37"/>
        <v>28544</v>
      </c>
      <c r="AD161" s="48">
        <v>16</v>
      </c>
      <c r="AE161" s="48">
        <v>3671</v>
      </c>
      <c r="AF161" s="49">
        <f t="shared" si="43"/>
        <v>3687</v>
      </c>
      <c r="AG161" s="38">
        <v>1384</v>
      </c>
      <c r="AH161" s="34">
        <v>1832</v>
      </c>
      <c r="AI161" s="109">
        <f t="shared" si="48"/>
        <v>3216</v>
      </c>
      <c r="AJ161" s="26">
        <v>16818</v>
      </c>
      <c r="AK161" s="26">
        <v>12576</v>
      </c>
      <c r="AL161" s="69">
        <f t="shared" si="32"/>
        <v>29394</v>
      </c>
      <c r="AM161" s="24"/>
      <c r="AN161" s="20">
        <v>89</v>
      </c>
      <c r="AO161" s="20">
        <v>43</v>
      </c>
      <c r="AP161" s="106">
        <f t="shared" si="24"/>
        <v>132</v>
      </c>
      <c r="AQ161" s="20">
        <v>118121</v>
      </c>
      <c r="AR161" s="20">
        <v>129346.66666666667</v>
      </c>
      <c r="AS161" s="118">
        <f t="shared" si="46"/>
        <v>0.477268874506105</v>
      </c>
      <c r="AT161" s="118">
        <f t="shared" si="47"/>
        <v>0.43510163268783569</v>
      </c>
      <c r="AU161" s="20">
        <v>4</v>
      </c>
      <c r="AV161" s="20">
        <v>0</v>
      </c>
      <c r="AW161" s="20">
        <v>20</v>
      </c>
      <c r="AX161" s="22">
        <v>1</v>
      </c>
      <c r="AY161" s="22">
        <v>1516</v>
      </c>
      <c r="AZ161" s="22" t="s">
        <v>67</v>
      </c>
      <c r="BA161" s="20">
        <v>2024</v>
      </c>
      <c r="BB161" s="106">
        <f t="shared" si="39"/>
        <v>3540</v>
      </c>
      <c r="BC161" s="24"/>
      <c r="BD161" s="50">
        <v>20</v>
      </c>
      <c r="BE161" s="50">
        <v>10</v>
      </c>
      <c r="BF161" s="114">
        <f t="shared" si="40"/>
        <v>30</v>
      </c>
      <c r="BG161" s="73"/>
      <c r="BH161" s="73"/>
      <c r="BI161" s="72">
        <v>264</v>
      </c>
      <c r="BJ161" s="72">
        <v>218</v>
      </c>
      <c r="BK161" s="71" t="s">
        <v>66</v>
      </c>
      <c r="BL161" s="114">
        <f t="shared" si="49"/>
        <v>482</v>
      </c>
    </row>
    <row r="162" spans="1:64" x14ac:dyDescent="0.2">
      <c r="A162" s="13" t="str">
        <f t="shared" si="35"/>
        <v>2007Q1</v>
      </c>
      <c r="B162" s="11">
        <f t="shared" si="34"/>
        <v>2007</v>
      </c>
      <c r="C162" s="11" t="s">
        <v>1</v>
      </c>
      <c r="D162" s="44">
        <v>1384</v>
      </c>
      <c r="E162" s="44">
        <f>560+656+674</f>
        <v>1890</v>
      </c>
      <c r="F162" s="87">
        <f t="shared" si="36"/>
        <v>3274</v>
      </c>
      <c r="G162" s="41">
        <v>2164741.3333333335</v>
      </c>
      <c r="H162" s="41">
        <v>2358365.3333333335</v>
      </c>
      <c r="I162" s="93">
        <f t="shared" si="42"/>
        <v>193624</v>
      </c>
      <c r="J162" s="95">
        <f t="shared" si="44"/>
        <v>0.65957123337514723</v>
      </c>
      <c r="K162" s="95">
        <f t="shared" si="45"/>
        <v>0.60509900408144557</v>
      </c>
      <c r="L162" s="50">
        <f>20+32+36</f>
        <v>88</v>
      </c>
      <c r="M162" s="50">
        <v>1</v>
      </c>
      <c r="N162" s="50">
        <f>249+212+222</f>
        <v>683</v>
      </c>
      <c r="O162" s="50">
        <f>101+85+90</f>
        <v>276</v>
      </c>
      <c r="P162" s="51">
        <f>34+32+30</f>
        <v>96</v>
      </c>
      <c r="Q162" s="98">
        <v>17937</v>
      </c>
      <c r="R162" s="42" t="s">
        <v>67</v>
      </c>
      <c r="S162" s="45">
        <v>15356</v>
      </c>
      <c r="T162" s="96">
        <f t="shared" si="27"/>
        <v>85.610748731671961</v>
      </c>
      <c r="U162" s="45">
        <v>2581</v>
      </c>
      <c r="V162" s="96">
        <f t="shared" si="28"/>
        <v>14.389251268328037</v>
      </c>
      <c r="W162" s="45">
        <v>1981</v>
      </c>
      <c r="X162" s="96">
        <f t="shared" si="29"/>
        <v>11.044210291576071</v>
      </c>
      <c r="Y162" s="102">
        <v>15956</v>
      </c>
      <c r="Z162" s="96">
        <f t="shared" si="30"/>
        <v>88.955789708423922</v>
      </c>
      <c r="AA162" s="52">
        <v>11299</v>
      </c>
      <c r="AB162" s="45">
        <v>0</v>
      </c>
      <c r="AC162" s="105">
        <f t="shared" si="37"/>
        <v>29236</v>
      </c>
      <c r="AD162" s="48">
        <v>23</v>
      </c>
      <c r="AE162" s="48">
        <v>2460</v>
      </c>
      <c r="AF162" s="49">
        <f t="shared" si="43"/>
        <v>2483</v>
      </c>
      <c r="AG162" s="38">
        <v>1353</v>
      </c>
      <c r="AH162" s="34">
        <v>1810</v>
      </c>
      <c r="AI162" s="109">
        <f t="shared" si="48"/>
        <v>3163</v>
      </c>
      <c r="AJ162" s="26">
        <v>16742</v>
      </c>
      <c r="AK162" s="26">
        <v>12454</v>
      </c>
      <c r="AL162" s="69">
        <f t="shared" si="32"/>
        <v>29196</v>
      </c>
      <c r="AM162" s="24"/>
      <c r="AN162" s="20">
        <v>132</v>
      </c>
      <c r="AO162" s="20">
        <v>34</v>
      </c>
      <c r="AP162" s="106">
        <f t="shared" si="24"/>
        <v>166</v>
      </c>
      <c r="AQ162" s="20">
        <v>120257</v>
      </c>
      <c r="AR162" s="20">
        <v>131796.66666666666</v>
      </c>
      <c r="AS162" s="118">
        <f t="shared" si="46"/>
        <v>0.50111120912642737</v>
      </c>
      <c r="AT162" s="118">
        <f t="shared" si="47"/>
        <v>0.45705476092220726</v>
      </c>
      <c r="AU162" s="20">
        <v>9</v>
      </c>
      <c r="AV162" s="20">
        <v>0</v>
      </c>
      <c r="AW162" s="20">
        <v>15</v>
      </c>
      <c r="AX162" s="22">
        <v>2</v>
      </c>
      <c r="AY162" s="22">
        <v>1617</v>
      </c>
      <c r="AZ162" s="22" t="s">
        <v>67</v>
      </c>
      <c r="BA162" s="20">
        <v>1964</v>
      </c>
      <c r="BB162" s="106">
        <f t="shared" si="39"/>
        <v>3581</v>
      </c>
      <c r="BC162" s="24"/>
      <c r="BD162" s="50">
        <v>29</v>
      </c>
      <c r="BE162" s="50">
        <v>7</v>
      </c>
      <c r="BF162" s="114">
        <f t="shared" si="40"/>
        <v>36</v>
      </c>
      <c r="BG162" s="72">
        <v>33587</v>
      </c>
      <c r="BH162" s="72">
        <v>37805</v>
      </c>
      <c r="BI162" s="72">
        <v>218</v>
      </c>
      <c r="BJ162" s="72">
        <v>125</v>
      </c>
      <c r="BK162" s="71" t="s">
        <v>66</v>
      </c>
      <c r="BL162" s="114">
        <f t="shared" si="49"/>
        <v>343</v>
      </c>
    </row>
    <row r="163" spans="1:64" x14ac:dyDescent="0.2">
      <c r="A163" s="13" t="str">
        <f t="shared" si="35"/>
        <v>2007Q2</v>
      </c>
      <c r="B163" s="11">
        <f t="shared" si="34"/>
        <v>2007</v>
      </c>
      <c r="C163" s="11" t="s">
        <v>2</v>
      </c>
      <c r="D163" s="44">
        <v>1399</v>
      </c>
      <c r="E163" s="44">
        <f>572+496+724</f>
        <v>1792</v>
      </c>
      <c r="F163" s="87">
        <f t="shared" si="36"/>
        <v>3191</v>
      </c>
      <c r="G163" s="41">
        <v>2238118.3333333335</v>
      </c>
      <c r="H163" s="41">
        <v>2439634.6666666665</v>
      </c>
      <c r="I163" s="93">
        <f t="shared" si="42"/>
        <v>201516.33333333302</v>
      </c>
      <c r="J163" s="95">
        <f t="shared" si="44"/>
        <v>0.64536220662618449</v>
      </c>
      <c r="K163" s="95">
        <f t="shared" si="45"/>
        <v>0.59218368839650626</v>
      </c>
      <c r="L163" s="50">
        <f>16+19+42</f>
        <v>77</v>
      </c>
      <c r="M163" s="50">
        <v>0</v>
      </c>
      <c r="N163" s="50">
        <f>177+153+255</f>
        <v>585</v>
      </c>
      <c r="O163" s="50">
        <f>98+87+100</f>
        <v>285</v>
      </c>
      <c r="P163" s="51">
        <f>35+26+41</f>
        <v>102</v>
      </c>
      <c r="Q163" s="98">
        <v>16489</v>
      </c>
      <c r="R163" s="42" t="s">
        <v>67</v>
      </c>
      <c r="S163" s="45">
        <v>13923</v>
      </c>
      <c r="T163" s="96">
        <f t="shared" si="27"/>
        <v>84.438110255321732</v>
      </c>
      <c r="U163" s="45">
        <v>2566</v>
      </c>
      <c r="V163" s="96">
        <f t="shared" si="28"/>
        <v>15.56188974467827</v>
      </c>
      <c r="W163" s="45">
        <v>1767</v>
      </c>
      <c r="X163" s="96">
        <f t="shared" si="29"/>
        <v>10.716235065801444</v>
      </c>
      <c r="Y163" s="102">
        <v>14722</v>
      </c>
      <c r="Z163" s="96">
        <f t="shared" si="30"/>
        <v>89.283764934198558</v>
      </c>
      <c r="AA163" s="52">
        <v>10838</v>
      </c>
      <c r="AB163" s="45">
        <v>0</v>
      </c>
      <c r="AC163" s="105">
        <f t="shared" si="37"/>
        <v>27327</v>
      </c>
      <c r="AD163" s="48">
        <v>27</v>
      </c>
      <c r="AE163" s="48">
        <v>2868</v>
      </c>
      <c r="AF163" s="49">
        <f t="shared" si="43"/>
        <v>2895</v>
      </c>
      <c r="AG163" s="38">
        <v>1380</v>
      </c>
      <c r="AH163" s="34">
        <v>1777</v>
      </c>
      <c r="AI163" s="109">
        <f t="shared" si="48"/>
        <v>3157</v>
      </c>
      <c r="AJ163" s="26">
        <v>16493</v>
      </c>
      <c r="AK163" s="26">
        <v>10502</v>
      </c>
      <c r="AL163" s="69">
        <f t="shared" si="32"/>
        <v>26995</v>
      </c>
      <c r="AM163" s="24"/>
      <c r="AN163" s="20">
        <v>131</v>
      </c>
      <c r="AO163" s="20">
        <v>34</v>
      </c>
      <c r="AP163" s="106">
        <f t="shared" si="24"/>
        <v>165</v>
      </c>
      <c r="AQ163" s="20">
        <v>123998.66666666667</v>
      </c>
      <c r="AR163" s="20">
        <v>135870.33333333334</v>
      </c>
      <c r="AS163" s="118">
        <f t="shared" si="46"/>
        <v>0.51757006845191633</v>
      </c>
      <c r="AT163" s="118">
        <f t="shared" si="47"/>
        <v>0.4724724979407246</v>
      </c>
      <c r="AU163" s="20">
        <v>22</v>
      </c>
      <c r="AV163" s="20">
        <v>0</v>
      </c>
      <c r="AW163" s="20">
        <v>11</v>
      </c>
      <c r="AX163" s="22">
        <v>1</v>
      </c>
      <c r="AY163" s="22">
        <v>1606</v>
      </c>
      <c r="AZ163" s="22" t="s">
        <v>67</v>
      </c>
      <c r="BA163" s="20">
        <v>1892</v>
      </c>
      <c r="BB163" s="106">
        <f t="shared" si="39"/>
        <v>3498</v>
      </c>
      <c r="BC163" s="24"/>
      <c r="BD163" s="50">
        <v>29</v>
      </c>
      <c r="BE163" s="50">
        <v>9</v>
      </c>
      <c r="BF163" s="114">
        <f t="shared" si="40"/>
        <v>38</v>
      </c>
      <c r="BG163" s="72">
        <v>33255</v>
      </c>
      <c r="BH163" s="72">
        <v>36569</v>
      </c>
      <c r="BI163" s="72">
        <v>228</v>
      </c>
      <c r="BJ163" s="72">
        <v>110</v>
      </c>
      <c r="BK163" s="71" t="s">
        <v>66</v>
      </c>
      <c r="BL163" s="114">
        <f t="shared" si="49"/>
        <v>338</v>
      </c>
    </row>
    <row r="164" spans="1:64" x14ac:dyDescent="0.2">
      <c r="A164" s="13" t="str">
        <f t="shared" si="35"/>
        <v>2007Q3</v>
      </c>
      <c r="B164" s="11">
        <f t="shared" si="34"/>
        <v>2007</v>
      </c>
      <c r="C164" s="11" t="s">
        <v>3</v>
      </c>
      <c r="D164" s="44">
        <v>1234</v>
      </c>
      <c r="E164" s="44">
        <f>629+593+657</f>
        <v>1879</v>
      </c>
      <c r="F164" s="87">
        <f t="shared" si="36"/>
        <v>3113</v>
      </c>
      <c r="G164" s="41">
        <v>2258140</v>
      </c>
      <c r="H164" s="41">
        <v>2474663.6666666665</v>
      </c>
      <c r="I164" s="93">
        <f t="shared" si="42"/>
        <v>216523.66666666651</v>
      </c>
      <c r="J164" s="95">
        <f t="shared" si="44"/>
        <v>0.62993971990921493</v>
      </c>
      <c r="K164" s="95">
        <f t="shared" si="45"/>
        <v>0.57724836447689942</v>
      </c>
      <c r="L164" s="50">
        <f>22+30+28</f>
        <v>80</v>
      </c>
      <c r="M164" s="50">
        <v>2</v>
      </c>
      <c r="N164" s="50">
        <f>223+227+216</f>
        <v>666</v>
      </c>
      <c r="O164" s="50">
        <f>93+80+91</f>
        <v>264</v>
      </c>
      <c r="P164" s="51">
        <f>50+38+41</f>
        <v>129</v>
      </c>
      <c r="Q164" s="98">
        <v>15600</v>
      </c>
      <c r="R164" s="42" t="s">
        <v>67</v>
      </c>
      <c r="S164" s="45">
        <v>13173</v>
      </c>
      <c r="T164" s="96">
        <f t="shared" si="27"/>
        <v>84.442307692307693</v>
      </c>
      <c r="U164" s="45">
        <v>2427</v>
      </c>
      <c r="V164" s="96">
        <f t="shared" si="28"/>
        <v>15.557692307692308</v>
      </c>
      <c r="W164" s="45">
        <v>1660</v>
      </c>
      <c r="X164" s="96">
        <f t="shared" si="29"/>
        <v>10.641025641025641</v>
      </c>
      <c r="Y164" s="102">
        <v>13940</v>
      </c>
      <c r="Z164" s="96">
        <f t="shared" si="30"/>
        <v>89.358974358974365</v>
      </c>
      <c r="AA164" s="52">
        <v>10652</v>
      </c>
      <c r="AB164" s="45">
        <v>0</v>
      </c>
      <c r="AC164" s="105">
        <f t="shared" si="37"/>
        <v>26252</v>
      </c>
      <c r="AD164" s="48">
        <v>11</v>
      </c>
      <c r="AE164" s="48">
        <v>4233</v>
      </c>
      <c r="AF164" s="49">
        <f t="shared" si="43"/>
        <v>4244</v>
      </c>
      <c r="AG164" s="38">
        <v>1296</v>
      </c>
      <c r="AH164" s="34">
        <v>1908</v>
      </c>
      <c r="AI164" s="109">
        <f t="shared" si="48"/>
        <v>3204</v>
      </c>
      <c r="AJ164" s="26">
        <v>15934</v>
      </c>
      <c r="AK164" s="26">
        <v>10085</v>
      </c>
      <c r="AL164" s="69">
        <f t="shared" si="32"/>
        <v>26019</v>
      </c>
      <c r="AM164" s="24"/>
      <c r="AN164" s="20">
        <v>105</v>
      </c>
      <c r="AO164" s="20">
        <v>20</v>
      </c>
      <c r="AP164" s="106">
        <f t="shared" si="24"/>
        <v>125</v>
      </c>
      <c r="AQ164" s="20">
        <v>126072.66666666667</v>
      </c>
      <c r="AR164" s="20">
        <v>138109.66666666666</v>
      </c>
      <c r="AS164" s="118">
        <f t="shared" si="46"/>
        <v>0.48152384280048149</v>
      </c>
      <c r="AT164" s="118">
        <f t="shared" si="47"/>
        <v>0.43952484473984194</v>
      </c>
      <c r="AU164" s="20">
        <v>8</v>
      </c>
      <c r="AV164" s="20">
        <v>0</v>
      </c>
      <c r="AW164" s="20">
        <v>6</v>
      </c>
      <c r="AX164" s="22">
        <v>2</v>
      </c>
      <c r="AY164" s="22">
        <v>1545</v>
      </c>
      <c r="AZ164" s="22" t="s">
        <v>67</v>
      </c>
      <c r="BA164" s="20">
        <v>1982</v>
      </c>
      <c r="BB164" s="106">
        <f t="shared" si="39"/>
        <v>3527</v>
      </c>
      <c r="BC164" s="24"/>
      <c r="BD164" s="50">
        <v>28</v>
      </c>
      <c r="BE164" s="50">
        <v>14</v>
      </c>
      <c r="BF164" s="114">
        <f t="shared" si="40"/>
        <v>42</v>
      </c>
      <c r="BG164" s="72">
        <v>33750</v>
      </c>
      <c r="BH164" s="72">
        <v>37101</v>
      </c>
      <c r="BI164" s="72">
        <v>227</v>
      </c>
      <c r="BJ164" s="72">
        <v>111</v>
      </c>
      <c r="BK164" s="71" t="s">
        <v>66</v>
      </c>
      <c r="BL164" s="114">
        <f t="shared" si="49"/>
        <v>338</v>
      </c>
    </row>
    <row r="165" spans="1:64" x14ac:dyDescent="0.2">
      <c r="A165" s="13" t="str">
        <f t="shared" si="35"/>
        <v>2007Q4</v>
      </c>
      <c r="B165" s="11">
        <f t="shared" si="34"/>
        <v>2007</v>
      </c>
      <c r="C165" s="11" t="s">
        <v>4</v>
      </c>
      <c r="D165" s="44">
        <v>1148</v>
      </c>
      <c r="E165" s="45">
        <f>684+653+444</f>
        <v>1781</v>
      </c>
      <c r="F165" s="87">
        <f t="shared" si="36"/>
        <v>2929</v>
      </c>
      <c r="G165" s="41">
        <v>2275838.6666666665</v>
      </c>
      <c r="H165" s="41">
        <v>2500227.6666666665</v>
      </c>
      <c r="I165" s="93">
        <f t="shared" si="42"/>
        <v>224389</v>
      </c>
      <c r="J165" s="95">
        <f t="shared" si="44"/>
        <v>0.60880591066602041</v>
      </c>
      <c r="K165" s="95">
        <f t="shared" si="45"/>
        <v>0.55672367720313687</v>
      </c>
      <c r="L165" s="50">
        <f>40+32+20</f>
        <v>92</v>
      </c>
      <c r="M165" s="50">
        <v>0</v>
      </c>
      <c r="N165" s="50">
        <f>230+214+131</f>
        <v>575</v>
      </c>
      <c r="O165" s="50">
        <f>110+84+76</f>
        <v>270</v>
      </c>
      <c r="P165" s="51">
        <f>40+34+17</f>
        <v>91</v>
      </c>
      <c r="Q165" s="98">
        <v>14454</v>
      </c>
      <c r="R165" s="42" t="s">
        <v>67</v>
      </c>
      <c r="S165" s="45">
        <v>11981</v>
      </c>
      <c r="T165" s="96">
        <f t="shared" si="27"/>
        <v>82.890549328905493</v>
      </c>
      <c r="U165" s="45">
        <v>2473</v>
      </c>
      <c r="V165" s="96">
        <f t="shared" si="28"/>
        <v>17.109450671094507</v>
      </c>
      <c r="W165" s="45">
        <v>1650</v>
      </c>
      <c r="X165" s="96">
        <f t="shared" si="29"/>
        <v>11.415525114155251</v>
      </c>
      <c r="Y165" s="102">
        <v>12804</v>
      </c>
      <c r="Z165" s="96">
        <f t="shared" si="30"/>
        <v>88.584474885844742</v>
      </c>
      <c r="AA165" s="52">
        <v>9376</v>
      </c>
      <c r="AB165" s="45">
        <v>0</v>
      </c>
      <c r="AC165" s="105">
        <f t="shared" si="37"/>
        <v>23830</v>
      </c>
      <c r="AD165" s="48">
        <v>16</v>
      </c>
      <c r="AE165" s="48">
        <v>3694</v>
      </c>
      <c r="AF165" s="49">
        <f t="shared" si="43"/>
        <v>3710</v>
      </c>
      <c r="AG165" s="38">
        <v>1135</v>
      </c>
      <c r="AH165" s="34">
        <v>1847</v>
      </c>
      <c r="AI165" s="109">
        <f t="shared" si="48"/>
        <v>2982</v>
      </c>
      <c r="AJ165" s="26">
        <v>15311</v>
      </c>
      <c r="AK165" s="26">
        <v>9123</v>
      </c>
      <c r="AL165" s="69">
        <f t="shared" si="32"/>
        <v>24434</v>
      </c>
      <c r="AM165" s="24"/>
      <c r="AN165" s="20">
        <v>71</v>
      </c>
      <c r="AO165" s="20">
        <v>12</v>
      </c>
      <c r="AP165" s="106">
        <f t="shared" si="24"/>
        <v>83</v>
      </c>
      <c r="AQ165" s="20">
        <v>127487</v>
      </c>
      <c r="AR165" s="20">
        <v>139787.33333333334</v>
      </c>
      <c r="AS165" s="118">
        <f t="shared" si="46"/>
        <v>0.43309232473085735</v>
      </c>
      <c r="AT165" s="118">
        <f t="shared" si="47"/>
        <v>0.3951873657352758</v>
      </c>
      <c r="AU165" s="20">
        <v>36</v>
      </c>
      <c r="AV165" s="20">
        <v>0</v>
      </c>
      <c r="AW165" s="20">
        <v>5</v>
      </c>
      <c r="AX165" s="22">
        <v>1</v>
      </c>
      <c r="AY165" s="22">
        <v>1563</v>
      </c>
      <c r="AZ165" s="22" t="s">
        <v>67</v>
      </c>
      <c r="BA165" s="20">
        <v>1755</v>
      </c>
      <c r="BB165" s="106">
        <f t="shared" si="39"/>
        <v>3318</v>
      </c>
      <c r="BC165" s="24"/>
      <c r="BD165" s="50">
        <v>36</v>
      </c>
      <c r="BE165" s="50">
        <v>12</v>
      </c>
      <c r="BF165" s="114">
        <f t="shared" si="40"/>
        <v>48</v>
      </c>
      <c r="BG165" s="72">
        <v>37569</v>
      </c>
      <c r="BH165" s="72">
        <v>34365</v>
      </c>
      <c r="BI165" s="72">
        <v>225</v>
      </c>
      <c r="BJ165" s="72">
        <v>94</v>
      </c>
      <c r="BK165" s="71" t="s">
        <v>66</v>
      </c>
      <c r="BL165" s="114">
        <f t="shared" si="49"/>
        <v>319</v>
      </c>
    </row>
    <row r="166" spans="1:64" x14ac:dyDescent="0.2">
      <c r="A166" s="13" t="str">
        <f t="shared" si="35"/>
        <v>2008Q1</v>
      </c>
      <c r="B166" s="11">
        <f t="shared" si="34"/>
        <v>2008</v>
      </c>
      <c r="C166" s="11" t="s">
        <v>1</v>
      </c>
      <c r="D166" s="44">
        <f>335+423+322</f>
        <v>1080</v>
      </c>
      <c r="E166" s="44">
        <f>692+730+760</f>
        <v>2182</v>
      </c>
      <c r="F166" s="87">
        <f t="shared" si="36"/>
        <v>3262</v>
      </c>
      <c r="G166" s="41">
        <f>(2270203+2272119+2297880)/3</f>
        <v>2280067.3333333335</v>
      </c>
      <c r="H166" s="41">
        <f>(2510848+2510906+2535708)/3</f>
        <v>2519154</v>
      </c>
      <c r="I166" s="93">
        <f t="shared" si="42"/>
        <v>239086.66666666651</v>
      </c>
      <c r="J166" s="95">
        <f t="shared" si="44"/>
        <v>0.60025423754090779</v>
      </c>
      <c r="K166" s="95">
        <f t="shared" si="45"/>
        <v>0.54698762190849715</v>
      </c>
      <c r="L166" s="50">
        <f>51+61+47</f>
        <v>159</v>
      </c>
      <c r="M166" s="50">
        <f>0+0+1</f>
        <v>1</v>
      </c>
      <c r="N166" s="50">
        <f>303+283+272</f>
        <v>858</v>
      </c>
      <c r="O166" s="50">
        <f>114+80+76</f>
        <v>270</v>
      </c>
      <c r="P166" s="51">
        <f>62+34+44</f>
        <v>140</v>
      </c>
      <c r="Q166" s="98">
        <f>5283+5539+4992</f>
        <v>15814</v>
      </c>
      <c r="R166" s="42" t="s">
        <v>67</v>
      </c>
      <c r="S166" s="45">
        <f>4291+4703+4281</f>
        <v>13275</v>
      </c>
      <c r="T166" s="96">
        <f t="shared" si="27"/>
        <v>83.944606045276345</v>
      </c>
      <c r="U166" s="45">
        <f>992+836+711</f>
        <v>2539</v>
      </c>
      <c r="V166" s="96">
        <f t="shared" si="28"/>
        <v>16.055393954723662</v>
      </c>
      <c r="W166" s="45">
        <v>1915</v>
      </c>
      <c r="X166" s="96">
        <f t="shared" ref="X166:X197" si="50">IF(W166="..","..",W166/$Q166*100)</f>
        <v>12.109523207284685</v>
      </c>
      <c r="Y166" s="96">
        <f t="shared" ref="Y166:Y186" si="51">Q166-W166</f>
        <v>13899</v>
      </c>
      <c r="Z166" s="96">
        <f t="shared" ref="Z166:Z197" si="52">IF(Y166="..","..",Y166/$Q166*100)</f>
        <v>87.890476792715305</v>
      </c>
      <c r="AA166" s="52">
        <f>2959+2843+3003</f>
        <v>8805</v>
      </c>
      <c r="AB166" s="45">
        <v>0</v>
      </c>
      <c r="AC166" s="105">
        <f>IF(AA166=":",Q166+AB166,Q166+AA166+AB166)</f>
        <v>24619</v>
      </c>
      <c r="AD166" s="48">
        <f>3+6+9</f>
        <v>18</v>
      </c>
      <c r="AE166" s="48">
        <f>930+669+552</f>
        <v>2151</v>
      </c>
      <c r="AF166" s="49">
        <f t="shared" si="43"/>
        <v>2169</v>
      </c>
      <c r="AG166" s="38">
        <v>1166</v>
      </c>
      <c r="AH166" s="34">
        <v>2060</v>
      </c>
      <c r="AI166" s="109">
        <f t="shared" si="48"/>
        <v>3226</v>
      </c>
      <c r="AJ166" s="26">
        <v>15482</v>
      </c>
      <c r="AK166" s="26">
        <v>9641</v>
      </c>
      <c r="AL166" s="69">
        <f t="shared" si="32"/>
        <v>25123</v>
      </c>
      <c r="AM166" s="24"/>
      <c r="AN166" s="20">
        <f>36+34+25</f>
        <v>95</v>
      </c>
      <c r="AO166" s="20">
        <f>3+3+1</f>
        <v>7</v>
      </c>
      <c r="AP166" s="106">
        <f t="shared" si="24"/>
        <v>102</v>
      </c>
      <c r="AQ166" s="20">
        <f>(127856+128185+129305)/3</f>
        <v>128448.66666666667</v>
      </c>
      <c r="AR166" s="20">
        <f>(140557+140972+142491)/3</f>
        <v>141340</v>
      </c>
      <c r="AS166" s="118">
        <f t="shared" si="46"/>
        <v>0.37548887663609393</v>
      </c>
      <c r="AT166" s="118">
        <f t="shared" si="47"/>
        <v>0.34227614839652631</v>
      </c>
      <c r="AU166" s="20">
        <f>29+8+19</f>
        <v>56</v>
      </c>
      <c r="AV166" s="20">
        <v>0</v>
      </c>
      <c r="AW166" s="20">
        <f>4+5+3</f>
        <v>12</v>
      </c>
      <c r="AX166" s="22">
        <v>0</v>
      </c>
      <c r="AY166" s="22">
        <v>1444</v>
      </c>
      <c r="AZ166" s="22" t="s">
        <v>67</v>
      </c>
      <c r="BA166" s="20">
        <f>770+463+647</f>
        <v>1880</v>
      </c>
      <c r="BB166" s="106">
        <f t="shared" si="39"/>
        <v>3324</v>
      </c>
      <c r="BC166" s="24"/>
      <c r="BD166" s="50">
        <v>37</v>
      </c>
      <c r="BE166" s="50">
        <v>5</v>
      </c>
      <c r="BF166" s="114">
        <f t="shared" si="40"/>
        <v>42</v>
      </c>
      <c r="BG166" s="72">
        <v>34614</v>
      </c>
      <c r="BH166" s="72">
        <v>37867</v>
      </c>
      <c r="BI166" s="72">
        <v>226</v>
      </c>
      <c r="BJ166" s="72">
        <v>104</v>
      </c>
      <c r="BK166" s="71" t="s">
        <v>66</v>
      </c>
      <c r="BL166" s="114">
        <f t="shared" si="49"/>
        <v>330</v>
      </c>
    </row>
    <row r="167" spans="1:64" x14ac:dyDescent="0.2">
      <c r="A167" s="13" t="str">
        <f t="shared" si="35"/>
        <v>2008Q2</v>
      </c>
      <c r="B167" s="11">
        <f t="shared" si="34"/>
        <v>2008</v>
      </c>
      <c r="C167" s="11" t="s">
        <v>2</v>
      </c>
      <c r="D167" s="44">
        <f>452+465+493</f>
        <v>1410</v>
      </c>
      <c r="E167" s="44">
        <f>716+793+770</f>
        <v>2279</v>
      </c>
      <c r="F167" s="87">
        <f t="shared" si="36"/>
        <v>3689</v>
      </c>
      <c r="G167" s="41">
        <f>(2320518+2329414+2344584)/3</f>
        <v>2331505.3333333335</v>
      </c>
      <c r="H167" s="41">
        <f>(2548374+2561652+2585185)/3</f>
        <v>2565070.3333333335</v>
      </c>
      <c r="I167" s="93">
        <f t="shared" si="42"/>
        <v>233565</v>
      </c>
      <c r="J167" s="95">
        <f t="shared" si="44"/>
        <v>0.6131943056904825</v>
      </c>
      <c r="K167" s="95">
        <f t="shared" si="45"/>
        <v>0.55750427630367905</v>
      </c>
      <c r="L167" s="50">
        <f>43+61+73</f>
        <v>177</v>
      </c>
      <c r="M167" s="50">
        <v>0</v>
      </c>
      <c r="N167" s="50">
        <f>364+287+287</f>
        <v>938</v>
      </c>
      <c r="O167" s="50">
        <f>67+91+65</f>
        <v>223</v>
      </c>
      <c r="P167" s="51">
        <f>43+35+53</f>
        <v>131</v>
      </c>
      <c r="Q167" s="98">
        <f>5945+4911+5517</f>
        <v>16373</v>
      </c>
      <c r="R167" s="42" t="s">
        <v>67</v>
      </c>
      <c r="S167" s="45">
        <v>13754</v>
      </c>
      <c r="T167" s="96">
        <f t="shared" si="27"/>
        <v>84.004153179014224</v>
      </c>
      <c r="U167" s="45">
        <f t="shared" ref="U167:U178" si="53">Q167-S167</f>
        <v>2619</v>
      </c>
      <c r="V167" s="96">
        <f t="shared" si="28"/>
        <v>15.995846820985768</v>
      </c>
      <c r="W167" s="45">
        <v>1828</v>
      </c>
      <c r="X167" s="96">
        <f t="shared" si="50"/>
        <v>11.164722408843829</v>
      </c>
      <c r="Y167" s="96">
        <f t="shared" si="51"/>
        <v>14545</v>
      </c>
      <c r="Z167" s="96">
        <f t="shared" si="52"/>
        <v>88.835277591156171</v>
      </c>
      <c r="AA167" s="52">
        <f>3038+2497+4058</f>
        <v>9593</v>
      </c>
      <c r="AB167" s="45">
        <v>0</v>
      </c>
      <c r="AC167" s="105">
        <f>IF(AA167=":",Q167+AB167,Q167+AA167+AB167)</f>
        <v>25966</v>
      </c>
      <c r="AD167" s="48">
        <f>6+4+2</f>
        <v>12</v>
      </c>
      <c r="AE167" s="48">
        <f>620+827+1197</f>
        <v>2644</v>
      </c>
      <c r="AF167" s="49">
        <f t="shared" si="43"/>
        <v>2656</v>
      </c>
      <c r="AG167" s="38">
        <v>1273</v>
      </c>
      <c r="AH167" s="34">
        <v>2244</v>
      </c>
      <c r="AI167" s="109">
        <f t="shared" si="48"/>
        <v>3517</v>
      </c>
      <c r="AJ167" s="26">
        <v>15536</v>
      </c>
      <c r="AK167" s="26">
        <v>9375</v>
      </c>
      <c r="AL167" s="69">
        <f t="shared" si="32"/>
        <v>24911</v>
      </c>
      <c r="AM167" s="24"/>
      <c r="AN167" s="20">
        <f>52+31+28</f>
        <v>111</v>
      </c>
      <c r="AO167" s="20">
        <f>4+6+11</f>
        <v>21</v>
      </c>
      <c r="AP167" s="106">
        <f t="shared" si="24"/>
        <v>132</v>
      </c>
      <c r="AQ167" s="20">
        <f>(130615+131301+132240)/3</f>
        <v>131385.33333333334</v>
      </c>
      <c r="AR167" s="20">
        <f>(143176+143810+144680)/3</f>
        <v>143888.66666666666</v>
      </c>
      <c r="AS167" s="118">
        <f t="shared" si="46"/>
        <v>0.34437510915924813</v>
      </c>
      <c r="AT167" s="118">
        <f t="shared" si="47"/>
        <v>0.31396189246094863</v>
      </c>
      <c r="AU167" s="20">
        <f>0+14+3</f>
        <v>17</v>
      </c>
      <c r="AV167" s="20">
        <f>0+0+0</f>
        <v>0</v>
      </c>
      <c r="AW167" s="20">
        <f>4+20+11</f>
        <v>35</v>
      </c>
      <c r="AX167" s="22">
        <f>2+0+0</f>
        <v>2</v>
      </c>
      <c r="AY167" s="22">
        <v>2932</v>
      </c>
      <c r="AZ167" s="22">
        <v>1709</v>
      </c>
      <c r="BA167" s="20">
        <v>1882</v>
      </c>
      <c r="BB167" s="106">
        <f t="shared" si="39"/>
        <v>4814</v>
      </c>
      <c r="BC167" s="24"/>
      <c r="BD167" s="50">
        <v>42</v>
      </c>
      <c r="BE167" s="50">
        <v>15</v>
      </c>
      <c r="BF167" s="114">
        <f t="shared" si="40"/>
        <v>57</v>
      </c>
      <c r="BG167" s="72">
        <f>(34820+34936+35026)/3</f>
        <v>34927.333333333336</v>
      </c>
      <c r="BH167" s="72">
        <f>(38183+38322+38315)/3</f>
        <v>38273.333333333336</v>
      </c>
      <c r="BI167" s="72">
        <v>331</v>
      </c>
      <c r="BJ167" s="72">
        <v>148</v>
      </c>
      <c r="BK167" s="71" t="s">
        <v>66</v>
      </c>
      <c r="BL167" s="114">
        <f t="shared" si="49"/>
        <v>479</v>
      </c>
    </row>
    <row r="168" spans="1:64" x14ac:dyDescent="0.2">
      <c r="A168" s="13" t="str">
        <f t="shared" si="35"/>
        <v>2008Q3</v>
      </c>
      <c r="B168" s="11">
        <f t="shared" si="34"/>
        <v>2008</v>
      </c>
      <c r="C168" s="11" t="s">
        <v>3</v>
      </c>
      <c r="D168" s="44">
        <f>622+376+469</f>
        <v>1467</v>
      </c>
      <c r="E168" s="44">
        <f>914+785+893</f>
        <v>2592</v>
      </c>
      <c r="F168" s="87">
        <f t="shared" si="36"/>
        <v>4059</v>
      </c>
      <c r="G168" s="41">
        <f>(2353994+2348908+2289149)/3</f>
        <v>2330683.6666666665</v>
      </c>
      <c r="H168" s="41">
        <f>(2599933+2584962+2576505)/3</f>
        <v>2587133.3333333335</v>
      </c>
      <c r="I168" s="93">
        <f t="shared" si="42"/>
        <v>256449.66666666698</v>
      </c>
      <c r="J168" s="95">
        <f t="shared" si="44"/>
        <v>0.64941834511360541</v>
      </c>
      <c r="K168" s="95">
        <f t="shared" si="45"/>
        <v>0.58854149120510735</v>
      </c>
      <c r="L168" s="50">
        <f>138+57+75</f>
        <v>270</v>
      </c>
      <c r="M168" s="50">
        <f>1+0+0</f>
        <v>1</v>
      </c>
      <c r="N168" s="50">
        <f>365+299+342</f>
        <v>1006</v>
      </c>
      <c r="O168" s="50">
        <f>110+72+82</f>
        <v>264</v>
      </c>
      <c r="P168" s="51">
        <f>44+57+66</f>
        <v>167</v>
      </c>
      <c r="Q168" s="98">
        <f>6236+4999+6002</f>
        <v>17237</v>
      </c>
      <c r="R168" s="42" t="s">
        <v>67</v>
      </c>
      <c r="S168" s="45">
        <v>14369</v>
      </c>
      <c r="T168" s="96">
        <f t="shared" si="27"/>
        <v>83.361373788942387</v>
      </c>
      <c r="U168" s="45">
        <f t="shared" si="53"/>
        <v>2868</v>
      </c>
      <c r="V168" s="96">
        <f t="shared" si="28"/>
        <v>16.638626211057609</v>
      </c>
      <c r="W168" s="45">
        <v>2115</v>
      </c>
      <c r="X168" s="96">
        <f t="shared" si="50"/>
        <v>12.270116609618844</v>
      </c>
      <c r="Y168" s="96">
        <f t="shared" si="51"/>
        <v>15122</v>
      </c>
      <c r="Z168" s="96">
        <f t="shared" si="52"/>
        <v>87.729883390381161</v>
      </c>
      <c r="AA168" s="52">
        <f>3537+3007+3707</f>
        <v>10251</v>
      </c>
      <c r="AB168" s="45">
        <v>0</v>
      </c>
      <c r="AC168" s="105">
        <f>IF(AA168=":",Q168+AB168,Q168+AA168+AB168)</f>
        <v>27488</v>
      </c>
      <c r="AD168" s="48">
        <f>5+6+4</f>
        <v>15</v>
      </c>
      <c r="AE168" s="48">
        <f>1437+988+1483</f>
        <v>3908</v>
      </c>
      <c r="AF168" s="49">
        <f t="shared" si="43"/>
        <v>3923</v>
      </c>
      <c r="AG168" s="38">
        <v>1537</v>
      </c>
      <c r="AH168" s="34">
        <v>2615</v>
      </c>
      <c r="AI168" s="109">
        <f t="shared" si="48"/>
        <v>4152</v>
      </c>
      <c r="AJ168" s="26">
        <v>17474</v>
      </c>
      <c r="AK168" s="26">
        <v>9802</v>
      </c>
      <c r="AL168" s="69">
        <f t="shared" si="32"/>
        <v>27276</v>
      </c>
      <c r="AM168" s="24"/>
      <c r="AN168" s="20">
        <f>41+40+30</f>
        <v>111</v>
      </c>
      <c r="AO168" s="20">
        <f>5+9+2</f>
        <v>16</v>
      </c>
      <c r="AP168" s="106">
        <f t="shared" si="24"/>
        <v>127</v>
      </c>
      <c r="AQ168" s="20">
        <f>(132628+133363+134139)/3</f>
        <v>133376.66666666666</v>
      </c>
      <c r="AR168" s="20">
        <f>(144709+145735+147069)/3</f>
        <v>145837.66666666666</v>
      </c>
      <c r="AS168" s="118">
        <f t="shared" si="46"/>
        <v>0.34108084473843747</v>
      </c>
      <c r="AT168" s="118">
        <f t="shared" si="47"/>
        <v>0.31111300560972721</v>
      </c>
      <c r="AU168" s="20">
        <f>14+11+18</f>
        <v>43</v>
      </c>
      <c r="AV168" s="20">
        <f>0+0+0</f>
        <v>0</v>
      </c>
      <c r="AW168" s="20">
        <f>6+9+6</f>
        <v>21</v>
      </c>
      <c r="AX168" s="22">
        <f>0+0+0</f>
        <v>0</v>
      </c>
      <c r="AY168" s="22">
        <v>4077</v>
      </c>
      <c r="AZ168" s="22">
        <v>2773</v>
      </c>
      <c r="BA168" s="20">
        <v>1943</v>
      </c>
      <c r="BB168" s="106">
        <f t="shared" si="39"/>
        <v>6020</v>
      </c>
      <c r="BC168" s="24"/>
      <c r="BD168" s="50">
        <v>27</v>
      </c>
      <c r="BE168" s="50">
        <v>17</v>
      </c>
      <c r="BF168" s="114">
        <f t="shared" si="40"/>
        <v>44</v>
      </c>
      <c r="BG168" s="72">
        <f>(35088+35197+35197)/3</f>
        <v>35160.666666666664</v>
      </c>
      <c r="BH168" s="72">
        <f>(38405+38297+38566)/3</f>
        <v>38422.666666666664</v>
      </c>
      <c r="BI168" s="72">
        <v>229</v>
      </c>
      <c r="BJ168" s="72">
        <v>157</v>
      </c>
      <c r="BK168" s="71" t="s">
        <v>66</v>
      </c>
      <c r="BL168" s="114">
        <f t="shared" si="49"/>
        <v>386</v>
      </c>
    </row>
    <row r="169" spans="1:64" x14ac:dyDescent="0.2">
      <c r="A169" s="13" t="str">
        <f t="shared" si="35"/>
        <v>2008Q4</v>
      </c>
      <c r="B169" s="11">
        <f t="shared" si="34"/>
        <v>2008</v>
      </c>
      <c r="C169" s="11" t="s">
        <v>4</v>
      </c>
      <c r="D169" s="44">
        <f>526+540+471</f>
        <v>1537</v>
      </c>
      <c r="E169" s="45">
        <f>930+964+1094</f>
        <v>2988</v>
      </c>
      <c r="F169" s="87">
        <f t="shared" si="36"/>
        <v>4525</v>
      </c>
      <c r="G169" s="41">
        <f>(2269629+2270440+2246550)/3</f>
        <v>2262206.3333333335</v>
      </c>
      <c r="H169" s="41">
        <f>(2589671+2600545+2600079)/3</f>
        <v>2596765</v>
      </c>
      <c r="I169" s="93">
        <f t="shared" si="42"/>
        <v>334558.66666666651</v>
      </c>
      <c r="J169" s="95">
        <f t="shared" si="44"/>
        <v>0.71826028736495495</v>
      </c>
      <c r="K169" s="95">
        <f t="shared" si="45"/>
        <v>0.64385674135564142</v>
      </c>
      <c r="L169" s="50">
        <f>(92+84+85)</f>
        <v>261</v>
      </c>
      <c r="M169" s="50">
        <f>0</f>
        <v>0</v>
      </c>
      <c r="N169" s="50">
        <f>1207+409+402</f>
        <v>2018</v>
      </c>
      <c r="O169" s="50">
        <f>80+82+74</f>
        <v>236</v>
      </c>
      <c r="P169" s="51">
        <f>46+53+50</f>
        <v>149</v>
      </c>
      <c r="Q169" s="98">
        <f>6487+6132+5385</f>
        <v>18004</v>
      </c>
      <c r="R169" s="42" t="s">
        <v>67</v>
      </c>
      <c r="S169" s="45">
        <f>5449+5218+4535</f>
        <v>15202</v>
      </c>
      <c r="T169" s="96">
        <f t="shared" si="27"/>
        <v>84.436791824039105</v>
      </c>
      <c r="U169" s="45">
        <f t="shared" si="53"/>
        <v>2802</v>
      </c>
      <c r="V169" s="96">
        <f t="shared" si="28"/>
        <v>15.563208175960897</v>
      </c>
      <c r="W169" s="45">
        <v>2325</v>
      </c>
      <c r="X169" s="96">
        <f t="shared" si="50"/>
        <v>12.913796934014663</v>
      </c>
      <c r="Y169" s="96">
        <f t="shared" si="51"/>
        <v>15679</v>
      </c>
      <c r="Z169" s="96">
        <f t="shared" si="52"/>
        <v>87.08620306598533</v>
      </c>
      <c r="AA169" s="52">
        <f>3624+3139+3704</f>
        <v>10467</v>
      </c>
      <c r="AB169" s="45">
        <v>0</v>
      </c>
      <c r="AC169" s="105">
        <f>IF(AA169=":",Q169+AB169,Q169+AA169+AB169)</f>
        <v>28471</v>
      </c>
      <c r="AD169" s="48">
        <f>9+8+5</f>
        <v>22</v>
      </c>
      <c r="AE169" s="48">
        <f>1679+1580+1236</f>
        <v>4495</v>
      </c>
      <c r="AF169" s="49">
        <f t="shared" si="43"/>
        <v>4517</v>
      </c>
      <c r="AG169" s="38">
        <v>1518</v>
      </c>
      <c r="AH169" s="34">
        <v>3122</v>
      </c>
      <c r="AI169" s="109">
        <f t="shared" si="48"/>
        <v>4640</v>
      </c>
      <c r="AJ169" s="26">
        <v>18936</v>
      </c>
      <c r="AK169" s="26">
        <v>10298</v>
      </c>
      <c r="AL169" s="69">
        <f t="shared" si="32"/>
        <v>29234</v>
      </c>
      <c r="AM169" s="24"/>
      <c r="AN169" s="20">
        <f>41+33+46</f>
        <v>120</v>
      </c>
      <c r="AO169" s="20">
        <f>6+22+15</f>
        <v>43</v>
      </c>
      <c r="AP169" s="106">
        <f t="shared" si="24"/>
        <v>163</v>
      </c>
      <c r="AQ169" s="20">
        <f>(133692+132111+132314)/3</f>
        <v>132705.66666666666</v>
      </c>
      <c r="AR169" s="20">
        <f>(145822+146067+147081)/3</f>
        <v>146323.33333333334</v>
      </c>
      <c r="AS169" s="118">
        <f t="shared" si="46"/>
        <v>0.39854248045791824</v>
      </c>
      <c r="AT169" s="118">
        <f t="shared" si="47"/>
        <v>0.36301307782323783</v>
      </c>
      <c r="AU169" s="20">
        <f>4+0+1</f>
        <v>5</v>
      </c>
      <c r="AV169" s="20">
        <f>0+0+0</f>
        <v>0</v>
      </c>
      <c r="AW169" s="20">
        <f>14+23+18</f>
        <v>55</v>
      </c>
      <c r="AX169" s="22">
        <f>1+0+1</f>
        <v>2</v>
      </c>
      <c r="AY169" s="22">
        <v>3996</v>
      </c>
      <c r="AZ169" s="22">
        <v>2651</v>
      </c>
      <c r="BA169" s="20">
        <v>1837</v>
      </c>
      <c r="BB169" s="106">
        <f t="shared" si="39"/>
        <v>5833</v>
      </c>
      <c r="BC169" s="24"/>
      <c r="BD169" s="50">
        <v>52</v>
      </c>
      <c r="BE169" s="50">
        <v>14</v>
      </c>
      <c r="BF169" s="114">
        <f t="shared" si="40"/>
        <v>66</v>
      </c>
      <c r="BG169" s="72">
        <f>(35218+35238+35238)/3</f>
        <v>35231.333333333336</v>
      </c>
      <c r="BH169" s="72">
        <f>(38766+38640+38876)/3</f>
        <v>38760.666666666664</v>
      </c>
      <c r="BI169" s="72">
        <v>293</v>
      </c>
      <c r="BJ169" s="72">
        <v>150</v>
      </c>
      <c r="BK169" s="71" t="s">
        <v>66</v>
      </c>
      <c r="BL169" s="114">
        <f t="shared" si="49"/>
        <v>443</v>
      </c>
    </row>
    <row r="170" spans="1:64" ht="12" thickBot="1" x14ac:dyDescent="0.25">
      <c r="A170" s="13" t="str">
        <f t="shared" si="35"/>
        <v>2009Q1</v>
      </c>
      <c r="B170" s="11">
        <f t="shared" si="34"/>
        <v>2009</v>
      </c>
      <c r="C170" s="11" t="s">
        <v>1</v>
      </c>
      <c r="D170" s="44">
        <f>464+573+518</f>
        <v>1555</v>
      </c>
      <c r="E170" s="45">
        <f>886+1117+1552</f>
        <v>3555</v>
      </c>
      <c r="F170" s="87">
        <f t="shared" si="36"/>
        <v>5110</v>
      </c>
      <c r="G170" s="41">
        <f>((2211558+2196171+2145252)/3)</f>
        <v>2184327</v>
      </c>
      <c r="H170" s="41">
        <f>(2609359+2614091+2594757)/3</f>
        <v>2606069</v>
      </c>
      <c r="I170" s="93">
        <f t="shared" si="42"/>
        <v>421742</v>
      </c>
      <c r="J170" s="95">
        <f t="shared" si="44"/>
        <v>0.81003676805459035</v>
      </c>
      <c r="K170" s="95">
        <f t="shared" si="45"/>
        <v>0.71254207251716728</v>
      </c>
      <c r="L170" s="50">
        <f>84+102+130</f>
        <v>316</v>
      </c>
      <c r="M170" s="50">
        <f>0</f>
        <v>0</v>
      </c>
      <c r="N170" s="50">
        <f>401+394+516</f>
        <v>1311</v>
      </c>
      <c r="O170" s="50">
        <f>89+116+135</f>
        <v>340</v>
      </c>
      <c r="P170" s="51">
        <f>48+44+64</f>
        <v>156</v>
      </c>
      <c r="Q170" s="98">
        <f>6395+6493+7558</f>
        <v>20446</v>
      </c>
      <c r="R170" s="42" t="s">
        <v>67</v>
      </c>
      <c r="S170" s="45">
        <f>60931-S169-S168-S167</f>
        <v>17606</v>
      </c>
      <c r="T170" s="96">
        <f t="shared" si="27"/>
        <v>86.109752518830078</v>
      </c>
      <c r="U170" s="45">
        <f t="shared" si="53"/>
        <v>2840</v>
      </c>
      <c r="V170" s="96">
        <f t="shared" si="28"/>
        <v>13.890247481169911</v>
      </c>
      <c r="W170" s="45">
        <v>2798</v>
      </c>
      <c r="X170" s="96">
        <f t="shared" si="50"/>
        <v>13.684828328279369</v>
      </c>
      <c r="Y170" s="96">
        <f t="shared" si="51"/>
        <v>17648</v>
      </c>
      <c r="Z170" s="96">
        <f t="shared" si="52"/>
        <v>86.31517167172062</v>
      </c>
      <c r="AA170" s="52">
        <f>2926+2973+3908</f>
        <v>9807</v>
      </c>
      <c r="AB170" s="45">
        <v>0</v>
      </c>
      <c r="AC170" s="105">
        <f>IF(AA170=":",Q170+AB170,Q170+AA170+AB170)</f>
        <v>30253</v>
      </c>
      <c r="AD170" s="48">
        <f>10+1+8</f>
        <v>19</v>
      </c>
      <c r="AE170" s="48">
        <f>867+725+740</f>
        <v>2332</v>
      </c>
      <c r="AF170" s="49">
        <f t="shared" si="43"/>
        <v>2351</v>
      </c>
      <c r="AG170" s="38">
        <v>1522</v>
      </c>
      <c r="AH170" s="34">
        <v>3361</v>
      </c>
      <c r="AI170" s="109">
        <f t="shared" si="48"/>
        <v>4883</v>
      </c>
      <c r="AJ170" s="84">
        <v>18958</v>
      </c>
      <c r="AK170" s="26">
        <v>10722</v>
      </c>
      <c r="AL170" s="69">
        <f t="shared" si="32"/>
        <v>29680</v>
      </c>
      <c r="AM170" s="24"/>
      <c r="AN170" s="20">
        <f>34+55+35</f>
        <v>124</v>
      </c>
      <c r="AO170" s="20">
        <f>13+14+10</f>
        <v>37</v>
      </c>
      <c r="AP170" s="106">
        <f t="shared" si="24"/>
        <v>161</v>
      </c>
      <c r="AQ170" s="20">
        <f>(130826+130169+129965)/3</f>
        <v>130320</v>
      </c>
      <c r="AR170" s="20">
        <f>(147562+147656+148111)/3</f>
        <v>147776.33333333334</v>
      </c>
      <c r="AS170" s="118">
        <f t="shared" si="46"/>
        <v>0.4418443528110737</v>
      </c>
      <c r="AT170" s="118">
        <f t="shared" si="47"/>
        <v>0.39943407796158448</v>
      </c>
      <c r="AU170" s="20">
        <f>6+0+3</f>
        <v>9</v>
      </c>
      <c r="AV170" s="20">
        <v>0</v>
      </c>
      <c r="AW170" s="20">
        <f>10+43+14</f>
        <v>67</v>
      </c>
      <c r="AX170" s="22">
        <f>0+2+0</f>
        <v>2</v>
      </c>
      <c r="AY170" s="22">
        <v>3772</v>
      </c>
      <c r="AZ170" s="22">
        <v>2284</v>
      </c>
      <c r="BA170" s="20">
        <v>1971</v>
      </c>
      <c r="BB170" s="106">
        <f t="shared" si="39"/>
        <v>5743</v>
      </c>
      <c r="BC170" s="24"/>
      <c r="BD170" s="50">
        <f>12+11+11</f>
        <v>34</v>
      </c>
      <c r="BE170" s="50">
        <f>13+3+7</f>
        <v>23</v>
      </c>
      <c r="BF170" s="114">
        <f t="shared" si="40"/>
        <v>57</v>
      </c>
      <c r="BG170" s="72">
        <f>(35210+35191+35336)/3</f>
        <v>35245.666666666664</v>
      </c>
      <c r="BH170" s="72">
        <f>(38713+38942+39092)/3</f>
        <v>38915.666666666664</v>
      </c>
      <c r="BI170" s="72">
        <v>302</v>
      </c>
      <c r="BJ170" s="72">
        <v>144</v>
      </c>
      <c r="BK170" s="71" t="s">
        <v>66</v>
      </c>
      <c r="BL170" s="114">
        <f t="shared" si="49"/>
        <v>446</v>
      </c>
    </row>
    <row r="171" spans="1:64" ht="12" thickTop="1" x14ac:dyDescent="0.2">
      <c r="A171" s="13" t="str">
        <f t="shared" si="35"/>
        <v>2009Q2</v>
      </c>
      <c r="B171" s="11">
        <f t="shared" si="34"/>
        <v>2009</v>
      </c>
      <c r="C171" s="11" t="s">
        <v>2</v>
      </c>
      <c r="D171" s="44">
        <f>512+428+580</f>
        <v>1520</v>
      </c>
      <c r="E171" s="45">
        <f>1198+1100+1241</f>
        <v>3539</v>
      </c>
      <c r="F171" s="87">
        <f t="shared" si="36"/>
        <v>5059</v>
      </c>
      <c r="G171" s="41">
        <f>(2145147+2154163+2161093)/3</f>
        <v>2153467.6666666665</v>
      </c>
      <c r="H171" s="41">
        <f>(2539448+2495188+2492416)/3</f>
        <v>2509017.3333333335</v>
      </c>
      <c r="I171" s="93">
        <f t="shared" si="42"/>
        <v>355549.66666666698</v>
      </c>
      <c r="J171" s="95">
        <f t="shared" si="44"/>
        <v>0.89413077474388492</v>
      </c>
      <c r="K171" s="95">
        <f t="shared" si="45"/>
        <v>0.77533856573693305</v>
      </c>
      <c r="L171" s="50">
        <f>86+111+148</f>
        <v>345</v>
      </c>
      <c r="M171" s="50">
        <v>0</v>
      </c>
      <c r="N171" s="50">
        <f>342+340+345</f>
        <v>1027</v>
      </c>
      <c r="O171" s="50">
        <f>100+116+154</f>
        <v>370</v>
      </c>
      <c r="P171" s="51">
        <f>58+51+48</f>
        <v>157</v>
      </c>
      <c r="Q171" s="98">
        <f>6471+5669+6730</f>
        <v>18870</v>
      </c>
      <c r="R171" s="52">
        <v>1978</v>
      </c>
      <c r="S171" s="45">
        <v>16265</v>
      </c>
      <c r="T171" s="96">
        <f t="shared" si="27"/>
        <v>86.19501854795972</v>
      </c>
      <c r="U171" s="45">
        <f t="shared" si="53"/>
        <v>2605</v>
      </c>
      <c r="V171" s="96">
        <f t="shared" si="28"/>
        <v>13.804981452040277</v>
      </c>
      <c r="W171" s="45">
        <v>2470</v>
      </c>
      <c r="X171" s="96">
        <f t="shared" si="50"/>
        <v>13.089560148383677</v>
      </c>
      <c r="Y171" s="96">
        <f t="shared" si="51"/>
        <v>16400</v>
      </c>
      <c r="Z171" s="96">
        <f t="shared" si="52"/>
        <v>86.910439851616317</v>
      </c>
      <c r="AA171" s="52">
        <f>3439+3867+4919</f>
        <v>12225</v>
      </c>
      <c r="AB171" s="45">
        <v>0</v>
      </c>
      <c r="AC171" s="105">
        <f t="shared" ref="AC171:AC202" si="54">IF(AA171=":",Q171+AB171,Q171++R171+AA171+AB171)</f>
        <v>33073</v>
      </c>
      <c r="AD171" s="48">
        <v>13</v>
      </c>
      <c r="AE171" s="48">
        <v>3108</v>
      </c>
      <c r="AF171" s="49">
        <f t="shared" si="43"/>
        <v>3121</v>
      </c>
      <c r="AG171" s="38">
        <v>1517</v>
      </c>
      <c r="AH171" s="34">
        <v>3516</v>
      </c>
      <c r="AI171" s="109">
        <f t="shared" si="48"/>
        <v>5033</v>
      </c>
      <c r="AJ171" s="26">
        <v>19121</v>
      </c>
      <c r="AK171" s="26">
        <v>12033</v>
      </c>
      <c r="AL171" s="69" t="s">
        <v>67</v>
      </c>
      <c r="AM171" s="24"/>
      <c r="AN171" s="20">
        <f>28+43+36</f>
        <v>107</v>
      </c>
      <c r="AO171" s="20">
        <f>15+8+16</f>
        <v>39</v>
      </c>
      <c r="AP171" s="106">
        <f t="shared" si="24"/>
        <v>146</v>
      </c>
      <c r="AQ171" s="20">
        <f>(130230+130868+131705)/3</f>
        <v>130934.33333333333</v>
      </c>
      <c r="AR171" s="20">
        <f>(146439+146460+146330)/3</f>
        <v>146409.66666666666</v>
      </c>
      <c r="AS171" s="118">
        <f t="shared" si="46"/>
        <v>0.45284163816916456</v>
      </c>
      <c r="AT171" s="118">
        <f t="shared" si="47"/>
        <v>0.40726736898116639</v>
      </c>
      <c r="AU171" s="20">
        <f>1+2+5</f>
        <v>8</v>
      </c>
      <c r="AV171" s="20">
        <f>0</f>
        <v>0</v>
      </c>
      <c r="AW171" s="20">
        <f>9+15+6</f>
        <v>30</v>
      </c>
      <c r="AX171" s="22">
        <f>0+0+2</f>
        <v>2</v>
      </c>
      <c r="AY171" s="22">
        <v>3764</v>
      </c>
      <c r="AZ171" s="22">
        <v>2394</v>
      </c>
      <c r="BA171" s="20">
        <v>2564</v>
      </c>
      <c r="BB171" s="106">
        <f t="shared" si="39"/>
        <v>6328</v>
      </c>
      <c r="BC171" s="24"/>
      <c r="BD171" s="50">
        <v>46</v>
      </c>
      <c r="BE171" s="50">
        <f>8+8+3</f>
        <v>19</v>
      </c>
      <c r="BF171" s="114">
        <f t="shared" si="40"/>
        <v>65</v>
      </c>
      <c r="BG171" s="72">
        <f>(35723+35723+35723)/3</f>
        <v>35723</v>
      </c>
      <c r="BH171" s="72">
        <f>(38935+39179+39429)/3</f>
        <v>39181</v>
      </c>
      <c r="BI171" s="72">
        <v>355</v>
      </c>
      <c r="BJ171" s="72">
        <v>205</v>
      </c>
      <c r="BK171" s="71" t="s">
        <v>66</v>
      </c>
      <c r="BL171" s="114">
        <f t="shared" si="49"/>
        <v>560</v>
      </c>
    </row>
    <row r="172" spans="1:64" x14ac:dyDescent="0.2">
      <c r="A172" s="13" t="str">
        <f t="shared" si="35"/>
        <v>2009Q3</v>
      </c>
      <c r="B172" s="11">
        <f t="shared" si="34"/>
        <v>2009</v>
      </c>
      <c r="C172" s="11" t="s">
        <v>3</v>
      </c>
      <c r="D172" s="44">
        <f>605+250+398</f>
        <v>1253</v>
      </c>
      <c r="E172" s="45">
        <f>1168+1020+1095</f>
        <v>3283</v>
      </c>
      <c r="F172" s="87">
        <f t="shared" si="36"/>
        <v>4536</v>
      </c>
      <c r="G172" s="41">
        <f>(2168151+2173585+2177684)/3</f>
        <v>2173140</v>
      </c>
      <c r="H172" s="41">
        <f>(2477415+2458470+2426671)/3</f>
        <v>2454185.3333333335</v>
      </c>
      <c r="I172" s="93">
        <f t="shared" si="42"/>
        <v>281045.33333333349</v>
      </c>
      <c r="J172" s="95">
        <f t="shared" si="44"/>
        <v>0.93608435108930765</v>
      </c>
      <c r="K172" s="95">
        <f t="shared" si="45"/>
        <v>0.80782710797488755</v>
      </c>
      <c r="L172" s="50">
        <f>123+159+128</f>
        <v>410</v>
      </c>
      <c r="M172" s="50">
        <v>0</v>
      </c>
      <c r="N172" s="50">
        <f>382+340+252</f>
        <v>974</v>
      </c>
      <c r="O172" s="50">
        <f>120+111+124</f>
        <v>355</v>
      </c>
      <c r="P172" s="51">
        <f>57+64+73</f>
        <v>194</v>
      </c>
      <c r="Q172" s="98">
        <f>6577+5590+6180</f>
        <v>18347</v>
      </c>
      <c r="R172" s="52">
        <v>4505</v>
      </c>
      <c r="S172" s="45">
        <f>31881-S171</f>
        <v>15616</v>
      </c>
      <c r="T172" s="96">
        <f t="shared" si="27"/>
        <v>85.114732653839866</v>
      </c>
      <c r="U172" s="45">
        <f t="shared" si="53"/>
        <v>2731</v>
      </c>
      <c r="V172" s="96">
        <f t="shared" si="28"/>
        <v>14.885267346160136</v>
      </c>
      <c r="W172" s="45">
        <v>2280</v>
      </c>
      <c r="X172" s="96">
        <f t="shared" si="50"/>
        <v>12.427099798332153</v>
      </c>
      <c r="Y172" s="96">
        <f t="shared" si="51"/>
        <v>16067</v>
      </c>
      <c r="Z172" s="96">
        <f t="shared" si="52"/>
        <v>87.572900201667849</v>
      </c>
      <c r="AA172" s="52">
        <f>3650+4263+4477</f>
        <v>12390</v>
      </c>
      <c r="AB172" s="45">
        <v>0</v>
      </c>
      <c r="AC172" s="105">
        <f t="shared" si="54"/>
        <v>35242</v>
      </c>
      <c r="AD172" s="48">
        <v>21</v>
      </c>
      <c r="AE172" s="48">
        <v>4968</v>
      </c>
      <c r="AF172" s="49">
        <f t="shared" si="43"/>
        <v>4989</v>
      </c>
      <c r="AG172" s="38">
        <v>1305</v>
      </c>
      <c r="AH172" s="34">
        <v>3336</v>
      </c>
      <c r="AI172" s="109">
        <f t="shared" si="48"/>
        <v>4641</v>
      </c>
      <c r="AJ172" s="26">
        <v>18659</v>
      </c>
      <c r="AK172" s="26">
        <v>11868</v>
      </c>
      <c r="AL172" s="69" t="s">
        <v>67</v>
      </c>
      <c r="AM172" s="24"/>
      <c r="AN172" s="20">
        <f>28+39+28</f>
        <v>95</v>
      </c>
      <c r="AO172" s="20">
        <f>10+10+8</f>
        <v>28</v>
      </c>
      <c r="AP172" s="106">
        <f t="shared" si="24"/>
        <v>123</v>
      </c>
      <c r="AQ172" s="20">
        <f>(132411+133002+130329)/3</f>
        <v>131914</v>
      </c>
      <c r="AR172" s="20">
        <f>(146923+145518+145655)/3</f>
        <v>146032</v>
      </c>
      <c r="AS172" s="118">
        <f t="shared" si="46"/>
        <v>0.45105861860445656</v>
      </c>
      <c r="AT172" s="118">
        <f t="shared" si="47"/>
        <v>0.40440457734152291</v>
      </c>
      <c r="AU172" s="20">
        <f>2+12+3</f>
        <v>17</v>
      </c>
      <c r="AV172" s="20">
        <v>0</v>
      </c>
      <c r="AW172" s="20">
        <f>4+4+6</f>
        <v>14</v>
      </c>
      <c r="AX172" s="22">
        <v>0</v>
      </c>
      <c r="AY172" s="22">
        <v>3514</v>
      </c>
      <c r="AZ172" s="22">
        <v>2107</v>
      </c>
      <c r="BA172" s="20">
        <v>2263</v>
      </c>
      <c r="BB172" s="106">
        <f t="shared" si="39"/>
        <v>5777</v>
      </c>
      <c r="BC172" s="24"/>
      <c r="BD172" s="50">
        <v>27</v>
      </c>
      <c r="BE172" s="50">
        <f>6+9+9</f>
        <v>24</v>
      </c>
      <c r="BF172" s="114">
        <f t="shared" si="40"/>
        <v>51</v>
      </c>
      <c r="BG172" s="72">
        <f>(35868+35868+36053)/3</f>
        <v>35929.666666666664</v>
      </c>
      <c r="BH172" s="72">
        <f>(39309+39570+39760)/3</f>
        <v>39546.333333333336</v>
      </c>
      <c r="BI172" s="72">
        <v>198</v>
      </c>
      <c r="BJ172" s="72">
        <v>181</v>
      </c>
      <c r="BK172" s="71" t="s">
        <v>66</v>
      </c>
      <c r="BL172" s="114">
        <f t="shared" si="49"/>
        <v>379</v>
      </c>
    </row>
    <row r="173" spans="1:64" customFormat="1" ht="12.75" x14ac:dyDescent="0.2">
      <c r="A173" s="13" t="str">
        <f t="shared" si="35"/>
        <v>2009Q4</v>
      </c>
      <c r="B173" s="11">
        <v>2009</v>
      </c>
      <c r="C173" s="11" t="s">
        <v>4</v>
      </c>
      <c r="D173" s="44">
        <v>1315</v>
      </c>
      <c r="E173" s="45">
        <f>963+1066+1028</f>
        <v>3057</v>
      </c>
      <c r="F173" s="87">
        <f t="shared" si="36"/>
        <v>4372</v>
      </c>
      <c r="G173" s="41">
        <v>2180117.6666666665</v>
      </c>
      <c r="H173" s="41">
        <v>2422912.6666666665</v>
      </c>
      <c r="I173" s="93">
        <f t="shared" si="42"/>
        <v>242795</v>
      </c>
      <c r="J173" s="95">
        <f t="shared" si="44"/>
        <v>0.94561621364071879</v>
      </c>
      <c r="K173" s="95">
        <f t="shared" si="45"/>
        <v>0.822482825160051</v>
      </c>
      <c r="L173" s="50">
        <v>397</v>
      </c>
      <c r="M173" s="50">
        <v>0</v>
      </c>
      <c r="N173" s="50">
        <f>278+293+278</f>
        <v>849</v>
      </c>
      <c r="O173" s="50">
        <v>404</v>
      </c>
      <c r="P173" s="51">
        <f>59+65+95</f>
        <v>219</v>
      </c>
      <c r="Q173" s="98">
        <v>17007</v>
      </c>
      <c r="R173" s="52">
        <v>5348</v>
      </c>
      <c r="S173" s="45">
        <v>14317</v>
      </c>
      <c r="T173" s="96">
        <v>84.182983477391659</v>
      </c>
      <c r="U173" s="45">
        <f t="shared" si="53"/>
        <v>2690</v>
      </c>
      <c r="V173" s="96">
        <v>15.817016522608338</v>
      </c>
      <c r="W173" s="45">
        <v>2205</v>
      </c>
      <c r="X173" s="96">
        <f t="shared" si="50"/>
        <v>12.965249603104603</v>
      </c>
      <c r="Y173" s="96">
        <f t="shared" si="51"/>
        <v>14802</v>
      </c>
      <c r="Z173" s="96">
        <f t="shared" si="52"/>
        <v>87.034750396895404</v>
      </c>
      <c r="AA173" s="52">
        <v>13219</v>
      </c>
      <c r="AB173" s="45">
        <v>0</v>
      </c>
      <c r="AC173" s="105">
        <f t="shared" si="54"/>
        <v>35574</v>
      </c>
      <c r="AD173" s="48">
        <v>11</v>
      </c>
      <c r="AE173" s="48">
        <v>4929</v>
      </c>
      <c r="AF173" s="49">
        <f t="shared" si="43"/>
        <v>4940</v>
      </c>
      <c r="AG173" s="38">
        <v>1299</v>
      </c>
      <c r="AH173" s="34">
        <v>3221</v>
      </c>
      <c r="AI173" s="109">
        <f t="shared" si="48"/>
        <v>4520</v>
      </c>
      <c r="AJ173" s="26">
        <v>17933</v>
      </c>
      <c r="AK173" s="26">
        <v>13018</v>
      </c>
      <c r="AL173" s="69" t="s">
        <v>67</v>
      </c>
      <c r="AM173" s="24"/>
      <c r="AN173" s="20">
        <v>106</v>
      </c>
      <c r="AO173" s="20">
        <v>48</v>
      </c>
      <c r="AP173" s="106">
        <f t="shared" si="24"/>
        <v>154</v>
      </c>
      <c r="AQ173" s="20">
        <v>128907.33333333333</v>
      </c>
      <c r="AR173" s="20">
        <v>146200</v>
      </c>
      <c r="AS173" s="118">
        <v>0.44744471906051936</v>
      </c>
      <c r="AT173" s="118">
        <v>0.39835066454303925</v>
      </c>
      <c r="AU173" s="20">
        <v>6</v>
      </c>
      <c r="AV173" s="20">
        <v>0</v>
      </c>
      <c r="AW173" s="20">
        <v>23</v>
      </c>
      <c r="AX173" s="22">
        <v>2</v>
      </c>
      <c r="AY173" s="22">
        <v>3365</v>
      </c>
      <c r="AZ173" s="22">
        <v>1990</v>
      </c>
      <c r="BA173" s="20">
        <v>2328</v>
      </c>
      <c r="BB173" s="106">
        <f t="shared" si="39"/>
        <v>5693</v>
      </c>
      <c r="BC173" s="24"/>
      <c r="BD173" s="50">
        <v>57</v>
      </c>
      <c r="BE173" s="50">
        <v>17</v>
      </c>
      <c r="BF173" s="114">
        <f t="shared" si="40"/>
        <v>74</v>
      </c>
      <c r="BG173" s="72">
        <v>33209.666666666664</v>
      </c>
      <c r="BH173" s="72">
        <v>39166.666666666664</v>
      </c>
      <c r="BI173" s="72">
        <v>381</v>
      </c>
      <c r="BJ173" s="72">
        <v>192</v>
      </c>
      <c r="BK173" s="71" t="s">
        <v>66</v>
      </c>
      <c r="BL173" s="114">
        <f t="shared" si="49"/>
        <v>573</v>
      </c>
    </row>
    <row r="174" spans="1:64" x14ac:dyDescent="0.2">
      <c r="A174" s="13" t="str">
        <f t="shared" si="35"/>
        <v>2010Q1</v>
      </c>
      <c r="B174" s="11">
        <f t="shared" ref="B174:B205" si="55">B170+1</f>
        <v>2010</v>
      </c>
      <c r="C174" s="11" t="s">
        <v>1</v>
      </c>
      <c r="D174" s="44">
        <f>425+372+533</f>
        <v>1330</v>
      </c>
      <c r="E174" s="45">
        <f>748+979+1139</f>
        <v>2866</v>
      </c>
      <c r="F174" s="87">
        <f t="shared" si="36"/>
        <v>4196</v>
      </c>
      <c r="G174" s="41">
        <f>(2183419+2185728+2194737)/3</f>
        <v>2187961.3333333335</v>
      </c>
      <c r="H174" s="41">
        <f>(2422247+2432247+2442393)/3</f>
        <v>2432295.6666666665</v>
      </c>
      <c r="I174" s="93">
        <f t="shared" si="42"/>
        <v>244334.33333333302</v>
      </c>
      <c r="J174" s="95">
        <f t="shared" si="44"/>
        <v>0.90910694117403501</v>
      </c>
      <c r="K174" s="95">
        <f t="shared" si="45"/>
        <v>0.80505898561386358</v>
      </c>
      <c r="L174" s="50">
        <f>104+129+123</f>
        <v>356</v>
      </c>
      <c r="M174" s="50">
        <f>4+0+0</f>
        <v>4</v>
      </c>
      <c r="N174" s="50">
        <f>250+286+243</f>
        <v>779</v>
      </c>
      <c r="O174" s="50">
        <f>142+174+153</f>
        <v>469</v>
      </c>
      <c r="P174" s="51">
        <f>68+60+76</f>
        <v>204</v>
      </c>
      <c r="Q174" s="98">
        <f>5114+5620+7522</f>
        <v>18256</v>
      </c>
      <c r="R174" s="52">
        <f>1498+1829+2317</f>
        <v>5644</v>
      </c>
      <c r="S174" s="45">
        <v>15783</v>
      </c>
      <c r="T174" s="96">
        <f t="shared" ref="T174:T205" si="56">S174/$Q174*100</f>
        <v>86.453768624014032</v>
      </c>
      <c r="U174" s="45">
        <f t="shared" si="53"/>
        <v>2473</v>
      </c>
      <c r="V174" s="96">
        <f t="shared" ref="V174:V205" si="57">U174/$Q174*100</f>
        <v>13.546231375985975</v>
      </c>
      <c r="W174" s="45">
        <v>2321</v>
      </c>
      <c r="X174" s="96">
        <f t="shared" si="50"/>
        <v>12.713628396143733</v>
      </c>
      <c r="Y174" s="96">
        <f t="shared" si="51"/>
        <v>15935</v>
      </c>
      <c r="Z174" s="96">
        <f t="shared" si="52"/>
        <v>87.286371603856267</v>
      </c>
      <c r="AA174" s="52">
        <f>3601+3415+4766</f>
        <v>11782</v>
      </c>
      <c r="AB174" s="45">
        <v>0</v>
      </c>
      <c r="AC174" s="105">
        <f t="shared" si="54"/>
        <v>35682</v>
      </c>
      <c r="AD174" s="48">
        <v>14</v>
      </c>
      <c r="AE174" s="48">
        <v>2736</v>
      </c>
      <c r="AF174" s="49">
        <f t="shared" si="43"/>
        <v>2750</v>
      </c>
      <c r="AG174" s="38">
        <v>1301</v>
      </c>
      <c r="AH174" s="34">
        <v>2713</v>
      </c>
      <c r="AI174" s="109">
        <f t="shared" si="48"/>
        <v>4014</v>
      </c>
      <c r="AJ174" s="26">
        <v>17058</v>
      </c>
      <c r="AK174" s="26">
        <v>12754</v>
      </c>
      <c r="AL174" s="69" t="s">
        <v>67</v>
      </c>
      <c r="AM174" s="24"/>
      <c r="AN174" s="20">
        <f>55+74+73</f>
        <v>202</v>
      </c>
      <c r="AO174" s="20">
        <f>18+27+28</f>
        <v>73</v>
      </c>
      <c r="AP174" s="106">
        <f t="shared" si="24"/>
        <v>275</v>
      </c>
      <c r="AQ174" s="20">
        <f>(128070+128444+129940)/3</f>
        <v>128818</v>
      </c>
      <c r="AR174" s="20">
        <f>(147243+147309+147905)/3</f>
        <v>147485.66666666666</v>
      </c>
      <c r="AS174" s="118">
        <f t="shared" ref="AS174:AS205" si="58">4*(SUM($AP171:$AP174)/SUM(AQ171:AQ174))*100</f>
        <v>0.53633139337948332</v>
      </c>
      <c r="AT174" s="118">
        <f t="shared" ref="AT174:AT205" si="59">4*(SUM($AP171:$AP174)/SUM(AR171:AR174))*100</f>
        <v>0.4763470053719841</v>
      </c>
      <c r="AU174" s="20">
        <f>3+1+2</f>
        <v>6</v>
      </c>
      <c r="AV174" s="20">
        <v>0</v>
      </c>
      <c r="AW174" s="20">
        <f>35+23+34</f>
        <v>92</v>
      </c>
      <c r="AX174" s="22">
        <v>2</v>
      </c>
      <c r="AY174" s="22">
        <v>3167</v>
      </c>
      <c r="AZ174" s="22">
        <v>1905</v>
      </c>
      <c r="BA174" s="20">
        <v>2033</v>
      </c>
      <c r="BB174" s="106">
        <f t="shared" si="39"/>
        <v>5200</v>
      </c>
      <c r="BC174" s="24"/>
      <c r="BD174" s="50">
        <v>49</v>
      </c>
      <c r="BE174" s="50">
        <f>13+16+24</f>
        <v>53</v>
      </c>
      <c r="BF174" s="114">
        <f t="shared" si="40"/>
        <v>102</v>
      </c>
      <c r="BG174" s="72">
        <f>(35889+36030+34706)/3</f>
        <v>35541.666666666664</v>
      </c>
      <c r="BH174" s="72">
        <f>(39528+39858+40085)/3</f>
        <v>39823.666666666664</v>
      </c>
      <c r="BI174" s="72">
        <v>316</v>
      </c>
      <c r="BJ174" s="72">
        <v>238</v>
      </c>
      <c r="BK174" s="71" t="s">
        <v>66</v>
      </c>
      <c r="BL174" s="114">
        <f t="shared" si="49"/>
        <v>554</v>
      </c>
    </row>
    <row r="175" spans="1:64" x14ac:dyDescent="0.2">
      <c r="A175" s="13" t="str">
        <f t="shared" si="35"/>
        <v>2010Q2</v>
      </c>
      <c r="B175" s="11">
        <f t="shared" si="55"/>
        <v>2010</v>
      </c>
      <c r="C175" s="11" t="s">
        <v>2</v>
      </c>
      <c r="D175" s="44">
        <f>408+395+382</f>
        <v>1185</v>
      </c>
      <c r="E175" s="45">
        <f>1094+872+943</f>
        <v>2909</v>
      </c>
      <c r="F175" s="87">
        <f t="shared" si="36"/>
        <v>4094</v>
      </c>
      <c r="G175" s="41">
        <f>(2207283+2208314+2212518)/3</f>
        <v>2209371.6666666665</v>
      </c>
      <c r="H175" s="41">
        <f>(2448249+2446658+2445128)/3</f>
        <v>2446678.3333333335</v>
      </c>
      <c r="I175" s="93">
        <f t="shared" si="42"/>
        <v>237306.66666666698</v>
      </c>
      <c r="J175" s="95">
        <f t="shared" si="44"/>
        <v>0.86051333982330791</v>
      </c>
      <c r="K175" s="95">
        <f t="shared" si="45"/>
        <v>0.77182702218679822</v>
      </c>
      <c r="L175" s="50">
        <f>113+85+104</f>
        <v>302</v>
      </c>
      <c r="M175" s="50">
        <v>0</v>
      </c>
      <c r="N175" s="50">
        <f>284+250+243</f>
        <v>777</v>
      </c>
      <c r="O175" s="50">
        <f>165+111+123</f>
        <v>399</v>
      </c>
      <c r="P175" s="51">
        <f>84+64+84</f>
        <v>232</v>
      </c>
      <c r="Q175" s="98">
        <f>5485+4585+4912</f>
        <v>14982</v>
      </c>
      <c r="R175" s="52">
        <f>1959+1984+2352</f>
        <v>6295</v>
      </c>
      <c r="S175" s="45">
        <v>12844</v>
      </c>
      <c r="T175" s="96">
        <f t="shared" si="56"/>
        <v>85.729542117207316</v>
      </c>
      <c r="U175" s="45">
        <f t="shared" si="53"/>
        <v>2138</v>
      </c>
      <c r="V175" s="96">
        <f t="shared" si="57"/>
        <v>14.270457882792684</v>
      </c>
      <c r="W175" s="45">
        <v>1911</v>
      </c>
      <c r="X175" s="96">
        <f t="shared" si="50"/>
        <v>12.75530636764117</v>
      </c>
      <c r="Y175" s="96">
        <f t="shared" si="51"/>
        <v>13071</v>
      </c>
      <c r="Z175" s="96">
        <f t="shared" si="52"/>
        <v>87.244693632358832</v>
      </c>
      <c r="AA175" s="52">
        <f>4453+3986+5027</f>
        <v>13466</v>
      </c>
      <c r="AB175" s="45">
        <v>0</v>
      </c>
      <c r="AC175" s="105">
        <f t="shared" si="54"/>
        <v>34743</v>
      </c>
      <c r="AD175" s="48">
        <v>14</v>
      </c>
      <c r="AE175" s="48">
        <v>3032</v>
      </c>
      <c r="AF175" s="49">
        <f t="shared" si="43"/>
        <v>3046</v>
      </c>
      <c r="AG175" s="38">
        <v>1184</v>
      </c>
      <c r="AH175" s="34">
        <v>2879</v>
      </c>
      <c r="AI175" s="109">
        <f t="shared" si="48"/>
        <v>4063</v>
      </c>
      <c r="AJ175" s="26">
        <v>15256</v>
      </c>
      <c r="AK175" s="26">
        <v>13262</v>
      </c>
      <c r="AL175" s="69" t="s">
        <v>67</v>
      </c>
      <c r="AM175" s="24"/>
      <c r="AN175" s="20">
        <f>63+68+84</f>
        <v>215</v>
      </c>
      <c r="AO175" s="20">
        <f>7+28+1+23+23</f>
        <v>82</v>
      </c>
      <c r="AP175" s="106">
        <f t="shared" si="24"/>
        <v>297</v>
      </c>
      <c r="AQ175" s="20">
        <f>(129553+129474+130221)/3</f>
        <v>129749.33333333333</v>
      </c>
      <c r="AR175" s="20">
        <f>(146939+146900+147458)/3</f>
        <v>147099</v>
      </c>
      <c r="AS175" s="118">
        <f t="shared" si="58"/>
        <v>0.65384561080141657</v>
      </c>
      <c r="AT175" s="118">
        <f t="shared" si="59"/>
        <v>0.57871566928910223</v>
      </c>
      <c r="AU175" s="20">
        <f>5+7+10</f>
        <v>22</v>
      </c>
      <c r="AV175" s="20">
        <v>1</v>
      </c>
      <c r="AW175" s="20">
        <f>22+14+15</f>
        <v>51</v>
      </c>
      <c r="AX175" s="22">
        <v>1</v>
      </c>
      <c r="AY175" s="22">
        <v>3139</v>
      </c>
      <c r="AZ175" s="22">
        <v>1897</v>
      </c>
      <c r="BA175" s="20">
        <v>2239</v>
      </c>
      <c r="BB175" s="106">
        <f t="shared" si="39"/>
        <v>5378</v>
      </c>
      <c r="BC175" s="24"/>
      <c r="BD175" s="50">
        <v>92</v>
      </c>
      <c r="BE175" s="50">
        <f>2+6+1+7+8</f>
        <v>24</v>
      </c>
      <c r="BF175" s="114">
        <f t="shared" si="40"/>
        <v>116</v>
      </c>
      <c r="BG175" s="72">
        <f>(31706+32373+33003)/3</f>
        <v>32360.666666666668</v>
      </c>
      <c r="BH175" s="72">
        <f>(40110+39575+38429)/3</f>
        <v>39371.333333333336</v>
      </c>
      <c r="BI175" s="72">
        <v>363</v>
      </c>
      <c r="BJ175" s="72">
        <v>273</v>
      </c>
      <c r="BK175" s="71" t="s">
        <v>66</v>
      </c>
      <c r="BL175" s="114">
        <f t="shared" si="49"/>
        <v>636</v>
      </c>
    </row>
    <row r="176" spans="1:64" x14ac:dyDescent="0.2">
      <c r="A176" s="13" t="str">
        <f t="shared" si="35"/>
        <v>2010Q3</v>
      </c>
      <c r="B176" s="11">
        <f t="shared" si="55"/>
        <v>2010</v>
      </c>
      <c r="C176" s="11" t="s">
        <v>3</v>
      </c>
      <c r="D176" s="44">
        <f>468+293+321</f>
        <v>1082</v>
      </c>
      <c r="E176" s="45">
        <f>929+995+875</f>
        <v>2799</v>
      </c>
      <c r="F176" s="87">
        <f t="shared" si="36"/>
        <v>3881</v>
      </c>
      <c r="G176" s="41">
        <f>(2223085+2232104+2237374)/3</f>
        <v>2230854.3333333335</v>
      </c>
      <c r="H176" s="41">
        <f>(2451689+2455763+2457527)/3</f>
        <v>2454993</v>
      </c>
      <c r="I176" s="93">
        <f t="shared" si="42"/>
        <v>224138.66666666651</v>
      </c>
      <c r="J176" s="95">
        <f t="shared" si="44"/>
        <v>0.82413131697869224</v>
      </c>
      <c r="K176" s="95">
        <f t="shared" si="45"/>
        <v>0.74400835595013837</v>
      </c>
      <c r="L176" s="50">
        <f>125+120+104</f>
        <v>349</v>
      </c>
      <c r="M176" s="50">
        <v>0</v>
      </c>
      <c r="N176" s="50">
        <f>192+227+214</f>
        <v>633</v>
      </c>
      <c r="O176" s="50">
        <f>129+106+98</f>
        <v>333</v>
      </c>
      <c r="P176" s="51">
        <f>48+56+55</f>
        <v>159</v>
      </c>
      <c r="Q176" s="98">
        <f>4589+4688+4630</f>
        <v>13907</v>
      </c>
      <c r="R176" s="52">
        <f>2365+2368+2335</f>
        <v>7068</v>
      </c>
      <c r="S176" s="45">
        <v>11734</v>
      </c>
      <c r="T176" s="96">
        <f t="shared" si="56"/>
        <v>84.374775293017905</v>
      </c>
      <c r="U176" s="45">
        <f t="shared" si="53"/>
        <v>2173</v>
      </c>
      <c r="V176" s="96">
        <f t="shared" si="57"/>
        <v>15.625224706982097</v>
      </c>
      <c r="W176" s="45">
        <v>1650</v>
      </c>
      <c r="X176" s="96">
        <f t="shared" si="50"/>
        <v>11.864528654634357</v>
      </c>
      <c r="Y176" s="96">
        <f t="shared" si="51"/>
        <v>12257</v>
      </c>
      <c r="Z176" s="96">
        <f t="shared" si="52"/>
        <v>88.135471345365644</v>
      </c>
      <c r="AA176" s="52">
        <f>4328+4063+4569</f>
        <v>12960</v>
      </c>
      <c r="AB176" s="45">
        <v>0</v>
      </c>
      <c r="AC176" s="105">
        <f t="shared" si="54"/>
        <v>33935</v>
      </c>
      <c r="AD176" s="48">
        <f>0+6+6</f>
        <v>12</v>
      </c>
      <c r="AE176" s="48">
        <f>1566+1523+1332</f>
        <v>4421</v>
      </c>
      <c r="AF176" s="49">
        <f t="shared" si="43"/>
        <v>4433</v>
      </c>
      <c r="AG176" s="38">
        <v>1128</v>
      </c>
      <c r="AH176" s="34">
        <v>2841</v>
      </c>
      <c r="AI176" s="109">
        <f t="shared" si="48"/>
        <v>3969</v>
      </c>
      <c r="AJ176" s="26">
        <v>14155</v>
      </c>
      <c r="AK176" s="26">
        <v>12379</v>
      </c>
      <c r="AL176" s="69" t="s">
        <v>67</v>
      </c>
      <c r="AM176" s="24"/>
      <c r="AN176" s="20">
        <f>55+56+43</f>
        <v>154</v>
      </c>
      <c r="AO176" s="20">
        <f>22+19+18+5+3+3</f>
        <v>70</v>
      </c>
      <c r="AP176" s="106">
        <f t="shared" si="24"/>
        <v>224</v>
      </c>
      <c r="AQ176" s="20">
        <f>(130377+131291+131655)/3</f>
        <v>131107.66666666666</v>
      </c>
      <c r="AR176" s="20">
        <f>(147239+148016+147729)/3</f>
        <v>147661.33333333334</v>
      </c>
      <c r="AS176" s="118">
        <f t="shared" si="58"/>
        <v>0.73276696018054366</v>
      </c>
      <c r="AT176" s="118">
        <f t="shared" si="59"/>
        <v>0.64576868565679768</v>
      </c>
      <c r="AU176" s="20">
        <f>4+5+6</f>
        <v>15</v>
      </c>
      <c r="AV176" s="20">
        <v>1</v>
      </c>
      <c r="AW176" s="20">
        <f>12+9+22</f>
        <v>43</v>
      </c>
      <c r="AX176" s="22">
        <v>0</v>
      </c>
      <c r="AY176" s="22">
        <v>3099</v>
      </c>
      <c r="AZ176" s="22">
        <v>1631</v>
      </c>
      <c r="BA176" s="20">
        <v>2076</v>
      </c>
      <c r="BB176" s="106">
        <f t="shared" si="39"/>
        <v>5175</v>
      </c>
      <c r="BC176" s="24"/>
      <c r="BD176" s="50">
        <v>55</v>
      </c>
      <c r="BE176" s="50">
        <f>8+10+6</f>
        <v>24</v>
      </c>
      <c r="BF176" s="114">
        <f t="shared" si="40"/>
        <v>79</v>
      </c>
      <c r="BG176" s="72">
        <f>(33156+33356+33597)/3</f>
        <v>33369.666666666664</v>
      </c>
      <c r="BH176" s="72">
        <f>(38449+37942+36554)/3</f>
        <v>37648.333333333336</v>
      </c>
      <c r="BI176" s="72">
        <v>290</v>
      </c>
      <c r="BJ176" s="72">
        <v>261</v>
      </c>
      <c r="BK176" s="71" t="s">
        <v>66</v>
      </c>
      <c r="BL176" s="114">
        <f t="shared" si="49"/>
        <v>551</v>
      </c>
    </row>
    <row r="177" spans="1:64" x14ac:dyDescent="0.2">
      <c r="A177" s="13" t="str">
        <f t="shared" si="35"/>
        <v>2010Q4</v>
      </c>
      <c r="B177" s="11">
        <f t="shared" si="55"/>
        <v>2010</v>
      </c>
      <c r="C177" s="11" t="s">
        <v>4</v>
      </c>
      <c r="D177" s="44">
        <f>337+486+372</f>
        <v>1195</v>
      </c>
      <c r="E177" s="45">
        <f>1017+952+710</f>
        <v>2679</v>
      </c>
      <c r="F177" s="87">
        <f t="shared" si="36"/>
        <v>3874</v>
      </c>
      <c r="G177" s="41">
        <f>(2247113+2249736+2256935)/3</f>
        <v>2251261.3333333335</v>
      </c>
      <c r="H177" s="41">
        <f>(2463278+2469668+2467969)/3</f>
        <v>2466971.6666666665</v>
      </c>
      <c r="I177" s="93">
        <f t="shared" si="42"/>
        <v>215710.33333333302</v>
      </c>
      <c r="J177" s="95">
        <f t="shared" si="44"/>
        <v>0.78959857342494155</v>
      </c>
      <c r="K177" s="95">
        <f t="shared" si="45"/>
        <v>0.71536005258816038</v>
      </c>
      <c r="L177" s="50">
        <f>106+109+87</f>
        <v>302</v>
      </c>
      <c r="M177" s="50">
        <v>0</v>
      </c>
      <c r="N177" s="50">
        <f>223+247+172</f>
        <v>642</v>
      </c>
      <c r="O177" s="50">
        <f>102+113+67</f>
        <v>282</v>
      </c>
      <c r="P177" s="51">
        <f>63+65+42</f>
        <v>170</v>
      </c>
      <c r="Q177" s="98">
        <f>4258+4700+3070</f>
        <v>12028</v>
      </c>
      <c r="R177" s="52">
        <f>1522+2820+1830</f>
        <v>6172</v>
      </c>
      <c r="S177" s="45">
        <f>3622+4052+2596</f>
        <v>10270</v>
      </c>
      <c r="T177" s="96">
        <f t="shared" si="56"/>
        <v>85.384103757898231</v>
      </c>
      <c r="U177" s="45">
        <f t="shared" si="53"/>
        <v>1758</v>
      </c>
      <c r="V177" s="96">
        <f t="shared" si="57"/>
        <v>14.615896242101762</v>
      </c>
      <c r="W177" s="45">
        <v>2275</v>
      </c>
      <c r="X177" s="96">
        <f t="shared" si="50"/>
        <v>18.91420019953442</v>
      </c>
      <c r="Y177" s="96">
        <f t="shared" si="51"/>
        <v>9753</v>
      </c>
      <c r="Z177" s="96">
        <f t="shared" si="52"/>
        <v>81.08579980046558</v>
      </c>
      <c r="AA177" s="52">
        <f>3977+4255+4253</f>
        <v>12485</v>
      </c>
      <c r="AB177" s="45">
        <v>0</v>
      </c>
      <c r="AC177" s="105">
        <f t="shared" si="54"/>
        <v>30685</v>
      </c>
      <c r="AD177" s="48">
        <v>12</v>
      </c>
      <c r="AE177" s="48">
        <v>3500</v>
      </c>
      <c r="AF177" s="49">
        <f t="shared" si="43"/>
        <v>3512</v>
      </c>
      <c r="AG177" s="38">
        <v>1179</v>
      </c>
      <c r="AH177" s="34">
        <v>2820</v>
      </c>
      <c r="AI177" s="109">
        <f t="shared" si="48"/>
        <v>3999</v>
      </c>
      <c r="AJ177" s="26">
        <v>12704</v>
      </c>
      <c r="AK177" s="26">
        <v>12299</v>
      </c>
      <c r="AL177" s="69" t="s">
        <v>67</v>
      </c>
      <c r="AM177" s="24"/>
      <c r="AN177" s="20">
        <f>44+64+56</f>
        <v>164</v>
      </c>
      <c r="AO177" s="20">
        <f>22+23+20+7+2+7</f>
        <v>81</v>
      </c>
      <c r="AP177" s="106">
        <f t="shared" si="24"/>
        <v>245</v>
      </c>
      <c r="AQ177" s="20">
        <f>(131802+132360+132157)/3</f>
        <v>132106.33333333334</v>
      </c>
      <c r="AR177" s="20">
        <f>(147515+147767+147397)/3</f>
        <v>147559.66666666666</v>
      </c>
      <c r="AS177" s="118">
        <f t="shared" si="58"/>
        <v>0.79803544779933344</v>
      </c>
      <c r="AT177" s="118">
        <f t="shared" si="59"/>
        <v>0.705995251543305</v>
      </c>
      <c r="AU177" s="20">
        <f>4+2+0</f>
        <v>6</v>
      </c>
      <c r="AV177" s="20">
        <f>0</f>
        <v>0</v>
      </c>
      <c r="AW177" s="20">
        <f>21+25+9</f>
        <v>55</v>
      </c>
      <c r="AX177" s="22">
        <f>1+3+0</f>
        <v>4</v>
      </c>
      <c r="AY177" s="22">
        <v>2501</v>
      </c>
      <c r="AZ177" s="22">
        <v>1368</v>
      </c>
      <c r="BA177" s="20">
        <v>2090</v>
      </c>
      <c r="BB177" s="106">
        <f t="shared" si="39"/>
        <v>4591</v>
      </c>
      <c r="BC177" s="24"/>
      <c r="BD177" s="50">
        <v>54</v>
      </c>
      <c r="BE177" s="50">
        <f>7+6+15+0+1+2</f>
        <v>31</v>
      </c>
      <c r="BF177" s="114">
        <f t="shared" si="40"/>
        <v>85</v>
      </c>
      <c r="BG177" s="72">
        <f>(33704+33209+33169)/3</f>
        <v>33360.666666666664</v>
      </c>
      <c r="BH177" s="72">
        <f>(36559+36779+36810)/3</f>
        <v>36716</v>
      </c>
      <c r="BI177" s="72">
        <v>352</v>
      </c>
      <c r="BJ177" s="72">
        <v>230</v>
      </c>
      <c r="BK177" s="71" t="s">
        <v>66</v>
      </c>
      <c r="BL177" s="114">
        <f t="shared" si="49"/>
        <v>582</v>
      </c>
    </row>
    <row r="178" spans="1:64" x14ac:dyDescent="0.2">
      <c r="A178" s="13" t="str">
        <f t="shared" si="35"/>
        <v>2011Q1</v>
      </c>
      <c r="B178" s="11">
        <f t="shared" si="55"/>
        <v>2011</v>
      </c>
      <c r="C178" s="11" t="s">
        <v>1</v>
      </c>
      <c r="D178" s="44">
        <f>354+383+374</f>
        <v>1111</v>
      </c>
      <c r="E178" s="45">
        <f>956+955+1275</f>
        <v>3186</v>
      </c>
      <c r="F178" s="87">
        <f t="shared" si="36"/>
        <v>4297</v>
      </c>
      <c r="G178" s="41">
        <f>(2264324+2266142+2287825)/3</f>
        <v>2272763.6666666665</v>
      </c>
      <c r="H178" s="41">
        <f>(2474097+2482736+2498653)/3</f>
        <v>2485162</v>
      </c>
      <c r="I178" s="93">
        <f t="shared" si="42"/>
        <v>212398.33333333349</v>
      </c>
      <c r="J178" s="95">
        <f t="shared" si="44"/>
        <v>0.78043330112019393</v>
      </c>
      <c r="K178" s="95">
        <f t="shared" si="45"/>
        <v>0.7099795459723427</v>
      </c>
      <c r="L178" s="50">
        <f>114+102+133</f>
        <v>349</v>
      </c>
      <c r="M178" s="50">
        <v>0</v>
      </c>
      <c r="N178" s="50">
        <f>295+243+244</f>
        <v>782</v>
      </c>
      <c r="O178" s="50">
        <f>126+91+113</f>
        <v>330</v>
      </c>
      <c r="P178" s="51">
        <f>77+35+71</f>
        <v>183</v>
      </c>
      <c r="Q178" s="98">
        <f>3735+3962+4842</f>
        <v>12539</v>
      </c>
      <c r="R178" s="52">
        <f>1940+2210+2638</f>
        <v>6788</v>
      </c>
      <c r="S178" s="45">
        <f>3041+3388+4128</f>
        <v>10557</v>
      </c>
      <c r="T178" s="96">
        <f t="shared" si="56"/>
        <v>84.19331685142356</v>
      </c>
      <c r="U178" s="45">
        <f t="shared" si="53"/>
        <v>1982</v>
      </c>
      <c r="V178" s="96">
        <f t="shared" si="57"/>
        <v>15.806683148576441</v>
      </c>
      <c r="W178" s="45">
        <v>2579</v>
      </c>
      <c r="X178" s="96">
        <f t="shared" si="50"/>
        <v>20.56782837546854</v>
      </c>
      <c r="Y178" s="96">
        <f t="shared" si="51"/>
        <v>9960</v>
      </c>
      <c r="Z178" s="96">
        <f t="shared" si="52"/>
        <v>79.432171624531463</v>
      </c>
      <c r="AA178" s="52">
        <f>3251+2878+4689</f>
        <v>10818</v>
      </c>
      <c r="AB178" s="45">
        <v>0</v>
      </c>
      <c r="AC178" s="105">
        <f t="shared" si="54"/>
        <v>30145</v>
      </c>
      <c r="AD178" s="48">
        <v>10</v>
      </c>
      <c r="AE178" s="48">
        <v>1467</v>
      </c>
      <c r="AF178" s="49">
        <f t="shared" si="43"/>
        <v>1477</v>
      </c>
      <c r="AG178" s="38">
        <v>1086</v>
      </c>
      <c r="AH178" s="34">
        <v>3023</v>
      </c>
      <c r="AI178" s="109">
        <f t="shared" si="48"/>
        <v>4109</v>
      </c>
      <c r="AJ178" s="26">
        <v>11754</v>
      </c>
      <c r="AK178" s="26">
        <v>11657</v>
      </c>
      <c r="AL178" s="69" t="s">
        <v>67</v>
      </c>
      <c r="AM178" s="24"/>
      <c r="AN178" s="20">
        <f>65+54+89</f>
        <v>208</v>
      </c>
      <c r="AO178" s="20">
        <f>13+27+25+3+1+2</f>
        <v>71</v>
      </c>
      <c r="AP178" s="106">
        <f t="shared" si="24"/>
        <v>279</v>
      </c>
      <c r="AQ178" s="20">
        <f>(132523+132936+133991)/3</f>
        <v>133150</v>
      </c>
      <c r="AR178" s="20">
        <f>(147886+148735+150112)/3</f>
        <v>148911</v>
      </c>
      <c r="AS178" s="118">
        <f t="shared" si="58"/>
        <v>0.79450561982842738</v>
      </c>
      <c r="AT178" s="118">
        <f t="shared" si="59"/>
        <v>0.70699946383055012</v>
      </c>
      <c r="AU178" s="20">
        <f>7+0+8</f>
        <v>15</v>
      </c>
      <c r="AV178" s="20">
        <v>0</v>
      </c>
      <c r="AW178" s="20">
        <f>13+18+26</f>
        <v>57</v>
      </c>
      <c r="AX178" s="22">
        <f>0+2+1</f>
        <v>3</v>
      </c>
      <c r="AY178" s="22">
        <v>2698</v>
      </c>
      <c r="AZ178" s="22">
        <v>1204</v>
      </c>
      <c r="BA178" s="20">
        <v>1575</v>
      </c>
      <c r="BB178" s="106">
        <f t="shared" si="39"/>
        <v>4273</v>
      </c>
      <c r="BC178" s="24"/>
      <c r="BD178" s="50">
        <v>61</v>
      </c>
      <c r="BE178" s="50">
        <f>5+11+14+3</f>
        <v>33</v>
      </c>
      <c r="BF178" s="114">
        <f t="shared" si="40"/>
        <v>94</v>
      </c>
      <c r="BG178" s="72">
        <f>(33537+33719+34161)/3</f>
        <v>33805.666666666664</v>
      </c>
      <c r="BH178" s="72">
        <f>(36975+37120+37392)/3</f>
        <v>37162.333333333336</v>
      </c>
      <c r="BI178" s="72">
        <v>451</v>
      </c>
      <c r="BJ178" s="72">
        <v>241</v>
      </c>
      <c r="BK178" s="71" t="s">
        <v>66</v>
      </c>
      <c r="BL178" s="114">
        <f t="shared" si="49"/>
        <v>692</v>
      </c>
    </row>
    <row r="179" spans="1:64" x14ac:dyDescent="0.2">
      <c r="A179" s="13" t="str">
        <f t="shared" si="35"/>
        <v>2011Q2</v>
      </c>
      <c r="B179" s="11">
        <f t="shared" si="55"/>
        <v>2011</v>
      </c>
      <c r="C179" s="11" t="s">
        <v>2</v>
      </c>
      <c r="D179" s="44">
        <f>295+470+552</f>
        <v>1317</v>
      </c>
      <c r="E179" s="45">
        <f>891+1069+991</f>
        <v>2951</v>
      </c>
      <c r="F179" s="87">
        <f t="shared" si="36"/>
        <v>4268</v>
      </c>
      <c r="G179" s="41">
        <f>(2295864+2317637+2315256)/3</f>
        <v>2309585.6666666665</v>
      </c>
      <c r="H179" s="41">
        <f>(2514117+ 2524602+2534040)/3</f>
        <v>2524253</v>
      </c>
      <c r="I179" s="93">
        <f t="shared" si="42"/>
        <v>214667.33333333349</v>
      </c>
      <c r="J179" s="95">
        <f t="shared" si="44"/>
        <v>0.77321717277302082</v>
      </c>
      <c r="K179" s="95">
        <f t="shared" si="45"/>
        <v>0.7057226926409923</v>
      </c>
      <c r="L179" s="50">
        <f>96+90+164</f>
        <v>350</v>
      </c>
      <c r="M179" s="50">
        <v>0</v>
      </c>
      <c r="N179" s="50">
        <f>219+214+262</f>
        <v>695</v>
      </c>
      <c r="O179" s="50">
        <f>75+100+82</f>
        <v>257</v>
      </c>
      <c r="P179" s="51">
        <f>58+79+50</f>
        <v>187</v>
      </c>
      <c r="Q179" s="98">
        <f t="shared" ref="Q179:Q187" si="60">SUM(S179,U179)</f>
        <v>11101</v>
      </c>
      <c r="R179" s="79">
        <v>7258</v>
      </c>
      <c r="S179" s="45">
        <f>2927+3691+2595</f>
        <v>9213</v>
      </c>
      <c r="T179" s="96">
        <f t="shared" si="56"/>
        <v>82.992523196108465</v>
      </c>
      <c r="U179" s="45">
        <f>603+625+660</f>
        <v>1888</v>
      </c>
      <c r="V179" s="96">
        <f t="shared" si="57"/>
        <v>17.007476803891542</v>
      </c>
      <c r="W179" s="45">
        <v>2324</v>
      </c>
      <c r="X179" s="96">
        <f t="shared" si="50"/>
        <v>20.935050896315648</v>
      </c>
      <c r="Y179" s="96">
        <f t="shared" si="51"/>
        <v>8777</v>
      </c>
      <c r="Z179" s="96">
        <f t="shared" si="52"/>
        <v>79.064949103684356</v>
      </c>
      <c r="AA179" s="52">
        <f>3704+3923+4516</f>
        <v>12143</v>
      </c>
      <c r="AB179" s="45">
        <v>0</v>
      </c>
      <c r="AC179" s="105">
        <f t="shared" si="54"/>
        <v>30502</v>
      </c>
      <c r="AD179" s="83" t="s">
        <v>89</v>
      </c>
      <c r="AE179" s="78"/>
      <c r="AF179" s="49"/>
      <c r="AG179" s="80">
        <v>1317</v>
      </c>
      <c r="AH179" s="81">
        <v>2913</v>
      </c>
      <c r="AI179" s="109">
        <f t="shared" si="48"/>
        <v>4230</v>
      </c>
      <c r="AJ179" s="82">
        <v>11289</v>
      </c>
      <c r="AK179" s="82">
        <v>12023</v>
      </c>
      <c r="AL179" s="69" t="s">
        <v>67</v>
      </c>
      <c r="AM179" s="24"/>
      <c r="AN179" s="20">
        <f>55+94+112</f>
        <v>261</v>
      </c>
      <c r="AO179" s="20">
        <f>4+2+1+27+32+21</f>
        <v>87</v>
      </c>
      <c r="AP179" s="106">
        <f t="shared" si="24"/>
        <v>348</v>
      </c>
      <c r="AQ179" s="20">
        <f>(134317+135171+135359)/3</f>
        <v>134949</v>
      </c>
      <c r="AR179" s="20">
        <f>(150933+151926+152688)/3</f>
        <v>151849</v>
      </c>
      <c r="AS179" s="118">
        <f t="shared" si="58"/>
        <v>0.82512567921357094</v>
      </c>
      <c r="AT179" s="118">
        <f t="shared" si="59"/>
        <v>0.7355939199404008</v>
      </c>
      <c r="AU179" s="20">
        <f>4</f>
        <v>4</v>
      </c>
      <c r="AV179" s="20">
        <v>0</v>
      </c>
      <c r="AW179" s="20">
        <f>21+19+21</f>
        <v>61</v>
      </c>
      <c r="AX179" s="22">
        <f>1+3+1</f>
        <v>5</v>
      </c>
      <c r="AY179" s="22">
        <v>2948</v>
      </c>
      <c r="AZ179" s="22">
        <v>1305</v>
      </c>
      <c r="BA179" s="20">
        <v>2372</v>
      </c>
      <c r="BB179" s="106">
        <f t="shared" si="39"/>
        <v>5320</v>
      </c>
      <c r="BC179" s="24"/>
      <c r="BD179" s="50">
        <v>56</v>
      </c>
      <c r="BE179" s="50">
        <f>9+8+13+1+2+2</f>
        <v>35</v>
      </c>
      <c r="BF179" s="114">
        <f t="shared" si="40"/>
        <v>91</v>
      </c>
      <c r="BG179" s="72">
        <f>(34310+34599+34494)/3</f>
        <v>34467.666666666664</v>
      </c>
      <c r="BH179" s="72">
        <f>(37407+37538+37663)/3</f>
        <v>37536</v>
      </c>
      <c r="BI179" s="72">
        <v>451</v>
      </c>
      <c r="BJ179" s="72">
        <v>301</v>
      </c>
      <c r="BK179" s="71" t="s">
        <v>66</v>
      </c>
      <c r="BL179" s="114">
        <f t="shared" si="49"/>
        <v>752</v>
      </c>
    </row>
    <row r="180" spans="1:64" x14ac:dyDescent="0.2">
      <c r="A180" s="13" t="str">
        <f t="shared" si="35"/>
        <v>2011Q3</v>
      </c>
      <c r="B180" s="11">
        <f t="shared" si="55"/>
        <v>2011</v>
      </c>
      <c r="C180" s="11" t="s">
        <v>3</v>
      </c>
      <c r="D180" s="44">
        <f>447+333+369</f>
        <v>1149</v>
      </c>
      <c r="E180" s="45">
        <f>1138+953+912</f>
        <v>3003</v>
      </c>
      <c r="F180" s="87">
        <f t="shared" si="36"/>
        <v>4152</v>
      </c>
      <c r="G180" s="41">
        <f>(2330079+2341325+2355125)/3</f>
        <v>2342176.3333333335</v>
      </c>
      <c r="H180" s="41">
        <f>(2545761+2558280+2575133)/3</f>
        <v>2559724.6666666665</v>
      </c>
      <c r="I180" s="93">
        <f t="shared" si="42"/>
        <v>217548.33333333302</v>
      </c>
      <c r="J180" s="95">
        <f t="shared" ref="J180:J211" si="61">SUM(F177:F180,O177:O180)/AVERAGE(G177:G180)*100</f>
        <v>0.77390636901227106</v>
      </c>
      <c r="K180" s="95">
        <f t="shared" ref="K180:K211" si="62">SUM(F177:F180,O177:O180)/AVERAGE(H177:H180)*100</f>
        <v>0.70756488884439772</v>
      </c>
      <c r="L180" s="50">
        <f>153+135+86</f>
        <v>374</v>
      </c>
      <c r="M180" s="50">
        <v>0</v>
      </c>
      <c r="N180" s="50">
        <f>256+235+182</f>
        <v>673</v>
      </c>
      <c r="O180" s="50">
        <f>157+61+75</f>
        <v>293</v>
      </c>
      <c r="P180" s="51">
        <f>69+70+67</f>
        <v>206</v>
      </c>
      <c r="Q180" s="98">
        <f t="shared" si="60"/>
        <v>9578</v>
      </c>
      <c r="R180" s="52">
        <f>2589+2498+2517</f>
        <v>7604</v>
      </c>
      <c r="S180" s="45">
        <f>2557+2565+2432</f>
        <v>7554</v>
      </c>
      <c r="T180" s="96">
        <f t="shared" si="56"/>
        <v>78.868239716015864</v>
      </c>
      <c r="U180" s="45">
        <f>654+715+655</f>
        <v>2024</v>
      </c>
      <c r="V180" s="96">
        <f t="shared" si="57"/>
        <v>21.131760283984129</v>
      </c>
      <c r="W180" s="45">
        <v>2035</v>
      </c>
      <c r="X180" s="96">
        <f t="shared" si="50"/>
        <v>21.246606807266652</v>
      </c>
      <c r="Y180" s="96">
        <f t="shared" si="51"/>
        <v>7543</v>
      </c>
      <c r="Z180" s="96">
        <f t="shared" si="52"/>
        <v>78.753393192733341</v>
      </c>
      <c r="AA180" s="52">
        <v>13048</v>
      </c>
      <c r="AB180" s="45">
        <v>0</v>
      </c>
      <c r="AC180" s="105">
        <f t="shared" si="54"/>
        <v>30230</v>
      </c>
      <c r="AD180" s="83" t="s">
        <v>90</v>
      </c>
      <c r="AE180" s="78"/>
      <c r="AF180" s="49"/>
      <c r="AG180" s="38">
        <v>1197</v>
      </c>
      <c r="AH180" s="34">
        <v>3057</v>
      </c>
      <c r="AI180" s="109">
        <f t="shared" si="48"/>
        <v>4254</v>
      </c>
      <c r="AJ180" s="26">
        <v>9719</v>
      </c>
      <c r="AK180" s="26">
        <v>12512</v>
      </c>
      <c r="AL180" s="69" t="s">
        <v>67</v>
      </c>
      <c r="AM180" s="24"/>
      <c r="AN180" s="20">
        <f>65+96+75</f>
        <v>236</v>
      </c>
      <c r="AO180" s="20">
        <f>2+23+5+23+6+25</f>
        <v>84</v>
      </c>
      <c r="AP180" s="106">
        <f t="shared" si="24"/>
        <v>320</v>
      </c>
      <c r="AQ180" s="20">
        <f>(135899+136950+137570)/3</f>
        <v>136806.33333333334</v>
      </c>
      <c r="AR180" s="20">
        <f>(153186+154001+154471)/3</f>
        <v>153886</v>
      </c>
      <c r="AS180" s="118">
        <f t="shared" si="58"/>
        <v>0.88787642726570171</v>
      </c>
      <c r="AT180" s="118">
        <f t="shared" si="59"/>
        <v>0.7917560833314421</v>
      </c>
      <c r="AU180" s="20">
        <v>0</v>
      </c>
      <c r="AV180" s="20">
        <v>0</v>
      </c>
      <c r="AW180" s="20">
        <f>16+19+17</f>
        <v>52</v>
      </c>
      <c r="AX180" s="22">
        <v>1</v>
      </c>
      <c r="AY180" s="22">
        <v>2857</v>
      </c>
      <c r="AZ180" s="22">
        <v>1223</v>
      </c>
      <c r="BA180" s="20">
        <v>2526</v>
      </c>
      <c r="BB180" s="106">
        <f t="shared" si="39"/>
        <v>5383</v>
      </c>
      <c r="BC180" s="24"/>
      <c r="BD180" s="50">
        <v>43</v>
      </c>
      <c r="BE180" s="50">
        <f>10+2+7+3+17</f>
        <v>39</v>
      </c>
      <c r="BF180" s="114">
        <f t="shared" si="40"/>
        <v>82</v>
      </c>
      <c r="BG180" s="72">
        <f>(34525+34672+34970)/3</f>
        <v>34722.333333333336</v>
      </c>
      <c r="BH180" s="72">
        <f>(37767+38004+38221)/3</f>
        <v>37997.333333333336</v>
      </c>
      <c r="BI180" s="72">
        <v>301</v>
      </c>
      <c r="BJ180" s="72">
        <v>273</v>
      </c>
      <c r="BK180" s="72">
        <v>34</v>
      </c>
      <c r="BL180" s="114">
        <f t="shared" ref="BL180:BL211" si="63">BI180+BJ180+BK180</f>
        <v>608</v>
      </c>
    </row>
    <row r="181" spans="1:64" x14ac:dyDescent="0.2">
      <c r="A181" s="13" t="str">
        <f t="shared" si="35"/>
        <v>2011Q4</v>
      </c>
      <c r="B181" s="11">
        <f t="shared" si="55"/>
        <v>2011</v>
      </c>
      <c r="C181" s="11" t="s">
        <v>4</v>
      </c>
      <c r="D181" s="44">
        <f>559+452+415</f>
        <v>1426</v>
      </c>
      <c r="E181" s="45">
        <f>966+1000+777</f>
        <v>2743</v>
      </c>
      <c r="F181" s="87">
        <f t="shared" si="36"/>
        <v>4169</v>
      </c>
      <c r="G181" s="41">
        <f>(2370569+2373154+2382223)/3</f>
        <v>2375315.3333333335</v>
      </c>
      <c r="H181" s="41">
        <f>(2591237+2599521+2605891)/3</f>
        <v>2598883</v>
      </c>
      <c r="I181" s="93">
        <f t="shared" si="42"/>
        <v>223567.66666666651</v>
      </c>
      <c r="J181" s="95">
        <f t="shared" si="61"/>
        <v>0.7747659341702724</v>
      </c>
      <c r="K181" s="95">
        <f t="shared" si="62"/>
        <v>0.70861368391914159</v>
      </c>
      <c r="L181" s="50">
        <f>116+106+102</f>
        <v>324</v>
      </c>
      <c r="M181" s="50">
        <v>0</v>
      </c>
      <c r="N181" s="50">
        <f>239+221+198</f>
        <v>658</v>
      </c>
      <c r="O181" s="50">
        <f>87+85+75</f>
        <v>247</v>
      </c>
      <c r="P181" s="51">
        <f>65+66+60</f>
        <v>191</v>
      </c>
      <c r="Q181" s="98">
        <f t="shared" si="60"/>
        <v>8658</v>
      </c>
      <c r="R181" s="52">
        <v>7359</v>
      </c>
      <c r="S181" s="45">
        <f>2395+2476+1878</f>
        <v>6749</v>
      </c>
      <c r="T181" s="96">
        <f t="shared" si="56"/>
        <v>77.951027951027953</v>
      </c>
      <c r="U181" s="45">
        <f>686+686+537</f>
        <v>1909</v>
      </c>
      <c r="V181" s="96">
        <f t="shared" si="57"/>
        <v>22.048972048972047</v>
      </c>
      <c r="W181" s="45">
        <v>1955</v>
      </c>
      <c r="X181" s="96">
        <f t="shared" si="50"/>
        <v>22.580272580272581</v>
      </c>
      <c r="Y181" s="96">
        <f t="shared" si="51"/>
        <v>6703</v>
      </c>
      <c r="Z181" s="96">
        <f t="shared" si="52"/>
        <v>77.419727419727423</v>
      </c>
      <c r="AA181" s="52">
        <f>3763+5385+3899</f>
        <v>13047</v>
      </c>
      <c r="AB181" s="45">
        <v>0</v>
      </c>
      <c r="AC181" s="105">
        <f t="shared" si="54"/>
        <v>29064</v>
      </c>
      <c r="AD181" s="83" t="s">
        <v>91</v>
      </c>
      <c r="AE181" s="78"/>
      <c r="AF181" s="49"/>
      <c r="AG181" s="38">
        <v>1403</v>
      </c>
      <c r="AH181" s="34">
        <v>2891</v>
      </c>
      <c r="AI181" s="109">
        <f t="shared" si="48"/>
        <v>4294</v>
      </c>
      <c r="AJ181" s="26">
        <v>9114</v>
      </c>
      <c r="AK181" s="26">
        <v>12864</v>
      </c>
      <c r="AL181" s="69" t="s">
        <v>67</v>
      </c>
      <c r="AM181" s="24"/>
      <c r="AN181" s="20">
        <f>71+74+68</f>
        <v>213</v>
      </c>
      <c r="AO181" s="20">
        <f>24+30+12+4+5+2</f>
        <v>77</v>
      </c>
      <c r="AP181" s="106">
        <f t="shared" si="24"/>
        <v>290</v>
      </c>
      <c r="AQ181" s="20">
        <f>(138101+138969+138904)/3</f>
        <v>138658</v>
      </c>
      <c r="AR181" s="20">
        <f>(155186+155173+154370)/3</f>
        <v>154909.66666666666</v>
      </c>
      <c r="AS181" s="118">
        <f t="shared" si="58"/>
        <v>0.91028950934880315</v>
      </c>
      <c r="AT181" s="118">
        <f t="shared" si="59"/>
        <v>0.81173882396302888</v>
      </c>
      <c r="AU181" s="20">
        <f>19+5</f>
        <v>24</v>
      </c>
      <c r="AV181" s="20">
        <v>0</v>
      </c>
      <c r="AW181" s="20">
        <f>31+20+15</f>
        <v>66</v>
      </c>
      <c r="AX181" s="22">
        <f>1+2+2</f>
        <v>5</v>
      </c>
      <c r="AY181" s="22">
        <v>2625</v>
      </c>
      <c r="AZ181" s="22">
        <v>1080</v>
      </c>
      <c r="BA181" s="20">
        <v>2049</v>
      </c>
      <c r="BB181" s="106">
        <f t="shared" si="39"/>
        <v>4674</v>
      </c>
      <c r="BC181" s="24"/>
      <c r="BD181" s="50">
        <v>48</v>
      </c>
      <c r="BE181" s="50">
        <f>11+6+11+1</f>
        <v>29</v>
      </c>
      <c r="BF181" s="114">
        <f t="shared" si="40"/>
        <v>77</v>
      </c>
      <c r="BG181" s="72">
        <f>(35319+35429+35424)/3</f>
        <v>35390.666666666664</v>
      </c>
      <c r="BH181" s="72">
        <f>(38433+38654+38720)/3</f>
        <v>38602.333333333336</v>
      </c>
      <c r="BI181" s="72">
        <v>412</v>
      </c>
      <c r="BJ181" s="72">
        <v>297</v>
      </c>
      <c r="BK181" s="72">
        <v>78</v>
      </c>
      <c r="BL181" s="114">
        <f t="shared" si="63"/>
        <v>787</v>
      </c>
    </row>
    <row r="182" spans="1:64" x14ac:dyDescent="0.2">
      <c r="A182" s="13" t="str">
        <f t="shared" si="35"/>
        <v>2012Q1</v>
      </c>
      <c r="B182" s="11">
        <f t="shared" si="55"/>
        <v>2012</v>
      </c>
      <c r="C182" s="11" t="s">
        <v>1</v>
      </c>
      <c r="D182" s="44">
        <f>385+435+413</f>
        <v>1233</v>
      </c>
      <c r="E182" s="45">
        <f>918+1123+1208</f>
        <v>3249</v>
      </c>
      <c r="F182" s="87">
        <f t="shared" si="36"/>
        <v>4482</v>
      </c>
      <c r="G182" s="41">
        <f>(2399139+2404352+2431767)/3</f>
        <v>2411752.6666666665</v>
      </c>
      <c r="H182" s="41">
        <f>(2621534+2635486+2660763)/3</f>
        <v>2639261</v>
      </c>
      <c r="I182" s="93">
        <f t="shared" si="42"/>
        <v>227508.33333333349</v>
      </c>
      <c r="J182" s="95">
        <f t="shared" si="61"/>
        <v>0.76767989252905289</v>
      </c>
      <c r="K182" s="95">
        <f t="shared" si="62"/>
        <v>0.70198746284880387</v>
      </c>
      <c r="L182" s="50">
        <f>98+125+113</f>
        <v>336</v>
      </c>
      <c r="M182" s="50">
        <v>0</v>
      </c>
      <c r="N182" s="50">
        <f>249+300+230</f>
        <v>779</v>
      </c>
      <c r="O182" s="50">
        <f>83+86+78</f>
        <v>247</v>
      </c>
      <c r="P182" s="51">
        <f>58+61+56</f>
        <v>175</v>
      </c>
      <c r="Q182" s="98">
        <f t="shared" si="60"/>
        <v>9132</v>
      </c>
      <c r="R182" s="52">
        <v>7897</v>
      </c>
      <c r="S182" s="45">
        <f>2151+2486+2596</f>
        <v>7233</v>
      </c>
      <c r="T182" s="96">
        <f t="shared" si="56"/>
        <v>79.204993429697765</v>
      </c>
      <c r="U182" s="45">
        <f>686+587+626</f>
        <v>1899</v>
      </c>
      <c r="V182" s="96">
        <f t="shared" si="57"/>
        <v>20.795006570302235</v>
      </c>
      <c r="W182" s="45">
        <v>2213</v>
      </c>
      <c r="X182" s="96">
        <f t="shared" si="50"/>
        <v>24.233464739378011</v>
      </c>
      <c r="Y182" s="96">
        <f t="shared" si="51"/>
        <v>6919</v>
      </c>
      <c r="Z182" s="96">
        <f t="shared" si="52"/>
        <v>75.766535260621993</v>
      </c>
      <c r="AA182" s="52">
        <f>4091+3089+4514</f>
        <v>11694</v>
      </c>
      <c r="AB182" s="45">
        <v>0</v>
      </c>
      <c r="AC182" s="105">
        <f t="shared" si="54"/>
        <v>28723</v>
      </c>
      <c r="AD182" s="48"/>
      <c r="AE182" s="48"/>
      <c r="AF182" s="49">
        <f t="shared" ref="AF182:AF213" si="64">AD182+AE182</f>
        <v>0</v>
      </c>
      <c r="AG182" s="38">
        <v>1204</v>
      </c>
      <c r="AH182" s="34">
        <v>3093</v>
      </c>
      <c r="AI182" s="109">
        <f t="shared" si="48"/>
        <v>4297</v>
      </c>
      <c r="AJ182" s="26">
        <v>8572</v>
      </c>
      <c r="AK182" s="26">
        <v>12555</v>
      </c>
      <c r="AL182" s="69" t="s">
        <v>67</v>
      </c>
      <c r="AM182" s="24"/>
      <c r="AN182" s="20">
        <f>67+109+135</f>
        <v>311</v>
      </c>
      <c r="AO182" s="20">
        <v>66</v>
      </c>
      <c r="AP182" s="106">
        <f t="shared" ref="AP182:AP245" si="65">AN182+AO182</f>
        <v>377</v>
      </c>
      <c r="AQ182" s="20">
        <f>(139533+140246+142272)/3</f>
        <v>140683.66666666666</v>
      </c>
      <c r="AR182" s="20">
        <f>(155341+156014+157016)/3</f>
        <v>156123.66666666666</v>
      </c>
      <c r="AS182" s="118">
        <f t="shared" si="58"/>
        <v>0.96897642338826007</v>
      </c>
      <c r="AT182" s="118">
        <f t="shared" si="59"/>
        <v>0.86580320541748534</v>
      </c>
      <c r="AU182" s="20">
        <f>1+1+4</f>
        <v>6</v>
      </c>
      <c r="AV182" s="20">
        <v>0</v>
      </c>
      <c r="AW182" s="20">
        <f>11+21+17</f>
        <v>49</v>
      </c>
      <c r="AX182" s="22">
        <f>1+0+0</f>
        <v>1</v>
      </c>
      <c r="AY182" s="22">
        <v>2626</v>
      </c>
      <c r="AZ182" s="22">
        <v>1060</v>
      </c>
      <c r="BA182" s="20">
        <v>2247</v>
      </c>
      <c r="BB182" s="106">
        <f t="shared" si="39"/>
        <v>4873</v>
      </c>
      <c r="BC182" s="24"/>
      <c r="BD182" s="50">
        <v>72</v>
      </c>
      <c r="BE182" s="50">
        <v>39</v>
      </c>
      <c r="BF182" s="114">
        <f t="shared" si="40"/>
        <v>111</v>
      </c>
      <c r="BG182" s="72">
        <f>(35630+35794+36164)/3</f>
        <v>35862.666666666664</v>
      </c>
      <c r="BH182" s="72">
        <f>(38914+39183+39475)/3</f>
        <v>39190.666666666664</v>
      </c>
      <c r="BI182" s="72">
        <v>405</v>
      </c>
      <c r="BJ182" s="72">
        <v>276</v>
      </c>
      <c r="BK182" s="72">
        <v>113</v>
      </c>
      <c r="BL182" s="114">
        <f t="shared" si="63"/>
        <v>794</v>
      </c>
    </row>
    <row r="183" spans="1:64" x14ac:dyDescent="0.2">
      <c r="A183" s="13" t="str">
        <f t="shared" si="35"/>
        <v>2012Q2</v>
      </c>
      <c r="B183" s="11">
        <f t="shared" si="55"/>
        <v>2012</v>
      </c>
      <c r="C183" s="11" t="s">
        <v>2</v>
      </c>
      <c r="D183" s="44">
        <f>355+394+282</f>
        <v>1031</v>
      </c>
      <c r="E183" s="45">
        <f>1030+1103+946</f>
        <v>3079</v>
      </c>
      <c r="F183" s="87">
        <f t="shared" si="36"/>
        <v>4110</v>
      </c>
      <c r="G183" s="41">
        <f>(2446159+2454962+2466637)/3</f>
        <v>2455919.3333333335</v>
      </c>
      <c r="H183" s="41">
        <f>(2673509+2688302+2698173)/3</f>
        <v>2686661.3333333335</v>
      </c>
      <c r="I183" s="93">
        <f t="shared" si="42"/>
        <v>230742</v>
      </c>
      <c r="J183" s="95">
        <f t="shared" si="61"/>
        <v>0.74840662605969743</v>
      </c>
      <c r="K183" s="95">
        <f t="shared" si="62"/>
        <v>0.68420806655138566</v>
      </c>
      <c r="L183" s="50">
        <f>93+147+93</f>
        <v>333</v>
      </c>
      <c r="M183" s="50">
        <v>0</v>
      </c>
      <c r="N183" s="50">
        <f>224+210+191</f>
        <v>625</v>
      </c>
      <c r="O183" s="50">
        <f>72+86+76</f>
        <v>234</v>
      </c>
      <c r="P183" s="51">
        <f>82+75+195</f>
        <v>352</v>
      </c>
      <c r="Q183" s="98">
        <f t="shared" si="60"/>
        <v>8093</v>
      </c>
      <c r="R183" s="52">
        <f>2483+3012+2461</f>
        <v>7956</v>
      </c>
      <c r="S183" s="45">
        <f>2134+2361+1931</f>
        <v>6426</v>
      </c>
      <c r="T183" s="96">
        <f t="shared" si="56"/>
        <v>79.40195230446065</v>
      </c>
      <c r="U183" s="45">
        <f>576+585+506</f>
        <v>1667</v>
      </c>
      <c r="V183" s="96">
        <f t="shared" si="57"/>
        <v>20.598047695539353</v>
      </c>
      <c r="W183" s="45">
        <v>1973</v>
      </c>
      <c r="X183" s="96">
        <f t="shared" si="50"/>
        <v>24.379093043370816</v>
      </c>
      <c r="Y183" s="96">
        <f t="shared" si="51"/>
        <v>6120</v>
      </c>
      <c r="Z183" s="96">
        <f t="shared" si="52"/>
        <v>75.620906956629184</v>
      </c>
      <c r="AA183" s="52">
        <f>3712+3953+3681</f>
        <v>11346</v>
      </c>
      <c r="AB183" s="45"/>
      <c r="AC183" s="105">
        <f t="shared" si="54"/>
        <v>27395</v>
      </c>
      <c r="AD183" s="48"/>
      <c r="AE183" s="48"/>
      <c r="AF183" s="49">
        <f t="shared" si="64"/>
        <v>0</v>
      </c>
      <c r="AG183" s="38">
        <v>1028</v>
      </c>
      <c r="AH183" s="34">
        <v>3036</v>
      </c>
      <c r="AI183" s="109">
        <f t="shared" si="48"/>
        <v>4064</v>
      </c>
      <c r="AJ183" s="26">
        <v>8195</v>
      </c>
      <c r="AK183" s="26">
        <v>11210</v>
      </c>
      <c r="AL183" s="69" t="s">
        <v>67</v>
      </c>
      <c r="AM183" s="24"/>
      <c r="AN183" s="20">
        <f>78+147+88</f>
        <v>313</v>
      </c>
      <c r="AO183" s="20">
        <f>19+23+12+2+2</f>
        <v>58</v>
      </c>
      <c r="AP183" s="106">
        <f t="shared" si="65"/>
        <v>371</v>
      </c>
      <c r="AQ183" s="20">
        <f>(142985+143658+144504)/3</f>
        <v>143715.66666666666</v>
      </c>
      <c r="AR183" s="20">
        <f>(158372+158835+159483)/3</f>
        <v>158896.66666666666</v>
      </c>
      <c r="AS183" s="118">
        <f t="shared" si="58"/>
        <v>0.97023620631451357</v>
      </c>
      <c r="AT183" s="118">
        <f t="shared" si="59"/>
        <v>0.87076958590353581</v>
      </c>
      <c r="AU183" s="20">
        <f>3+6+3</f>
        <v>12</v>
      </c>
      <c r="AV183" s="20">
        <v>0</v>
      </c>
      <c r="AW183" s="20">
        <f>19+34+14</f>
        <v>67</v>
      </c>
      <c r="AX183" s="22">
        <f>2+4+12</f>
        <v>18</v>
      </c>
      <c r="AY183" s="22">
        <v>3310</v>
      </c>
      <c r="AZ183" s="22">
        <v>1563</v>
      </c>
      <c r="BA183" s="20">
        <v>2291</v>
      </c>
      <c r="BB183" s="106">
        <f t="shared" si="39"/>
        <v>5601</v>
      </c>
      <c r="BC183" s="24"/>
      <c r="BD183" s="50">
        <v>72</v>
      </c>
      <c r="BE183" s="50">
        <f>11+16+11+8</f>
        <v>46</v>
      </c>
      <c r="BF183" s="114">
        <f t="shared" si="40"/>
        <v>118</v>
      </c>
      <c r="BG183" s="72">
        <f>(36405+36637+36821)/3</f>
        <v>36621</v>
      </c>
      <c r="BH183" s="72">
        <f>(39743+39968+40168)/3</f>
        <v>39959.666666666664</v>
      </c>
      <c r="BI183" s="72">
        <v>381</v>
      </c>
      <c r="BJ183" s="72">
        <v>282</v>
      </c>
      <c r="BK183" s="72">
        <v>132</v>
      </c>
      <c r="BL183" s="114">
        <f t="shared" si="63"/>
        <v>795</v>
      </c>
    </row>
    <row r="184" spans="1:64" x14ac:dyDescent="0.2">
      <c r="A184" s="13" t="str">
        <f t="shared" si="35"/>
        <v>2012Q3</v>
      </c>
      <c r="B184" s="11">
        <f t="shared" si="55"/>
        <v>2012</v>
      </c>
      <c r="C184" s="11" t="s">
        <v>3</v>
      </c>
      <c r="D184" s="44">
        <f>474+282+287</f>
        <v>1043</v>
      </c>
      <c r="E184" s="45">
        <f>1038+958+831</f>
        <v>2827</v>
      </c>
      <c r="F184" s="87">
        <f t="shared" si="36"/>
        <v>3870</v>
      </c>
      <c r="G184" s="41">
        <f>(2479972+2493016+2503597)/3</f>
        <v>2492195</v>
      </c>
      <c r="H184" s="41">
        <f>(2717704+2722777+2736557)/3</f>
        <v>2725679.3333333335</v>
      </c>
      <c r="I184" s="93">
        <f t="shared" si="42"/>
        <v>233484.33333333349</v>
      </c>
      <c r="J184" s="95">
        <f t="shared" si="61"/>
        <v>0.72319138552686579</v>
      </c>
      <c r="K184" s="95">
        <f t="shared" si="62"/>
        <v>0.66104033951005792</v>
      </c>
      <c r="L184" s="50">
        <f>96+113+68</f>
        <v>277</v>
      </c>
      <c r="M184" s="50">
        <v>0</v>
      </c>
      <c r="N184" s="50">
        <f>197+170+181</f>
        <v>548</v>
      </c>
      <c r="O184" s="50">
        <f>101+58+83</f>
        <v>242</v>
      </c>
      <c r="P184" s="51">
        <f>58+60+43</f>
        <v>161</v>
      </c>
      <c r="Q184" s="98">
        <f t="shared" si="60"/>
        <v>7642</v>
      </c>
      <c r="R184" s="52">
        <f>2722+2610+2445</f>
        <v>7777</v>
      </c>
      <c r="S184" s="45">
        <f>2203+2000+1843</f>
        <v>6046</v>
      </c>
      <c r="T184" s="96">
        <f t="shared" si="56"/>
        <v>79.11541481287621</v>
      </c>
      <c r="U184" s="45">
        <f>541+558+497</f>
        <v>1596</v>
      </c>
      <c r="V184" s="96">
        <f t="shared" si="57"/>
        <v>20.88458518712379</v>
      </c>
      <c r="W184" s="45">
        <v>1827</v>
      </c>
      <c r="X184" s="96">
        <f t="shared" si="50"/>
        <v>23.907354095786442</v>
      </c>
      <c r="Y184" s="96">
        <f t="shared" si="51"/>
        <v>5815</v>
      </c>
      <c r="Z184" s="96">
        <f t="shared" si="52"/>
        <v>76.092645904213555</v>
      </c>
      <c r="AA184" s="52">
        <f>5422+3614+3632</f>
        <v>12668</v>
      </c>
      <c r="AB184" s="45"/>
      <c r="AC184" s="105">
        <f t="shared" si="54"/>
        <v>28087</v>
      </c>
      <c r="AD184" s="48"/>
      <c r="AE184" s="48"/>
      <c r="AF184" s="49">
        <f t="shared" si="64"/>
        <v>0</v>
      </c>
      <c r="AG184" s="38">
        <v>1078</v>
      </c>
      <c r="AH184" s="34">
        <v>2876</v>
      </c>
      <c r="AI184" s="109">
        <f t="shared" si="48"/>
        <v>3954</v>
      </c>
      <c r="AJ184" s="26">
        <v>7714</v>
      </c>
      <c r="AK184" s="26">
        <v>12131</v>
      </c>
      <c r="AL184" s="69" t="s">
        <v>67</v>
      </c>
      <c r="AM184" s="24"/>
      <c r="AN184" s="20">
        <f>75+66+63</f>
        <v>204</v>
      </c>
      <c r="AO184" s="20">
        <f>1+28+5+27+7+10</f>
        <v>78</v>
      </c>
      <c r="AP184" s="106">
        <f t="shared" si="65"/>
        <v>282</v>
      </c>
      <c r="AQ184" s="20">
        <f>(144924+145659+146505)/3</f>
        <v>145696</v>
      </c>
      <c r="AR184" s="20">
        <f>(160075+160891+161544)/3</f>
        <v>160836.66666666666</v>
      </c>
      <c r="AS184" s="118">
        <f t="shared" si="58"/>
        <v>0.92834620749475472</v>
      </c>
      <c r="AT184" s="118">
        <f t="shared" si="59"/>
        <v>0.83707657348200615</v>
      </c>
      <c r="AU184" s="20">
        <f>0+3+2</f>
        <v>5</v>
      </c>
      <c r="AV184" s="20">
        <v>0</v>
      </c>
      <c r="AW184" s="20">
        <f>8+13+12</f>
        <v>33</v>
      </c>
      <c r="AX184" s="22">
        <f>2+0+0</f>
        <v>2</v>
      </c>
      <c r="AY184" s="22">
        <v>1861</v>
      </c>
      <c r="AZ184" s="22">
        <v>653</v>
      </c>
      <c r="BA184" s="20">
        <v>2204</v>
      </c>
      <c r="BB184" s="106">
        <f t="shared" si="39"/>
        <v>4065</v>
      </c>
      <c r="BC184" s="24"/>
      <c r="BD184" s="50">
        <v>60</v>
      </c>
      <c r="BE184" s="50">
        <f>1+12+1+13+1+7</f>
        <v>35</v>
      </c>
      <c r="BF184" s="114">
        <f t="shared" si="40"/>
        <v>95</v>
      </c>
      <c r="BG184" s="72">
        <f>(37037+37202+37445)/3</f>
        <v>37228</v>
      </c>
      <c r="BH184" s="72">
        <f>(40366+40538+40777)/3</f>
        <v>40560.333333333336</v>
      </c>
      <c r="BI184" s="72">
        <v>307</v>
      </c>
      <c r="BJ184" s="72">
        <v>393</v>
      </c>
      <c r="BK184" s="72">
        <v>144</v>
      </c>
      <c r="BL184" s="114">
        <f t="shared" si="63"/>
        <v>844</v>
      </c>
    </row>
    <row r="185" spans="1:64" x14ac:dyDescent="0.2">
      <c r="A185" s="13" t="str">
        <f t="shared" si="35"/>
        <v>2012Q4</v>
      </c>
      <c r="B185" s="11">
        <f t="shared" si="55"/>
        <v>2012</v>
      </c>
      <c r="C185" s="11" t="s">
        <v>4</v>
      </c>
      <c r="D185" s="44">
        <f>372+336+246</f>
        <v>954</v>
      </c>
      <c r="E185" s="45">
        <f>964+944+832</f>
        <v>2740</v>
      </c>
      <c r="F185" s="87">
        <f t="shared" si="36"/>
        <v>3694</v>
      </c>
      <c r="G185" s="41">
        <f>(2520743+2531221+2543354)/3</f>
        <v>2531772.6666666665</v>
      </c>
      <c r="H185" s="41">
        <f>(2751989+2769575+2789416)/3</f>
        <v>2770326.6666666665</v>
      </c>
      <c r="I185" s="93">
        <f t="shared" si="42"/>
        <v>238554</v>
      </c>
      <c r="J185" s="95">
        <f t="shared" si="61"/>
        <v>0.69400020940242502</v>
      </c>
      <c r="K185" s="95">
        <f t="shared" si="62"/>
        <v>0.63434166153690719</v>
      </c>
      <c r="L185" s="50">
        <f>117+101+58</f>
        <v>276</v>
      </c>
      <c r="M185" s="50">
        <v>0</v>
      </c>
      <c r="N185" s="50">
        <f>192+226+162</f>
        <v>580</v>
      </c>
      <c r="O185" s="50">
        <f>114+102+67</f>
        <v>283</v>
      </c>
      <c r="P185" s="51">
        <f>60+43+48</f>
        <v>151</v>
      </c>
      <c r="Q185" s="98">
        <f t="shared" si="60"/>
        <v>6921</v>
      </c>
      <c r="R185" s="52">
        <f>2825+2682+2042</f>
        <v>7549</v>
      </c>
      <c r="S185" s="45">
        <f>2100+2034+1353</f>
        <v>5487</v>
      </c>
      <c r="T185" s="96">
        <f t="shared" si="56"/>
        <v>79.28045080190725</v>
      </c>
      <c r="U185" s="45">
        <f>576+479+379</f>
        <v>1434</v>
      </c>
      <c r="V185" s="96">
        <f t="shared" si="57"/>
        <v>20.719549198092761</v>
      </c>
      <c r="W185" s="45">
        <v>1710</v>
      </c>
      <c r="X185" s="96">
        <f t="shared" si="50"/>
        <v>24.707412223667099</v>
      </c>
      <c r="Y185" s="96">
        <f t="shared" si="51"/>
        <v>5211</v>
      </c>
      <c r="Z185" s="96">
        <f t="shared" si="52"/>
        <v>75.292587776332894</v>
      </c>
      <c r="AA185" s="52">
        <f>3736+3510+3740</f>
        <v>10986</v>
      </c>
      <c r="AB185" s="45"/>
      <c r="AC185" s="105">
        <f t="shared" si="54"/>
        <v>25456</v>
      </c>
      <c r="AD185" s="48"/>
      <c r="AE185" s="48"/>
      <c r="AF185" s="49">
        <f t="shared" si="64"/>
        <v>0</v>
      </c>
      <c r="AG185" s="38">
        <v>933</v>
      </c>
      <c r="AH185" s="34">
        <v>2890</v>
      </c>
      <c r="AI185" s="109">
        <f t="shared" si="48"/>
        <v>3823</v>
      </c>
      <c r="AJ185" s="26">
        <v>7274</v>
      </c>
      <c r="AK185" s="26">
        <v>10798</v>
      </c>
      <c r="AL185" s="69" t="s">
        <v>67</v>
      </c>
      <c r="AM185" s="24"/>
      <c r="AN185" s="20">
        <f>40+34+24</f>
        <v>98</v>
      </c>
      <c r="AO185" s="20">
        <f>2+2+0+29+24+14</f>
        <v>71</v>
      </c>
      <c r="AP185" s="106">
        <f t="shared" si="65"/>
        <v>169</v>
      </c>
      <c r="AQ185" s="20">
        <f>(147452+148162+148461)/3</f>
        <v>148025</v>
      </c>
      <c r="AR185" s="20">
        <f>(162575+163219+163765)/3</f>
        <v>163186.33333333334</v>
      </c>
      <c r="AS185" s="118">
        <f t="shared" si="58"/>
        <v>0.82958507484889255</v>
      </c>
      <c r="AT185" s="118">
        <f t="shared" si="59"/>
        <v>0.75049683641693565</v>
      </c>
      <c r="AU185" s="20">
        <f>1+6+1</f>
        <v>8</v>
      </c>
      <c r="AV185" s="20">
        <v>0</v>
      </c>
      <c r="AW185" s="20">
        <f>15+13+16</f>
        <v>44</v>
      </c>
      <c r="AX185" s="22">
        <f>0+2+2</f>
        <v>4</v>
      </c>
      <c r="AY185" s="22">
        <v>1833</v>
      </c>
      <c r="AZ185" s="22">
        <v>607</v>
      </c>
      <c r="BA185" s="20">
        <v>2030</v>
      </c>
      <c r="BB185" s="106">
        <f t="shared" si="39"/>
        <v>3863</v>
      </c>
      <c r="BC185" s="24"/>
      <c r="BD185" s="50">
        <v>48</v>
      </c>
      <c r="BE185" s="50">
        <f>0+1+2+18+8+9</f>
        <v>38</v>
      </c>
      <c r="BF185" s="114">
        <f t="shared" si="40"/>
        <v>86</v>
      </c>
      <c r="BG185" s="72">
        <f>(37765+37900+37983)/3</f>
        <v>37882.666666666664</v>
      </c>
      <c r="BH185" s="72">
        <f>(41087+41352+41536)/3</f>
        <v>41325</v>
      </c>
      <c r="BI185" s="72">
        <v>359</v>
      </c>
      <c r="BJ185" s="72">
        <v>280</v>
      </c>
      <c r="BK185" s="72">
        <v>117</v>
      </c>
      <c r="BL185" s="114">
        <f t="shared" si="63"/>
        <v>756</v>
      </c>
    </row>
    <row r="186" spans="1:64" x14ac:dyDescent="0.2">
      <c r="A186" s="13" t="str">
        <f t="shared" si="35"/>
        <v>2013Q1</v>
      </c>
      <c r="B186" s="11">
        <f t="shared" si="55"/>
        <v>2013</v>
      </c>
      <c r="C186" s="11" t="s">
        <v>1</v>
      </c>
      <c r="D186" s="44">
        <f>388+284+301</f>
        <v>973</v>
      </c>
      <c r="E186" s="45">
        <f>745+1065+898</f>
        <v>2708</v>
      </c>
      <c r="F186" s="87">
        <f t="shared" si="36"/>
        <v>3681</v>
      </c>
      <c r="G186" s="41">
        <f>(2558273+2563670+2588306)/3</f>
        <v>2570083</v>
      </c>
      <c r="H186" s="41">
        <f>(2794786+2815959+2835874)/3</f>
        <v>2815539.6666666665</v>
      </c>
      <c r="I186" s="93">
        <f t="shared" si="42"/>
        <v>245456.66666666651</v>
      </c>
      <c r="J186" s="95">
        <f t="shared" si="61"/>
        <v>0.6520616479452177</v>
      </c>
      <c r="K186" s="95">
        <f t="shared" si="62"/>
        <v>0.59584257688548681</v>
      </c>
      <c r="L186" s="50">
        <f>62+85+89</f>
        <v>236</v>
      </c>
      <c r="M186" s="50">
        <v>0</v>
      </c>
      <c r="N186" s="50">
        <f>165+196+196</f>
        <v>557</v>
      </c>
      <c r="O186" s="50">
        <f>105+98+66</f>
        <v>269</v>
      </c>
      <c r="P186" s="51">
        <f>54+51+37</f>
        <v>142</v>
      </c>
      <c r="Q186" s="98">
        <f t="shared" si="60"/>
        <v>6673</v>
      </c>
      <c r="R186" s="52">
        <f>2102+2575+2542</f>
        <v>7219</v>
      </c>
      <c r="S186" s="45">
        <f>1650+1948+1782</f>
        <v>5380</v>
      </c>
      <c r="T186" s="96">
        <f t="shared" si="56"/>
        <v>80.623407762625504</v>
      </c>
      <c r="U186" s="45">
        <f>512+354+427</f>
        <v>1293</v>
      </c>
      <c r="V186" s="96">
        <f t="shared" si="57"/>
        <v>19.376592237374492</v>
      </c>
      <c r="W186" s="45">
        <v>1682</v>
      </c>
      <c r="X186" s="96">
        <f t="shared" si="50"/>
        <v>25.20605424846396</v>
      </c>
      <c r="Y186" s="96">
        <f t="shared" si="51"/>
        <v>4991</v>
      </c>
      <c r="Z186" s="96">
        <f t="shared" si="52"/>
        <v>74.793945751536043</v>
      </c>
      <c r="AA186" s="52">
        <f>3860+2865+4399</f>
        <v>11124</v>
      </c>
      <c r="AB186" s="45"/>
      <c r="AC186" s="105">
        <f t="shared" si="54"/>
        <v>25016</v>
      </c>
      <c r="AD186" s="48"/>
      <c r="AE186" s="48"/>
      <c r="AF186" s="49">
        <f t="shared" si="64"/>
        <v>0</v>
      </c>
      <c r="AG186" s="38">
        <v>1028.83399058485</v>
      </c>
      <c r="AH186" s="34">
        <v>2572.4194415021898</v>
      </c>
      <c r="AI186" s="109">
        <f t="shared" si="48"/>
        <v>3601.25343208704</v>
      </c>
      <c r="AJ186" s="26">
        <v>6629.7460956043196</v>
      </c>
      <c r="AK186" s="26">
        <v>11982.7209770503</v>
      </c>
      <c r="AL186" s="69" t="s">
        <v>67</v>
      </c>
      <c r="AM186" s="24"/>
      <c r="AN186" s="20">
        <f>23+14+22</f>
        <v>59</v>
      </c>
      <c r="AO186" s="20">
        <f>0+12+0+19+5+18</f>
        <v>54</v>
      </c>
      <c r="AP186" s="106">
        <f t="shared" si="65"/>
        <v>113</v>
      </c>
      <c r="AQ186" s="20">
        <f>(149593+149667+151248)/3</f>
        <v>150169.33333333334</v>
      </c>
      <c r="AR186" s="20">
        <f>(164236+165192+166506)/3</f>
        <v>165311.33333333334</v>
      </c>
      <c r="AS186" s="118">
        <f t="shared" si="58"/>
        <v>0.63648090727460238</v>
      </c>
      <c r="AT186" s="118">
        <f t="shared" si="59"/>
        <v>0.57695482011813681</v>
      </c>
      <c r="AU186" s="20">
        <f>2+2+3</f>
        <v>7</v>
      </c>
      <c r="AV186" s="20">
        <f>0</f>
        <v>0</v>
      </c>
      <c r="AW186" s="20">
        <f>13+17+12</f>
        <v>42</v>
      </c>
      <c r="AX186" s="22">
        <f>1+1+0</f>
        <v>2</v>
      </c>
      <c r="AY186" s="22">
        <v>1834</v>
      </c>
      <c r="AZ186" s="22">
        <v>658</v>
      </c>
      <c r="BA186" s="20">
        <v>1652</v>
      </c>
      <c r="BB186" s="106">
        <f t="shared" si="39"/>
        <v>3486</v>
      </c>
      <c r="BC186" s="24"/>
      <c r="BD186" s="50">
        <v>30</v>
      </c>
      <c r="BE186" s="50">
        <f>0+10+2+4+1+8</f>
        <v>25</v>
      </c>
      <c r="BF186" s="114">
        <f t="shared" si="40"/>
        <v>55</v>
      </c>
      <c r="BG186" s="72">
        <f>(38284+38447+38778)/3</f>
        <v>38503</v>
      </c>
      <c r="BH186" s="72">
        <f>(41763+42006+42338)/3</f>
        <v>42035.666666666664</v>
      </c>
      <c r="BI186" s="72">
        <v>328</v>
      </c>
      <c r="BJ186" s="72">
        <v>389</v>
      </c>
      <c r="BK186" s="72">
        <v>119</v>
      </c>
      <c r="BL186" s="114">
        <f t="shared" si="63"/>
        <v>836</v>
      </c>
    </row>
    <row r="187" spans="1:64" x14ac:dyDescent="0.2">
      <c r="A187" s="13" t="str">
        <f t="shared" si="35"/>
        <v>2013Q2</v>
      </c>
      <c r="B187" s="11">
        <f t="shared" si="55"/>
        <v>2013</v>
      </c>
      <c r="C187" s="11" t="s">
        <v>2</v>
      </c>
      <c r="D187" s="44">
        <f>375+291+369</f>
        <v>1035</v>
      </c>
      <c r="E187" s="45">
        <f>993+1091+1010</f>
        <v>3094</v>
      </c>
      <c r="F187" s="87">
        <f t="shared" si="36"/>
        <v>4129</v>
      </c>
      <c r="G187" s="41">
        <f>(2588306+2617775+2628279)/3</f>
        <v>2611453.3333333335</v>
      </c>
      <c r="H187" s="41">
        <f>(2835874+2876746+2890111)/3</f>
        <v>2867577</v>
      </c>
      <c r="I187" s="93">
        <f t="shared" si="42"/>
        <v>256123.66666666651</v>
      </c>
      <c r="J187" s="95">
        <f t="shared" si="61"/>
        <v>0.64329992913627787</v>
      </c>
      <c r="K187" s="95">
        <f t="shared" si="62"/>
        <v>0.58727327678188701</v>
      </c>
      <c r="L187" s="50">
        <f>40+66+86</f>
        <v>192</v>
      </c>
      <c r="M187" s="50">
        <v>0</v>
      </c>
      <c r="N187" s="50">
        <f>218+189+215</f>
        <v>622</v>
      </c>
      <c r="O187" s="50">
        <f>83+79+83</f>
        <v>245</v>
      </c>
      <c r="P187" s="51">
        <f>47+47+66</f>
        <v>160</v>
      </c>
      <c r="Q187" s="98">
        <f t="shared" si="60"/>
        <v>6469</v>
      </c>
      <c r="R187" s="52">
        <f>2423+2530+2179</f>
        <v>7132</v>
      </c>
      <c r="S187" s="45">
        <f>1858+1696+1518</f>
        <v>5072</v>
      </c>
      <c r="T187" s="96">
        <f t="shared" si="56"/>
        <v>78.404699335291397</v>
      </c>
      <c r="U187" s="45">
        <f>465+449+483</f>
        <v>1397</v>
      </c>
      <c r="V187" s="96">
        <f t="shared" si="57"/>
        <v>21.59530066470861</v>
      </c>
      <c r="W187" s="45"/>
      <c r="X187" s="96">
        <f t="shared" si="50"/>
        <v>0</v>
      </c>
      <c r="Y187" s="96"/>
      <c r="Z187" s="96">
        <f t="shared" si="52"/>
        <v>0</v>
      </c>
      <c r="AA187" s="52">
        <f>4256+3647+4213</f>
        <v>12116</v>
      </c>
      <c r="AB187" s="45"/>
      <c r="AC187" s="105">
        <f t="shared" si="54"/>
        <v>25717</v>
      </c>
      <c r="AD187" s="48"/>
      <c r="AE187" s="48"/>
      <c r="AF187" s="49">
        <f t="shared" si="64"/>
        <v>0</v>
      </c>
      <c r="AG187" s="38">
        <v>961.00455272397801</v>
      </c>
      <c r="AH187" s="34">
        <v>3016.8984780829301</v>
      </c>
      <c r="AI187" s="109">
        <f t="shared" si="48"/>
        <v>3977.9030308069082</v>
      </c>
      <c r="AJ187" s="26">
        <v>6191.7959128950997</v>
      </c>
      <c r="AK187" s="26">
        <v>12023.056983786801</v>
      </c>
      <c r="AL187" s="69">
        <f t="shared" ref="AL187:AL218" si="66">AJ187+AK187</f>
        <v>18214.852896681899</v>
      </c>
      <c r="AM187" s="24"/>
      <c r="AN187" s="20">
        <f>33+33+17</f>
        <v>83</v>
      </c>
      <c r="AO187" s="20">
        <f>1+25+3+30+1+15</f>
        <v>75</v>
      </c>
      <c r="AP187" s="106">
        <f t="shared" si="65"/>
        <v>158</v>
      </c>
      <c r="AQ187" s="20">
        <f>(151248+152796+153788)/3</f>
        <v>152610.66666666666</v>
      </c>
      <c r="AR187" s="20">
        <f>(166506+168659+169545)/3</f>
        <v>168236.66666666666</v>
      </c>
      <c r="AS187" s="118">
        <f t="shared" si="58"/>
        <v>0.48415677425519821</v>
      </c>
      <c r="AT187" s="118">
        <f t="shared" si="59"/>
        <v>0.4391921176572568</v>
      </c>
      <c r="AU187" s="20">
        <f>1+0+0</f>
        <v>1</v>
      </c>
      <c r="AV187" s="20">
        <v>0</v>
      </c>
      <c r="AW187" s="20">
        <f>9+13+13</f>
        <v>35</v>
      </c>
      <c r="AX187" s="22">
        <f>1+1+1</f>
        <v>3</v>
      </c>
      <c r="AY187" s="22">
        <v>1961</v>
      </c>
      <c r="AZ187" s="22">
        <v>742</v>
      </c>
      <c r="BA187" s="20">
        <v>2038</v>
      </c>
      <c r="BB187" s="106">
        <f t="shared" si="39"/>
        <v>3999</v>
      </c>
      <c r="BC187" s="24"/>
      <c r="BD187" s="50">
        <v>66</v>
      </c>
      <c r="BE187" s="50">
        <f>2+12+2+13+5+5</f>
        <v>39</v>
      </c>
      <c r="BF187" s="114">
        <f t="shared" si="40"/>
        <v>105</v>
      </c>
      <c r="BG187" s="72">
        <f>(38778+39199+39411)/3</f>
        <v>39129.333333333336</v>
      </c>
      <c r="BH187" s="72">
        <f>(42338+42910+43146)/3</f>
        <v>42798</v>
      </c>
      <c r="BI187" s="72">
        <v>374</v>
      </c>
      <c r="BJ187" s="72">
        <v>353</v>
      </c>
      <c r="BK187" s="72">
        <v>167</v>
      </c>
      <c r="BL187" s="114">
        <f t="shared" si="63"/>
        <v>894</v>
      </c>
    </row>
    <row r="188" spans="1:64" x14ac:dyDescent="0.2">
      <c r="A188" s="13" t="str">
        <f t="shared" si="35"/>
        <v>2013Q3</v>
      </c>
      <c r="B188" s="11">
        <f t="shared" si="55"/>
        <v>2013</v>
      </c>
      <c r="C188" s="11" t="s">
        <v>3</v>
      </c>
      <c r="D188" s="44"/>
      <c r="E188" s="45"/>
      <c r="F188" s="87">
        <f t="shared" si="36"/>
        <v>0</v>
      </c>
      <c r="G188" s="41"/>
      <c r="H188" s="41"/>
      <c r="I188" s="93">
        <f t="shared" si="42"/>
        <v>0</v>
      </c>
      <c r="J188" s="95">
        <f t="shared" si="61"/>
        <v>0.47843279713025882</v>
      </c>
      <c r="K188" s="95">
        <f t="shared" si="62"/>
        <v>0.43654400396209359</v>
      </c>
      <c r="L188" s="50"/>
      <c r="M188" s="50"/>
      <c r="N188" s="50"/>
      <c r="O188" s="50"/>
      <c r="P188" s="51"/>
      <c r="Q188" s="98"/>
      <c r="R188" s="52"/>
      <c r="S188" s="45"/>
      <c r="T188" s="96" t="e">
        <f t="shared" si="56"/>
        <v>#DIV/0!</v>
      </c>
      <c r="U188" s="45"/>
      <c r="V188" s="96" t="e">
        <f t="shared" si="57"/>
        <v>#DIV/0!</v>
      </c>
      <c r="W188" s="45"/>
      <c r="X188" s="96" t="e">
        <f t="shared" si="50"/>
        <v>#DIV/0!</v>
      </c>
      <c r="Y188" s="96"/>
      <c r="Z188" s="96" t="e">
        <f t="shared" si="52"/>
        <v>#DIV/0!</v>
      </c>
      <c r="AA188" s="52"/>
      <c r="AB188" s="45"/>
      <c r="AC188" s="105">
        <f t="shared" si="54"/>
        <v>0</v>
      </c>
      <c r="AD188" s="48"/>
      <c r="AE188" s="48"/>
      <c r="AF188" s="49">
        <f t="shared" si="64"/>
        <v>0</v>
      </c>
      <c r="AG188" s="38"/>
      <c r="AH188" s="34"/>
      <c r="AI188" s="109">
        <f t="shared" si="48"/>
        <v>0</v>
      </c>
      <c r="AJ188" s="26"/>
      <c r="AK188" s="26"/>
      <c r="AL188" s="69">
        <f t="shared" si="66"/>
        <v>0</v>
      </c>
      <c r="AM188" s="24"/>
      <c r="AN188" s="20"/>
      <c r="AO188" s="20"/>
      <c r="AP188" s="106">
        <f t="shared" si="65"/>
        <v>0</v>
      </c>
      <c r="AQ188" s="20"/>
      <c r="AR188" s="20"/>
      <c r="AS188" s="118">
        <f t="shared" si="58"/>
        <v>0.39041270615898227</v>
      </c>
      <c r="AT188" s="118">
        <f t="shared" si="59"/>
        <v>0.35431414377772691</v>
      </c>
      <c r="AU188" s="20"/>
      <c r="AV188" s="20"/>
      <c r="AW188" s="20"/>
      <c r="AX188" s="22"/>
      <c r="AY188" s="22"/>
      <c r="AZ188" s="22"/>
      <c r="BA188" s="20"/>
      <c r="BB188" s="106">
        <f t="shared" si="39"/>
        <v>0</v>
      </c>
      <c r="BC188" s="24"/>
      <c r="BD188" s="50"/>
      <c r="BE188" s="50"/>
      <c r="BF188" s="114">
        <f t="shared" si="40"/>
        <v>0</v>
      </c>
      <c r="BG188" s="72"/>
      <c r="BH188" s="72"/>
      <c r="BI188" s="72"/>
      <c r="BJ188" s="72"/>
      <c r="BK188" s="72"/>
      <c r="BL188" s="114">
        <f t="shared" si="63"/>
        <v>0</v>
      </c>
    </row>
    <row r="189" spans="1:64" x14ac:dyDescent="0.2">
      <c r="A189" s="13" t="str">
        <f t="shared" si="35"/>
        <v>2013Q4</v>
      </c>
      <c r="B189" s="11">
        <f t="shared" si="55"/>
        <v>2013</v>
      </c>
      <c r="C189" s="11" t="s">
        <v>4</v>
      </c>
      <c r="D189" s="44"/>
      <c r="E189" s="45"/>
      <c r="F189" s="87">
        <f t="shared" si="36"/>
        <v>0</v>
      </c>
      <c r="G189" s="41"/>
      <c r="H189" s="41"/>
      <c r="I189" s="93">
        <f t="shared" si="42"/>
        <v>0</v>
      </c>
      <c r="J189" s="95">
        <f t="shared" si="61"/>
        <v>0.32129466878195517</v>
      </c>
      <c r="K189" s="95">
        <f t="shared" si="62"/>
        <v>0.29293785393578059</v>
      </c>
      <c r="L189" s="50"/>
      <c r="M189" s="50"/>
      <c r="N189" s="50"/>
      <c r="O189" s="50"/>
      <c r="P189" s="51"/>
      <c r="Q189" s="98"/>
      <c r="R189" s="52"/>
      <c r="S189" s="45"/>
      <c r="T189" s="96" t="e">
        <f t="shared" si="56"/>
        <v>#DIV/0!</v>
      </c>
      <c r="U189" s="45"/>
      <c r="V189" s="96" t="e">
        <f t="shared" si="57"/>
        <v>#DIV/0!</v>
      </c>
      <c r="W189" s="45"/>
      <c r="X189" s="96" t="e">
        <f t="shared" si="50"/>
        <v>#DIV/0!</v>
      </c>
      <c r="Y189" s="96"/>
      <c r="Z189" s="96" t="e">
        <f t="shared" si="52"/>
        <v>#DIV/0!</v>
      </c>
      <c r="AA189" s="52"/>
      <c r="AB189" s="45"/>
      <c r="AC189" s="105">
        <f t="shared" si="54"/>
        <v>0</v>
      </c>
      <c r="AD189" s="48"/>
      <c r="AE189" s="48"/>
      <c r="AF189" s="49">
        <f t="shared" si="64"/>
        <v>0</v>
      </c>
      <c r="AG189" s="38"/>
      <c r="AH189" s="34"/>
      <c r="AI189" s="109">
        <f t="shared" si="48"/>
        <v>0</v>
      </c>
      <c r="AJ189" s="26"/>
      <c r="AK189" s="26"/>
      <c r="AL189" s="69">
        <f t="shared" si="66"/>
        <v>0</v>
      </c>
      <c r="AM189" s="24"/>
      <c r="AN189" s="20"/>
      <c r="AO189" s="20"/>
      <c r="AP189" s="106">
        <f t="shared" si="65"/>
        <v>0</v>
      </c>
      <c r="AQ189" s="20"/>
      <c r="AR189" s="20"/>
      <c r="AS189" s="118">
        <f t="shared" si="58"/>
        <v>0.35801572098553408</v>
      </c>
      <c r="AT189" s="118">
        <f t="shared" si="59"/>
        <v>0.32499070598534546</v>
      </c>
      <c r="AU189" s="20"/>
      <c r="AV189" s="20"/>
      <c r="AW189" s="20"/>
      <c r="AX189" s="22"/>
      <c r="AY189" s="22"/>
      <c r="AZ189" s="22"/>
      <c r="BA189" s="20"/>
      <c r="BB189" s="106">
        <f t="shared" si="39"/>
        <v>0</v>
      </c>
      <c r="BC189" s="24"/>
      <c r="BD189" s="50"/>
      <c r="BE189" s="50"/>
      <c r="BF189" s="114">
        <f t="shared" si="40"/>
        <v>0</v>
      </c>
      <c r="BG189" s="72"/>
      <c r="BH189" s="72"/>
      <c r="BI189" s="72"/>
      <c r="BJ189" s="72"/>
      <c r="BK189" s="72"/>
      <c r="BL189" s="114">
        <f t="shared" si="63"/>
        <v>0</v>
      </c>
    </row>
    <row r="190" spans="1:64" x14ac:dyDescent="0.2">
      <c r="A190" s="13" t="str">
        <f t="shared" si="35"/>
        <v>2014Q1</v>
      </c>
      <c r="B190" s="11">
        <f t="shared" si="55"/>
        <v>2014</v>
      </c>
      <c r="C190" s="11" t="s">
        <v>1</v>
      </c>
      <c r="D190" s="44"/>
      <c r="E190" s="45"/>
      <c r="F190" s="87">
        <f t="shared" si="36"/>
        <v>0</v>
      </c>
      <c r="G190" s="41"/>
      <c r="H190" s="41"/>
      <c r="I190" s="93">
        <f t="shared" si="42"/>
        <v>0</v>
      </c>
      <c r="J190" s="95">
        <f t="shared" si="61"/>
        <v>0.16749294135066553</v>
      </c>
      <c r="K190" s="95">
        <f t="shared" si="62"/>
        <v>0.15253295726670985</v>
      </c>
      <c r="L190" s="50"/>
      <c r="M190" s="50"/>
      <c r="N190" s="50"/>
      <c r="O190" s="50"/>
      <c r="P190" s="51"/>
      <c r="Q190" s="98"/>
      <c r="R190" s="52"/>
      <c r="S190" s="45"/>
      <c r="T190" s="96" t="e">
        <f t="shared" si="56"/>
        <v>#DIV/0!</v>
      </c>
      <c r="U190" s="45"/>
      <c r="V190" s="96" t="e">
        <f t="shared" si="57"/>
        <v>#DIV/0!</v>
      </c>
      <c r="W190" s="45"/>
      <c r="X190" s="96" t="e">
        <f t="shared" si="50"/>
        <v>#DIV/0!</v>
      </c>
      <c r="Y190" s="96"/>
      <c r="Z190" s="96" t="e">
        <f t="shared" si="52"/>
        <v>#DIV/0!</v>
      </c>
      <c r="AA190" s="52"/>
      <c r="AB190" s="45"/>
      <c r="AC190" s="105">
        <f t="shared" si="54"/>
        <v>0</v>
      </c>
      <c r="AD190" s="48"/>
      <c r="AE190" s="48"/>
      <c r="AF190" s="49">
        <f t="shared" si="64"/>
        <v>0</v>
      </c>
      <c r="AG190" s="38"/>
      <c r="AH190" s="34"/>
      <c r="AI190" s="109">
        <f t="shared" ref="AI190:AI221" si="67">AG190+AH190</f>
        <v>0</v>
      </c>
      <c r="AJ190" s="26"/>
      <c r="AK190" s="26"/>
      <c r="AL190" s="69">
        <f t="shared" si="66"/>
        <v>0</v>
      </c>
      <c r="AM190" s="24"/>
      <c r="AN190" s="20"/>
      <c r="AO190" s="20"/>
      <c r="AP190" s="106">
        <f t="shared" si="65"/>
        <v>0</v>
      </c>
      <c r="AQ190" s="20"/>
      <c r="AR190" s="20"/>
      <c r="AS190" s="118">
        <f t="shared" si="58"/>
        <v>0.41412570549896038</v>
      </c>
      <c r="AT190" s="118">
        <f t="shared" si="59"/>
        <v>0.37566127082879275</v>
      </c>
      <c r="AU190" s="20"/>
      <c r="AV190" s="20"/>
      <c r="AW190" s="20"/>
      <c r="AX190" s="22"/>
      <c r="AY190" s="22"/>
      <c r="AZ190" s="22"/>
      <c r="BA190" s="20"/>
      <c r="BB190" s="106">
        <f t="shared" si="39"/>
        <v>0</v>
      </c>
      <c r="BC190" s="24"/>
      <c r="BD190" s="50"/>
      <c r="BE190" s="50"/>
      <c r="BF190" s="114">
        <f t="shared" si="40"/>
        <v>0</v>
      </c>
      <c r="BG190" s="72"/>
      <c r="BH190" s="72"/>
      <c r="BI190" s="72"/>
      <c r="BJ190" s="72"/>
      <c r="BK190" s="72"/>
      <c r="BL190" s="114">
        <f t="shared" si="63"/>
        <v>0</v>
      </c>
    </row>
    <row r="191" spans="1:64" x14ac:dyDescent="0.2">
      <c r="A191" s="13" t="str">
        <f t="shared" si="35"/>
        <v>2014Q2</v>
      </c>
      <c r="B191" s="11">
        <f t="shared" si="55"/>
        <v>2014</v>
      </c>
      <c r="C191" s="11" t="s">
        <v>2</v>
      </c>
      <c r="D191" s="44"/>
      <c r="E191" s="45"/>
      <c r="F191" s="87">
        <f t="shared" si="36"/>
        <v>0</v>
      </c>
      <c r="G191" s="41"/>
      <c r="H191" s="41"/>
      <c r="I191" s="93">
        <f t="shared" si="42"/>
        <v>0</v>
      </c>
      <c r="J191" s="95" t="e">
        <f t="shared" si="61"/>
        <v>#DIV/0!</v>
      </c>
      <c r="K191" s="95" t="e">
        <f t="shared" si="62"/>
        <v>#DIV/0!</v>
      </c>
      <c r="L191" s="50"/>
      <c r="M191" s="50"/>
      <c r="N191" s="50"/>
      <c r="O191" s="50"/>
      <c r="P191" s="51"/>
      <c r="Q191" s="98"/>
      <c r="R191" s="52"/>
      <c r="S191" s="45"/>
      <c r="T191" s="96" t="e">
        <f t="shared" si="56"/>
        <v>#DIV/0!</v>
      </c>
      <c r="U191" s="45"/>
      <c r="V191" s="96" t="e">
        <f t="shared" si="57"/>
        <v>#DIV/0!</v>
      </c>
      <c r="W191" s="45"/>
      <c r="X191" s="96" t="e">
        <f t="shared" si="50"/>
        <v>#DIV/0!</v>
      </c>
      <c r="Y191" s="96"/>
      <c r="Z191" s="96" t="e">
        <f t="shared" si="52"/>
        <v>#DIV/0!</v>
      </c>
      <c r="AA191" s="52"/>
      <c r="AB191" s="45"/>
      <c r="AC191" s="105">
        <f t="shared" si="54"/>
        <v>0</v>
      </c>
      <c r="AD191" s="48"/>
      <c r="AE191" s="48"/>
      <c r="AF191" s="49">
        <f t="shared" si="64"/>
        <v>0</v>
      </c>
      <c r="AG191" s="38"/>
      <c r="AH191" s="34"/>
      <c r="AI191" s="109">
        <f t="shared" si="67"/>
        <v>0</v>
      </c>
      <c r="AJ191" s="26"/>
      <c r="AK191" s="26"/>
      <c r="AL191" s="69">
        <f t="shared" si="66"/>
        <v>0</v>
      </c>
      <c r="AM191" s="24"/>
      <c r="AN191" s="20"/>
      <c r="AO191" s="20"/>
      <c r="AP191" s="106">
        <f t="shared" si="65"/>
        <v>0</v>
      </c>
      <c r="AQ191" s="20"/>
      <c r="AR191" s="20"/>
      <c r="AS191" s="118" t="e">
        <f t="shared" si="58"/>
        <v>#DIV/0!</v>
      </c>
      <c r="AT191" s="118" t="e">
        <f t="shared" si="59"/>
        <v>#DIV/0!</v>
      </c>
      <c r="AU191" s="20"/>
      <c r="AV191" s="20"/>
      <c r="AW191" s="20"/>
      <c r="AX191" s="22"/>
      <c r="AY191" s="22"/>
      <c r="AZ191" s="22"/>
      <c r="BA191" s="20"/>
      <c r="BB191" s="106">
        <f t="shared" si="39"/>
        <v>0</v>
      </c>
      <c r="BC191" s="24"/>
      <c r="BD191" s="50"/>
      <c r="BE191" s="50"/>
      <c r="BF191" s="114">
        <f t="shared" si="40"/>
        <v>0</v>
      </c>
      <c r="BG191" s="72"/>
      <c r="BH191" s="72"/>
      <c r="BI191" s="72"/>
      <c r="BJ191" s="72"/>
      <c r="BK191" s="72"/>
      <c r="BL191" s="114">
        <f t="shared" si="63"/>
        <v>0</v>
      </c>
    </row>
    <row r="192" spans="1:64" x14ac:dyDescent="0.2">
      <c r="A192" s="13" t="str">
        <f t="shared" si="35"/>
        <v>2014Q3</v>
      </c>
      <c r="B192" s="11">
        <f t="shared" si="55"/>
        <v>2014</v>
      </c>
      <c r="C192" s="11" t="s">
        <v>3</v>
      </c>
      <c r="D192" s="44"/>
      <c r="E192" s="45"/>
      <c r="F192" s="87">
        <f t="shared" si="36"/>
        <v>0</v>
      </c>
      <c r="G192" s="41"/>
      <c r="H192" s="41"/>
      <c r="I192" s="93">
        <f t="shared" si="42"/>
        <v>0</v>
      </c>
      <c r="J192" s="95" t="e">
        <f t="shared" si="61"/>
        <v>#DIV/0!</v>
      </c>
      <c r="K192" s="95" t="e">
        <f t="shared" si="62"/>
        <v>#DIV/0!</v>
      </c>
      <c r="L192" s="50"/>
      <c r="M192" s="50"/>
      <c r="N192" s="50"/>
      <c r="O192" s="50"/>
      <c r="P192" s="51"/>
      <c r="Q192" s="98"/>
      <c r="R192" s="52"/>
      <c r="S192" s="45"/>
      <c r="T192" s="96" t="e">
        <f t="shared" si="56"/>
        <v>#DIV/0!</v>
      </c>
      <c r="U192" s="45"/>
      <c r="V192" s="96" t="e">
        <f t="shared" si="57"/>
        <v>#DIV/0!</v>
      </c>
      <c r="W192" s="45"/>
      <c r="X192" s="96" t="e">
        <f t="shared" si="50"/>
        <v>#DIV/0!</v>
      </c>
      <c r="Y192" s="96"/>
      <c r="Z192" s="96" t="e">
        <f t="shared" si="52"/>
        <v>#DIV/0!</v>
      </c>
      <c r="AA192" s="52"/>
      <c r="AB192" s="45"/>
      <c r="AC192" s="105">
        <f t="shared" si="54"/>
        <v>0</v>
      </c>
      <c r="AD192" s="48"/>
      <c r="AE192" s="48"/>
      <c r="AF192" s="49">
        <f t="shared" si="64"/>
        <v>0</v>
      </c>
      <c r="AG192" s="38"/>
      <c r="AH192" s="34"/>
      <c r="AI192" s="109">
        <f t="shared" si="67"/>
        <v>0</v>
      </c>
      <c r="AJ192" s="26"/>
      <c r="AK192" s="26"/>
      <c r="AL192" s="69">
        <f t="shared" si="66"/>
        <v>0</v>
      </c>
      <c r="AM192" s="24"/>
      <c r="AN192" s="20"/>
      <c r="AO192" s="20"/>
      <c r="AP192" s="106">
        <f t="shared" si="65"/>
        <v>0</v>
      </c>
      <c r="AQ192" s="20"/>
      <c r="AR192" s="20"/>
      <c r="AS192" s="118" t="e">
        <f t="shared" si="58"/>
        <v>#DIV/0!</v>
      </c>
      <c r="AT192" s="118" t="e">
        <f t="shared" si="59"/>
        <v>#DIV/0!</v>
      </c>
      <c r="AU192" s="20"/>
      <c r="AV192" s="20"/>
      <c r="AW192" s="20"/>
      <c r="AX192" s="22"/>
      <c r="AY192" s="22"/>
      <c r="AZ192" s="22"/>
      <c r="BA192" s="20"/>
      <c r="BB192" s="106">
        <f t="shared" si="39"/>
        <v>0</v>
      </c>
      <c r="BC192" s="24"/>
      <c r="BD192" s="50"/>
      <c r="BE192" s="50"/>
      <c r="BF192" s="114">
        <f t="shared" si="40"/>
        <v>0</v>
      </c>
      <c r="BG192" s="72"/>
      <c r="BH192" s="72"/>
      <c r="BI192" s="72"/>
      <c r="BJ192" s="72"/>
      <c r="BK192" s="72"/>
      <c r="BL192" s="114">
        <f t="shared" si="63"/>
        <v>0</v>
      </c>
    </row>
    <row r="193" spans="1:64" x14ac:dyDescent="0.2">
      <c r="A193" s="13" t="str">
        <f t="shared" si="35"/>
        <v>2014Q4</v>
      </c>
      <c r="B193" s="11">
        <f t="shared" si="55"/>
        <v>2014</v>
      </c>
      <c r="C193" s="11" t="s">
        <v>4</v>
      </c>
      <c r="D193" s="44"/>
      <c r="E193" s="45"/>
      <c r="F193" s="87">
        <f t="shared" si="36"/>
        <v>0</v>
      </c>
      <c r="G193" s="41"/>
      <c r="H193" s="41"/>
      <c r="I193" s="93">
        <f t="shared" si="42"/>
        <v>0</v>
      </c>
      <c r="J193" s="95" t="e">
        <f t="shared" si="61"/>
        <v>#DIV/0!</v>
      </c>
      <c r="K193" s="95" t="e">
        <f t="shared" si="62"/>
        <v>#DIV/0!</v>
      </c>
      <c r="L193" s="50"/>
      <c r="M193" s="50"/>
      <c r="N193" s="50"/>
      <c r="O193" s="50"/>
      <c r="P193" s="51"/>
      <c r="Q193" s="98"/>
      <c r="R193" s="52"/>
      <c r="S193" s="45"/>
      <c r="T193" s="96" t="e">
        <f t="shared" si="56"/>
        <v>#DIV/0!</v>
      </c>
      <c r="U193" s="45"/>
      <c r="V193" s="96" t="e">
        <f t="shared" si="57"/>
        <v>#DIV/0!</v>
      </c>
      <c r="W193" s="45"/>
      <c r="X193" s="96" t="e">
        <f t="shared" si="50"/>
        <v>#DIV/0!</v>
      </c>
      <c r="Y193" s="96"/>
      <c r="Z193" s="96" t="e">
        <f t="shared" si="52"/>
        <v>#DIV/0!</v>
      </c>
      <c r="AA193" s="52"/>
      <c r="AB193" s="45"/>
      <c r="AC193" s="105">
        <f t="shared" si="54"/>
        <v>0</v>
      </c>
      <c r="AD193" s="48"/>
      <c r="AE193" s="48"/>
      <c r="AF193" s="49">
        <f t="shared" si="64"/>
        <v>0</v>
      </c>
      <c r="AG193" s="38"/>
      <c r="AH193" s="34"/>
      <c r="AI193" s="109">
        <f t="shared" si="67"/>
        <v>0</v>
      </c>
      <c r="AJ193" s="26"/>
      <c r="AK193" s="26"/>
      <c r="AL193" s="69">
        <f t="shared" si="66"/>
        <v>0</v>
      </c>
      <c r="AM193" s="24"/>
      <c r="AN193" s="20"/>
      <c r="AO193" s="20"/>
      <c r="AP193" s="106">
        <f t="shared" si="65"/>
        <v>0</v>
      </c>
      <c r="AQ193" s="20"/>
      <c r="AR193" s="20"/>
      <c r="AS193" s="118" t="e">
        <f t="shared" si="58"/>
        <v>#DIV/0!</v>
      </c>
      <c r="AT193" s="118" t="e">
        <f t="shared" si="59"/>
        <v>#DIV/0!</v>
      </c>
      <c r="AU193" s="20"/>
      <c r="AV193" s="20"/>
      <c r="AW193" s="20"/>
      <c r="AX193" s="22"/>
      <c r="AY193" s="22"/>
      <c r="AZ193" s="22"/>
      <c r="BA193" s="20"/>
      <c r="BB193" s="106">
        <f t="shared" si="39"/>
        <v>0</v>
      </c>
      <c r="BC193" s="24"/>
      <c r="BD193" s="50"/>
      <c r="BE193" s="50"/>
      <c r="BF193" s="114">
        <f t="shared" si="40"/>
        <v>0</v>
      </c>
      <c r="BG193" s="72"/>
      <c r="BH193" s="72"/>
      <c r="BI193" s="72"/>
      <c r="BJ193" s="72"/>
      <c r="BK193" s="72"/>
      <c r="BL193" s="114">
        <f t="shared" si="63"/>
        <v>0</v>
      </c>
    </row>
    <row r="194" spans="1:64" x14ac:dyDescent="0.2">
      <c r="A194" s="13" t="str">
        <f t="shared" si="35"/>
        <v>2015Q1</v>
      </c>
      <c r="B194" s="11">
        <f t="shared" si="55"/>
        <v>2015</v>
      </c>
      <c r="C194" s="11" t="s">
        <v>1</v>
      </c>
      <c r="D194" s="44"/>
      <c r="E194" s="45"/>
      <c r="F194" s="87">
        <f t="shared" si="36"/>
        <v>0</v>
      </c>
      <c r="G194" s="41"/>
      <c r="H194" s="41"/>
      <c r="I194" s="93">
        <f t="shared" si="42"/>
        <v>0</v>
      </c>
      <c r="J194" s="95" t="e">
        <f t="shared" si="61"/>
        <v>#DIV/0!</v>
      </c>
      <c r="K194" s="95" t="e">
        <f t="shared" si="62"/>
        <v>#DIV/0!</v>
      </c>
      <c r="L194" s="50"/>
      <c r="M194" s="50"/>
      <c r="N194" s="50"/>
      <c r="O194" s="50"/>
      <c r="P194" s="51"/>
      <c r="Q194" s="98"/>
      <c r="R194" s="52"/>
      <c r="S194" s="45"/>
      <c r="T194" s="96" t="e">
        <f t="shared" si="56"/>
        <v>#DIV/0!</v>
      </c>
      <c r="U194" s="45"/>
      <c r="V194" s="96" t="e">
        <f t="shared" si="57"/>
        <v>#DIV/0!</v>
      </c>
      <c r="W194" s="45"/>
      <c r="X194" s="96" t="e">
        <f t="shared" si="50"/>
        <v>#DIV/0!</v>
      </c>
      <c r="Y194" s="96"/>
      <c r="Z194" s="96" t="e">
        <f t="shared" si="52"/>
        <v>#DIV/0!</v>
      </c>
      <c r="AA194" s="52"/>
      <c r="AB194" s="45"/>
      <c r="AC194" s="105">
        <f t="shared" si="54"/>
        <v>0</v>
      </c>
      <c r="AD194" s="48"/>
      <c r="AE194" s="48"/>
      <c r="AF194" s="49">
        <f t="shared" si="64"/>
        <v>0</v>
      </c>
      <c r="AG194" s="38"/>
      <c r="AH194" s="34"/>
      <c r="AI194" s="109">
        <f t="shared" si="67"/>
        <v>0</v>
      </c>
      <c r="AJ194" s="26"/>
      <c r="AK194" s="26"/>
      <c r="AL194" s="69">
        <f t="shared" si="66"/>
        <v>0</v>
      </c>
      <c r="AM194" s="24"/>
      <c r="AN194" s="20"/>
      <c r="AO194" s="20"/>
      <c r="AP194" s="106">
        <f t="shared" si="65"/>
        <v>0</v>
      </c>
      <c r="AQ194" s="20"/>
      <c r="AR194" s="20"/>
      <c r="AS194" s="118" t="e">
        <f t="shared" si="58"/>
        <v>#DIV/0!</v>
      </c>
      <c r="AT194" s="118" t="e">
        <f t="shared" si="59"/>
        <v>#DIV/0!</v>
      </c>
      <c r="AU194" s="20"/>
      <c r="AV194" s="20"/>
      <c r="AW194" s="20"/>
      <c r="AX194" s="22"/>
      <c r="AY194" s="22"/>
      <c r="AZ194" s="22"/>
      <c r="BA194" s="20"/>
      <c r="BB194" s="106">
        <f t="shared" si="39"/>
        <v>0</v>
      </c>
      <c r="BC194" s="24"/>
      <c r="BD194" s="50"/>
      <c r="BE194" s="50"/>
      <c r="BF194" s="114">
        <f t="shared" si="40"/>
        <v>0</v>
      </c>
      <c r="BG194" s="72"/>
      <c r="BH194" s="72"/>
      <c r="BI194" s="72"/>
      <c r="BJ194" s="72"/>
      <c r="BK194" s="72"/>
      <c r="BL194" s="114">
        <f t="shared" si="63"/>
        <v>0</v>
      </c>
    </row>
    <row r="195" spans="1:64" x14ac:dyDescent="0.2">
      <c r="A195" s="13" t="str">
        <f t="shared" si="35"/>
        <v>2015Q2</v>
      </c>
      <c r="B195" s="11">
        <f t="shared" si="55"/>
        <v>2015</v>
      </c>
      <c r="C195" s="11" t="s">
        <v>2</v>
      </c>
      <c r="D195" s="44"/>
      <c r="E195" s="45"/>
      <c r="F195" s="87">
        <f t="shared" si="36"/>
        <v>0</v>
      </c>
      <c r="G195" s="41"/>
      <c r="H195" s="41"/>
      <c r="I195" s="93">
        <f t="shared" si="42"/>
        <v>0</v>
      </c>
      <c r="J195" s="95" t="e">
        <f t="shared" si="61"/>
        <v>#DIV/0!</v>
      </c>
      <c r="K195" s="95" t="e">
        <f t="shared" si="62"/>
        <v>#DIV/0!</v>
      </c>
      <c r="L195" s="50"/>
      <c r="M195" s="50"/>
      <c r="N195" s="50"/>
      <c r="O195" s="50"/>
      <c r="P195" s="51"/>
      <c r="Q195" s="98"/>
      <c r="R195" s="52"/>
      <c r="S195" s="45"/>
      <c r="T195" s="96" t="e">
        <f t="shared" si="56"/>
        <v>#DIV/0!</v>
      </c>
      <c r="U195" s="45"/>
      <c r="V195" s="96" t="e">
        <f t="shared" si="57"/>
        <v>#DIV/0!</v>
      </c>
      <c r="W195" s="45"/>
      <c r="X195" s="96" t="e">
        <f t="shared" si="50"/>
        <v>#DIV/0!</v>
      </c>
      <c r="Y195" s="96"/>
      <c r="Z195" s="96" t="e">
        <f t="shared" si="52"/>
        <v>#DIV/0!</v>
      </c>
      <c r="AA195" s="52"/>
      <c r="AB195" s="45"/>
      <c r="AC195" s="105">
        <f t="shared" si="54"/>
        <v>0</v>
      </c>
      <c r="AD195" s="48"/>
      <c r="AE195" s="48"/>
      <c r="AF195" s="49">
        <f t="shared" si="64"/>
        <v>0</v>
      </c>
      <c r="AG195" s="38"/>
      <c r="AH195" s="34"/>
      <c r="AI195" s="109">
        <f t="shared" si="67"/>
        <v>0</v>
      </c>
      <c r="AJ195" s="26"/>
      <c r="AK195" s="26"/>
      <c r="AL195" s="69">
        <f t="shared" si="66"/>
        <v>0</v>
      </c>
      <c r="AM195" s="24"/>
      <c r="AN195" s="20"/>
      <c r="AO195" s="20"/>
      <c r="AP195" s="106">
        <f t="shared" si="65"/>
        <v>0</v>
      </c>
      <c r="AQ195" s="20"/>
      <c r="AR195" s="20"/>
      <c r="AS195" s="118" t="e">
        <f t="shared" si="58"/>
        <v>#DIV/0!</v>
      </c>
      <c r="AT195" s="118" t="e">
        <f t="shared" si="59"/>
        <v>#DIV/0!</v>
      </c>
      <c r="AU195" s="20"/>
      <c r="AV195" s="20"/>
      <c r="AW195" s="20"/>
      <c r="AX195" s="22"/>
      <c r="AY195" s="22"/>
      <c r="AZ195" s="22"/>
      <c r="BA195" s="20"/>
      <c r="BB195" s="106">
        <f t="shared" si="39"/>
        <v>0</v>
      </c>
      <c r="BC195" s="24"/>
      <c r="BD195" s="50"/>
      <c r="BE195" s="50"/>
      <c r="BF195" s="114">
        <f t="shared" si="40"/>
        <v>0</v>
      </c>
      <c r="BG195" s="72"/>
      <c r="BH195" s="72"/>
      <c r="BI195" s="72"/>
      <c r="BJ195" s="72"/>
      <c r="BK195" s="72"/>
      <c r="BL195" s="114">
        <f t="shared" si="63"/>
        <v>0</v>
      </c>
    </row>
    <row r="196" spans="1:64" x14ac:dyDescent="0.2">
      <c r="A196" s="13" t="str">
        <f t="shared" si="35"/>
        <v>2015Q3</v>
      </c>
      <c r="B196" s="11">
        <f t="shared" si="55"/>
        <v>2015</v>
      </c>
      <c r="C196" s="11" t="s">
        <v>3</v>
      </c>
      <c r="D196" s="44"/>
      <c r="E196" s="45"/>
      <c r="F196" s="87">
        <f t="shared" si="36"/>
        <v>0</v>
      </c>
      <c r="G196" s="41"/>
      <c r="H196" s="41"/>
      <c r="I196" s="93">
        <f t="shared" si="42"/>
        <v>0</v>
      </c>
      <c r="J196" s="95" t="e">
        <f t="shared" si="61"/>
        <v>#DIV/0!</v>
      </c>
      <c r="K196" s="95" t="e">
        <f t="shared" si="62"/>
        <v>#DIV/0!</v>
      </c>
      <c r="L196" s="50"/>
      <c r="M196" s="50"/>
      <c r="N196" s="50"/>
      <c r="O196" s="50"/>
      <c r="P196" s="51"/>
      <c r="Q196" s="98"/>
      <c r="R196" s="52"/>
      <c r="S196" s="45"/>
      <c r="T196" s="96" t="e">
        <f t="shared" si="56"/>
        <v>#DIV/0!</v>
      </c>
      <c r="U196" s="45"/>
      <c r="V196" s="96" t="e">
        <f t="shared" si="57"/>
        <v>#DIV/0!</v>
      </c>
      <c r="W196" s="45"/>
      <c r="X196" s="96" t="e">
        <f t="shared" si="50"/>
        <v>#DIV/0!</v>
      </c>
      <c r="Y196" s="96"/>
      <c r="Z196" s="96" t="e">
        <f t="shared" si="52"/>
        <v>#DIV/0!</v>
      </c>
      <c r="AA196" s="52"/>
      <c r="AB196" s="45"/>
      <c r="AC196" s="105">
        <f t="shared" si="54"/>
        <v>0</v>
      </c>
      <c r="AD196" s="48"/>
      <c r="AE196" s="48"/>
      <c r="AF196" s="49">
        <f t="shared" si="64"/>
        <v>0</v>
      </c>
      <c r="AG196" s="38"/>
      <c r="AH196" s="34"/>
      <c r="AI196" s="109">
        <f t="shared" si="67"/>
        <v>0</v>
      </c>
      <c r="AJ196" s="26"/>
      <c r="AK196" s="26"/>
      <c r="AL196" s="69">
        <f t="shared" si="66"/>
        <v>0</v>
      </c>
      <c r="AM196" s="24"/>
      <c r="AN196" s="20"/>
      <c r="AO196" s="20"/>
      <c r="AP196" s="106">
        <f t="shared" si="65"/>
        <v>0</v>
      </c>
      <c r="AQ196" s="20"/>
      <c r="AR196" s="20"/>
      <c r="AS196" s="118" t="e">
        <f t="shared" si="58"/>
        <v>#DIV/0!</v>
      </c>
      <c r="AT196" s="118" t="e">
        <f t="shared" si="59"/>
        <v>#DIV/0!</v>
      </c>
      <c r="AU196" s="20"/>
      <c r="AV196" s="20"/>
      <c r="AW196" s="20"/>
      <c r="AX196" s="22"/>
      <c r="AY196" s="22"/>
      <c r="AZ196" s="22"/>
      <c r="BA196" s="20"/>
      <c r="BB196" s="106">
        <f t="shared" si="39"/>
        <v>0</v>
      </c>
      <c r="BC196" s="24"/>
      <c r="BD196" s="50"/>
      <c r="BE196" s="50"/>
      <c r="BF196" s="114">
        <f t="shared" si="40"/>
        <v>0</v>
      </c>
      <c r="BG196" s="72"/>
      <c r="BH196" s="72"/>
      <c r="BI196" s="72"/>
      <c r="BJ196" s="72"/>
      <c r="BK196" s="72"/>
      <c r="BL196" s="114">
        <f t="shared" si="63"/>
        <v>0</v>
      </c>
    </row>
    <row r="197" spans="1:64" x14ac:dyDescent="0.2">
      <c r="A197" s="13" t="str">
        <f t="shared" si="35"/>
        <v>2015Q4</v>
      </c>
      <c r="B197" s="11">
        <f t="shared" si="55"/>
        <v>2015</v>
      </c>
      <c r="C197" s="11" t="s">
        <v>4</v>
      </c>
      <c r="D197" s="44"/>
      <c r="E197" s="45"/>
      <c r="F197" s="87">
        <f t="shared" si="36"/>
        <v>0</v>
      </c>
      <c r="G197" s="41"/>
      <c r="H197" s="41"/>
      <c r="I197" s="93">
        <f t="shared" si="42"/>
        <v>0</v>
      </c>
      <c r="J197" s="95" t="e">
        <f t="shared" si="61"/>
        <v>#DIV/0!</v>
      </c>
      <c r="K197" s="95" t="e">
        <f t="shared" si="62"/>
        <v>#DIV/0!</v>
      </c>
      <c r="L197" s="50"/>
      <c r="M197" s="50"/>
      <c r="N197" s="50"/>
      <c r="O197" s="50"/>
      <c r="P197" s="51"/>
      <c r="Q197" s="98"/>
      <c r="R197" s="52"/>
      <c r="S197" s="45"/>
      <c r="T197" s="96" t="e">
        <f t="shared" si="56"/>
        <v>#DIV/0!</v>
      </c>
      <c r="U197" s="45"/>
      <c r="V197" s="96" t="e">
        <f t="shared" si="57"/>
        <v>#DIV/0!</v>
      </c>
      <c r="W197" s="45"/>
      <c r="X197" s="96" t="e">
        <f t="shared" si="50"/>
        <v>#DIV/0!</v>
      </c>
      <c r="Y197" s="96"/>
      <c r="Z197" s="96" t="e">
        <f t="shared" si="52"/>
        <v>#DIV/0!</v>
      </c>
      <c r="AA197" s="52"/>
      <c r="AB197" s="45"/>
      <c r="AC197" s="105">
        <f t="shared" si="54"/>
        <v>0</v>
      </c>
      <c r="AD197" s="48"/>
      <c r="AE197" s="48"/>
      <c r="AF197" s="49">
        <f t="shared" si="64"/>
        <v>0</v>
      </c>
      <c r="AG197" s="38"/>
      <c r="AH197" s="34"/>
      <c r="AI197" s="109">
        <f t="shared" si="67"/>
        <v>0</v>
      </c>
      <c r="AJ197" s="26"/>
      <c r="AK197" s="26"/>
      <c r="AL197" s="69">
        <f t="shared" si="66"/>
        <v>0</v>
      </c>
      <c r="AM197" s="24"/>
      <c r="AN197" s="20"/>
      <c r="AO197" s="20"/>
      <c r="AP197" s="106">
        <f t="shared" si="65"/>
        <v>0</v>
      </c>
      <c r="AQ197" s="20"/>
      <c r="AR197" s="20"/>
      <c r="AS197" s="118" t="e">
        <f t="shared" si="58"/>
        <v>#DIV/0!</v>
      </c>
      <c r="AT197" s="118" t="e">
        <f t="shared" si="59"/>
        <v>#DIV/0!</v>
      </c>
      <c r="AU197" s="20"/>
      <c r="AV197" s="20"/>
      <c r="AW197" s="20"/>
      <c r="AX197" s="22"/>
      <c r="AY197" s="22"/>
      <c r="AZ197" s="22"/>
      <c r="BA197" s="20"/>
      <c r="BB197" s="106">
        <f t="shared" si="39"/>
        <v>0</v>
      </c>
      <c r="BC197" s="24"/>
      <c r="BD197" s="50"/>
      <c r="BE197" s="50"/>
      <c r="BF197" s="114">
        <f t="shared" si="40"/>
        <v>0</v>
      </c>
      <c r="BG197" s="72"/>
      <c r="BH197" s="72"/>
      <c r="BI197" s="72"/>
      <c r="BJ197" s="72"/>
      <c r="BK197" s="72"/>
      <c r="BL197" s="114">
        <f t="shared" si="63"/>
        <v>0</v>
      </c>
    </row>
    <row r="198" spans="1:64" x14ac:dyDescent="0.2">
      <c r="A198" s="13" t="str">
        <f t="shared" ref="A198:A261" si="68">B198&amp;C198</f>
        <v>2016Q1</v>
      </c>
      <c r="B198" s="11">
        <f t="shared" si="55"/>
        <v>2016</v>
      </c>
      <c r="C198" s="11" t="s">
        <v>1</v>
      </c>
      <c r="D198" s="44"/>
      <c r="E198" s="45"/>
      <c r="F198" s="87">
        <f t="shared" ref="F198:F261" si="69">D198+E198</f>
        <v>0</v>
      </c>
      <c r="G198" s="41"/>
      <c r="H198" s="41"/>
      <c r="I198" s="93">
        <f t="shared" si="42"/>
        <v>0</v>
      </c>
      <c r="J198" s="95" t="e">
        <f t="shared" si="61"/>
        <v>#DIV/0!</v>
      </c>
      <c r="K198" s="95" t="e">
        <f t="shared" si="62"/>
        <v>#DIV/0!</v>
      </c>
      <c r="L198" s="50"/>
      <c r="M198" s="50"/>
      <c r="N198" s="50"/>
      <c r="O198" s="50"/>
      <c r="P198" s="51"/>
      <c r="Q198" s="98"/>
      <c r="R198" s="52"/>
      <c r="S198" s="45"/>
      <c r="T198" s="96" t="e">
        <f t="shared" si="56"/>
        <v>#DIV/0!</v>
      </c>
      <c r="U198" s="45"/>
      <c r="V198" s="96" t="e">
        <f t="shared" si="57"/>
        <v>#DIV/0!</v>
      </c>
      <c r="W198" s="45"/>
      <c r="X198" s="96" t="e">
        <f t="shared" ref="X198:X229" si="70">IF(W198="..","..",W198/$Q198*100)</f>
        <v>#DIV/0!</v>
      </c>
      <c r="Y198" s="96"/>
      <c r="Z198" s="96" t="e">
        <f t="shared" ref="Z198:Z229" si="71">IF(Y198="..","..",Y198/$Q198*100)</f>
        <v>#DIV/0!</v>
      </c>
      <c r="AA198" s="52"/>
      <c r="AB198" s="45"/>
      <c r="AC198" s="105">
        <f t="shared" si="54"/>
        <v>0</v>
      </c>
      <c r="AD198" s="48"/>
      <c r="AE198" s="48"/>
      <c r="AF198" s="49">
        <f t="shared" si="64"/>
        <v>0</v>
      </c>
      <c r="AG198" s="38"/>
      <c r="AH198" s="34"/>
      <c r="AI198" s="109">
        <f t="shared" si="67"/>
        <v>0</v>
      </c>
      <c r="AJ198" s="26"/>
      <c r="AK198" s="26"/>
      <c r="AL198" s="69">
        <f t="shared" si="66"/>
        <v>0</v>
      </c>
      <c r="AM198" s="24"/>
      <c r="AN198" s="20"/>
      <c r="AO198" s="20"/>
      <c r="AP198" s="106">
        <f t="shared" si="65"/>
        <v>0</v>
      </c>
      <c r="AQ198" s="20"/>
      <c r="AR198" s="20"/>
      <c r="AS198" s="118" t="e">
        <f t="shared" si="58"/>
        <v>#DIV/0!</v>
      </c>
      <c r="AT198" s="118" t="e">
        <f t="shared" si="59"/>
        <v>#DIV/0!</v>
      </c>
      <c r="AU198" s="20"/>
      <c r="AV198" s="20"/>
      <c r="AW198" s="20"/>
      <c r="AX198" s="22"/>
      <c r="AY198" s="22"/>
      <c r="AZ198" s="22"/>
      <c r="BA198" s="20"/>
      <c r="BB198" s="106">
        <f t="shared" ref="BB198:BB261" si="72">IF(BA198=":",AY198,AY198+BA198)</f>
        <v>0</v>
      </c>
      <c r="BC198" s="24"/>
      <c r="BD198" s="50"/>
      <c r="BE198" s="50"/>
      <c r="BF198" s="114">
        <f t="shared" ref="BF198:BF261" si="73">IF(BE198="..","..",BD198+BE198)</f>
        <v>0</v>
      </c>
      <c r="BG198" s="72"/>
      <c r="BH198" s="72"/>
      <c r="BI198" s="72"/>
      <c r="BJ198" s="72"/>
      <c r="BK198" s="72"/>
      <c r="BL198" s="114">
        <f t="shared" si="63"/>
        <v>0</v>
      </c>
    </row>
    <row r="199" spans="1:64" x14ac:dyDescent="0.2">
      <c r="A199" s="13" t="str">
        <f t="shared" si="68"/>
        <v>2016Q2</v>
      </c>
      <c r="B199" s="11">
        <f t="shared" si="55"/>
        <v>2016</v>
      </c>
      <c r="C199" s="11" t="s">
        <v>2</v>
      </c>
      <c r="D199" s="44"/>
      <c r="E199" s="45"/>
      <c r="F199" s="87">
        <f t="shared" si="69"/>
        <v>0</v>
      </c>
      <c r="G199" s="41"/>
      <c r="H199" s="41"/>
      <c r="I199" s="93">
        <f t="shared" si="42"/>
        <v>0</v>
      </c>
      <c r="J199" s="95" t="e">
        <f t="shared" si="61"/>
        <v>#DIV/0!</v>
      </c>
      <c r="K199" s="95" t="e">
        <f t="shared" si="62"/>
        <v>#DIV/0!</v>
      </c>
      <c r="L199" s="50"/>
      <c r="M199" s="50"/>
      <c r="N199" s="50"/>
      <c r="O199" s="50"/>
      <c r="P199" s="51"/>
      <c r="Q199" s="98"/>
      <c r="R199" s="52"/>
      <c r="S199" s="45"/>
      <c r="T199" s="96" t="e">
        <f t="shared" si="56"/>
        <v>#DIV/0!</v>
      </c>
      <c r="U199" s="45"/>
      <c r="V199" s="96" t="e">
        <f t="shared" si="57"/>
        <v>#DIV/0!</v>
      </c>
      <c r="W199" s="45"/>
      <c r="X199" s="96" t="e">
        <f t="shared" si="70"/>
        <v>#DIV/0!</v>
      </c>
      <c r="Y199" s="96"/>
      <c r="Z199" s="96" t="e">
        <f t="shared" si="71"/>
        <v>#DIV/0!</v>
      </c>
      <c r="AA199" s="52"/>
      <c r="AB199" s="45"/>
      <c r="AC199" s="105">
        <f t="shared" si="54"/>
        <v>0</v>
      </c>
      <c r="AD199" s="48"/>
      <c r="AE199" s="48"/>
      <c r="AF199" s="49">
        <f t="shared" si="64"/>
        <v>0</v>
      </c>
      <c r="AG199" s="38"/>
      <c r="AH199" s="34"/>
      <c r="AI199" s="109">
        <f t="shared" si="67"/>
        <v>0</v>
      </c>
      <c r="AJ199" s="26"/>
      <c r="AK199" s="26"/>
      <c r="AL199" s="69">
        <f t="shared" si="66"/>
        <v>0</v>
      </c>
      <c r="AM199" s="24"/>
      <c r="AN199" s="20"/>
      <c r="AO199" s="20"/>
      <c r="AP199" s="106">
        <f t="shared" si="65"/>
        <v>0</v>
      </c>
      <c r="AQ199" s="20"/>
      <c r="AR199" s="20"/>
      <c r="AS199" s="118" t="e">
        <f t="shared" si="58"/>
        <v>#DIV/0!</v>
      </c>
      <c r="AT199" s="118" t="e">
        <f t="shared" si="59"/>
        <v>#DIV/0!</v>
      </c>
      <c r="AU199" s="20"/>
      <c r="AV199" s="20"/>
      <c r="AW199" s="20"/>
      <c r="AX199" s="22"/>
      <c r="AY199" s="22"/>
      <c r="AZ199" s="22"/>
      <c r="BA199" s="20"/>
      <c r="BB199" s="106">
        <f t="shared" si="72"/>
        <v>0</v>
      </c>
      <c r="BC199" s="24"/>
      <c r="BD199" s="50"/>
      <c r="BE199" s="50"/>
      <c r="BF199" s="114">
        <f t="shared" si="73"/>
        <v>0</v>
      </c>
      <c r="BG199" s="72"/>
      <c r="BH199" s="72"/>
      <c r="BI199" s="72"/>
      <c r="BJ199" s="72"/>
      <c r="BK199" s="72"/>
      <c r="BL199" s="114">
        <f t="shared" si="63"/>
        <v>0</v>
      </c>
    </row>
    <row r="200" spans="1:64" x14ac:dyDescent="0.2">
      <c r="A200" s="13" t="str">
        <f t="shared" si="68"/>
        <v>2016Q3</v>
      </c>
      <c r="B200" s="11">
        <f t="shared" si="55"/>
        <v>2016</v>
      </c>
      <c r="C200" s="11" t="s">
        <v>3</v>
      </c>
      <c r="D200" s="44"/>
      <c r="E200" s="45"/>
      <c r="F200" s="87">
        <f t="shared" si="69"/>
        <v>0</v>
      </c>
      <c r="G200" s="41"/>
      <c r="H200" s="41"/>
      <c r="I200" s="93">
        <f t="shared" si="42"/>
        <v>0</v>
      </c>
      <c r="J200" s="95" t="e">
        <f t="shared" si="61"/>
        <v>#DIV/0!</v>
      </c>
      <c r="K200" s="95" t="e">
        <f t="shared" si="62"/>
        <v>#DIV/0!</v>
      </c>
      <c r="L200" s="50"/>
      <c r="M200" s="50"/>
      <c r="N200" s="50"/>
      <c r="O200" s="50"/>
      <c r="P200" s="51"/>
      <c r="Q200" s="98"/>
      <c r="R200" s="52"/>
      <c r="S200" s="45"/>
      <c r="T200" s="96" t="e">
        <f t="shared" si="56"/>
        <v>#DIV/0!</v>
      </c>
      <c r="U200" s="45"/>
      <c r="V200" s="96" t="e">
        <f t="shared" si="57"/>
        <v>#DIV/0!</v>
      </c>
      <c r="W200" s="45"/>
      <c r="X200" s="96" t="e">
        <f t="shared" si="70"/>
        <v>#DIV/0!</v>
      </c>
      <c r="Y200" s="96"/>
      <c r="Z200" s="96" t="e">
        <f t="shared" si="71"/>
        <v>#DIV/0!</v>
      </c>
      <c r="AA200" s="52"/>
      <c r="AB200" s="45"/>
      <c r="AC200" s="105">
        <f t="shared" si="54"/>
        <v>0</v>
      </c>
      <c r="AD200" s="48"/>
      <c r="AE200" s="48"/>
      <c r="AF200" s="49">
        <f t="shared" si="64"/>
        <v>0</v>
      </c>
      <c r="AG200" s="38"/>
      <c r="AH200" s="34"/>
      <c r="AI200" s="109">
        <f t="shared" si="67"/>
        <v>0</v>
      </c>
      <c r="AJ200" s="26"/>
      <c r="AK200" s="26"/>
      <c r="AL200" s="69">
        <f t="shared" si="66"/>
        <v>0</v>
      </c>
      <c r="AM200" s="24"/>
      <c r="AN200" s="20"/>
      <c r="AO200" s="20"/>
      <c r="AP200" s="106">
        <f t="shared" si="65"/>
        <v>0</v>
      </c>
      <c r="AQ200" s="20"/>
      <c r="AR200" s="20"/>
      <c r="AS200" s="118" t="e">
        <f t="shared" si="58"/>
        <v>#DIV/0!</v>
      </c>
      <c r="AT200" s="118" t="e">
        <f t="shared" si="59"/>
        <v>#DIV/0!</v>
      </c>
      <c r="AU200" s="20"/>
      <c r="AV200" s="20"/>
      <c r="AW200" s="20"/>
      <c r="AX200" s="22"/>
      <c r="AY200" s="22"/>
      <c r="AZ200" s="22"/>
      <c r="BA200" s="20"/>
      <c r="BB200" s="106">
        <f t="shared" si="72"/>
        <v>0</v>
      </c>
      <c r="BC200" s="24"/>
      <c r="BD200" s="50"/>
      <c r="BE200" s="50"/>
      <c r="BF200" s="114">
        <f t="shared" si="73"/>
        <v>0</v>
      </c>
      <c r="BG200" s="72"/>
      <c r="BH200" s="72"/>
      <c r="BI200" s="72"/>
      <c r="BJ200" s="72"/>
      <c r="BK200" s="72"/>
      <c r="BL200" s="114">
        <f t="shared" si="63"/>
        <v>0</v>
      </c>
    </row>
    <row r="201" spans="1:64" x14ac:dyDescent="0.2">
      <c r="A201" s="13" t="str">
        <f t="shared" si="68"/>
        <v>2016Q4</v>
      </c>
      <c r="B201" s="11">
        <f t="shared" si="55"/>
        <v>2016</v>
      </c>
      <c r="C201" s="11" t="s">
        <v>4</v>
      </c>
      <c r="F201" s="87">
        <f t="shared" si="69"/>
        <v>0</v>
      </c>
      <c r="I201" s="93">
        <f t="shared" si="42"/>
        <v>0</v>
      </c>
      <c r="J201" s="95" t="e">
        <f t="shared" si="61"/>
        <v>#DIV/0!</v>
      </c>
      <c r="K201" s="95" t="e">
        <f t="shared" si="62"/>
        <v>#DIV/0!</v>
      </c>
      <c r="T201" s="96" t="e">
        <f t="shared" si="56"/>
        <v>#DIV/0!</v>
      </c>
      <c r="V201" s="96" t="e">
        <f t="shared" si="57"/>
        <v>#DIV/0!</v>
      </c>
      <c r="X201" s="96" t="e">
        <f t="shared" si="70"/>
        <v>#DIV/0!</v>
      </c>
      <c r="Z201" s="96" t="e">
        <f t="shared" si="71"/>
        <v>#DIV/0!</v>
      </c>
      <c r="AC201" s="105">
        <f t="shared" si="54"/>
        <v>0</v>
      </c>
      <c r="AF201" s="49">
        <f t="shared" si="64"/>
        <v>0</v>
      </c>
      <c r="AI201" s="109">
        <f t="shared" si="67"/>
        <v>0</v>
      </c>
      <c r="AL201" s="27">
        <f t="shared" si="66"/>
        <v>0</v>
      </c>
      <c r="AP201" s="106">
        <f t="shared" si="65"/>
        <v>0</v>
      </c>
      <c r="AS201" s="118" t="e">
        <f t="shared" si="58"/>
        <v>#DIV/0!</v>
      </c>
      <c r="AT201" s="118" t="e">
        <f t="shared" si="59"/>
        <v>#DIV/0!</v>
      </c>
      <c r="BB201" s="106">
        <f t="shared" si="72"/>
        <v>0</v>
      </c>
      <c r="BD201" s="50"/>
      <c r="BF201" s="106">
        <f t="shared" si="73"/>
        <v>0</v>
      </c>
      <c r="BG201" s="23"/>
      <c r="BH201" s="23"/>
      <c r="BL201" s="114">
        <f t="shared" si="63"/>
        <v>0</v>
      </c>
    </row>
    <row r="202" spans="1:64" x14ac:dyDescent="0.2">
      <c r="A202" s="13" t="str">
        <f t="shared" si="68"/>
        <v>2017Q1</v>
      </c>
      <c r="B202" s="11">
        <f t="shared" si="55"/>
        <v>2017</v>
      </c>
      <c r="C202" s="11" t="s">
        <v>1</v>
      </c>
      <c r="F202" s="87">
        <f t="shared" si="69"/>
        <v>0</v>
      </c>
      <c r="I202" s="93">
        <f t="shared" si="42"/>
        <v>0</v>
      </c>
      <c r="J202" s="95" t="e">
        <f t="shared" si="61"/>
        <v>#DIV/0!</v>
      </c>
      <c r="K202" s="95" t="e">
        <f t="shared" si="62"/>
        <v>#DIV/0!</v>
      </c>
      <c r="T202" s="96" t="e">
        <f t="shared" si="56"/>
        <v>#DIV/0!</v>
      </c>
      <c r="V202" s="96" t="e">
        <f t="shared" si="57"/>
        <v>#DIV/0!</v>
      </c>
      <c r="X202" s="96" t="e">
        <f t="shared" si="70"/>
        <v>#DIV/0!</v>
      </c>
      <c r="Z202" s="96" t="e">
        <f t="shared" si="71"/>
        <v>#DIV/0!</v>
      </c>
      <c r="AC202" s="105">
        <f t="shared" si="54"/>
        <v>0</v>
      </c>
      <c r="AF202" s="49">
        <f t="shared" si="64"/>
        <v>0</v>
      </c>
      <c r="AI202" s="109">
        <f t="shared" si="67"/>
        <v>0</v>
      </c>
      <c r="AL202" s="27">
        <f t="shared" si="66"/>
        <v>0</v>
      </c>
      <c r="AP202" s="106">
        <f t="shared" si="65"/>
        <v>0</v>
      </c>
      <c r="AS202" s="118" t="e">
        <f t="shared" si="58"/>
        <v>#DIV/0!</v>
      </c>
      <c r="AT202" s="118" t="e">
        <f t="shared" si="59"/>
        <v>#DIV/0!</v>
      </c>
      <c r="BB202" s="106">
        <f t="shared" si="72"/>
        <v>0</v>
      </c>
      <c r="BD202" s="50"/>
      <c r="BF202" s="106">
        <f t="shared" si="73"/>
        <v>0</v>
      </c>
      <c r="BG202" s="23"/>
      <c r="BH202" s="23"/>
      <c r="BL202" s="114">
        <f t="shared" si="63"/>
        <v>0</v>
      </c>
    </row>
    <row r="203" spans="1:64" x14ac:dyDescent="0.2">
      <c r="A203" s="13" t="str">
        <f t="shared" si="68"/>
        <v>2017Q2</v>
      </c>
      <c r="B203" s="11">
        <f t="shared" si="55"/>
        <v>2017</v>
      </c>
      <c r="C203" s="11" t="s">
        <v>2</v>
      </c>
      <c r="F203" s="87">
        <f t="shared" si="69"/>
        <v>0</v>
      </c>
      <c r="I203" s="93">
        <f t="shared" si="42"/>
        <v>0</v>
      </c>
      <c r="J203" s="95" t="e">
        <f t="shared" si="61"/>
        <v>#DIV/0!</v>
      </c>
      <c r="K203" s="95" t="e">
        <f t="shared" si="62"/>
        <v>#DIV/0!</v>
      </c>
      <c r="T203" s="96" t="e">
        <f t="shared" si="56"/>
        <v>#DIV/0!</v>
      </c>
      <c r="V203" s="96" t="e">
        <f t="shared" si="57"/>
        <v>#DIV/0!</v>
      </c>
      <c r="X203" s="96" t="e">
        <f t="shared" si="70"/>
        <v>#DIV/0!</v>
      </c>
      <c r="Z203" s="96" t="e">
        <f t="shared" si="71"/>
        <v>#DIV/0!</v>
      </c>
      <c r="AC203" s="105">
        <f t="shared" ref="AC203:AC234" si="74">IF(AA203=":",Q203+AB203,Q203++R203+AA203+AB203)</f>
        <v>0</v>
      </c>
      <c r="AF203" s="49">
        <f t="shared" si="64"/>
        <v>0</v>
      </c>
      <c r="AI203" s="109">
        <f t="shared" si="67"/>
        <v>0</v>
      </c>
      <c r="AL203" s="27">
        <f t="shared" si="66"/>
        <v>0</v>
      </c>
      <c r="AP203" s="106">
        <f t="shared" si="65"/>
        <v>0</v>
      </c>
      <c r="AS203" s="118" t="e">
        <f t="shared" si="58"/>
        <v>#DIV/0!</v>
      </c>
      <c r="AT203" s="118" t="e">
        <f t="shared" si="59"/>
        <v>#DIV/0!</v>
      </c>
      <c r="BB203" s="106">
        <f t="shared" si="72"/>
        <v>0</v>
      </c>
      <c r="BD203" s="50"/>
      <c r="BF203" s="106">
        <f t="shared" si="73"/>
        <v>0</v>
      </c>
      <c r="BG203" s="23"/>
      <c r="BH203" s="23"/>
      <c r="BL203" s="114">
        <f t="shared" si="63"/>
        <v>0</v>
      </c>
    </row>
    <row r="204" spans="1:64" x14ac:dyDescent="0.2">
      <c r="A204" s="13" t="str">
        <f t="shared" si="68"/>
        <v>2017Q3</v>
      </c>
      <c r="B204" s="11">
        <f t="shared" si="55"/>
        <v>2017</v>
      </c>
      <c r="C204" s="11" t="s">
        <v>3</v>
      </c>
      <c r="F204" s="87">
        <f t="shared" si="69"/>
        <v>0</v>
      </c>
      <c r="I204" s="93">
        <f t="shared" si="42"/>
        <v>0</v>
      </c>
      <c r="J204" s="95" t="e">
        <f t="shared" si="61"/>
        <v>#DIV/0!</v>
      </c>
      <c r="K204" s="95" t="e">
        <f t="shared" si="62"/>
        <v>#DIV/0!</v>
      </c>
      <c r="T204" s="96" t="e">
        <f t="shared" si="56"/>
        <v>#DIV/0!</v>
      </c>
      <c r="V204" s="96" t="e">
        <f t="shared" si="57"/>
        <v>#DIV/0!</v>
      </c>
      <c r="X204" s="96" t="e">
        <f t="shared" si="70"/>
        <v>#DIV/0!</v>
      </c>
      <c r="Z204" s="96" t="e">
        <f t="shared" si="71"/>
        <v>#DIV/0!</v>
      </c>
      <c r="AC204" s="105">
        <f t="shared" si="74"/>
        <v>0</v>
      </c>
      <c r="AF204" s="49">
        <f t="shared" si="64"/>
        <v>0</v>
      </c>
      <c r="AI204" s="109">
        <f t="shared" si="67"/>
        <v>0</v>
      </c>
      <c r="AL204" s="27">
        <f t="shared" si="66"/>
        <v>0</v>
      </c>
      <c r="AP204" s="106">
        <f t="shared" si="65"/>
        <v>0</v>
      </c>
      <c r="AS204" s="118" t="e">
        <f t="shared" si="58"/>
        <v>#DIV/0!</v>
      </c>
      <c r="AT204" s="118" t="e">
        <f t="shared" si="59"/>
        <v>#DIV/0!</v>
      </c>
      <c r="BB204" s="106">
        <f t="shared" si="72"/>
        <v>0</v>
      </c>
      <c r="BD204" s="50"/>
      <c r="BF204" s="106">
        <f t="shared" si="73"/>
        <v>0</v>
      </c>
      <c r="BG204" s="23"/>
      <c r="BH204" s="23"/>
      <c r="BL204" s="114">
        <f t="shared" si="63"/>
        <v>0</v>
      </c>
    </row>
    <row r="205" spans="1:64" x14ac:dyDescent="0.2">
      <c r="A205" s="13" t="str">
        <f t="shared" si="68"/>
        <v>2017Q4</v>
      </c>
      <c r="B205" s="11">
        <f t="shared" si="55"/>
        <v>2017</v>
      </c>
      <c r="C205" s="11" t="s">
        <v>4</v>
      </c>
      <c r="F205" s="87">
        <f t="shared" si="69"/>
        <v>0</v>
      </c>
      <c r="I205" s="93">
        <f t="shared" si="42"/>
        <v>0</v>
      </c>
      <c r="J205" s="95" t="e">
        <f t="shared" si="61"/>
        <v>#DIV/0!</v>
      </c>
      <c r="K205" s="95" t="e">
        <f t="shared" si="62"/>
        <v>#DIV/0!</v>
      </c>
      <c r="T205" s="96" t="e">
        <f t="shared" si="56"/>
        <v>#DIV/0!</v>
      </c>
      <c r="V205" s="96" t="e">
        <f t="shared" si="57"/>
        <v>#DIV/0!</v>
      </c>
      <c r="X205" s="96" t="e">
        <f t="shared" si="70"/>
        <v>#DIV/0!</v>
      </c>
      <c r="Z205" s="96" t="e">
        <f t="shared" si="71"/>
        <v>#DIV/0!</v>
      </c>
      <c r="AC205" s="105">
        <f t="shared" si="74"/>
        <v>0</v>
      </c>
      <c r="AF205" s="49">
        <f t="shared" si="64"/>
        <v>0</v>
      </c>
      <c r="AI205" s="109">
        <f t="shared" si="67"/>
        <v>0</v>
      </c>
      <c r="AL205" s="27">
        <f t="shared" si="66"/>
        <v>0</v>
      </c>
      <c r="AP205" s="106">
        <f t="shared" si="65"/>
        <v>0</v>
      </c>
      <c r="AS205" s="118" t="e">
        <f t="shared" si="58"/>
        <v>#DIV/0!</v>
      </c>
      <c r="AT205" s="118" t="e">
        <f t="shared" si="59"/>
        <v>#DIV/0!</v>
      </c>
      <c r="BB205" s="106">
        <f t="shared" si="72"/>
        <v>0</v>
      </c>
      <c r="BD205" s="50"/>
      <c r="BF205" s="106">
        <f t="shared" si="73"/>
        <v>0</v>
      </c>
      <c r="BG205" s="23"/>
      <c r="BH205" s="23"/>
      <c r="BL205" s="114">
        <f t="shared" si="63"/>
        <v>0</v>
      </c>
    </row>
    <row r="206" spans="1:64" x14ac:dyDescent="0.2">
      <c r="A206" s="13" t="str">
        <f t="shared" si="68"/>
        <v>2018Q1</v>
      </c>
      <c r="B206" s="11">
        <f t="shared" ref="B206:B237" si="75">B202+1</f>
        <v>2018</v>
      </c>
      <c r="C206" s="11" t="s">
        <v>1</v>
      </c>
      <c r="F206" s="87">
        <f t="shared" si="69"/>
        <v>0</v>
      </c>
      <c r="I206" s="93">
        <f t="shared" ref="I206:I269" si="76">H206-G206</f>
        <v>0</v>
      </c>
      <c r="J206" s="95" t="e">
        <f t="shared" si="61"/>
        <v>#DIV/0!</v>
      </c>
      <c r="K206" s="95" t="e">
        <f t="shared" si="62"/>
        <v>#DIV/0!</v>
      </c>
      <c r="T206" s="96" t="e">
        <f t="shared" ref="T206:T237" si="77">S206/$Q206*100</f>
        <v>#DIV/0!</v>
      </c>
      <c r="V206" s="96" t="e">
        <f t="shared" ref="V206:V237" si="78">U206/$Q206*100</f>
        <v>#DIV/0!</v>
      </c>
      <c r="X206" s="96" t="e">
        <f t="shared" si="70"/>
        <v>#DIV/0!</v>
      </c>
      <c r="Z206" s="96" t="e">
        <f t="shared" si="71"/>
        <v>#DIV/0!</v>
      </c>
      <c r="AC206" s="105">
        <f t="shared" si="74"/>
        <v>0</v>
      </c>
      <c r="AF206" s="49">
        <f t="shared" si="64"/>
        <v>0</v>
      </c>
      <c r="AI206" s="109">
        <f t="shared" si="67"/>
        <v>0</v>
      </c>
      <c r="AL206" s="27">
        <f t="shared" si="66"/>
        <v>0</v>
      </c>
      <c r="AP206" s="106">
        <f t="shared" si="65"/>
        <v>0</v>
      </c>
      <c r="AS206" s="118" t="e">
        <f t="shared" ref="AS206:AS237" si="79">4*(SUM($AP203:$AP206)/SUM(AQ203:AQ206))*100</f>
        <v>#DIV/0!</v>
      </c>
      <c r="AT206" s="118" t="e">
        <f t="shared" ref="AT206:AT237" si="80">4*(SUM($AP203:$AP206)/SUM(AR203:AR206))*100</f>
        <v>#DIV/0!</v>
      </c>
      <c r="BB206" s="106">
        <f t="shared" si="72"/>
        <v>0</v>
      </c>
      <c r="BD206" s="50"/>
      <c r="BF206" s="106">
        <f t="shared" si="73"/>
        <v>0</v>
      </c>
      <c r="BG206" s="23"/>
      <c r="BH206" s="23"/>
      <c r="BL206" s="114">
        <f t="shared" si="63"/>
        <v>0</v>
      </c>
    </row>
    <row r="207" spans="1:64" x14ac:dyDescent="0.2">
      <c r="A207" s="13" t="str">
        <f t="shared" si="68"/>
        <v>2018Q2</v>
      </c>
      <c r="B207" s="11">
        <f t="shared" si="75"/>
        <v>2018</v>
      </c>
      <c r="C207" s="11" t="s">
        <v>2</v>
      </c>
      <c r="F207" s="87">
        <f t="shared" si="69"/>
        <v>0</v>
      </c>
      <c r="I207" s="93">
        <f t="shared" si="76"/>
        <v>0</v>
      </c>
      <c r="J207" s="95" t="e">
        <f t="shared" si="61"/>
        <v>#DIV/0!</v>
      </c>
      <c r="K207" s="95" t="e">
        <f t="shared" si="62"/>
        <v>#DIV/0!</v>
      </c>
      <c r="T207" s="96" t="e">
        <f t="shared" si="77"/>
        <v>#DIV/0!</v>
      </c>
      <c r="V207" s="96" t="e">
        <f t="shared" si="78"/>
        <v>#DIV/0!</v>
      </c>
      <c r="X207" s="96" t="e">
        <f t="shared" si="70"/>
        <v>#DIV/0!</v>
      </c>
      <c r="Z207" s="96" t="e">
        <f t="shared" si="71"/>
        <v>#DIV/0!</v>
      </c>
      <c r="AC207" s="105">
        <f t="shared" si="74"/>
        <v>0</v>
      </c>
      <c r="AF207" s="49">
        <f t="shared" si="64"/>
        <v>0</v>
      </c>
      <c r="AI207" s="109">
        <f t="shared" si="67"/>
        <v>0</v>
      </c>
      <c r="AL207" s="27">
        <f t="shared" si="66"/>
        <v>0</v>
      </c>
      <c r="AP207" s="106">
        <f t="shared" si="65"/>
        <v>0</v>
      </c>
      <c r="AS207" s="118" t="e">
        <f t="shared" si="79"/>
        <v>#DIV/0!</v>
      </c>
      <c r="AT207" s="118" t="e">
        <f t="shared" si="80"/>
        <v>#DIV/0!</v>
      </c>
      <c r="BB207" s="106">
        <f t="shared" si="72"/>
        <v>0</v>
      </c>
      <c r="BD207" s="50"/>
      <c r="BF207" s="106">
        <f t="shared" si="73"/>
        <v>0</v>
      </c>
      <c r="BG207" s="23"/>
      <c r="BH207" s="23"/>
      <c r="BL207" s="114">
        <f t="shared" si="63"/>
        <v>0</v>
      </c>
    </row>
    <row r="208" spans="1:64" x14ac:dyDescent="0.2">
      <c r="A208" s="13" t="str">
        <f t="shared" si="68"/>
        <v>2018Q3</v>
      </c>
      <c r="B208" s="11">
        <f t="shared" si="75"/>
        <v>2018</v>
      </c>
      <c r="C208" s="11" t="s">
        <v>3</v>
      </c>
      <c r="F208" s="87">
        <f t="shared" si="69"/>
        <v>0</v>
      </c>
      <c r="I208" s="93">
        <f t="shared" si="76"/>
        <v>0</v>
      </c>
      <c r="J208" s="95" t="e">
        <f t="shared" si="61"/>
        <v>#DIV/0!</v>
      </c>
      <c r="K208" s="95" t="e">
        <f t="shared" si="62"/>
        <v>#DIV/0!</v>
      </c>
      <c r="T208" s="96" t="e">
        <f t="shared" si="77"/>
        <v>#DIV/0!</v>
      </c>
      <c r="V208" s="96" t="e">
        <f t="shared" si="78"/>
        <v>#DIV/0!</v>
      </c>
      <c r="X208" s="96" t="e">
        <f t="shared" si="70"/>
        <v>#DIV/0!</v>
      </c>
      <c r="Z208" s="96" t="e">
        <f t="shared" si="71"/>
        <v>#DIV/0!</v>
      </c>
      <c r="AC208" s="105">
        <f t="shared" si="74"/>
        <v>0</v>
      </c>
      <c r="AF208" s="49">
        <f t="shared" si="64"/>
        <v>0</v>
      </c>
      <c r="AI208" s="109">
        <f t="shared" si="67"/>
        <v>0</v>
      </c>
      <c r="AL208" s="27">
        <f t="shared" si="66"/>
        <v>0</v>
      </c>
      <c r="AP208" s="106">
        <f t="shared" si="65"/>
        <v>0</v>
      </c>
      <c r="AS208" s="118" t="e">
        <f t="shared" si="79"/>
        <v>#DIV/0!</v>
      </c>
      <c r="AT208" s="118" t="e">
        <f t="shared" si="80"/>
        <v>#DIV/0!</v>
      </c>
      <c r="BB208" s="106">
        <f t="shared" si="72"/>
        <v>0</v>
      </c>
      <c r="BD208" s="50"/>
      <c r="BF208" s="106">
        <f t="shared" si="73"/>
        <v>0</v>
      </c>
      <c r="BG208" s="23"/>
      <c r="BH208" s="23"/>
      <c r="BL208" s="114">
        <f t="shared" si="63"/>
        <v>0</v>
      </c>
    </row>
    <row r="209" spans="1:64" x14ac:dyDescent="0.2">
      <c r="A209" s="13" t="str">
        <f t="shared" si="68"/>
        <v>2018Q4</v>
      </c>
      <c r="B209" s="11">
        <f t="shared" si="75"/>
        <v>2018</v>
      </c>
      <c r="C209" s="11" t="s">
        <v>4</v>
      </c>
      <c r="F209" s="87">
        <f t="shared" si="69"/>
        <v>0</v>
      </c>
      <c r="I209" s="93">
        <f t="shared" si="76"/>
        <v>0</v>
      </c>
      <c r="J209" s="95" t="e">
        <f t="shared" si="61"/>
        <v>#DIV/0!</v>
      </c>
      <c r="K209" s="95" t="e">
        <f t="shared" si="62"/>
        <v>#DIV/0!</v>
      </c>
      <c r="T209" s="96" t="e">
        <f t="shared" si="77"/>
        <v>#DIV/0!</v>
      </c>
      <c r="V209" s="96" t="e">
        <f t="shared" si="78"/>
        <v>#DIV/0!</v>
      </c>
      <c r="X209" s="96" t="e">
        <f t="shared" si="70"/>
        <v>#DIV/0!</v>
      </c>
      <c r="Z209" s="96" t="e">
        <f t="shared" si="71"/>
        <v>#DIV/0!</v>
      </c>
      <c r="AC209" s="105">
        <f t="shared" si="74"/>
        <v>0</v>
      </c>
      <c r="AF209" s="49">
        <f t="shared" si="64"/>
        <v>0</v>
      </c>
      <c r="AI209" s="109">
        <f t="shared" si="67"/>
        <v>0</v>
      </c>
      <c r="AL209" s="27">
        <f t="shared" si="66"/>
        <v>0</v>
      </c>
      <c r="AP209" s="106">
        <f t="shared" si="65"/>
        <v>0</v>
      </c>
      <c r="AS209" s="118" t="e">
        <f t="shared" si="79"/>
        <v>#DIV/0!</v>
      </c>
      <c r="AT209" s="118" t="e">
        <f t="shared" si="80"/>
        <v>#DIV/0!</v>
      </c>
      <c r="BB209" s="106">
        <f t="shared" si="72"/>
        <v>0</v>
      </c>
      <c r="BD209" s="50"/>
      <c r="BF209" s="106">
        <f t="shared" si="73"/>
        <v>0</v>
      </c>
      <c r="BG209" s="23"/>
      <c r="BH209" s="23"/>
      <c r="BL209" s="114">
        <f t="shared" si="63"/>
        <v>0</v>
      </c>
    </row>
    <row r="210" spans="1:64" x14ac:dyDescent="0.2">
      <c r="A210" s="13" t="str">
        <f t="shared" si="68"/>
        <v>2019Q1</v>
      </c>
      <c r="B210" s="11">
        <f t="shared" si="75"/>
        <v>2019</v>
      </c>
      <c r="C210" s="11" t="s">
        <v>1</v>
      </c>
      <c r="F210" s="87">
        <f t="shared" si="69"/>
        <v>0</v>
      </c>
      <c r="I210" s="93">
        <f t="shared" si="76"/>
        <v>0</v>
      </c>
      <c r="J210" s="95" t="e">
        <f t="shared" si="61"/>
        <v>#DIV/0!</v>
      </c>
      <c r="K210" s="95" t="e">
        <f t="shared" si="62"/>
        <v>#DIV/0!</v>
      </c>
      <c r="T210" s="96" t="e">
        <f t="shared" si="77"/>
        <v>#DIV/0!</v>
      </c>
      <c r="V210" s="96" t="e">
        <f t="shared" si="78"/>
        <v>#DIV/0!</v>
      </c>
      <c r="X210" s="96" t="e">
        <f t="shared" si="70"/>
        <v>#DIV/0!</v>
      </c>
      <c r="Z210" s="96" t="e">
        <f t="shared" si="71"/>
        <v>#DIV/0!</v>
      </c>
      <c r="AC210" s="105">
        <f t="shared" si="74"/>
        <v>0</v>
      </c>
      <c r="AF210" s="49">
        <f t="shared" si="64"/>
        <v>0</v>
      </c>
      <c r="AI210" s="109">
        <f t="shared" si="67"/>
        <v>0</v>
      </c>
      <c r="AL210" s="27">
        <f t="shared" si="66"/>
        <v>0</v>
      </c>
      <c r="AP210" s="106">
        <f t="shared" si="65"/>
        <v>0</v>
      </c>
      <c r="AS210" s="118" t="e">
        <f t="shared" si="79"/>
        <v>#DIV/0!</v>
      </c>
      <c r="AT210" s="118" t="e">
        <f t="shared" si="80"/>
        <v>#DIV/0!</v>
      </c>
      <c r="BB210" s="106">
        <f t="shared" si="72"/>
        <v>0</v>
      </c>
      <c r="BD210" s="50"/>
      <c r="BF210" s="106">
        <f t="shared" si="73"/>
        <v>0</v>
      </c>
      <c r="BG210" s="23"/>
      <c r="BH210" s="23"/>
      <c r="BL210" s="114">
        <f t="shared" si="63"/>
        <v>0</v>
      </c>
    </row>
    <row r="211" spans="1:64" x14ac:dyDescent="0.2">
      <c r="A211" s="13" t="str">
        <f t="shared" si="68"/>
        <v>2019Q2</v>
      </c>
      <c r="B211" s="11">
        <f t="shared" si="75"/>
        <v>2019</v>
      </c>
      <c r="C211" s="11" t="s">
        <v>2</v>
      </c>
      <c r="F211" s="87">
        <f t="shared" si="69"/>
        <v>0</v>
      </c>
      <c r="I211" s="93">
        <f t="shared" si="76"/>
        <v>0</v>
      </c>
      <c r="J211" s="95" t="e">
        <f t="shared" si="61"/>
        <v>#DIV/0!</v>
      </c>
      <c r="K211" s="95" t="e">
        <f t="shared" si="62"/>
        <v>#DIV/0!</v>
      </c>
      <c r="T211" s="96" t="e">
        <f t="shared" si="77"/>
        <v>#DIV/0!</v>
      </c>
      <c r="V211" s="96" t="e">
        <f t="shared" si="78"/>
        <v>#DIV/0!</v>
      </c>
      <c r="X211" s="96" t="e">
        <f t="shared" si="70"/>
        <v>#DIV/0!</v>
      </c>
      <c r="Z211" s="96" t="e">
        <f t="shared" si="71"/>
        <v>#DIV/0!</v>
      </c>
      <c r="AC211" s="105">
        <f t="shared" si="74"/>
        <v>0</v>
      </c>
      <c r="AF211" s="49">
        <f t="shared" si="64"/>
        <v>0</v>
      </c>
      <c r="AI211" s="109">
        <f t="shared" si="67"/>
        <v>0</v>
      </c>
      <c r="AL211" s="27">
        <f t="shared" si="66"/>
        <v>0</v>
      </c>
      <c r="AP211" s="106">
        <f t="shared" si="65"/>
        <v>0</v>
      </c>
      <c r="AS211" s="118" t="e">
        <f t="shared" si="79"/>
        <v>#DIV/0!</v>
      </c>
      <c r="AT211" s="118" t="e">
        <f t="shared" si="80"/>
        <v>#DIV/0!</v>
      </c>
      <c r="BB211" s="106">
        <f t="shared" si="72"/>
        <v>0</v>
      </c>
      <c r="BD211" s="50"/>
      <c r="BF211" s="106">
        <f t="shared" si="73"/>
        <v>0</v>
      </c>
      <c r="BG211" s="23"/>
      <c r="BH211" s="23"/>
      <c r="BL211" s="114">
        <f t="shared" si="63"/>
        <v>0</v>
      </c>
    </row>
    <row r="212" spans="1:64" x14ac:dyDescent="0.2">
      <c r="A212" s="13" t="str">
        <f t="shared" si="68"/>
        <v>2019Q3</v>
      </c>
      <c r="B212" s="11">
        <f t="shared" si="75"/>
        <v>2019</v>
      </c>
      <c r="C212" s="11" t="s">
        <v>3</v>
      </c>
      <c r="F212" s="87">
        <f t="shared" si="69"/>
        <v>0</v>
      </c>
      <c r="I212" s="93">
        <f t="shared" si="76"/>
        <v>0</v>
      </c>
      <c r="J212" s="95" t="e">
        <f t="shared" ref="J212:J243" si="81">SUM(F209:F212,O209:O212)/AVERAGE(G209:G212)*100</f>
        <v>#DIV/0!</v>
      </c>
      <c r="K212" s="95" t="e">
        <f t="shared" ref="K212:K243" si="82">SUM(F209:F212,O209:O212)/AVERAGE(H209:H212)*100</f>
        <v>#DIV/0!</v>
      </c>
      <c r="T212" s="96" t="e">
        <f t="shared" si="77"/>
        <v>#DIV/0!</v>
      </c>
      <c r="V212" s="96" t="e">
        <f t="shared" si="78"/>
        <v>#DIV/0!</v>
      </c>
      <c r="X212" s="96" t="e">
        <f t="shared" si="70"/>
        <v>#DIV/0!</v>
      </c>
      <c r="Z212" s="96" t="e">
        <f t="shared" si="71"/>
        <v>#DIV/0!</v>
      </c>
      <c r="AC212" s="105">
        <f t="shared" si="74"/>
        <v>0</v>
      </c>
      <c r="AF212" s="49">
        <f t="shared" si="64"/>
        <v>0</v>
      </c>
      <c r="AI212" s="109">
        <f t="shared" si="67"/>
        <v>0</v>
      </c>
      <c r="AL212" s="27">
        <f t="shared" si="66"/>
        <v>0</v>
      </c>
      <c r="AP212" s="106">
        <f t="shared" si="65"/>
        <v>0</v>
      </c>
      <c r="AS212" s="118" t="e">
        <f t="shared" si="79"/>
        <v>#DIV/0!</v>
      </c>
      <c r="AT212" s="118" t="e">
        <f t="shared" si="80"/>
        <v>#DIV/0!</v>
      </c>
      <c r="BB212" s="106">
        <f t="shared" si="72"/>
        <v>0</v>
      </c>
      <c r="BD212" s="50"/>
      <c r="BF212" s="106">
        <f t="shared" si="73"/>
        <v>0</v>
      </c>
      <c r="BG212" s="23"/>
      <c r="BH212" s="23"/>
      <c r="BL212" s="114">
        <f t="shared" ref="BL212:BL243" si="83">BI212+BJ212+BK212</f>
        <v>0</v>
      </c>
    </row>
    <row r="213" spans="1:64" x14ac:dyDescent="0.2">
      <c r="A213" s="13" t="str">
        <f t="shared" si="68"/>
        <v>2019Q4</v>
      </c>
      <c r="B213" s="11">
        <f t="shared" si="75"/>
        <v>2019</v>
      </c>
      <c r="C213" s="11" t="s">
        <v>4</v>
      </c>
      <c r="F213" s="87">
        <f t="shared" si="69"/>
        <v>0</v>
      </c>
      <c r="I213" s="93">
        <f t="shared" si="76"/>
        <v>0</v>
      </c>
      <c r="J213" s="95" t="e">
        <f t="shared" si="81"/>
        <v>#DIV/0!</v>
      </c>
      <c r="K213" s="95" t="e">
        <f t="shared" si="82"/>
        <v>#DIV/0!</v>
      </c>
      <c r="T213" s="96" t="e">
        <f t="shared" si="77"/>
        <v>#DIV/0!</v>
      </c>
      <c r="V213" s="96" t="e">
        <f t="shared" si="78"/>
        <v>#DIV/0!</v>
      </c>
      <c r="X213" s="96" t="e">
        <f t="shared" si="70"/>
        <v>#DIV/0!</v>
      </c>
      <c r="Z213" s="96" t="e">
        <f t="shared" si="71"/>
        <v>#DIV/0!</v>
      </c>
      <c r="AC213" s="105">
        <f t="shared" si="74"/>
        <v>0</v>
      </c>
      <c r="AF213" s="49">
        <f t="shared" si="64"/>
        <v>0</v>
      </c>
      <c r="AI213" s="109">
        <f t="shared" si="67"/>
        <v>0</v>
      </c>
      <c r="AL213" s="27">
        <f t="shared" si="66"/>
        <v>0</v>
      </c>
      <c r="AP213" s="106">
        <f t="shared" si="65"/>
        <v>0</v>
      </c>
      <c r="AS213" s="118" t="e">
        <f t="shared" si="79"/>
        <v>#DIV/0!</v>
      </c>
      <c r="AT213" s="118" t="e">
        <f t="shared" si="80"/>
        <v>#DIV/0!</v>
      </c>
      <c r="BB213" s="106">
        <f t="shared" si="72"/>
        <v>0</v>
      </c>
      <c r="BD213" s="50"/>
      <c r="BF213" s="106">
        <f t="shared" si="73"/>
        <v>0</v>
      </c>
      <c r="BG213" s="23"/>
      <c r="BH213" s="23"/>
      <c r="BL213" s="114">
        <f t="shared" si="83"/>
        <v>0</v>
      </c>
    </row>
    <row r="214" spans="1:64" x14ac:dyDescent="0.2">
      <c r="A214" s="13" t="str">
        <f t="shared" si="68"/>
        <v>2020Q1</v>
      </c>
      <c r="B214" s="11">
        <f t="shared" si="75"/>
        <v>2020</v>
      </c>
      <c r="C214" s="11" t="s">
        <v>1</v>
      </c>
      <c r="F214" s="87">
        <f t="shared" si="69"/>
        <v>0</v>
      </c>
      <c r="I214" s="93">
        <f t="shared" si="76"/>
        <v>0</v>
      </c>
      <c r="J214" s="95" t="e">
        <f t="shared" si="81"/>
        <v>#DIV/0!</v>
      </c>
      <c r="K214" s="95" t="e">
        <f t="shared" si="82"/>
        <v>#DIV/0!</v>
      </c>
      <c r="T214" s="96" t="e">
        <f t="shared" si="77"/>
        <v>#DIV/0!</v>
      </c>
      <c r="V214" s="96" t="e">
        <f t="shared" si="78"/>
        <v>#DIV/0!</v>
      </c>
      <c r="X214" s="96" t="e">
        <f t="shared" si="70"/>
        <v>#DIV/0!</v>
      </c>
      <c r="Z214" s="96" t="e">
        <f t="shared" si="71"/>
        <v>#DIV/0!</v>
      </c>
      <c r="AC214" s="105">
        <f t="shared" si="74"/>
        <v>0</v>
      </c>
      <c r="AF214" s="49">
        <f t="shared" ref="AF214:AF245" si="84">AD214+AE214</f>
        <v>0</v>
      </c>
      <c r="AI214" s="109">
        <f t="shared" si="67"/>
        <v>0</v>
      </c>
      <c r="AL214" s="27">
        <f t="shared" si="66"/>
        <v>0</v>
      </c>
      <c r="AP214" s="106">
        <f t="shared" si="65"/>
        <v>0</v>
      </c>
      <c r="AS214" s="118" t="e">
        <f t="shared" si="79"/>
        <v>#DIV/0!</v>
      </c>
      <c r="AT214" s="118" t="e">
        <f t="shared" si="80"/>
        <v>#DIV/0!</v>
      </c>
      <c r="BB214" s="106">
        <f t="shared" si="72"/>
        <v>0</v>
      </c>
      <c r="BD214" s="50"/>
      <c r="BF214" s="106">
        <f t="shared" si="73"/>
        <v>0</v>
      </c>
      <c r="BG214" s="23"/>
      <c r="BH214" s="23"/>
      <c r="BL214" s="114">
        <f t="shared" si="83"/>
        <v>0</v>
      </c>
    </row>
    <row r="215" spans="1:64" x14ac:dyDescent="0.2">
      <c r="A215" s="13" t="str">
        <f t="shared" si="68"/>
        <v>2020Q2</v>
      </c>
      <c r="B215" s="11">
        <f t="shared" si="75"/>
        <v>2020</v>
      </c>
      <c r="C215" s="11" t="s">
        <v>2</v>
      </c>
      <c r="F215" s="87">
        <f t="shared" si="69"/>
        <v>0</v>
      </c>
      <c r="I215" s="93">
        <f t="shared" si="76"/>
        <v>0</v>
      </c>
      <c r="J215" s="95" t="e">
        <f t="shared" si="81"/>
        <v>#DIV/0!</v>
      </c>
      <c r="K215" s="95" t="e">
        <f t="shared" si="82"/>
        <v>#DIV/0!</v>
      </c>
      <c r="T215" s="96" t="e">
        <f t="shared" si="77"/>
        <v>#DIV/0!</v>
      </c>
      <c r="V215" s="96" t="e">
        <f t="shared" si="78"/>
        <v>#DIV/0!</v>
      </c>
      <c r="X215" s="96" t="e">
        <f t="shared" si="70"/>
        <v>#DIV/0!</v>
      </c>
      <c r="Z215" s="96" t="e">
        <f t="shared" si="71"/>
        <v>#DIV/0!</v>
      </c>
      <c r="AC215" s="105">
        <f t="shared" si="74"/>
        <v>0</v>
      </c>
      <c r="AF215" s="49">
        <f t="shared" si="84"/>
        <v>0</v>
      </c>
      <c r="AI215" s="109">
        <f t="shared" si="67"/>
        <v>0</v>
      </c>
      <c r="AL215" s="27">
        <f t="shared" si="66"/>
        <v>0</v>
      </c>
      <c r="AP215" s="106">
        <f t="shared" si="65"/>
        <v>0</v>
      </c>
      <c r="AS215" s="118" t="e">
        <f t="shared" si="79"/>
        <v>#DIV/0!</v>
      </c>
      <c r="AT215" s="118" t="e">
        <f t="shared" si="80"/>
        <v>#DIV/0!</v>
      </c>
      <c r="BB215" s="106">
        <f t="shared" si="72"/>
        <v>0</v>
      </c>
      <c r="BD215" s="50"/>
      <c r="BF215" s="106">
        <f t="shared" si="73"/>
        <v>0</v>
      </c>
      <c r="BG215" s="23"/>
      <c r="BH215" s="23"/>
      <c r="BL215" s="114">
        <f t="shared" si="83"/>
        <v>0</v>
      </c>
    </row>
    <row r="216" spans="1:64" x14ac:dyDescent="0.2">
      <c r="A216" s="13" t="str">
        <f t="shared" si="68"/>
        <v>2020Q3</v>
      </c>
      <c r="B216" s="11">
        <f t="shared" si="75"/>
        <v>2020</v>
      </c>
      <c r="C216" s="11" t="s">
        <v>3</v>
      </c>
      <c r="F216" s="87">
        <f t="shared" si="69"/>
        <v>0</v>
      </c>
      <c r="I216" s="93">
        <f t="shared" si="76"/>
        <v>0</v>
      </c>
      <c r="J216" s="95" t="e">
        <f t="shared" si="81"/>
        <v>#DIV/0!</v>
      </c>
      <c r="K216" s="95" t="e">
        <f t="shared" si="82"/>
        <v>#DIV/0!</v>
      </c>
      <c r="T216" s="96" t="e">
        <f t="shared" si="77"/>
        <v>#DIV/0!</v>
      </c>
      <c r="V216" s="96" t="e">
        <f t="shared" si="78"/>
        <v>#DIV/0!</v>
      </c>
      <c r="X216" s="96" t="e">
        <f t="shared" si="70"/>
        <v>#DIV/0!</v>
      </c>
      <c r="Z216" s="96" t="e">
        <f t="shared" si="71"/>
        <v>#DIV/0!</v>
      </c>
      <c r="AC216" s="105">
        <f t="shared" si="74"/>
        <v>0</v>
      </c>
      <c r="AF216" s="49">
        <f t="shared" si="84"/>
        <v>0</v>
      </c>
      <c r="AI216" s="109">
        <f t="shared" si="67"/>
        <v>0</v>
      </c>
      <c r="AL216" s="27">
        <f t="shared" si="66"/>
        <v>0</v>
      </c>
      <c r="AP216" s="106">
        <f t="shared" si="65"/>
        <v>0</v>
      </c>
      <c r="AS216" s="118" t="e">
        <f t="shared" si="79"/>
        <v>#DIV/0!</v>
      </c>
      <c r="AT216" s="118" t="e">
        <f t="shared" si="80"/>
        <v>#DIV/0!</v>
      </c>
      <c r="BB216" s="106">
        <f t="shared" si="72"/>
        <v>0</v>
      </c>
      <c r="BD216" s="50"/>
      <c r="BF216" s="106">
        <f t="shared" si="73"/>
        <v>0</v>
      </c>
      <c r="BG216" s="23"/>
      <c r="BH216" s="23"/>
      <c r="BL216" s="114">
        <f t="shared" si="83"/>
        <v>0</v>
      </c>
    </row>
    <row r="217" spans="1:64" x14ac:dyDescent="0.2">
      <c r="A217" s="13" t="str">
        <f t="shared" si="68"/>
        <v>2020Q4</v>
      </c>
      <c r="B217" s="11">
        <f t="shared" si="75"/>
        <v>2020</v>
      </c>
      <c r="C217" s="11" t="s">
        <v>4</v>
      </c>
      <c r="F217" s="87">
        <f t="shared" si="69"/>
        <v>0</v>
      </c>
      <c r="I217" s="93">
        <f t="shared" si="76"/>
        <v>0</v>
      </c>
      <c r="J217" s="95" t="e">
        <f t="shared" si="81"/>
        <v>#DIV/0!</v>
      </c>
      <c r="K217" s="95" t="e">
        <f t="shared" si="82"/>
        <v>#DIV/0!</v>
      </c>
      <c r="T217" s="96" t="e">
        <f t="shared" si="77"/>
        <v>#DIV/0!</v>
      </c>
      <c r="V217" s="96" t="e">
        <f t="shared" si="78"/>
        <v>#DIV/0!</v>
      </c>
      <c r="X217" s="96" t="e">
        <f t="shared" si="70"/>
        <v>#DIV/0!</v>
      </c>
      <c r="Z217" s="96" t="e">
        <f t="shared" si="71"/>
        <v>#DIV/0!</v>
      </c>
      <c r="AC217" s="105">
        <f t="shared" si="74"/>
        <v>0</v>
      </c>
      <c r="AF217" s="49">
        <f t="shared" si="84"/>
        <v>0</v>
      </c>
      <c r="AI217" s="109">
        <f t="shared" si="67"/>
        <v>0</v>
      </c>
      <c r="AL217" s="27">
        <f t="shared" si="66"/>
        <v>0</v>
      </c>
      <c r="AP217" s="106">
        <f t="shared" si="65"/>
        <v>0</v>
      </c>
      <c r="AS217" s="118" t="e">
        <f t="shared" si="79"/>
        <v>#DIV/0!</v>
      </c>
      <c r="AT217" s="118" t="e">
        <f t="shared" si="80"/>
        <v>#DIV/0!</v>
      </c>
      <c r="BB217" s="106">
        <f t="shared" si="72"/>
        <v>0</v>
      </c>
      <c r="BD217" s="50"/>
      <c r="BF217" s="106">
        <f t="shared" si="73"/>
        <v>0</v>
      </c>
      <c r="BG217" s="23"/>
      <c r="BH217" s="23"/>
      <c r="BL217" s="114">
        <f t="shared" si="83"/>
        <v>0</v>
      </c>
    </row>
    <row r="218" spans="1:64" x14ac:dyDescent="0.2">
      <c r="A218" s="13" t="str">
        <f t="shared" si="68"/>
        <v>2021Q1</v>
      </c>
      <c r="B218" s="11">
        <f t="shared" si="75"/>
        <v>2021</v>
      </c>
      <c r="C218" s="11" t="s">
        <v>1</v>
      </c>
      <c r="F218" s="87">
        <f t="shared" si="69"/>
        <v>0</v>
      </c>
      <c r="I218" s="93">
        <f t="shared" si="76"/>
        <v>0</v>
      </c>
      <c r="J218" s="95" t="e">
        <f t="shared" si="81"/>
        <v>#DIV/0!</v>
      </c>
      <c r="K218" s="95" t="e">
        <f t="shared" si="82"/>
        <v>#DIV/0!</v>
      </c>
      <c r="T218" s="96" t="e">
        <f t="shared" si="77"/>
        <v>#DIV/0!</v>
      </c>
      <c r="V218" s="96" t="e">
        <f t="shared" si="78"/>
        <v>#DIV/0!</v>
      </c>
      <c r="X218" s="96" t="e">
        <f t="shared" si="70"/>
        <v>#DIV/0!</v>
      </c>
      <c r="Z218" s="96" t="e">
        <f t="shared" si="71"/>
        <v>#DIV/0!</v>
      </c>
      <c r="AC218" s="105">
        <f t="shared" si="74"/>
        <v>0</v>
      </c>
      <c r="AF218" s="49">
        <f t="shared" si="84"/>
        <v>0</v>
      </c>
      <c r="AI218" s="109">
        <f t="shared" si="67"/>
        <v>0</v>
      </c>
      <c r="AL218" s="27">
        <f t="shared" si="66"/>
        <v>0</v>
      </c>
      <c r="AP218" s="106">
        <f t="shared" si="65"/>
        <v>0</v>
      </c>
      <c r="AS218" s="118" t="e">
        <f t="shared" si="79"/>
        <v>#DIV/0!</v>
      </c>
      <c r="AT218" s="118" t="e">
        <f t="shared" si="80"/>
        <v>#DIV/0!</v>
      </c>
      <c r="BB218" s="106">
        <f t="shared" si="72"/>
        <v>0</v>
      </c>
      <c r="BD218" s="50"/>
      <c r="BF218" s="106">
        <f t="shared" si="73"/>
        <v>0</v>
      </c>
      <c r="BG218" s="23"/>
      <c r="BH218" s="23"/>
      <c r="BL218" s="114">
        <f t="shared" si="83"/>
        <v>0</v>
      </c>
    </row>
    <row r="219" spans="1:64" x14ac:dyDescent="0.2">
      <c r="A219" s="13" t="str">
        <f t="shared" si="68"/>
        <v>2021Q2</v>
      </c>
      <c r="B219" s="11">
        <f t="shared" si="75"/>
        <v>2021</v>
      </c>
      <c r="C219" s="11" t="s">
        <v>2</v>
      </c>
      <c r="F219" s="87">
        <f t="shared" si="69"/>
        <v>0</v>
      </c>
      <c r="I219" s="93">
        <f t="shared" si="76"/>
        <v>0</v>
      </c>
      <c r="J219" s="95" t="e">
        <f t="shared" si="81"/>
        <v>#DIV/0!</v>
      </c>
      <c r="K219" s="95" t="e">
        <f t="shared" si="82"/>
        <v>#DIV/0!</v>
      </c>
      <c r="T219" s="96" t="e">
        <f t="shared" si="77"/>
        <v>#DIV/0!</v>
      </c>
      <c r="V219" s="96" t="e">
        <f t="shared" si="78"/>
        <v>#DIV/0!</v>
      </c>
      <c r="X219" s="96" t="e">
        <f t="shared" si="70"/>
        <v>#DIV/0!</v>
      </c>
      <c r="Z219" s="96" t="e">
        <f t="shared" si="71"/>
        <v>#DIV/0!</v>
      </c>
      <c r="AC219" s="105">
        <f t="shared" si="74"/>
        <v>0</v>
      </c>
      <c r="AF219" s="49">
        <f t="shared" si="84"/>
        <v>0</v>
      </c>
      <c r="AI219" s="109">
        <f t="shared" si="67"/>
        <v>0</v>
      </c>
      <c r="AL219" s="27">
        <f t="shared" ref="AL219:AL250" si="85">AJ219+AK219</f>
        <v>0</v>
      </c>
      <c r="AP219" s="106">
        <f t="shared" si="65"/>
        <v>0</v>
      </c>
      <c r="AS219" s="118" t="e">
        <f t="shared" si="79"/>
        <v>#DIV/0!</v>
      </c>
      <c r="AT219" s="118" t="e">
        <f t="shared" si="80"/>
        <v>#DIV/0!</v>
      </c>
      <c r="BB219" s="106">
        <f t="shared" si="72"/>
        <v>0</v>
      </c>
      <c r="BD219" s="50"/>
      <c r="BF219" s="106">
        <f t="shared" si="73"/>
        <v>0</v>
      </c>
      <c r="BG219" s="23"/>
      <c r="BH219" s="23"/>
      <c r="BL219" s="114">
        <f t="shared" si="83"/>
        <v>0</v>
      </c>
    </row>
    <row r="220" spans="1:64" x14ac:dyDescent="0.2">
      <c r="A220" s="13" t="str">
        <f t="shared" si="68"/>
        <v>2021Q3</v>
      </c>
      <c r="B220" s="11">
        <f t="shared" si="75"/>
        <v>2021</v>
      </c>
      <c r="C220" s="11" t="s">
        <v>3</v>
      </c>
      <c r="F220" s="87">
        <f t="shared" si="69"/>
        <v>0</v>
      </c>
      <c r="I220" s="93">
        <f t="shared" si="76"/>
        <v>0</v>
      </c>
      <c r="J220" s="95" t="e">
        <f t="shared" si="81"/>
        <v>#DIV/0!</v>
      </c>
      <c r="K220" s="95" t="e">
        <f t="shared" si="82"/>
        <v>#DIV/0!</v>
      </c>
      <c r="T220" s="96" t="e">
        <f t="shared" si="77"/>
        <v>#DIV/0!</v>
      </c>
      <c r="V220" s="96" t="e">
        <f t="shared" si="78"/>
        <v>#DIV/0!</v>
      </c>
      <c r="X220" s="96" t="e">
        <f t="shared" si="70"/>
        <v>#DIV/0!</v>
      </c>
      <c r="Z220" s="96" t="e">
        <f t="shared" si="71"/>
        <v>#DIV/0!</v>
      </c>
      <c r="AC220" s="105">
        <f t="shared" si="74"/>
        <v>0</v>
      </c>
      <c r="AF220" s="49">
        <f t="shared" si="84"/>
        <v>0</v>
      </c>
      <c r="AI220" s="109">
        <f t="shared" si="67"/>
        <v>0</v>
      </c>
      <c r="AL220" s="27">
        <f t="shared" si="85"/>
        <v>0</v>
      </c>
      <c r="AP220" s="106">
        <f t="shared" si="65"/>
        <v>0</v>
      </c>
      <c r="AS220" s="118" t="e">
        <f t="shared" si="79"/>
        <v>#DIV/0!</v>
      </c>
      <c r="AT220" s="118" t="e">
        <f t="shared" si="80"/>
        <v>#DIV/0!</v>
      </c>
      <c r="BB220" s="106">
        <f t="shared" si="72"/>
        <v>0</v>
      </c>
      <c r="BD220" s="50"/>
      <c r="BF220" s="106">
        <f t="shared" si="73"/>
        <v>0</v>
      </c>
      <c r="BG220" s="23"/>
      <c r="BH220" s="23"/>
      <c r="BL220" s="114">
        <f t="shared" si="83"/>
        <v>0</v>
      </c>
    </row>
    <row r="221" spans="1:64" x14ac:dyDescent="0.2">
      <c r="A221" s="13" t="str">
        <f t="shared" si="68"/>
        <v>2021Q4</v>
      </c>
      <c r="B221" s="11">
        <f t="shared" si="75"/>
        <v>2021</v>
      </c>
      <c r="C221" s="11" t="s">
        <v>4</v>
      </c>
      <c r="F221" s="87">
        <f t="shared" si="69"/>
        <v>0</v>
      </c>
      <c r="I221" s="93">
        <f t="shared" si="76"/>
        <v>0</v>
      </c>
      <c r="J221" s="95" t="e">
        <f t="shared" si="81"/>
        <v>#DIV/0!</v>
      </c>
      <c r="K221" s="95" t="e">
        <f t="shared" si="82"/>
        <v>#DIV/0!</v>
      </c>
      <c r="T221" s="96" t="e">
        <f t="shared" si="77"/>
        <v>#DIV/0!</v>
      </c>
      <c r="V221" s="96" t="e">
        <f t="shared" si="78"/>
        <v>#DIV/0!</v>
      </c>
      <c r="X221" s="96" t="e">
        <f t="shared" si="70"/>
        <v>#DIV/0!</v>
      </c>
      <c r="Z221" s="96" t="e">
        <f t="shared" si="71"/>
        <v>#DIV/0!</v>
      </c>
      <c r="AC221" s="105">
        <f t="shared" si="74"/>
        <v>0</v>
      </c>
      <c r="AF221" s="49">
        <f t="shared" si="84"/>
        <v>0</v>
      </c>
      <c r="AI221" s="109">
        <f t="shared" si="67"/>
        <v>0</v>
      </c>
      <c r="AL221" s="27">
        <f t="shared" si="85"/>
        <v>0</v>
      </c>
      <c r="AP221" s="106">
        <f t="shared" si="65"/>
        <v>0</v>
      </c>
      <c r="AS221" s="118" t="e">
        <f t="shared" si="79"/>
        <v>#DIV/0!</v>
      </c>
      <c r="AT221" s="118" t="e">
        <f t="shared" si="80"/>
        <v>#DIV/0!</v>
      </c>
      <c r="BB221" s="106">
        <f t="shared" si="72"/>
        <v>0</v>
      </c>
      <c r="BD221" s="50"/>
      <c r="BF221" s="106">
        <f t="shared" si="73"/>
        <v>0</v>
      </c>
      <c r="BG221" s="23"/>
      <c r="BH221" s="23"/>
      <c r="BL221" s="114">
        <f t="shared" si="83"/>
        <v>0</v>
      </c>
    </row>
    <row r="222" spans="1:64" x14ac:dyDescent="0.2">
      <c r="A222" s="13" t="str">
        <f t="shared" si="68"/>
        <v>2022Q1</v>
      </c>
      <c r="B222" s="11">
        <f t="shared" si="75"/>
        <v>2022</v>
      </c>
      <c r="C222" s="11" t="s">
        <v>1</v>
      </c>
      <c r="F222" s="87">
        <f t="shared" si="69"/>
        <v>0</v>
      </c>
      <c r="I222" s="93">
        <f t="shared" si="76"/>
        <v>0</v>
      </c>
      <c r="J222" s="95" t="e">
        <f t="shared" si="81"/>
        <v>#DIV/0!</v>
      </c>
      <c r="K222" s="95" t="e">
        <f t="shared" si="82"/>
        <v>#DIV/0!</v>
      </c>
      <c r="T222" s="96" t="e">
        <f t="shared" si="77"/>
        <v>#DIV/0!</v>
      </c>
      <c r="V222" s="96" t="e">
        <f t="shared" si="78"/>
        <v>#DIV/0!</v>
      </c>
      <c r="X222" s="96" t="e">
        <f t="shared" si="70"/>
        <v>#DIV/0!</v>
      </c>
      <c r="Z222" s="96" t="e">
        <f t="shared" si="71"/>
        <v>#DIV/0!</v>
      </c>
      <c r="AC222" s="105">
        <f t="shared" si="74"/>
        <v>0</v>
      </c>
      <c r="AF222" s="49">
        <f t="shared" si="84"/>
        <v>0</v>
      </c>
      <c r="AI222" s="109">
        <f t="shared" ref="AI222:AI253" si="86">AG222+AH222</f>
        <v>0</v>
      </c>
      <c r="AL222" s="27">
        <f t="shared" si="85"/>
        <v>0</v>
      </c>
      <c r="AP222" s="106">
        <f t="shared" si="65"/>
        <v>0</v>
      </c>
      <c r="AS222" s="118" t="e">
        <f t="shared" si="79"/>
        <v>#DIV/0!</v>
      </c>
      <c r="AT222" s="118" t="e">
        <f t="shared" si="80"/>
        <v>#DIV/0!</v>
      </c>
      <c r="BB222" s="106">
        <f t="shared" si="72"/>
        <v>0</v>
      </c>
      <c r="BD222" s="50"/>
      <c r="BF222" s="106">
        <f t="shared" si="73"/>
        <v>0</v>
      </c>
      <c r="BG222" s="23"/>
      <c r="BH222" s="23"/>
      <c r="BL222" s="114">
        <f t="shared" si="83"/>
        <v>0</v>
      </c>
    </row>
    <row r="223" spans="1:64" x14ac:dyDescent="0.2">
      <c r="A223" s="13" t="str">
        <f t="shared" si="68"/>
        <v>2022Q2</v>
      </c>
      <c r="B223" s="11">
        <f t="shared" si="75"/>
        <v>2022</v>
      </c>
      <c r="C223" s="11" t="s">
        <v>2</v>
      </c>
      <c r="F223" s="87">
        <f t="shared" si="69"/>
        <v>0</v>
      </c>
      <c r="I223" s="93">
        <f t="shared" si="76"/>
        <v>0</v>
      </c>
      <c r="J223" s="95" t="e">
        <f t="shared" si="81"/>
        <v>#DIV/0!</v>
      </c>
      <c r="K223" s="95" t="e">
        <f t="shared" si="82"/>
        <v>#DIV/0!</v>
      </c>
      <c r="T223" s="96" t="e">
        <f t="shared" si="77"/>
        <v>#DIV/0!</v>
      </c>
      <c r="V223" s="96" t="e">
        <f t="shared" si="78"/>
        <v>#DIV/0!</v>
      </c>
      <c r="X223" s="96" t="e">
        <f t="shared" si="70"/>
        <v>#DIV/0!</v>
      </c>
      <c r="Z223" s="96" t="e">
        <f t="shared" si="71"/>
        <v>#DIV/0!</v>
      </c>
      <c r="AC223" s="105">
        <f t="shared" si="74"/>
        <v>0</v>
      </c>
      <c r="AF223" s="49">
        <f t="shared" si="84"/>
        <v>0</v>
      </c>
      <c r="AI223" s="109">
        <f t="shared" si="86"/>
        <v>0</v>
      </c>
      <c r="AL223" s="27">
        <f t="shared" si="85"/>
        <v>0</v>
      </c>
      <c r="AP223" s="106">
        <f t="shared" si="65"/>
        <v>0</v>
      </c>
      <c r="AS223" s="118" t="e">
        <f t="shared" si="79"/>
        <v>#DIV/0!</v>
      </c>
      <c r="AT223" s="118" t="e">
        <f t="shared" si="80"/>
        <v>#DIV/0!</v>
      </c>
      <c r="BB223" s="106">
        <f t="shared" si="72"/>
        <v>0</v>
      </c>
      <c r="BD223" s="50"/>
      <c r="BF223" s="106">
        <f t="shared" si="73"/>
        <v>0</v>
      </c>
      <c r="BG223" s="23"/>
      <c r="BH223" s="23"/>
      <c r="BL223" s="114">
        <f t="shared" si="83"/>
        <v>0</v>
      </c>
    </row>
    <row r="224" spans="1:64" x14ac:dyDescent="0.2">
      <c r="A224" s="13" t="str">
        <f t="shared" si="68"/>
        <v>2022Q3</v>
      </c>
      <c r="B224" s="11">
        <f t="shared" si="75"/>
        <v>2022</v>
      </c>
      <c r="C224" s="11" t="s">
        <v>3</v>
      </c>
      <c r="F224" s="87">
        <f t="shared" si="69"/>
        <v>0</v>
      </c>
      <c r="I224" s="93">
        <f t="shared" si="76"/>
        <v>0</v>
      </c>
      <c r="J224" s="95" t="e">
        <f t="shared" si="81"/>
        <v>#DIV/0!</v>
      </c>
      <c r="K224" s="95" t="e">
        <f t="shared" si="82"/>
        <v>#DIV/0!</v>
      </c>
      <c r="T224" s="96" t="e">
        <f t="shared" si="77"/>
        <v>#DIV/0!</v>
      </c>
      <c r="V224" s="96" t="e">
        <f t="shared" si="78"/>
        <v>#DIV/0!</v>
      </c>
      <c r="X224" s="96" t="e">
        <f t="shared" si="70"/>
        <v>#DIV/0!</v>
      </c>
      <c r="Z224" s="96" t="e">
        <f t="shared" si="71"/>
        <v>#DIV/0!</v>
      </c>
      <c r="AC224" s="105">
        <f t="shared" si="74"/>
        <v>0</v>
      </c>
      <c r="AF224" s="49">
        <f t="shared" si="84"/>
        <v>0</v>
      </c>
      <c r="AI224" s="109">
        <f t="shared" si="86"/>
        <v>0</v>
      </c>
      <c r="AL224" s="27">
        <f t="shared" si="85"/>
        <v>0</v>
      </c>
      <c r="AP224" s="106">
        <f t="shared" si="65"/>
        <v>0</v>
      </c>
      <c r="AS224" s="118" t="e">
        <f t="shared" si="79"/>
        <v>#DIV/0!</v>
      </c>
      <c r="AT224" s="118" t="e">
        <f t="shared" si="80"/>
        <v>#DIV/0!</v>
      </c>
      <c r="BB224" s="106">
        <f t="shared" si="72"/>
        <v>0</v>
      </c>
      <c r="BD224" s="50"/>
      <c r="BF224" s="106">
        <f t="shared" si="73"/>
        <v>0</v>
      </c>
      <c r="BG224" s="23"/>
      <c r="BH224" s="23"/>
      <c r="BL224" s="114">
        <f t="shared" si="83"/>
        <v>0</v>
      </c>
    </row>
    <row r="225" spans="1:64" x14ac:dyDescent="0.2">
      <c r="A225" s="13" t="str">
        <f t="shared" si="68"/>
        <v>2022Q4</v>
      </c>
      <c r="B225" s="11">
        <f t="shared" si="75"/>
        <v>2022</v>
      </c>
      <c r="C225" s="11" t="s">
        <v>4</v>
      </c>
      <c r="F225" s="87">
        <f t="shared" si="69"/>
        <v>0</v>
      </c>
      <c r="I225" s="93">
        <f t="shared" si="76"/>
        <v>0</v>
      </c>
      <c r="J225" s="95" t="e">
        <f t="shared" si="81"/>
        <v>#DIV/0!</v>
      </c>
      <c r="K225" s="95" t="e">
        <f t="shared" si="82"/>
        <v>#DIV/0!</v>
      </c>
      <c r="T225" s="96" t="e">
        <f t="shared" si="77"/>
        <v>#DIV/0!</v>
      </c>
      <c r="V225" s="96" t="e">
        <f t="shared" si="78"/>
        <v>#DIV/0!</v>
      </c>
      <c r="X225" s="96" t="e">
        <f t="shared" si="70"/>
        <v>#DIV/0!</v>
      </c>
      <c r="Z225" s="96" t="e">
        <f t="shared" si="71"/>
        <v>#DIV/0!</v>
      </c>
      <c r="AC225" s="105">
        <f t="shared" si="74"/>
        <v>0</v>
      </c>
      <c r="AF225" s="49">
        <f t="shared" si="84"/>
        <v>0</v>
      </c>
      <c r="AI225" s="109">
        <f t="shared" si="86"/>
        <v>0</v>
      </c>
      <c r="AL225" s="27">
        <f t="shared" si="85"/>
        <v>0</v>
      </c>
      <c r="AP225" s="106">
        <f t="shared" si="65"/>
        <v>0</v>
      </c>
      <c r="AS225" s="118" t="e">
        <f t="shared" si="79"/>
        <v>#DIV/0!</v>
      </c>
      <c r="AT225" s="118" t="e">
        <f t="shared" si="80"/>
        <v>#DIV/0!</v>
      </c>
      <c r="BB225" s="106">
        <f t="shared" si="72"/>
        <v>0</v>
      </c>
      <c r="BD225" s="50"/>
      <c r="BF225" s="106">
        <f t="shared" si="73"/>
        <v>0</v>
      </c>
      <c r="BG225" s="23"/>
      <c r="BH225" s="23"/>
      <c r="BL225" s="114">
        <f t="shared" si="83"/>
        <v>0</v>
      </c>
    </row>
    <row r="226" spans="1:64" x14ac:dyDescent="0.2">
      <c r="A226" s="13" t="str">
        <f t="shared" si="68"/>
        <v>2023Q1</v>
      </c>
      <c r="B226" s="11">
        <f t="shared" si="75"/>
        <v>2023</v>
      </c>
      <c r="C226" s="11" t="s">
        <v>1</v>
      </c>
      <c r="F226" s="87">
        <f t="shared" si="69"/>
        <v>0</v>
      </c>
      <c r="I226" s="93">
        <f t="shared" si="76"/>
        <v>0</v>
      </c>
      <c r="J226" s="95" t="e">
        <f t="shared" si="81"/>
        <v>#DIV/0!</v>
      </c>
      <c r="K226" s="95" t="e">
        <f t="shared" si="82"/>
        <v>#DIV/0!</v>
      </c>
      <c r="T226" s="96" t="e">
        <f t="shared" si="77"/>
        <v>#DIV/0!</v>
      </c>
      <c r="V226" s="96" t="e">
        <f t="shared" si="78"/>
        <v>#DIV/0!</v>
      </c>
      <c r="X226" s="96" t="e">
        <f t="shared" si="70"/>
        <v>#DIV/0!</v>
      </c>
      <c r="Z226" s="96" t="e">
        <f t="shared" si="71"/>
        <v>#DIV/0!</v>
      </c>
      <c r="AC226" s="105">
        <f t="shared" si="74"/>
        <v>0</v>
      </c>
      <c r="AF226" s="49">
        <f t="shared" si="84"/>
        <v>0</v>
      </c>
      <c r="AI226" s="109">
        <f t="shared" si="86"/>
        <v>0</v>
      </c>
      <c r="AL226" s="27">
        <f t="shared" si="85"/>
        <v>0</v>
      </c>
      <c r="AP226" s="106">
        <f t="shared" si="65"/>
        <v>0</v>
      </c>
      <c r="AS226" s="118" t="e">
        <f t="shared" si="79"/>
        <v>#DIV/0!</v>
      </c>
      <c r="AT226" s="118" t="e">
        <f t="shared" si="80"/>
        <v>#DIV/0!</v>
      </c>
      <c r="BB226" s="106">
        <f t="shared" si="72"/>
        <v>0</v>
      </c>
      <c r="BD226" s="50"/>
      <c r="BF226" s="106">
        <f t="shared" si="73"/>
        <v>0</v>
      </c>
      <c r="BG226" s="23"/>
      <c r="BH226" s="23"/>
      <c r="BL226" s="114">
        <f t="shared" si="83"/>
        <v>0</v>
      </c>
    </row>
    <row r="227" spans="1:64" x14ac:dyDescent="0.2">
      <c r="A227" s="13" t="str">
        <f t="shared" si="68"/>
        <v>2023Q2</v>
      </c>
      <c r="B227" s="11">
        <f t="shared" si="75"/>
        <v>2023</v>
      </c>
      <c r="C227" s="11" t="s">
        <v>2</v>
      </c>
      <c r="F227" s="87">
        <f t="shared" si="69"/>
        <v>0</v>
      </c>
      <c r="I227" s="93">
        <f t="shared" si="76"/>
        <v>0</v>
      </c>
      <c r="J227" s="95" t="e">
        <f t="shared" si="81"/>
        <v>#DIV/0!</v>
      </c>
      <c r="K227" s="95" t="e">
        <f t="shared" si="82"/>
        <v>#DIV/0!</v>
      </c>
      <c r="T227" s="96" t="e">
        <f t="shared" si="77"/>
        <v>#DIV/0!</v>
      </c>
      <c r="V227" s="96" t="e">
        <f t="shared" si="78"/>
        <v>#DIV/0!</v>
      </c>
      <c r="X227" s="96" t="e">
        <f t="shared" si="70"/>
        <v>#DIV/0!</v>
      </c>
      <c r="Z227" s="96" t="e">
        <f t="shared" si="71"/>
        <v>#DIV/0!</v>
      </c>
      <c r="AC227" s="105">
        <f t="shared" si="74"/>
        <v>0</v>
      </c>
      <c r="AF227" s="49">
        <f t="shared" si="84"/>
        <v>0</v>
      </c>
      <c r="AI227" s="109">
        <f t="shared" si="86"/>
        <v>0</v>
      </c>
      <c r="AL227" s="27">
        <f t="shared" si="85"/>
        <v>0</v>
      </c>
      <c r="AP227" s="106">
        <f t="shared" si="65"/>
        <v>0</v>
      </c>
      <c r="AS227" s="118" t="e">
        <f t="shared" si="79"/>
        <v>#DIV/0!</v>
      </c>
      <c r="AT227" s="118" t="e">
        <f t="shared" si="80"/>
        <v>#DIV/0!</v>
      </c>
      <c r="BB227" s="106">
        <f t="shared" si="72"/>
        <v>0</v>
      </c>
      <c r="BD227" s="50"/>
      <c r="BF227" s="106">
        <f t="shared" si="73"/>
        <v>0</v>
      </c>
      <c r="BG227" s="23"/>
      <c r="BH227" s="23"/>
      <c r="BL227" s="114">
        <f t="shared" si="83"/>
        <v>0</v>
      </c>
    </row>
    <row r="228" spans="1:64" x14ac:dyDescent="0.2">
      <c r="A228" s="13" t="str">
        <f t="shared" si="68"/>
        <v>2023Q3</v>
      </c>
      <c r="B228" s="11">
        <f t="shared" si="75"/>
        <v>2023</v>
      </c>
      <c r="C228" s="11" t="s">
        <v>3</v>
      </c>
      <c r="F228" s="87">
        <f t="shared" si="69"/>
        <v>0</v>
      </c>
      <c r="I228" s="93">
        <f t="shared" si="76"/>
        <v>0</v>
      </c>
      <c r="J228" s="95" t="e">
        <f t="shared" si="81"/>
        <v>#DIV/0!</v>
      </c>
      <c r="K228" s="95" t="e">
        <f t="shared" si="82"/>
        <v>#DIV/0!</v>
      </c>
      <c r="T228" s="96" t="e">
        <f t="shared" si="77"/>
        <v>#DIV/0!</v>
      </c>
      <c r="V228" s="96" t="e">
        <f t="shared" si="78"/>
        <v>#DIV/0!</v>
      </c>
      <c r="X228" s="96" t="e">
        <f t="shared" si="70"/>
        <v>#DIV/0!</v>
      </c>
      <c r="Z228" s="96" t="e">
        <f t="shared" si="71"/>
        <v>#DIV/0!</v>
      </c>
      <c r="AC228" s="105">
        <f t="shared" si="74"/>
        <v>0</v>
      </c>
      <c r="AF228" s="49">
        <f t="shared" si="84"/>
        <v>0</v>
      </c>
      <c r="AI228" s="109">
        <f t="shared" si="86"/>
        <v>0</v>
      </c>
      <c r="AL228" s="27">
        <f t="shared" si="85"/>
        <v>0</v>
      </c>
      <c r="AP228" s="106">
        <f t="shared" si="65"/>
        <v>0</v>
      </c>
      <c r="AS228" s="118" t="e">
        <f t="shared" si="79"/>
        <v>#DIV/0!</v>
      </c>
      <c r="AT228" s="118" t="e">
        <f t="shared" si="80"/>
        <v>#DIV/0!</v>
      </c>
      <c r="BB228" s="106">
        <f t="shared" si="72"/>
        <v>0</v>
      </c>
      <c r="BD228" s="50"/>
      <c r="BF228" s="106">
        <f t="shared" si="73"/>
        <v>0</v>
      </c>
      <c r="BG228" s="23"/>
      <c r="BH228" s="23"/>
      <c r="BL228" s="114">
        <f t="shared" si="83"/>
        <v>0</v>
      </c>
    </row>
    <row r="229" spans="1:64" x14ac:dyDescent="0.2">
      <c r="A229" s="13" t="str">
        <f t="shared" si="68"/>
        <v>2023Q4</v>
      </c>
      <c r="B229" s="11">
        <f t="shared" si="75"/>
        <v>2023</v>
      </c>
      <c r="C229" s="11" t="s">
        <v>4</v>
      </c>
      <c r="F229" s="87">
        <f t="shared" si="69"/>
        <v>0</v>
      </c>
      <c r="I229" s="93">
        <f t="shared" si="76"/>
        <v>0</v>
      </c>
      <c r="J229" s="95" t="e">
        <f t="shared" si="81"/>
        <v>#DIV/0!</v>
      </c>
      <c r="K229" s="95" t="e">
        <f t="shared" si="82"/>
        <v>#DIV/0!</v>
      </c>
      <c r="T229" s="96" t="e">
        <f t="shared" si="77"/>
        <v>#DIV/0!</v>
      </c>
      <c r="V229" s="96" t="e">
        <f t="shared" si="78"/>
        <v>#DIV/0!</v>
      </c>
      <c r="X229" s="96" t="e">
        <f t="shared" si="70"/>
        <v>#DIV/0!</v>
      </c>
      <c r="Z229" s="96" t="e">
        <f t="shared" si="71"/>
        <v>#DIV/0!</v>
      </c>
      <c r="AC229" s="105">
        <f t="shared" si="74"/>
        <v>0</v>
      </c>
      <c r="AF229" s="49">
        <f t="shared" si="84"/>
        <v>0</v>
      </c>
      <c r="AI229" s="109">
        <f t="shared" si="86"/>
        <v>0</v>
      </c>
      <c r="AL229" s="27">
        <f t="shared" si="85"/>
        <v>0</v>
      </c>
      <c r="AP229" s="106">
        <f t="shared" si="65"/>
        <v>0</v>
      </c>
      <c r="AS229" s="118" t="e">
        <f t="shared" si="79"/>
        <v>#DIV/0!</v>
      </c>
      <c r="AT229" s="118" t="e">
        <f t="shared" si="80"/>
        <v>#DIV/0!</v>
      </c>
      <c r="BB229" s="106">
        <f t="shared" si="72"/>
        <v>0</v>
      </c>
      <c r="BD229" s="50"/>
      <c r="BF229" s="106">
        <f t="shared" si="73"/>
        <v>0</v>
      </c>
      <c r="BG229" s="23"/>
      <c r="BH229" s="23"/>
      <c r="BL229" s="114">
        <f t="shared" si="83"/>
        <v>0</v>
      </c>
    </row>
    <row r="230" spans="1:64" x14ac:dyDescent="0.2">
      <c r="A230" s="13" t="str">
        <f t="shared" si="68"/>
        <v>2024Q1</v>
      </c>
      <c r="B230" s="11">
        <f t="shared" si="75"/>
        <v>2024</v>
      </c>
      <c r="C230" s="11" t="s">
        <v>1</v>
      </c>
      <c r="F230" s="87">
        <f t="shared" si="69"/>
        <v>0</v>
      </c>
      <c r="I230" s="93">
        <f t="shared" si="76"/>
        <v>0</v>
      </c>
      <c r="J230" s="95" t="e">
        <f t="shared" si="81"/>
        <v>#DIV/0!</v>
      </c>
      <c r="K230" s="95" t="e">
        <f t="shared" si="82"/>
        <v>#DIV/0!</v>
      </c>
      <c r="T230" s="96" t="e">
        <f t="shared" si="77"/>
        <v>#DIV/0!</v>
      </c>
      <c r="V230" s="96" t="e">
        <f t="shared" si="78"/>
        <v>#DIV/0!</v>
      </c>
      <c r="X230" s="96" t="e">
        <f t="shared" ref="X230:X261" si="87">IF(W230="..","..",W230/$Q230*100)</f>
        <v>#DIV/0!</v>
      </c>
      <c r="Z230" s="96" t="e">
        <f t="shared" ref="Z230:Z261" si="88">IF(Y230="..","..",Y230/$Q230*100)</f>
        <v>#DIV/0!</v>
      </c>
      <c r="AC230" s="105">
        <f t="shared" si="74"/>
        <v>0</v>
      </c>
      <c r="AF230" s="49">
        <f t="shared" si="84"/>
        <v>0</v>
      </c>
      <c r="AI230" s="109">
        <f t="shared" si="86"/>
        <v>0</v>
      </c>
      <c r="AL230" s="27">
        <f t="shared" si="85"/>
        <v>0</v>
      </c>
      <c r="AP230" s="106">
        <f t="shared" si="65"/>
        <v>0</v>
      </c>
      <c r="AS230" s="118" t="e">
        <f t="shared" si="79"/>
        <v>#DIV/0!</v>
      </c>
      <c r="AT230" s="118" t="e">
        <f t="shared" si="80"/>
        <v>#DIV/0!</v>
      </c>
      <c r="BB230" s="106">
        <f t="shared" si="72"/>
        <v>0</v>
      </c>
      <c r="BD230" s="50"/>
      <c r="BF230" s="106">
        <f t="shared" si="73"/>
        <v>0</v>
      </c>
      <c r="BG230" s="23"/>
      <c r="BH230" s="23"/>
      <c r="BL230" s="114">
        <f t="shared" si="83"/>
        <v>0</v>
      </c>
    </row>
    <row r="231" spans="1:64" x14ac:dyDescent="0.2">
      <c r="A231" s="13" t="str">
        <f t="shared" si="68"/>
        <v>2024Q2</v>
      </c>
      <c r="B231" s="11">
        <f t="shared" si="75"/>
        <v>2024</v>
      </c>
      <c r="C231" s="11" t="s">
        <v>2</v>
      </c>
      <c r="F231" s="87">
        <f t="shared" si="69"/>
        <v>0</v>
      </c>
      <c r="I231" s="93">
        <f t="shared" si="76"/>
        <v>0</v>
      </c>
      <c r="J231" s="95" t="e">
        <f t="shared" si="81"/>
        <v>#DIV/0!</v>
      </c>
      <c r="K231" s="95" t="e">
        <f t="shared" si="82"/>
        <v>#DIV/0!</v>
      </c>
      <c r="T231" s="96" t="e">
        <f t="shared" si="77"/>
        <v>#DIV/0!</v>
      </c>
      <c r="V231" s="96" t="e">
        <f t="shared" si="78"/>
        <v>#DIV/0!</v>
      </c>
      <c r="X231" s="96" t="e">
        <f t="shared" si="87"/>
        <v>#DIV/0!</v>
      </c>
      <c r="Z231" s="96" t="e">
        <f t="shared" si="88"/>
        <v>#DIV/0!</v>
      </c>
      <c r="AC231" s="105">
        <f t="shared" si="74"/>
        <v>0</v>
      </c>
      <c r="AF231" s="49">
        <f t="shared" si="84"/>
        <v>0</v>
      </c>
      <c r="AI231" s="109">
        <f t="shared" si="86"/>
        <v>0</v>
      </c>
      <c r="AL231" s="27">
        <f t="shared" si="85"/>
        <v>0</v>
      </c>
      <c r="AP231" s="106">
        <f t="shared" si="65"/>
        <v>0</v>
      </c>
      <c r="AS231" s="118" t="e">
        <f t="shared" si="79"/>
        <v>#DIV/0!</v>
      </c>
      <c r="AT231" s="118" t="e">
        <f t="shared" si="80"/>
        <v>#DIV/0!</v>
      </c>
      <c r="BB231" s="106">
        <f t="shared" si="72"/>
        <v>0</v>
      </c>
      <c r="BD231" s="50"/>
      <c r="BF231" s="106">
        <f t="shared" si="73"/>
        <v>0</v>
      </c>
      <c r="BG231" s="23"/>
      <c r="BH231" s="23"/>
      <c r="BL231" s="114">
        <f t="shared" si="83"/>
        <v>0</v>
      </c>
    </row>
    <row r="232" spans="1:64" x14ac:dyDescent="0.2">
      <c r="A232" s="13" t="str">
        <f t="shared" si="68"/>
        <v>2024Q3</v>
      </c>
      <c r="B232" s="11">
        <f t="shared" si="75"/>
        <v>2024</v>
      </c>
      <c r="C232" s="11" t="s">
        <v>3</v>
      </c>
      <c r="F232" s="87">
        <f t="shared" si="69"/>
        <v>0</v>
      </c>
      <c r="I232" s="93">
        <f t="shared" si="76"/>
        <v>0</v>
      </c>
      <c r="J232" s="95" t="e">
        <f t="shared" si="81"/>
        <v>#DIV/0!</v>
      </c>
      <c r="K232" s="95" t="e">
        <f t="shared" si="82"/>
        <v>#DIV/0!</v>
      </c>
      <c r="T232" s="96" t="e">
        <f t="shared" si="77"/>
        <v>#DIV/0!</v>
      </c>
      <c r="V232" s="96" t="e">
        <f t="shared" si="78"/>
        <v>#DIV/0!</v>
      </c>
      <c r="X232" s="96" t="e">
        <f t="shared" si="87"/>
        <v>#DIV/0!</v>
      </c>
      <c r="Z232" s="96" t="e">
        <f t="shared" si="88"/>
        <v>#DIV/0!</v>
      </c>
      <c r="AC232" s="105">
        <f t="shared" si="74"/>
        <v>0</v>
      </c>
      <c r="AF232" s="49">
        <f t="shared" si="84"/>
        <v>0</v>
      </c>
      <c r="AI232" s="109">
        <f t="shared" si="86"/>
        <v>0</v>
      </c>
      <c r="AL232" s="27">
        <f t="shared" si="85"/>
        <v>0</v>
      </c>
      <c r="AP232" s="106">
        <f t="shared" si="65"/>
        <v>0</v>
      </c>
      <c r="AS232" s="118" t="e">
        <f t="shared" si="79"/>
        <v>#DIV/0!</v>
      </c>
      <c r="AT232" s="118" t="e">
        <f t="shared" si="80"/>
        <v>#DIV/0!</v>
      </c>
      <c r="BB232" s="106">
        <f t="shared" si="72"/>
        <v>0</v>
      </c>
      <c r="BD232" s="50"/>
      <c r="BF232" s="106">
        <f t="shared" si="73"/>
        <v>0</v>
      </c>
      <c r="BG232" s="23"/>
      <c r="BH232" s="23"/>
      <c r="BL232" s="114">
        <f t="shared" si="83"/>
        <v>0</v>
      </c>
    </row>
    <row r="233" spans="1:64" x14ac:dyDescent="0.2">
      <c r="A233" s="13" t="str">
        <f t="shared" si="68"/>
        <v>2024Q4</v>
      </c>
      <c r="B233" s="11">
        <f t="shared" si="75"/>
        <v>2024</v>
      </c>
      <c r="C233" s="11" t="s">
        <v>4</v>
      </c>
      <c r="F233" s="87">
        <f t="shared" si="69"/>
        <v>0</v>
      </c>
      <c r="I233" s="93">
        <f t="shared" si="76"/>
        <v>0</v>
      </c>
      <c r="J233" s="95" t="e">
        <f t="shared" si="81"/>
        <v>#DIV/0!</v>
      </c>
      <c r="K233" s="95" t="e">
        <f t="shared" si="82"/>
        <v>#DIV/0!</v>
      </c>
      <c r="T233" s="96" t="e">
        <f t="shared" si="77"/>
        <v>#DIV/0!</v>
      </c>
      <c r="V233" s="96" t="e">
        <f t="shared" si="78"/>
        <v>#DIV/0!</v>
      </c>
      <c r="X233" s="96" t="e">
        <f t="shared" si="87"/>
        <v>#DIV/0!</v>
      </c>
      <c r="Z233" s="96" t="e">
        <f t="shared" si="88"/>
        <v>#DIV/0!</v>
      </c>
      <c r="AC233" s="105">
        <f t="shared" si="74"/>
        <v>0</v>
      </c>
      <c r="AF233" s="49">
        <f t="shared" si="84"/>
        <v>0</v>
      </c>
      <c r="AI233" s="109">
        <f t="shared" si="86"/>
        <v>0</v>
      </c>
      <c r="AL233" s="27">
        <f t="shared" si="85"/>
        <v>0</v>
      </c>
      <c r="AP233" s="106">
        <f t="shared" si="65"/>
        <v>0</v>
      </c>
      <c r="AS233" s="118" t="e">
        <f t="shared" si="79"/>
        <v>#DIV/0!</v>
      </c>
      <c r="AT233" s="118" t="e">
        <f t="shared" si="80"/>
        <v>#DIV/0!</v>
      </c>
      <c r="BB233" s="106">
        <f t="shared" si="72"/>
        <v>0</v>
      </c>
      <c r="BD233" s="50"/>
      <c r="BF233" s="106">
        <f t="shared" si="73"/>
        <v>0</v>
      </c>
      <c r="BG233" s="23"/>
      <c r="BH233" s="23"/>
      <c r="BL233" s="114">
        <f t="shared" si="83"/>
        <v>0</v>
      </c>
    </row>
    <row r="234" spans="1:64" x14ac:dyDescent="0.2">
      <c r="A234" s="13" t="str">
        <f t="shared" si="68"/>
        <v>2025Q1</v>
      </c>
      <c r="B234" s="11">
        <f t="shared" si="75"/>
        <v>2025</v>
      </c>
      <c r="C234" s="11" t="s">
        <v>1</v>
      </c>
      <c r="F234" s="87">
        <f t="shared" si="69"/>
        <v>0</v>
      </c>
      <c r="I234" s="93">
        <f t="shared" si="76"/>
        <v>0</v>
      </c>
      <c r="J234" s="95" t="e">
        <f t="shared" si="81"/>
        <v>#DIV/0!</v>
      </c>
      <c r="K234" s="95" t="e">
        <f t="shared" si="82"/>
        <v>#DIV/0!</v>
      </c>
      <c r="T234" s="96" t="e">
        <f t="shared" si="77"/>
        <v>#DIV/0!</v>
      </c>
      <c r="V234" s="96" t="e">
        <f t="shared" si="78"/>
        <v>#DIV/0!</v>
      </c>
      <c r="X234" s="96" t="e">
        <f t="shared" si="87"/>
        <v>#DIV/0!</v>
      </c>
      <c r="Z234" s="96" t="e">
        <f t="shared" si="88"/>
        <v>#DIV/0!</v>
      </c>
      <c r="AC234" s="105">
        <f t="shared" si="74"/>
        <v>0</v>
      </c>
      <c r="AF234" s="49">
        <f t="shared" si="84"/>
        <v>0</v>
      </c>
      <c r="AI234" s="109">
        <f t="shared" si="86"/>
        <v>0</v>
      </c>
      <c r="AL234" s="27">
        <f t="shared" si="85"/>
        <v>0</v>
      </c>
      <c r="AP234" s="106">
        <f t="shared" si="65"/>
        <v>0</v>
      </c>
      <c r="AS234" s="118" t="e">
        <f t="shared" si="79"/>
        <v>#DIV/0!</v>
      </c>
      <c r="AT234" s="118" t="e">
        <f t="shared" si="80"/>
        <v>#DIV/0!</v>
      </c>
      <c r="BB234" s="106">
        <f t="shared" si="72"/>
        <v>0</v>
      </c>
      <c r="BD234" s="50"/>
      <c r="BF234" s="106">
        <f t="shared" si="73"/>
        <v>0</v>
      </c>
      <c r="BG234" s="23"/>
      <c r="BH234" s="23"/>
      <c r="BL234" s="114">
        <f t="shared" si="83"/>
        <v>0</v>
      </c>
    </row>
    <row r="235" spans="1:64" x14ac:dyDescent="0.2">
      <c r="A235" s="13" t="str">
        <f t="shared" si="68"/>
        <v>2025Q2</v>
      </c>
      <c r="B235" s="11">
        <f t="shared" si="75"/>
        <v>2025</v>
      </c>
      <c r="C235" s="11" t="s">
        <v>2</v>
      </c>
      <c r="F235" s="87">
        <f t="shared" si="69"/>
        <v>0</v>
      </c>
      <c r="I235" s="93">
        <f t="shared" si="76"/>
        <v>0</v>
      </c>
      <c r="J235" s="95" t="e">
        <f t="shared" si="81"/>
        <v>#DIV/0!</v>
      </c>
      <c r="K235" s="95" t="e">
        <f t="shared" si="82"/>
        <v>#DIV/0!</v>
      </c>
      <c r="T235" s="96" t="e">
        <f t="shared" si="77"/>
        <v>#DIV/0!</v>
      </c>
      <c r="V235" s="96" t="e">
        <f t="shared" si="78"/>
        <v>#DIV/0!</v>
      </c>
      <c r="X235" s="96" t="e">
        <f t="shared" si="87"/>
        <v>#DIV/0!</v>
      </c>
      <c r="Z235" s="96" t="e">
        <f t="shared" si="88"/>
        <v>#DIV/0!</v>
      </c>
      <c r="AC235" s="105">
        <f t="shared" ref="AC235:AC266" si="89">IF(AA235=":",Q235+AB235,Q235++R235+AA235+AB235)</f>
        <v>0</v>
      </c>
      <c r="AF235" s="49">
        <f t="shared" si="84"/>
        <v>0</v>
      </c>
      <c r="AI235" s="109">
        <f t="shared" si="86"/>
        <v>0</v>
      </c>
      <c r="AL235" s="27">
        <f t="shared" si="85"/>
        <v>0</v>
      </c>
      <c r="AP235" s="106">
        <f t="shared" si="65"/>
        <v>0</v>
      </c>
      <c r="AS235" s="118" t="e">
        <f t="shared" si="79"/>
        <v>#DIV/0!</v>
      </c>
      <c r="AT235" s="118" t="e">
        <f t="shared" si="80"/>
        <v>#DIV/0!</v>
      </c>
      <c r="BB235" s="106">
        <f t="shared" si="72"/>
        <v>0</v>
      </c>
      <c r="BD235" s="50"/>
      <c r="BF235" s="106">
        <f t="shared" si="73"/>
        <v>0</v>
      </c>
      <c r="BG235" s="23"/>
      <c r="BH235" s="23"/>
      <c r="BL235" s="114">
        <f t="shared" si="83"/>
        <v>0</v>
      </c>
    </row>
    <row r="236" spans="1:64" x14ac:dyDescent="0.2">
      <c r="A236" s="13" t="str">
        <f t="shared" si="68"/>
        <v>2025Q3</v>
      </c>
      <c r="B236" s="11">
        <f t="shared" si="75"/>
        <v>2025</v>
      </c>
      <c r="C236" s="11" t="s">
        <v>3</v>
      </c>
      <c r="F236" s="87">
        <f t="shared" si="69"/>
        <v>0</v>
      </c>
      <c r="I236" s="93">
        <f t="shared" si="76"/>
        <v>0</v>
      </c>
      <c r="J236" s="95" t="e">
        <f t="shared" si="81"/>
        <v>#DIV/0!</v>
      </c>
      <c r="K236" s="95" t="e">
        <f t="shared" si="82"/>
        <v>#DIV/0!</v>
      </c>
      <c r="T236" s="96" t="e">
        <f t="shared" si="77"/>
        <v>#DIV/0!</v>
      </c>
      <c r="V236" s="96" t="e">
        <f t="shared" si="78"/>
        <v>#DIV/0!</v>
      </c>
      <c r="X236" s="96" t="e">
        <f t="shared" si="87"/>
        <v>#DIV/0!</v>
      </c>
      <c r="Z236" s="96" t="e">
        <f t="shared" si="88"/>
        <v>#DIV/0!</v>
      </c>
      <c r="AC236" s="105">
        <f t="shared" si="89"/>
        <v>0</v>
      </c>
      <c r="AF236" s="49">
        <f t="shared" si="84"/>
        <v>0</v>
      </c>
      <c r="AI236" s="109">
        <f t="shared" si="86"/>
        <v>0</v>
      </c>
      <c r="AL236" s="27">
        <f t="shared" si="85"/>
        <v>0</v>
      </c>
      <c r="AP236" s="106">
        <f t="shared" si="65"/>
        <v>0</v>
      </c>
      <c r="AS236" s="118" t="e">
        <f t="shared" si="79"/>
        <v>#DIV/0!</v>
      </c>
      <c r="AT236" s="118" t="e">
        <f t="shared" si="80"/>
        <v>#DIV/0!</v>
      </c>
      <c r="BB236" s="106">
        <f t="shared" si="72"/>
        <v>0</v>
      </c>
      <c r="BD236" s="50"/>
      <c r="BF236" s="106">
        <f t="shared" si="73"/>
        <v>0</v>
      </c>
      <c r="BG236" s="23"/>
      <c r="BH236" s="23"/>
      <c r="BL236" s="114">
        <f t="shared" si="83"/>
        <v>0</v>
      </c>
    </row>
    <row r="237" spans="1:64" x14ac:dyDescent="0.2">
      <c r="A237" s="13" t="str">
        <f t="shared" si="68"/>
        <v>2025Q4</v>
      </c>
      <c r="B237" s="11">
        <f t="shared" si="75"/>
        <v>2025</v>
      </c>
      <c r="C237" s="11" t="s">
        <v>4</v>
      </c>
      <c r="F237" s="87">
        <f t="shared" si="69"/>
        <v>0</v>
      </c>
      <c r="I237" s="93">
        <f t="shared" si="76"/>
        <v>0</v>
      </c>
      <c r="J237" s="95" t="e">
        <f t="shared" si="81"/>
        <v>#DIV/0!</v>
      </c>
      <c r="K237" s="95" t="e">
        <f t="shared" si="82"/>
        <v>#DIV/0!</v>
      </c>
      <c r="T237" s="96" t="e">
        <f t="shared" si="77"/>
        <v>#DIV/0!</v>
      </c>
      <c r="V237" s="96" t="e">
        <f t="shared" si="78"/>
        <v>#DIV/0!</v>
      </c>
      <c r="X237" s="96" t="e">
        <f t="shared" si="87"/>
        <v>#DIV/0!</v>
      </c>
      <c r="Z237" s="96" t="e">
        <f t="shared" si="88"/>
        <v>#DIV/0!</v>
      </c>
      <c r="AC237" s="105">
        <f t="shared" si="89"/>
        <v>0</v>
      </c>
      <c r="AF237" s="49">
        <f t="shared" si="84"/>
        <v>0</v>
      </c>
      <c r="AI237" s="109">
        <f t="shared" si="86"/>
        <v>0</v>
      </c>
      <c r="AL237" s="27">
        <f t="shared" si="85"/>
        <v>0</v>
      </c>
      <c r="AP237" s="106">
        <f t="shared" si="65"/>
        <v>0</v>
      </c>
      <c r="AS237" s="118" t="e">
        <f t="shared" si="79"/>
        <v>#DIV/0!</v>
      </c>
      <c r="AT237" s="118" t="e">
        <f t="shared" si="80"/>
        <v>#DIV/0!</v>
      </c>
      <c r="BB237" s="106">
        <f t="shared" si="72"/>
        <v>0</v>
      </c>
      <c r="BD237" s="50"/>
      <c r="BF237" s="106">
        <f t="shared" si="73"/>
        <v>0</v>
      </c>
      <c r="BG237" s="23"/>
      <c r="BH237" s="23"/>
      <c r="BL237" s="114">
        <f t="shared" si="83"/>
        <v>0</v>
      </c>
    </row>
    <row r="238" spans="1:64" x14ac:dyDescent="0.2">
      <c r="A238" s="13" t="str">
        <f t="shared" si="68"/>
        <v>2026Q1</v>
      </c>
      <c r="B238" s="11">
        <f t="shared" ref="B238:B269" si="90">B234+1</f>
        <v>2026</v>
      </c>
      <c r="C238" s="11" t="s">
        <v>1</v>
      </c>
      <c r="F238" s="87">
        <f t="shared" si="69"/>
        <v>0</v>
      </c>
      <c r="I238" s="93">
        <f t="shared" si="76"/>
        <v>0</v>
      </c>
      <c r="J238" s="95" t="e">
        <f t="shared" si="81"/>
        <v>#DIV/0!</v>
      </c>
      <c r="K238" s="95" t="e">
        <f t="shared" si="82"/>
        <v>#DIV/0!</v>
      </c>
      <c r="T238" s="96" t="e">
        <f t="shared" ref="T238:T269" si="91">S238/$Q238*100</f>
        <v>#DIV/0!</v>
      </c>
      <c r="V238" s="96" t="e">
        <f t="shared" ref="V238:V269" si="92">U238/$Q238*100</f>
        <v>#DIV/0!</v>
      </c>
      <c r="X238" s="96" t="e">
        <f t="shared" si="87"/>
        <v>#DIV/0!</v>
      </c>
      <c r="Z238" s="96" t="e">
        <f t="shared" si="88"/>
        <v>#DIV/0!</v>
      </c>
      <c r="AC238" s="105">
        <f t="shared" si="89"/>
        <v>0</v>
      </c>
      <c r="AF238" s="49">
        <f t="shared" si="84"/>
        <v>0</v>
      </c>
      <c r="AI238" s="109">
        <f t="shared" si="86"/>
        <v>0</v>
      </c>
      <c r="AL238" s="27">
        <f t="shared" si="85"/>
        <v>0</v>
      </c>
      <c r="AP238" s="106">
        <f t="shared" si="65"/>
        <v>0</v>
      </c>
      <c r="AS238" s="118" t="e">
        <f t="shared" ref="AS238:AS269" si="93">4*(SUM($AP235:$AP238)/SUM(AQ235:AQ238))*100</f>
        <v>#DIV/0!</v>
      </c>
      <c r="AT238" s="118" t="e">
        <f t="shared" ref="AT238:AT269" si="94">4*(SUM($AP235:$AP238)/SUM(AR235:AR238))*100</f>
        <v>#DIV/0!</v>
      </c>
      <c r="BB238" s="106">
        <f t="shared" si="72"/>
        <v>0</v>
      </c>
      <c r="BD238" s="50"/>
      <c r="BF238" s="106">
        <f t="shared" si="73"/>
        <v>0</v>
      </c>
      <c r="BG238" s="23"/>
      <c r="BH238" s="23"/>
      <c r="BL238" s="114">
        <f t="shared" si="83"/>
        <v>0</v>
      </c>
    </row>
    <row r="239" spans="1:64" x14ac:dyDescent="0.2">
      <c r="A239" s="13" t="str">
        <f t="shared" si="68"/>
        <v>2026Q2</v>
      </c>
      <c r="B239" s="11">
        <f t="shared" si="90"/>
        <v>2026</v>
      </c>
      <c r="C239" s="11" t="s">
        <v>2</v>
      </c>
      <c r="F239" s="87">
        <f t="shared" si="69"/>
        <v>0</v>
      </c>
      <c r="I239" s="93">
        <f t="shared" si="76"/>
        <v>0</v>
      </c>
      <c r="J239" s="95" t="e">
        <f t="shared" si="81"/>
        <v>#DIV/0!</v>
      </c>
      <c r="K239" s="95" t="e">
        <f t="shared" si="82"/>
        <v>#DIV/0!</v>
      </c>
      <c r="T239" s="96" t="e">
        <f t="shared" si="91"/>
        <v>#DIV/0!</v>
      </c>
      <c r="V239" s="96" t="e">
        <f t="shared" si="92"/>
        <v>#DIV/0!</v>
      </c>
      <c r="X239" s="96" t="e">
        <f t="shared" si="87"/>
        <v>#DIV/0!</v>
      </c>
      <c r="Z239" s="96" t="e">
        <f t="shared" si="88"/>
        <v>#DIV/0!</v>
      </c>
      <c r="AC239" s="105">
        <f t="shared" si="89"/>
        <v>0</v>
      </c>
      <c r="AF239" s="49">
        <f t="shared" si="84"/>
        <v>0</v>
      </c>
      <c r="AI239" s="109">
        <f t="shared" si="86"/>
        <v>0</v>
      </c>
      <c r="AL239" s="27">
        <f t="shared" si="85"/>
        <v>0</v>
      </c>
      <c r="AP239" s="106">
        <f t="shared" si="65"/>
        <v>0</v>
      </c>
      <c r="AS239" s="118" t="e">
        <f t="shared" si="93"/>
        <v>#DIV/0!</v>
      </c>
      <c r="AT239" s="118" t="e">
        <f t="shared" si="94"/>
        <v>#DIV/0!</v>
      </c>
      <c r="BB239" s="106">
        <f t="shared" si="72"/>
        <v>0</v>
      </c>
      <c r="BD239" s="50"/>
      <c r="BF239" s="106">
        <f t="shared" si="73"/>
        <v>0</v>
      </c>
      <c r="BG239" s="23"/>
      <c r="BH239" s="23"/>
      <c r="BL239" s="114">
        <f t="shared" si="83"/>
        <v>0</v>
      </c>
    </row>
    <row r="240" spans="1:64" x14ac:dyDescent="0.2">
      <c r="A240" s="13" t="str">
        <f t="shared" si="68"/>
        <v>2026Q3</v>
      </c>
      <c r="B240" s="11">
        <f t="shared" si="90"/>
        <v>2026</v>
      </c>
      <c r="C240" s="11" t="s">
        <v>3</v>
      </c>
      <c r="F240" s="87">
        <f t="shared" si="69"/>
        <v>0</v>
      </c>
      <c r="I240" s="93">
        <f t="shared" si="76"/>
        <v>0</v>
      </c>
      <c r="J240" s="95" t="e">
        <f t="shared" si="81"/>
        <v>#DIV/0!</v>
      </c>
      <c r="K240" s="95" t="e">
        <f t="shared" si="82"/>
        <v>#DIV/0!</v>
      </c>
      <c r="T240" s="96" t="e">
        <f t="shared" si="91"/>
        <v>#DIV/0!</v>
      </c>
      <c r="V240" s="96" t="e">
        <f t="shared" si="92"/>
        <v>#DIV/0!</v>
      </c>
      <c r="X240" s="96" t="e">
        <f t="shared" si="87"/>
        <v>#DIV/0!</v>
      </c>
      <c r="Z240" s="96" t="e">
        <f t="shared" si="88"/>
        <v>#DIV/0!</v>
      </c>
      <c r="AC240" s="105">
        <f t="shared" si="89"/>
        <v>0</v>
      </c>
      <c r="AF240" s="49">
        <f t="shared" si="84"/>
        <v>0</v>
      </c>
      <c r="AI240" s="109">
        <f t="shared" si="86"/>
        <v>0</v>
      </c>
      <c r="AL240" s="27">
        <f t="shared" si="85"/>
        <v>0</v>
      </c>
      <c r="AP240" s="106">
        <f t="shared" si="65"/>
        <v>0</v>
      </c>
      <c r="AS240" s="118" t="e">
        <f t="shared" si="93"/>
        <v>#DIV/0!</v>
      </c>
      <c r="AT240" s="118" t="e">
        <f t="shared" si="94"/>
        <v>#DIV/0!</v>
      </c>
      <c r="BB240" s="106">
        <f t="shared" si="72"/>
        <v>0</v>
      </c>
      <c r="BD240" s="50"/>
      <c r="BF240" s="106">
        <f t="shared" si="73"/>
        <v>0</v>
      </c>
      <c r="BG240" s="23"/>
      <c r="BH240" s="23"/>
      <c r="BL240" s="114">
        <f t="shared" si="83"/>
        <v>0</v>
      </c>
    </row>
    <row r="241" spans="1:64" x14ac:dyDescent="0.2">
      <c r="A241" s="13" t="str">
        <f t="shared" si="68"/>
        <v>2026Q4</v>
      </c>
      <c r="B241" s="11">
        <f t="shared" si="90"/>
        <v>2026</v>
      </c>
      <c r="C241" s="11" t="s">
        <v>4</v>
      </c>
      <c r="F241" s="87">
        <f t="shared" si="69"/>
        <v>0</v>
      </c>
      <c r="I241" s="93">
        <f t="shared" si="76"/>
        <v>0</v>
      </c>
      <c r="J241" s="95" t="e">
        <f t="shared" si="81"/>
        <v>#DIV/0!</v>
      </c>
      <c r="K241" s="95" t="e">
        <f t="shared" si="82"/>
        <v>#DIV/0!</v>
      </c>
      <c r="T241" s="96" t="e">
        <f t="shared" si="91"/>
        <v>#DIV/0!</v>
      </c>
      <c r="V241" s="96" t="e">
        <f t="shared" si="92"/>
        <v>#DIV/0!</v>
      </c>
      <c r="X241" s="96" t="e">
        <f t="shared" si="87"/>
        <v>#DIV/0!</v>
      </c>
      <c r="Z241" s="96" t="e">
        <f t="shared" si="88"/>
        <v>#DIV/0!</v>
      </c>
      <c r="AC241" s="105">
        <f t="shared" si="89"/>
        <v>0</v>
      </c>
      <c r="AF241" s="49">
        <f t="shared" si="84"/>
        <v>0</v>
      </c>
      <c r="AI241" s="109">
        <f t="shared" si="86"/>
        <v>0</v>
      </c>
      <c r="AL241" s="27">
        <f t="shared" si="85"/>
        <v>0</v>
      </c>
      <c r="AP241" s="106">
        <f t="shared" si="65"/>
        <v>0</v>
      </c>
      <c r="AS241" s="118" t="e">
        <f t="shared" si="93"/>
        <v>#DIV/0!</v>
      </c>
      <c r="AT241" s="118" t="e">
        <f t="shared" si="94"/>
        <v>#DIV/0!</v>
      </c>
      <c r="BB241" s="106">
        <f t="shared" si="72"/>
        <v>0</v>
      </c>
      <c r="BD241" s="50"/>
      <c r="BF241" s="106">
        <f t="shared" si="73"/>
        <v>0</v>
      </c>
      <c r="BG241" s="23"/>
      <c r="BH241" s="23"/>
      <c r="BL241" s="114">
        <f t="shared" si="83"/>
        <v>0</v>
      </c>
    </row>
    <row r="242" spans="1:64" x14ac:dyDescent="0.2">
      <c r="A242" s="13" t="str">
        <f t="shared" si="68"/>
        <v>2027Q1</v>
      </c>
      <c r="B242" s="11">
        <f t="shared" si="90"/>
        <v>2027</v>
      </c>
      <c r="C242" s="11" t="s">
        <v>1</v>
      </c>
      <c r="F242" s="87">
        <f t="shared" si="69"/>
        <v>0</v>
      </c>
      <c r="I242" s="93">
        <f t="shared" si="76"/>
        <v>0</v>
      </c>
      <c r="J242" s="95" t="e">
        <f t="shared" si="81"/>
        <v>#DIV/0!</v>
      </c>
      <c r="K242" s="95" t="e">
        <f t="shared" si="82"/>
        <v>#DIV/0!</v>
      </c>
      <c r="T242" s="96" t="e">
        <f t="shared" si="91"/>
        <v>#DIV/0!</v>
      </c>
      <c r="V242" s="96" t="e">
        <f t="shared" si="92"/>
        <v>#DIV/0!</v>
      </c>
      <c r="X242" s="96" t="e">
        <f t="shared" si="87"/>
        <v>#DIV/0!</v>
      </c>
      <c r="Z242" s="96" t="e">
        <f t="shared" si="88"/>
        <v>#DIV/0!</v>
      </c>
      <c r="AC242" s="105">
        <f t="shared" si="89"/>
        <v>0</v>
      </c>
      <c r="AF242" s="49">
        <f t="shared" si="84"/>
        <v>0</v>
      </c>
      <c r="AI242" s="109">
        <f t="shared" si="86"/>
        <v>0</v>
      </c>
      <c r="AL242" s="27">
        <f t="shared" si="85"/>
        <v>0</v>
      </c>
      <c r="AP242" s="106">
        <f t="shared" si="65"/>
        <v>0</v>
      </c>
      <c r="AS242" s="118" t="e">
        <f t="shared" si="93"/>
        <v>#DIV/0!</v>
      </c>
      <c r="AT242" s="118" t="e">
        <f t="shared" si="94"/>
        <v>#DIV/0!</v>
      </c>
      <c r="BB242" s="106">
        <f t="shared" si="72"/>
        <v>0</v>
      </c>
      <c r="BD242" s="50"/>
      <c r="BF242" s="106">
        <f t="shared" si="73"/>
        <v>0</v>
      </c>
      <c r="BG242" s="23"/>
      <c r="BH242" s="23"/>
      <c r="BL242" s="114">
        <f t="shared" si="83"/>
        <v>0</v>
      </c>
    </row>
    <row r="243" spans="1:64" x14ac:dyDescent="0.2">
      <c r="A243" s="13" t="str">
        <f t="shared" si="68"/>
        <v>2027Q2</v>
      </c>
      <c r="B243" s="11">
        <f t="shared" si="90"/>
        <v>2027</v>
      </c>
      <c r="C243" s="11" t="s">
        <v>2</v>
      </c>
      <c r="F243" s="87">
        <f t="shared" si="69"/>
        <v>0</v>
      </c>
      <c r="I243" s="93">
        <f t="shared" si="76"/>
        <v>0</v>
      </c>
      <c r="J243" s="95" t="e">
        <f t="shared" si="81"/>
        <v>#DIV/0!</v>
      </c>
      <c r="K243" s="95" t="e">
        <f t="shared" si="82"/>
        <v>#DIV/0!</v>
      </c>
      <c r="T243" s="96" t="e">
        <f t="shared" si="91"/>
        <v>#DIV/0!</v>
      </c>
      <c r="V243" s="96" t="e">
        <f t="shared" si="92"/>
        <v>#DIV/0!</v>
      </c>
      <c r="X243" s="96" t="e">
        <f t="shared" si="87"/>
        <v>#DIV/0!</v>
      </c>
      <c r="Z243" s="96" t="e">
        <f t="shared" si="88"/>
        <v>#DIV/0!</v>
      </c>
      <c r="AC243" s="105">
        <f t="shared" si="89"/>
        <v>0</v>
      </c>
      <c r="AF243" s="49">
        <f t="shared" si="84"/>
        <v>0</v>
      </c>
      <c r="AI243" s="109">
        <f t="shared" si="86"/>
        <v>0</v>
      </c>
      <c r="AL243" s="27">
        <f t="shared" si="85"/>
        <v>0</v>
      </c>
      <c r="AP243" s="106">
        <f t="shared" si="65"/>
        <v>0</v>
      </c>
      <c r="AS243" s="118" t="e">
        <f t="shared" si="93"/>
        <v>#DIV/0!</v>
      </c>
      <c r="AT243" s="118" t="e">
        <f t="shared" si="94"/>
        <v>#DIV/0!</v>
      </c>
      <c r="BB243" s="106">
        <f t="shared" si="72"/>
        <v>0</v>
      </c>
      <c r="BD243" s="50"/>
      <c r="BF243" s="106">
        <f t="shared" si="73"/>
        <v>0</v>
      </c>
      <c r="BG243" s="23"/>
      <c r="BH243" s="23"/>
      <c r="BL243" s="114">
        <f t="shared" si="83"/>
        <v>0</v>
      </c>
    </row>
    <row r="244" spans="1:64" x14ac:dyDescent="0.2">
      <c r="A244" s="13" t="str">
        <f t="shared" si="68"/>
        <v>2027Q3</v>
      </c>
      <c r="B244" s="11">
        <f t="shared" si="90"/>
        <v>2027</v>
      </c>
      <c r="C244" s="11" t="s">
        <v>3</v>
      </c>
      <c r="F244" s="87">
        <f t="shared" si="69"/>
        <v>0</v>
      </c>
      <c r="I244" s="93">
        <f t="shared" si="76"/>
        <v>0</v>
      </c>
      <c r="J244" s="95" t="e">
        <f t="shared" ref="J244:J275" si="95">SUM(F241:F244,O241:O244)/AVERAGE(G241:G244)*100</f>
        <v>#DIV/0!</v>
      </c>
      <c r="K244" s="95" t="e">
        <f t="shared" ref="K244:K275" si="96">SUM(F241:F244,O241:O244)/AVERAGE(H241:H244)*100</f>
        <v>#DIV/0!</v>
      </c>
      <c r="T244" s="96" t="e">
        <f t="shared" si="91"/>
        <v>#DIV/0!</v>
      </c>
      <c r="V244" s="96" t="e">
        <f t="shared" si="92"/>
        <v>#DIV/0!</v>
      </c>
      <c r="X244" s="96" t="e">
        <f t="shared" si="87"/>
        <v>#DIV/0!</v>
      </c>
      <c r="Z244" s="96" t="e">
        <f t="shared" si="88"/>
        <v>#DIV/0!</v>
      </c>
      <c r="AC244" s="105">
        <f t="shared" si="89"/>
        <v>0</v>
      </c>
      <c r="AF244" s="49">
        <f t="shared" si="84"/>
        <v>0</v>
      </c>
      <c r="AI244" s="109">
        <f t="shared" si="86"/>
        <v>0</v>
      </c>
      <c r="AL244" s="27">
        <f t="shared" si="85"/>
        <v>0</v>
      </c>
      <c r="AP244" s="106">
        <f t="shared" si="65"/>
        <v>0</v>
      </c>
      <c r="AS244" s="118" t="e">
        <f t="shared" si="93"/>
        <v>#DIV/0!</v>
      </c>
      <c r="AT244" s="118" t="e">
        <f t="shared" si="94"/>
        <v>#DIV/0!</v>
      </c>
      <c r="BB244" s="106">
        <f t="shared" si="72"/>
        <v>0</v>
      </c>
      <c r="BD244" s="50"/>
      <c r="BF244" s="106">
        <f t="shared" si="73"/>
        <v>0</v>
      </c>
      <c r="BG244" s="23"/>
      <c r="BH244" s="23"/>
      <c r="BL244" s="114">
        <f t="shared" ref="BL244:BL275" si="97">BI244+BJ244+BK244</f>
        <v>0</v>
      </c>
    </row>
    <row r="245" spans="1:64" x14ac:dyDescent="0.2">
      <c r="A245" s="13" t="str">
        <f t="shared" si="68"/>
        <v>2027Q4</v>
      </c>
      <c r="B245" s="11">
        <f t="shared" si="90"/>
        <v>2027</v>
      </c>
      <c r="C245" s="11" t="s">
        <v>4</v>
      </c>
      <c r="F245" s="87">
        <f t="shared" si="69"/>
        <v>0</v>
      </c>
      <c r="I245" s="93">
        <f t="shared" si="76"/>
        <v>0</v>
      </c>
      <c r="J245" s="95" t="e">
        <f t="shared" si="95"/>
        <v>#DIV/0!</v>
      </c>
      <c r="K245" s="95" t="e">
        <f t="shared" si="96"/>
        <v>#DIV/0!</v>
      </c>
      <c r="T245" s="96" t="e">
        <f t="shared" si="91"/>
        <v>#DIV/0!</v>
      </c>
      <c r="V245" s="96" t="e">
        <f t="shared" si="92"/>
        <v>#DIV/0!</v>
      </c>
      <c r="X245" s="96" t="e">
        <f t="shared" si="87"/>
        <v>#DIV/0!</v>
      </c>
      <c r="Z245" s="96" t="e">
        <f t="shared" si="88"/>
        <v>#DIV/0!</v>
      </c>
      <c r="AC245" s="105">
        <f t="shared" si="89"/>
        <v>0</v>
      </c>
      <c r="AF245" s="49">
        <f t="shared" si="84"/>
        <v>0</v>
      </c>
      <c r="AI245" s="109">
        <f t="shared" si="86"/>
        <v>0</v>
      </c>
      <c r="AL245" s="27">
        <f t="shared" si="85"/>
        <v>0</v>
      </c>
      <c r="AP245" s="106">
        <f t="shared" si="65"/>
        <v>0</v>
      </c>
      <c r="AS245" s="118" t="e">
        <f t="shared" si="93"/>
        <v>#DIV/0!</v>
      </c>
      <c r="AT245" s="118" t="e">
        <f t="shared" si="94"/>
        <v>#DIV/0!</v>
      </c>
      <c r="BB245" s="106">
        <f t="shared" si="72"/>
        <v>0</v>
      </c>
      <c r="BD245" s="50"/>
      <c r="BF245" s="106">
        <f t="shared" si="73"/>
        <v>0</v>
      </c>
      <c r="BG245" s="23"/>
      <c r="BH245" s="23"/>
      <c r="BL245" s="114">
        <f t="shared" si="97"/>
        <v>0</v>
      </c>
    </row>
    <row r="246" spans="1:64" x14ac:dyDescent="0.2">
      <c r="A246" s="13" t="str">
        <f t="shared" si="68"/>
        <v>2028Q1</v>
      </c>
      <c r="B246" s="11">
        <f t="shared" si="90"/>
        <v>2028</v>
      </c>
      <c r="C246" s="11" t="s">
        <v>1</v>
      </c>
      <c r="F246" s="87">
        <f t="shared" si="69"/>
        <v>0</v>
      </c>
      <c r="I246" s="93">
        <f t="shared" si="76"/>
        <v>0</v>
      </c>
      <c r="J246" s="95" t="e">
        <f t="shared" si="95"/>
        <v>#DIV/0!</v>
      </c>
      <c r="K246" s="95" t="e">
        <f t="shared" si="96"/>
        <v>#DIV/0!</v>
      </c>
      <c r="T246" s="96" t="e">
        <f t="shared" si="91"/>
        <v>#DIV/0!</v>
      </c>
      <c r="V246" s="96" t="e">
        <f t="shared" si="92"/>
        <v>#DIV/0!</v>
      </c>
      <c r="X246" s="96" t="e">
        <f t="shared" si="87"/>
        <v>#DIV/0!</v>
      </c>
      <c r="Z246" s="96" t="e">
        <f t="shared" si="88"/>
        <v>#DIV/0!</v>
      </c>
      <c r="AC246" s="105">
        <f t="shared" si="89"/>
        <v>0</v>
      </c>
      <c r="AF246" s="49">
        <f t="shared" ref="AF246:AF277" si="98">AD246+AE246</f>
        <v>0</v>
      </c>
      <c r="AI246" s="109">
        <f t="shared" si="86"/>
        <v>0</v>
      </c>
      <c r="AL246" s="27">
        <f t="shared" si="85"/>
        <v>0</v>
      </c>
      <c r="AP246" s="106">
        <f t="shared" ref="AP246:AP293" si="99">AN246+AO246</f>
        <v>0</v>
      </c>
      <c r="AS246" s="118" t="e">
        <f t="shared" si="93"/>
        <v>#DIV/0!</v>
      </c>
      <c r="AT246" s="118" t="e">
        <f t="shared" si="94"/>
        <v>#DIV/0!</v>
      </c>
      <c r="BB246" s="106">
        <f t="shared" si="72"/>
        <v>0</v>
      </c>
      <c r="BD246" s="50"/>
      <c r="BF246" s="106">
        <f t="shared" si="73"/>
        <v>0</v>
      </c>
      <c r="BG246" s="23"/>
      <c r="BH246" s="23"/>
      <c r="BL246" s="114">
        <f t="shared" si="97"/>
        <v>0</v>
      </c>
    </row>
    <row r="247" spans="1:64" x14ac:dyDescent="0.2">
      <c r="A247" s="13" t="str">
        <f t="shared" si="68"/>
        <v>2028Q2</v>
      </c>
      <c r="B247" s="11">
        <f t="shared" si="90"/>
        <v>2028</v>
      </c>
      <c r="C247" s="11" t="s">
        <v>2</v>
      </c>
      <c r="F247" s="87">
        <f t="shared" si="69"/>
        <v>0</v>
      </c>
      <c r="I247" s="93">
        <f t="shared" si="76"/>
        <v>0</v>
      </c>
      <c r="J247" s="95" t="e">
        <f t="shared" si="95"/>
        <v>#DIV/0!</v>
      </c>
      <c r="K247" s="95" t="e">
        <f t="shared" si="96"/>
        <v>#DIV/0!</v>
      </c>
      <c r="T247" s="96" t="e">
        <f t="shared" si="91"/>
        <v>#DIV/0!</v>
      </c>
      <c r="V247" s="96" t="e">
        <f t="shared" si="92"/>
        <v>#DIV/0!</v>
      </c>
      <c r="X247" s="96" t="e">
        <f t="shared" si="87"/>
        <v>#DIV/0!</v>
      </c>
      <c r="Z247" s="96" t="e">
        <f t="shared" si="88"/>
        <v>#DIV/0!</v>
      </c>
      <c r="AC247" s="105">
        <f t="shared" si="89"/>
        <v>0</v>
      </c>
      <c r="AF247" s="49">
        <f t="shared" si="98"/>
        <v>0</v>
      </c>
      <c r="AI247" s="109">
        <f t="shared" si="86"/>
        <v>0</v>
      </c>
      <c r="AL247" s="27">
        <f t="shared" si="85"/>
        <v>0</v>
      </c>
      <c r="AP247" s="106">
        <f t="shared" si="99"/>
        <v>0</v>
      </c>
      <c r="AS247" s="118" t="e">
        <f t="shared" si="93"/>
        <v>#DIV/0!</v>
      </c>
      <c r="AT247" s="118" t="e">
        <f t="shared" si="94"/>
        <v>#DIV/0!</v>
      </c>
      <c r="BB247" s="106">
        <f t="shared" si="72"/>
        <v>0</v>
      </c>
      <c r="BD247" s="50"/>
      <c r="BF247" s="106">
        <f t="shared" si="73"/>
        <v>0</v>
      </c>
      <c r="BG247" s="23"/>
      <c r="BH247" s="23"/>
      <c r="BL247" s="114">
        <f t="shared" si="97"/>
        <v>0</v>
      </c>
    </row>
    <row r="248" spans="1:64" x14ac:dyDescent="0.2">
      <c r="A248" s="13" t="str">
        <f t="shared" si="68"/>
        <v>2028Q3</v>
      </c>
      <c r="B248" s="11">
        <f t="shared" si="90"/>
        <v>2028</v>
      </c>
      <c r="C248" s="11" t="s">
        <v>3</v>
      </c>
      <c r="F248" s="87">
        <f t="shared" si="69"/>
        <v>0</v>
      </c>
      <c r="I248" s="93">
        <f t="shared" si="76"/>
        <v>0</v>
      </c>
      <c r="J248" s="95" t="e">
        <f t="shared" si="95"/>
        <v>#DIV/0!</v>
      </c>
      <c r="K248" s="95" t="e">
        <f t="shared" si="96"/>
        <v>#DIV/0!</v>
      </c>
      <c r="T248" s="96" t="e">
        <f t="shared" si="91"/>
        <v>#DIV/0!</v>
      </c>
      <c r="V248" s="96" t="e">
        <f t="shared" si="92"/>
        <v>#DIV/0!</v>
      </c>
      <c r="X248" s="96" t="e">
        <f t="shared" si="87"/>
        <v>#DIV/0!</v>
      </c>
      <c r="Z248" s="96" t="e">
        <f t="shared" si="88"/>
        <v>#DIV/0!</v>
      </c>
      <c r="AC248" s="105">
        <f t="shared" si="89"/>
        <v>0</v>
      </c>
      <c r="AF248" s="49">
        <f t="shared" si="98"/>
        <v>0</v>
      </c>
      <c r="AI248" s="109">
        <f t="shared" si="86"/>
        <v>0</v>
      </c>
      <c r="AL248" s="27">
        <f t="shared" si="85"/>
        <v>0</v>
      </c>
      <c r="AP248" s="106">
        <f t="shared" si="99"/>
        <v>0</v>
      </c>
      <c r="AS248" s="118" t="e">
        <f t="shared" si="93"/>
        <v>#DIV/0!</v>
      </c>
      <c r="AT248" s="118" t="e">
        <f t="shared" si="94"/>
        <v>#DIV/0!</v>
      </c>
      <c r="BB248" s="106">
        <f t="shared" si="72"/>
        <v>0</v>
      </c>
      <c r="BD248" s="50"/>
      <c r="BF248" s="106">
        <f t="shared" si="73"/>
        <v>0</v>
      </c>
      <c r="BG248" s="23"/>
      <c r="BH248" s="23"/>
      <c r="BL248" s="114">
        <f t="shared" si="97"/>
        <v>0</v>
      </c>
    </row>
    <row r="249" spans="1:64" x14ac:dyDescent="0.2">
      <c r="A249" s="13" t="str">
        <f t="shared" si="68"/>
        <v>2028Q4</v>
      </c>
      <c r="B249" s="11">
        <f t="shared" si="90"/>
        <v>2028</v>
      </c>
      <c r="C249" s="11" t="s">
        <v>4</v>
      </c>
      <c r="F249" s="87">
        <f t="shared" si="69"/>
        <v>0</v>
      </c>
      <c r="I249" s="93">
        <f t="shared" si="76"/>
        <v>0</v>
      </c>
      <c r="J249" s="95" t="e">
        <f t="shared" si="95"/>
        <v>#DIV/0!</v>
      </c>
      <c r="K249" s="95" t="e">
        <f t="shared" si="96"/>
        <v>#DIV/0!</v>
      </c>
      <c r="T249" s="96" t="e">
        <f t="shared" si="91"/>
        <v>#DIV/0!</v>
      </c>
      <c r="V249" s="96" t="e">
        <f t="shared" si="92"/>
        <v>#DIV/0!</v>
      </c>
      <c r="X249" s="96" t="e">
        <f t="shared" si="87"/>
        <v>#DIV/0!</v>
      </c>
      <c r="Z249" s="96" t="e">
        <f t="shared" si="88"/>
        <v>#DIV/0!</v>
      </c>
      <c r="AC249" s="105">
        <f t="shared" si="89"/>
        <v>0</v>
      </c>
      <c r="AF249" s="49">
        <f t="shared" si="98"/>
        <v>0</v>
      </c>
      <c r="AI249" s="109">
        <f t="shared" si="86"/>
        <v>0</v>
      </c>
      <c r="AL249" s="27">
        <f t="shared" si="85"/>
        <v>0</v>
      </c>
      <c r="AP249" s="106">
        <f t="shared" si="99"/>
        <v>0</v>
      </c>
      <c r="AS249" s="118" t="e">
        <f t="shared" si="93"/>
        <v>#DIV/0!</v>
      </c>
      <c r="AT249" s="118" t="e">
        <f t="shared" si="94"/>
        <v>#DIV/0!</v>
      </c>
      <c r="BB249" s="106">
        <f t="shared" si="72"/>
        <v>0</v>
      </c>
      <c r="BD249" s="50"/>
      <c r="BF249" s="106">
        <f t="shared" si="73"/>
        <v>0</v>
      </c>
      <c r="BG249" s="23"/>
      <c r="BH249" s="23"/>
      <c r="BL249" s="114">
        <f t="shared" si="97"/>
        <v>0</v>
      </c>
    </row>
    <row r="250" spans="1:64" x14ac:dyDescent="0.2">
      <c r="A250" s="13" t="str">
        <f t="shared" si="68"/>
        <v>2029Q1</v>
      </c>
      <c r="B250" s="11">
        <f t="shared" si="90"/>
        <v>2029</v>
      </c>
      <c r="C250" s="11" t="s">
        <v>1</v>
      </c>
      <c r="F250" s="87">
        <f t="shared" si="69"/>
        <v>0</v>
      </c>
      <c r="I250" s="93">
        <f t="shared" si="76"/>
        <v>0</v>
      </c>
      <c r="J250" s="95" t="e">
        <f t="shared" si="95"/>
        <v>#DIV/0!</v>
      </c>
      <c r="K250" s="95" t="e">
        <f t="shared" si="96"/>
        <v>#DIV/0!</v>
      </c>
      <c r="T250" s="96" t="e">
        <f t="shared" si="91"/>
        <v>#DIV/0!</v>
      </c>
      <c r="V250" s="96" t="e">
        <f t="shared" si="92"/>
        <v>#DIV/0!</v>
      </c>
      <c r="X250" s="96" t="e">
        <f t="shared" si="87"/>
        <v>#DIV/0!</v>
      </c>
      <c r="Z250" s="96" t="e">
        <f t="shared" si="88"/>
        <v>#DIV/0!</v>
      </c>
      <c r="AC250" s="105">
        <f t="shared" si="89"/>
        <v>0</v>
      </c>
      <c r="AF250" s="49">
        <f t="shared" si="98"/>
        <v>0</v>
      </c>
      <c r="AI250" s="109">
        <f t="shared" si="86"/>
        <v>0</v>
      </c>
      <c r="AL250" s="27">
        <f t="shared" si="85"/>
        <v>0</v>
      </c>
      <c r="AP250" s="106">
        <f t="shared" si="99"/>
        <v>0</v>
      </c>
      <c r="AS250" s="118" t="e">
        <f t="shared" si="93"/>
        <v>#DIV/0!</v>
      </c>
      <c r="AT250" s="118" t="e">
        <f t="shared" si="94"/>
        <v>#DIV/0!</v>
      </c>
      <c r="BB250" s="106">
        <f t="shared" si="72"/>
        <v>0</v>
      </c>
      <c r="BD250" s="50"/>
      <c r="BF250" s="106">
        <f t="shared" si="73"/>
        <v>0</v>
      </c>
      <c r="BG250" s="23"/>
      <c r="BH250" s="23"/>
      <c r="BL250" s="114">
        <f t="shared" si="97"/>
        <v>0</v>
      </c>
    </row>
    <row r="251" spans="1:64" x14ac:dyDescent="0.2">
      <c r="A251" s="13" t="str">
        <f t="shared" si="68"/>
        <v>2029Q2</v>
      </c>
      <c r="B251" s="11">
        <f t="shared" si="90"/>
        <v>2029</v>
      </c>
      <c r="C251" s="11" t="s">
        <v>2</v>
      </c>
      <c r="F251" s="87">
        <f t="shared" si="69"/>
        <v>0</v>
      </c>
      <c r="I251" s="93">
        <f t="shared" si="76"/>
        <v>0</v>
      </c>
      <c r="J251" s="95" t="e">
        <f t="shared" si="95"/>
        <v>#DIV/0!</v>
      </c>
      <c r="K251" s="95" t="e">
        <f t="shared" si="96"/>
        <v>#DIV/0!</v>
      </c>
      <c r="T251" s="96" t="e">
        <f t="shared" si="91"/>
        <v>#DIV/0!</v>
      </c>
      <c r="V251" s="96" t="e">
        <f t="shared" si="92"/>
        <v>#DIV/0!</v>
      </c>
      <c r="X251" s="96" t="e">
        <f t="shared" si="87"/>
        <v>#DIV/0!</v>
      </c>
      <c r="Z251" s="96" t="e">
        <f t="shared" si="88"/>
        <v>#DIV/0!</v>
      </c>
      <c r="AC251" s="105">
        <f t="shared" si="89"/>
        <v>0</v>
      </c>
      <c r="AF251" s="49">
        <f t="shared" si="98"/>
        <v>0</v>
      </c>
      <c r="AI251" s="109">
        <f t="shared" si="86"/>
        <v>0</v>
      </c>
      <c r="AL251" s="27">
        <f t="shared" ref="AL251:AL282" si="100">AJ251+AK251</f>
        <v>0</v>
      </c>
      <c r="AP251" s="106">
        <f t="shared" si="99"/>
        <v>0</v>
      </c>
      <c r="AS251" s="118" t="e">
        <f t="shared" si="93"/>
        <v>#DIV/0!</v>
      </c>
      <c r="AT251" s="118" t="e">
        <f t="shared" si="94"/>
        <v>#DIV/0!</v>
      </c>
      <c r="BB251" s="106">
        <f t="shared" si="72"/>
        <v>0</v>
      </c>
      <c r="BD251" s="50"/>
      <c r="BF251" s="106">
        <f t="shared" si="73"/>
        <v>0</v>
      </c>
      <c r="BG251" s="23"/>
      <c r="BH251" s="23"/>
      <c r="BL251" s="114">
        <f t="shared" si="97"/>
        <v>0</v>
      </c>
    </row>
    <row r="252" spans="1:64" x14ac:dyDescent="0.2">
      <c r="A252" s="13" t="str">
        <f t="shared" si="68"/>
        <v>2029Q3</v>
      </c>
      <c r="B252" s="11">
        <f t="shared" si="90"/>
        <v>2029</v>
      </c>
      <c r="C252" s="11" t="s">
        <v>3</v>
      </c>
      <c r="F252" s="87">
        <f t="shared" si="69"/>
        <v>0</v>
      </c>
      <c r="I252" s="93">
        <f t="shared" si="76"/>
        <v>0</v>
      </c>
      <c r="J252" s="95" t="e">
        <f t="shared" si="95"/>
        <v>#DIV/0!</v>
      </c>
      <c r="K252" s="95" t="e">
        <f t="shared" si="96"/>
        <v>#DIV/0!</v>
      </c>
      <c r="T252" s="96" t="e">
        <f t="shared" si="91"/>
        <v>#DIV/0!</v>
      </c>
      <c r="V252" s="96" t="e">
        <f t="shared" si="92"/>
        <v>#DIV/0!</v>
      </c>
      <c r="X252" s="96" t="e">
        <f t="shared" si="87"/>
        <v>#DIV/0!</v>
      </c>
      <c r="Z252" s="96" t="e">
        <f t="shared" si="88"/>
        <v>#DIV/0!</v>
      </c>
      <c r="AC252" s="105">
        <f t="shared" si="89"/>
        <v>0</v>
      </c>
      <c r="AF252" s="49">
        <f t="shared" si="98"/>
        <v>0</v>
      </c>
      <c r="AI252" s="109">
        <f t="shared" si="86"/>
        <v>0</v>
      </c>
      <c r="AL252" s="27">
        <f t="shared" si="100"/>
        <v>0</v>
      </c>
      <c r="AP252" s="106">
        <f t="shared" si="99"/>
        <v>0</v>
      </c>
      <c r="AS252" s="118" t="e">
        <f t="shared" si="93"/>
        <v>#DIV/0!</v>
      </c>
      <c r="AT252" s="118" t="e">
        <f t="shared" si="94"/>
        <v>#DIV/0!</v>
      </c>
      <c r="BB252" s="106">
        <f t="shared" si="72"/>
        <v>0</v>
      </c>
      <c r="BD252" s="50"/>
      <c r="BF252" s="106">
        <f t="shared" si="73"/>
        <v>0</v>
      </c>
      <c r="BG252" s="23"/>
      <c r="BH252" s="23"/>
      <c r="BL252" s="114">
        <f t="shared" si="97"/>
        <v>0</v>
      </c>
    </row>
    <row r="253" spans="1:64" x14ac:dyDescent="0.2">
      <c r="A253" s="13" t="str">
        <f t="shared" si="68"/>
        <v>2029Q4</v>
      </c>
      <c r="B253" s="11">
        <f t="shared" si="90"/>
        <v>2029</v>
      </c>
      <c r="C253" s="11" t="s">
        <v>4</v>
      </c>
      <c r="F253" s="87">
        <f t="shared" si="69"/>
        <v>0</v>
      </c>
      <c r="I253" s="93">
        <f t="shared" si="76"/>
        <v>0</v>
      </c>
      <c r="J253" s="95" t="e">
        <f t="shared" si="95"/>
        <v>#DIV/0!</v>
      </c>
      <c r="K253" s="95" t="e">
        <f t="shared" si="96"/>
        <v>#DIV/0!</v>
      </c>
      <c r="T253" s="96" t="e">
        <f t="shared" si="91"/>
        <v>#DIV/0!</v>
      </c>
      <c r="V253" s="96" t="e">
        <f t="shared" si="92"/>
        <v>#DIV/0!</v>
      </c>
      <c r="X253" s="96" t="e">
        <f t="shared" si="87"/>
        <v>#DIV/0!</v>
      </c>
      <c r="Z253" s="96" t="e">
        <f t="shared" si="88"/>
        <v>#DIV/0!</v>
      </c>
      <c r="AC253" s="105">
        <f t="shared" si="89"/>
        <v>0</v>
      </c>
      <c r="AF253" s="49">
        <f t="shared" si="98"/>
        <v>0</v>
      </c>
      <c r="AI253" s="109">
        <f t="shared" si="86"/>
        <v>0</v>
      </c>
      <c r="AL253" s="27">
        <f t="shared" si="100"/>
        <v>0</v>
      </c>
      <c r="AP253" s="106">
        <f t="shared" si="99"/>
        <v>0</v>
      </c>
      <c r="AS253" s="118" t="e">
        <f t="shared" si="93"/>
        <v>#DIV/0!</v>
      </c>
      <c r="AT253" s="118" t="e">
        <f t="shared" si="94"/>
        <v>#DIV/0!</v>
      </c>
      <c r="BB253" s="106">
        <f t="shared" si="72"/>
        <v>0</v>
      </c>
      <c r="BD253" s="50"/>
      <c r="BF253" s="106">
        <f t="shared" si="73"/>
        <v>0</v>
      </c>
      <c r="BG253" s="23"/>
      <c r="BH253" s="23"/>
      <c r="BL253" s="114">
        <f t="shared" si="97"/>
        <v>0</v>
      </c>
    </row>
    <row r="254" spans="1:64" x14ac:dyDescent="0.2">
      <c r="A254" s="13" t="str">
        <f t="shared" si="68"/>
        <v>2030Q1</v>
      </c>
      <c r="B254" s="11">
        <f t="shared" si="90"/>
        <v>2030</v>
      </c>
      <c r="C254" s="11" t="s">
        <v>1</v>
      </c>
      <c r="F254" s="87">
        <f t="shared" si="69"/>
        <v>0</v>
      </c>
      <c r="I254" s="93">
        <f t="shared" si="76"/>
        <v>0</v>
      </c>
      <c r="J254" s="95" t="e">
        <f t="shared" si="95"/>
        <v>#DIV/0!</v>
      </c>
      <c r="K254" s="95" t="e">
        <f t="shared" si="96"/>
        <v>#DIV/0!</v>
      </c>
      <c r="T254" s="96" t="e">
        <f t="shared" si="91"/>
        <v>#DIV/0!</v>
      </c>
      <c r="V254" s="96" t="e">
        <f t="shared" si="92"/>
        <v>#DIV/0!</v>
      </c>
      <c r="X254" s="96" t="e">
        <f t="shared" si="87"/>
        <v>#DIV/0!</v>
      </c>
      <c r="Z254" s="96" t="e">
        <f t="shared" si="88"/>
        <v>#DIV/0!</v>
      </c>
      <c r="AC254" s="105">
        <f t="shared" si="89"/>
        <v>0</v>
      </c>
      <c r="AF254" s="49">
        <f t="shared" si="98"/>
        <v>0</v>
      </c>
      <c r="AI254" s="109">
        <f t="shared" ref="AI254:AI285" si="101">AG254+AH254</f>
        <v>0</v>
      </c>
      <c r="AL254" s="27">
        <f t="shared" si="100"/>
        <v>0</v>
      </c>
      <c r="AP254" s="106">
        <f t="shared" si="99"/>
        <v>0</v>
      </c>
      <c r="AS254" s="118" t="e">
        <f t="shared" si="93"/>
        <v>#DIV/0!</v>
      </c>
      <c r="AT254" s="118" t="e">
        <f t="shared" si="94"/>
        <v>#DIV/0!</v>
      </c>
      <c r="BB254" s="106">
        <f t="shared" si="72"/>
        <v>0</v>
      </c>
      <c r="BD254" s="50"/>
      <c r="BF254" s="106">
        <f t="shared" si="73"/>
        <v>0</v>
      </c>
      <c r="BG254" s="23"/>
      <c r="BH254" s="23"/>
      <c r="BL254" s="114">
        <f t="shared" si="97"/>
        <v>0</v>
      </c>
    </row>
    <row r="255" spans="1:64" x14ac:dyDescent="0.2">
      <c r="A255" s="13" t="str">
        <f t="shared" si="68"/>
        <v>2030Q2</v>
      </c>
      <c r="B255" s="11">
        <f t="shared" si="90"/>
        <v>2030</v>
      </c>
      <c r="C255" s="11" t="s">
        <v>2</v>
      </c>
      <c r="F255" s="87">
        <f t="shared" si="69"/>
        <v>0</v>
      </c>
      <c r="I255" s="93">
        <f t="shared" si="76"/>
        <v>0</v>
      </c>
      <c r="J255" s="95" t="e">
        <f t="shared" si="95"/>
        <v>#DIV/0!</v>
      </c>
      <c r="K255" s="95" t="e">
        <f t="shared" si="96"/>
        <v>#DIV/0!</v>
      </c>
      <c r="T255" s="96" t="e">
        <f t="shared" si="91"/>
        <v>#DIV/0!</v>
      </c>
      <c r="V255" s="96" t="e">
        <f t="shared" si="92"/>
        <v>#DIV/0!</v>
      </c>
      <c r="X255" s="96" t="e">
        <f t="shared" si="87"/>
        <v>#DIV/0!</v>
      </c>
      <c r="Z255" s="96" t="e">
        <f t="shared" si="88"/>
        <v>#DIV/0!</v>
      </c>
      <c r="AC255" s="105">
        <f t="shared" si="89"/>
        <v>0</v>
      </c>
      <c r="AF255" s="49">
        <f t="shared" si="98"/>
        <v>0</v>
      </c>
      <c r="AI255" s="109">
        <f t="shared" si="101"/>
        <v>0</v>
      </c>
      <c r="AL255" s="27">
        <f t="shared" si="100"/>
        <v>0</v>
      </c>
      <c r="AP255" s="106">
        <f t="shared" si="99"/>
        <v>0</v>
      </c>
      <c r="AS255" s="118" t="e">
        <f t="shared" si="93"/>
        <v>#DIV/0!</v>
      </c>
      <c r="AT255" s="118" t="e">
        <f t="shared" si="94"/>
        <v>#DIV/0!</v>
      </c>
      <c r="BB255" s="106">
        <f t="shared" si="72"/>
        <v>0</v>
      </c>
      <c r="BD255" s="50"/>
      <c r="BF255" s="106">
        <f t="shared" si="73"/>
        <v>0</v>
      </c>
      <c r="BG255" s="23"/>
      <c r="BH255" s="23"/>
      <c r="BL255" s="114">
        <f t="shared" si="97"/>
        <v>0</v>
      </c>
    </row>
    <row r="256" spans="1:64" x14ac:dyDescent="0.2">
      <c r="A256" s="13" t="str">
        <f t="shared" si="68"/>
        <v>2030Q3</v>
      </c>
      <c r="B256" s="11">
        <f t="shared" si="90"/>
        <v>2030</v>
      </c>
      <c r="C256" s="11" t="s">
        <v>3</v>
      </c>
      <c r="F256" s="87">
        <f t="shared" si="69"/>
        <v>0</v>
      </c>
      <c r="I256" s="93">
        <f t="shared" si="76"/>
        <v>0</v>
      </c>
      <c r="J256" s="95" t="e">
        <f t="shared" si="95"/>
        <v>#DIV/0!</v>
      </c>
      <c r="K256" s="95" t="e">
        <f t="shared" si="96"/>
        <v>#DIV/0!</v>
      </c>
      <c r="T256" s="96" t="e">
        <f t="shared" si="91"/>
        <v>#DIV/0!</v>
      </c>
      <c r="V256" s="96" t="e">
        <f t="shared" si="92"/>
        <v>#DIV/0!</v>
      </c>
      <c r="X256" s="96" t="e">
        <f t="shared" si="87"/>
        <v>#DIV/0!</v>
      </c>
      <c r="Z256" s="96" t="e">
        <f t="shared" si="88"/>
        <v>#DIV/0!</v>
      </c>
      <c r="AC256" s="105">
        <f t="shared" si="89"/>
        <v>0</v>
      </c>
      <c r="AF256" s="49">
        <f t="shared" si="98"/>
        <v>0</v>
      </c>
      <c r="AI256" s="109">
        <f t="shared" si="101"/>
        <v>0</v>
      </c>
      <c r="AL256" s="27">
        <f t="shared" si="100"/>
        <v>0</v>
      </c>
      <c r="AP256" s="106">
        <f t="shared" si="99"/>
        <v>0</v>
      </c>
      <c r="AS256" s="118" t="e">
        <f t="shared" si="93"/>
        <v>#DIV/0!</v>
      </c>
      <c r="AT256" s="118" t="e">
        <f t="shared" si="94"/>
        <v>#DIV/0!</v>
      </c>
      <c r="BB256" s="106">
        <f t="shared" si="72"/>
        <v>0</v>
      </c>
      <c r="BD256" s="50"/>
      <c r="BF256" s="106">
        <f t="shared" si="73"/>
        <v>0</v>
      </c>
      <c r="BG256" s="23"/>
      <c r="BH256" s="23"/>
      <c r="BL256" s="114">
        <f t="shared" si="97"/>
        <v>0</v>
      </c>
    </row>
    <row r="257" spans="1:64" x14ac:dyDescent="0.2">
      <c r="A257" s="13" t="str">
        <f t="shared" si="68"/>
        <v>2030Q4</v>
      </c>
      <c r="B257" s="11">
        <f t="shared" si="90"/>
        <v>2030</v>
      </c>
      <c r="C257" s="11" t="s">
        <v>4</v>
      </c>
      <c r="F257" s="87">
        <f t="shared" si="69"/>
        <v>0</v>
      </c>
      <c r="I257" s="93">
        <f t="shared" si="76"/>
        <v>0</v>
      </c>
      <c r="J257" s="95" t="e">
        <f t="shared" si="95"/>
        <v>#DIV/0!</v>
      </c>
      <c r="K257" s="95" t="e">
        <f t="shared" si="96"/>
        <v>#DIV/0!</v>
      </c>
      <c r="T257" s="96" t="e">
        <f t="shared" si="91"/>
        <v>#DIV/0!</v>
      </c>
      <c r="V257" s="96" t="e">
        <f t="shared" si="92"/>
        <v>#DIV/0!</v>
      </c>
      <c r="X257" s="96" t="e">
        <f t="shared" si="87"/>
        <v>#DIV/0!</v>
      </c>
      <c r="Z257" s="96" t="e">
        <f t="shared" si="88"/>
        <v>#DIV/0!</v>
      </c>
      <c r="AC257" s="105">
        <f t="shared" si="89"/>
        <v>0</v>
      </c>
      <c r="AF257" s="49">
        <f t="shared" si="98"/>
        <v>0</v>
      </c>
      <c r="AI257" s="109">
        <f t="shared" si="101"/>
        <v>0</v>
      </c>
      <c r="AL257" s="27">
        <f t="shared" si="100"/>
        <v>0</v>
      </c>
      <c r="AP257" s="106">
        <f t="shared" si="99"/>
        <v>0</v>
      </c>
      <c r="AS257" s="118" t="e">
        <f t="shared" si="93"/>
        <v>#DIV/0!</v>
      </c>
      <c r="AT257" s="118" t="e">
        <f t="shared" si="94"/>
        <v>#DIV/0!</v>
      </c>
      <c r="BB257" s="106">
        <f t="shared" si="72"/>
        <v>0</v>
      </c>
      <c r="BD257" s="50"/>
      <c r="BF257" s="106">
        <f t="shared" si="73"/>
        <v>0</v>
      </c>
      <c r="BG257" s="23"/>
      <c r="BH257" s="23"/>
      <c r="BL257" s="114">
        <f t="shared" si="97"/>
        <v>0</v>
      </c>
    </row>
    <row r="258" spans="1:64" x14ac:dyDescent="0.2">
      <c r="A258" s="13" t="str">
        <f t="shared" si="68"/>
        <v>2031Q1</v>
      </c>
      <c r="B258" s="11">
        <f t="shared" si="90"/>
        <v>2031</v>
      </c>
      <c r="C258" s="11" t="s">
        <v>1</v>
      </c>
      <c r="F258" s="87">
        <f t="shared" si="69"/>
        <v>0</v>
      </c>
      <c r="I258" s="93">
        <f t="shared" si="76"/>
        <v>0</v>
      </c>
      <c r="J258" s="95" t="e">
        <f t="shared" si="95"/>
        <v>#DIV/0!</v>
      </c>
      <c r="K258" s="95" t="e">
        <f t="shared" si="96"/>
        <v>#DIV/0!</v>
      </c>
      <c r="T258" s="96" t="e">
        <f t="shared" si="91"/>
        <v>#DIV/0!</v>
      </c>
      <c r="V258" s="96" t="e">
        <f t="shared" si="92"/>
        <v>#DIV/0!</v>
      </c>
      <c r="X258" s="96" t="e">
        <f t="shared" si="87"/>
        <v>#DIV/0!</v>
      </c>
      <c r="Z258" s="96" t="e">
        <f t="shared" si="88"/>
        <v>#DIV/0!</v>
      </c>
      <c r="AC258" s="105">
        <f t="shared" si="89"/>
        <v>0</v>
      </c>
      <c r="AF258" s="49">
        <f t="shared" si="98"/>
        <v>0</v>
      </c>
      <c r="AI258" s="109">
        <f t="shared" si="101"/>
        <v>0</v>
      </c>
      <c r="AL258" s="27">
        <f t="shared" si="100"/>
        <v>0</v>
      </c>
      <c r="AP258" s="106">
        <f t="shared" si="99"/>
        <v>0</v>
      </c>
      <c r="AS258" s="118" t="e">
        <f t="shared" si="93"/>
        <v>#DIV/0!</v>
      </c>
      <c r="AT258" s="118" t="e">
        <f t="shared" si="94"/>
        <v>#DIV/0!</v>
      </c>
      <c r="BB258" s="106">
        <f t="shared" si="72"/>
        <v>0</v>
      </c>
      <c r="BD258" s="50"/>
      <c r="BF258" s="106">
        <f t="shared" si="73"/>
        <v>0</v>
      </c>
      <c r="BG258" s="23"/>
      <c r="BH258" s="23"/>
      <c r="BL258" s="114">
        <f t="shared" si="97"/>
        <v>0</v>
      </c>
    </row>
    <row r="259" spans="1:64" x14ac:dyDescent="0.2">
      <c r="A259" s="13" t="str">
        <f t="shared" si="68"/>
        <v>2031Q2</v>
      </c>
      <c r="B259" s="11">
        <f t="shared" si="90"/>
        <v>2031</v>
      </c>
      <c r="C259" s="11" t="s">
        <v>2</v>
      </c>
      <c r="F259" s="87">
        <f t="shared" si="69"/>
        <v>0</v>
      </c>
      <c r="I259" s="93">
        <f t="shared" si="76"/>
        <v>0</v>
      </c>
      <c r="J259" s="95" t="e">
        <f t="shared" si="95"/>
        <v>#DIV/0!</v>
      </c>
      <c r="K259" s="95" t="e">
        <f t="shared" si="96"/>
        <v>#DIV/0!</v>
      </c>
      <c r="T259" s="96" t="e">
        <f t="shared" si="91"/>
        <v>#DIV/0!</v>
      </c>
      <c r="V259" s="96" t="e">
        <f t="shared" si="92"/>
        <v>#DIV/0!</v>
      </c>
      <c r="X259" s="96" t="e">
        <f t="shared" si="87"/>
        <v>#DIV/0!</v>
      </c>
      <c r="Z259" s="96" t="e">
        <f t="shared" si="88"/>
        <v>#DIV/0!</v>
      </c>
      <c r="AC259" s="105">
        <f t="shared" si="89"/>
        <v>0</v>
      </c>
      <c r="AF259" s="49">
        <f t="shared" si="98"/>
        <v>0</v>
      </c>
      <c r="AI259" s="109">
        <f t="shared" si="101"/>
        <v>0</v>
      </c>
      <c r="AL259" s="27">
        <f t="shared" si="100"/>
        <v>0</v>
      </c>
      <c r="AP259" s="106">
        <f t="shared" si="99"/>
        <v>0</v>
      </c>
      <c r="AS259" s="118" t="e">
        <f t="shared" si="93"/>
        <v>#DIV/0!</v>
      </c>
      <c r="AT259" s="118" t="e">
        <f t="shared" si="94"/>
        <v>#DIV/0!</v>
      </c>
      <c r="BB259" s="106">
        <f t="shared" si="72"/>
        <v>0</v>
      </c>
      <c r="BD259" s="50"/>
      <c r="BF259" s="106">
        <f t="shared" si="73"/>
        <v>0</v>
      </c>
      <c r="BG259" s="23"/>
      <c r="BH259" s="23"/>
      <c r="BL259" s="114">
        <f t="shared" si="97"/>
        <v>0</v>
      </c>
    </row>
    <row r="260" spans="1:64" x14ac:dyDescent="0.2">
      <c r="A260" s="13" t="str">
        <f t="shared" si="68"/>
        <v>2031Q3</v>
      </c>
      <c r="B260" s="11">
        <f t="shared" si="90"/>
        <v>2031</v>
      </c>
      <c r="C260" s="11" t="s">
        <v>3</v>
      </c>
      <c r="F260" s="87">
        <f t="shared" si="69"/>
        <v>0</v>
      </c>
      <c r="I260" s="93">
        <f t="shared" si="76"/>
        <v>0</v>
      </c>
      <c r="J260" s="95" t="e">
        <f t="shared" si="95"/>
        <v>#DIV/0!</v>
      </c>
      <c r="K260" s="95" t="e">
        <f t="shared" si="96"/>
        <v>#DIV/0!</v>
      </c>
      <c r="T260" s="96" t="e">
        <f t="shared" si="91"/>
        <v>#DIV/0!</v>
      </c>
      <c r="V260" s="96" t="e">
        <f t="shared" si="92"/>
        <v>#DIV/0!</v>
      </c>
      <c r="X260" s="96" t="e">
        <f t="shared" si="87"/>
        <v>#DIV/0!</v>
      </c>
      <c r="Z260" s="96" t="e">
        <f t="shared" si="88"/>
        <v>#DIV/0!</v>
      </c>
      <c r="AC260" s="105">
        <f t="shared" si="89"/>
        <v>0</v>
      </c>
      <c r="AF260" s="49">
        <f t="shared" si="98"/>
        <v>0</v>
      </c>
      <c r="AI260" s="109">
        <f t="shared" si="101"/>
        <v>0</v>
      </c>
      <c r="AL260" s="27">
        <f t="shared" si="100"/>
        <v>0</v>
      </c>
      <c r="AP260" s="106">
        <f t="shared" si="99"/>
        <v>0</v>
      </c>
      <c r="AS260" s="118" t="e">
        <f t="shared" si="93"/>
        <v>#DIV/0!</v>
      </c>
      <c r="AT260" s="118" t="e">
        <f t="shared" si="94"/>
        <v>#DIV/0!</v>
      </c>
      <c r="BB260" s="106">
        <f t="shared" si="72"/>
        <v>0</v>
      </c>
      <c r="BD260" s="50"/>
      <c r="BF260" s="106">
        <f t="shared" si="73"/>
        <v>0</v>
      </c>
      <c r="BG260" s="23"/>
      <c r="BH260" s="23"/>
      <c r="BL260" s="114">
        <f t="shared" si="97"/>
        <v>0</v>
      </c>
    </row>
    <row r="261" spans="1:64" x14ac:dyDescent="0.2">
      <c r="A261" s="13" t="str">
        <f t="shared" si="68"/>
        <v>2031Q4</v>
      </c>
      <c r="B261" s="11">
        <f t="shared" si="90"/>
        <v>2031</v>
      </c>
      <c r="C261" s="11" t="s">
        <v>4</v>
      </c>
      <c r="F261" s="87">
        <f t="shared" si="69"/>
        <v>0</v>
      </c>
      <c r="I261" s="93">
        <f t="shared" si="76"/>
        <v>0</v>
      </c>
      <c r="J261" s="95" t="e">
        <f t="shared" si="95"/>
        <v>#DIV/0!</v>
      </c>
      <c r="K261" s="95" t="e">
        <f t="shared" si="96"/>
        <v>#DIV/0!</v>
      </c>
      <c r="T261" s="96" t="e">
        <f t="shared" si="91"/>
        <v>#DIV/0!</v>
      </c>
      <c r="V261" s="96" t="e">
        <f t="shared" si="92"/>
        <v>#DIV/0!</v>
      </c>
      <c r="X261" s="96" t="e">
        <f t="shared" si="87"/>
        <v>#DIV/0!</v>
      </c>
      <c r="Z261" s="96" t="e">
        <f t="shared" si="88"/>
        <v>#DIV/0!</v>
      </c>
      <c r="AC261" s="105">
        <f t="shared" si="89"/>
        <v>0</v>
      </c>
      <c r="AF261" s="49">
        <f t="shared" si="98"/>
        <v>0</v>
      </c>
      <c r="AI261" s="109">
        <f t="shared" si="101"/>
        <v>0</v>
      </c>
      <c r="AL261" s="27">
        <f t="shared" si="100"/>
        <v>0</v>
      </c>
      <c r="AP261" s="106">
        <f t="shared" si="99"/>
        <v>0</v>
      </c>
      <c r="AS261" s="118" t="e">
        <f t="shared" si="93"/>
        <v>#DIV/0!</v>
      </c>
      <c r="AT261" s="118" t="e">
        <f t="shared" si="94"/>
        <v>#DIV/0!</v>
      </c>
      <c r="BB261" s="106">
        <f t="shared" si="72"/>
        <v>0</v>
      </c>
      <c r="BD261" s="50"/>
      <c r="BF261" s="106">
        <f t="shared" si="73"/>
        <v>0</v>
      </c>
      <c r="BG261" s="23"/>
      <c r="BH261" s="23"/>
      <c r="BL261" s="114">
        <f t="shared" si="97"/>
        <v>0</v>
      </c>
    </row>
    <row r="262" spans="1:64" x14ac:dyDescent="0.2">
      <c r="A262" s="13" t="str">
        <f t="shared" ref="A262:A293" si="102">B262&amp;C262</f>
        <v>2032Q1</v>
      </c>
      <c r="B262" s="11">
        <f t="shared" si="90"/>
        <v>2032</v>
      </c>
      <c r="C262" s="11" t="s">
        <v>1</v>
      </c>
      <c r="F262" s="87">
        <f t="shared" ref="F262:F293" si="103">D262+E262</f>
        <v>0</v>
      </c>
      <c r="I262" s="93">
        <f t="shared" si="76"/>
        <v>0</v>
      </c>
      <c r="J262" s="95" t="e">
        <f t="shared" si="95"/>
        <v>#DIV/0!</v>
      </c>
      <c r="K262" s="95" t="e">
        <f t="shared" si="96"/>
        <v>#DIV/0!</v>
      </c>
      <c r="T262" s="96" t="e">
        <f t="shared" si="91"/>
        <v>#DIV/0!</v>
      </c>
      <c r="V262" s="96" t="e">
        <f t="shared" si="92"/>
        <v>#DIV/0!</v>
      </c>
      <c r="X262" s="96" t="e">
        <f t="shared" ref="X262:X293" si="104">IF(W262="..","..",W262/$Q262*100)</f>
        <v>#DIV/0!</v>
      </c>
      <c r="Z262" s="96" t="e">
        <f t="shared" ref="Z262:Z293" si="105">IF(Y262="..","..",Y262/$Q262*100)</f>
        <v>#DIV/0!</v>
      </c>
      <c r="AC262" s="105">
        <f t="shared" si="89"/>
        <v>0</v>
      </c>
      <c r="AF262" s="49">
        <f t="shared" si="98"/>
        <v>0</v>
      </c>
      <c r="AI262" s="109">
        <f t="shared" si="101"/>
        <v>0</v>
      </c>
      <c r="AL262" s="27">
        <f t="shared" si="100"/>
        <v>0</v>
      </c>
      <c r="AP262" s="106">
        <f t="shared" si="99"/>
        <v>0</v>
      </c>
      <c r="AS262" s="118" t="e">
        <f t="shared" si="93"/>
        <v>#DIV/0!</v>
      </c>
      <c r="AT262" s="118" t="e">
        <f t="shared" si="94"/>
        <v>#DIV/0!</v>
      </c>
      <c r="BB262" s="106">
        <f t="shared" ref="BB262:BB293" si="106">IF(BA262=":",AY262,AY262+BA262)</f>
        <v>0</v>
      </c>
      <c r="BD262" s="50"/>
      <c r="BF262" s="106">
        <f t="shared" ref="BF262:BF293" si="107">IF(BE262="..","..",BD262+BE262)</f>
        <v>0</v>
      </c>
      <c r="BG262" s="23"/>
      <c r="BH262" s="23"/>
      <c r="BL262" s="114">
        <f t="shared" si="97"/>
        <v>0</v>
      </c>
    </row>
    <row r="263" spans="1:64" x14ac:dyDescent="0.2">
      <c r="A263" s="13" t="str">
        <f t="shared" si="102"/>
        <v>2032Q2</v>
      </c>
      <c r="B263" s="11">
        <f t="shared" si="90"/>
        <v>2032</v>
      </c>
      <c r="C263" s="11" t="s">
        <v>2</v>
      </c>
      <c r="F263" s="87">
        <f t="shared" si="103"/>
        <v>0</v>
      </c>
      <c r="I263" s="93">
        <f t="shared" si="76"/>
        <v>0</v>
      </c>
      <c r="J263" s="95" t="e">
        <f t="shared" si="95"/>
        <v>#DIV/0!</v>
      </c>
      <c r="K263" s="95" t="e">
        <f t="shared" si="96"/>
        <v>#DIV/0!</v>
      </c>
      <c r="T263" s="96" t="e">
        <f t="shared" si="91"/>
        <v>#DIV/0!</v>
      </c>
      <c r="V263" s="96" t="e">
        <f t="shared" si="92"/>
        <v>#DIV/0!</v>
      </c>
      <c r="X263" s="96" t="e">
        <f t="shared" si="104"/>
        <v>#DIV/0!</v>
      </c>
      <c r="Z263" s="96" t="e">
        <f t="shared" si="105"/>
        <v>#DIV/0!</v>
      </c>
      <c r="AC263" s="105">
        <f t="shared" si="89"/>
        <v>0</v>
      </c>
      <c r="AF263" s="49">
        <f t="shared" si="98"/>
        <v>0</v>
      </c>
      <c r="AI263" s="109">
        <f t="shared" si="101"/>
        <v>0</v>
      </c>
      <c r="AL263" s="27">
        <f t="shared" si="100"/>
        <v>0</v>
      </c>
      <c r="AP263" s="106">
        <f t="shared" si="99"/>
        <v>0</v>
      </c>
      <c r="AS263" s="118" t="e">
        <f t="shared" si="93"/>
        <v>#DIV/0!</v>
      </c>
      <c r="AT263" s="118" t="e">
        <f t="shared" si="94"/>
        <v>#DIV/0!</v>
      </c>
      <c r="BB263" s="106">
        <f t="shared" si="106"/>
        <v>0</v>
      </c>
      <c r="BD263" s="50"/>
      <c r="BF263" s="106">
        <f t="shared" si="107"/>
        <v>0</v>
      </c>
      <c r="BG263" s="23"/>
      <c r="BH263" s="23"/>
      <c r="BL263" s="114">
        <f t="shared" si="97"/>
        <v>0</v>
      </c>
    </row>
    <row r="264" spans="1:64" x14ac:dyDescent="0.2">
      <c r="A264" s="13" t="str">
        <f t="shared" si="102"/>
        <v>2032Q3</v>
      </c>
      <c r="B264" s="11">
        <f t="shared" si="90"/>
        <v>2032</v>
      </c>
      <c r="C264" s="11" t="s">
        <v>3</v>
      </c>
      <c r="F264" s="87">
        <f t="shared" si="103"/>
        <v>0</v>
      </c>
      <c r="I264" s="93">
        <f t="shared" si="76"/>
        <v>0</v>
      </c>
      <c r="J264" s="95" t="e">
        <f t="shared" si="95"/>
        <v>#DIV/0!</v>
      </c>
      <c r="K264" s="95" t="e">
        <f t="shared" si="96"/>
        <v>#DIV/0!</v>
      </c>
      <c r="T264" s="96" t="e">
        <f t="shared" si="91"/>
        <v>#DIV/0!</v>
      </c>
      <c r="V264" s="96" t="e">
        <f t="shared" si="92"/>
        <v>#DIV/0!</v>
      </c>
      <c r="X264" s="96" t="e">
        <f t="shared" si="104"/>
        <v>#DIV/0!</v>
      </c>
      <c r="Z264" s="96" t="e">
        <f t="shared" si="105"/>
        <v>#DIV/0!</v>
      </c>
      <c r="AC264" s="105">
        <f t="shared" si="89"/>
        <v>0</v>
      </c>
      <c r="AF264" s="49">
        <f t="shared" si="98"/>
        <v>0</v>
      </c>
      <c r="AI264" s="109">
        <f t="shared" si="101"/>
        <v>0</v>
      </c>
      <c r="AL264" s="27">
        <f t="shared" si="100"/>
        <v>0</v>
      </c>
      <c r="AP264" s="106">
        <f t="shared" si="99"/>
        <v>0</v>
      </c>
      <c r="AS264" s="118" t="e">
        <f t="shared" si="93"/>
        <v>#DIV/0!</v>
      </c>
      <c r="AT264" s="118" t="e">
        <f t="shared" si="94"/>
        <v>#DIV/0!</v>
      </c>
      <c r="BB264" s="106">
        <f t="shared" si="106"/>
        <v>0</v>
      </c>
      <c r="BD264" s="50"/>
      <c r="BF264" s="106">
        <f t="shared" si="107"/>
        <v>0</v>
      </c>
      <c r="BG264" s="23"/>
      <c r="BH264" s="23"/>
      <c r="BL264" s="114">
        <f t="shared" si="97"/>
        <v>0</v>
      </c>
    </row>
    <row r="265" spans="1:64" x14ac:dyDescent="0.2">
      <c r="A265" s="13" t="str">
        <f t="shared" si="102"/>
        <v>2032Q4</v>
      </c>
      <c r="B265" s="11">
        <f t="shared" si="90"/>
        <v>2032</v>
      </c>
      <c r="C265" s="11" t="s">
        <v>4</v>
      </c>
      <c r="F265" s="87">
        <f t="shared" si="103"/>
        <v>0</v>
      </c>
      <c r="I265" s="93">
        <f t="shared" si="76"/>
        <v>0</v>
      </c>
      <c r="J265" s="95" t="e">
        <f t="shared" si="95"/>
        <v>#DIV/0!</v>
      </c>
      <c r="K265" s="95" t="e">
        <f t="shared" si="96"/>
        <v>#DIV/0!</v>
      </c>
      <c r="T265" s="96" t="e">
        <f t="shared" si="91"/>
        <v>#DIV/0!</v>
      </c>
      <c r="V265" s="96" t="e">
        <f t="shared" si="92"/>
        <v>#DIV/0!</v>
      </c>
      <c r="X265" s="96" t="e">
        <f t="shared" si="104"/>
        <v>#DIV/0!</v>
      </c>
      <c r="Z265" s="96" t="e">
        <f t="shared" si="105"/>
        <v>#DIV/0!</v>
      </c>
      <c r="AC265" s="105">
        <f t="shared" si="89"/>
        <v>0</v>
      </c>
      <c r="AF265" s="49">
        <f t="shared" si="98"/>
        <v>0</v>
      </c>
      <c r="AI265" s="109">
        <f t="shared" si="101"/>
        <v>0</v>
      </c>
      <c r="AL265" s="27">
        <f t="shared" si="100"/>
        <v>0</v>
      </c>
      <c r="AP265" s="106">
        <f t="shared" si="99"/>
        <v>0</v>
      </c>
      <c r="AS265" s="118" t="e">
        <f t="shared" si="93"/>
        <v>#DIV/0!</v>
      </c>
      <c r="AT265" s="118" t="e">
        <f t="shared" si="94"/>
        <v>#DIV/0!</v>
      </c>
      <c r="BB265" s="106">
        <f t="shared" si="106"/>
        <v>0</v>
      </c>
      <c r="BD265" s="50"/>
      <c r="BF265" s="106">
        <f t="shared" si="107"/>
        <v>0</v>
      </c>
      <c r="BG265" s="23"/>
      <c r="BH265" s="23"/>
      <c r="BL265" s="114">
        <f t="shared" si="97"/>
        <v>0</v>
      </c>
    </row>
    <row r="266" spans="1:64" x14ac:dyDescent="0.2">
      <c r="A266" s="13" t="str">
        <f t="shared" si="102"/>
        <v>2033Q1</v>
      </c>
      <c r="B266" s="11">
        <f t="shared" si="90"/>
        <v>2033</v>
      </c>
      <c r="C266" s="11" t="s">
        <v>1</v>
      </c>
      <c r="F266" s="87">
        <f t="shared" si="103"/>
        <v>0</v>
      </c>
      <c r="I266" s="93">
        <f t="shared" si="76"/>
        <v>0</v>
      </c>
      <c r="J266" s="95" t="e">
        <f t="shared" si="95"/>
        <v>#DIV/0!</v>
      </c>
      <c r="K266" s="95" t="e">
        <f t="shared" si="96"/>
        <v>#DIV/0!</v>
      </c>
      <c r="T266" s="96" t="e">
        <f t="shared" si="91"/>
        <v>#DIV/0!</v>
      </c>
      <c r="V266" s="96" t="e">
        <f t="shared" si="92"/>
        <v>#DIV/0!</v>
      </c>
      <c r="X266" s="96" t="e">
        <f t="shared" si="104"/>
        <v>#DIV/0!</v>
      </c>
      <c r="Z266" s="96" t="e">
        <f t="shared" si="105"/>
        <v>#DIV/0!</v>
      </c>
      <c r="AC266" s="105">
        <f t="shared" si="89"/>
        <v>0</v>
      </c>
      <c r="AF266" s="49">
        <f t="shared" si="98"/>
        <v>0</v>
      </c>
      <c r="AI266" s="109">
        <f t="shared" si="101"/>
        <v>0</v>
      </c>
      <c r="AL266" s="27">
        <f t="shared" si="100"/>
        <v>0</v>
      </c>
      <c r="AP266" s="106">
        <f t="shared" si="99"/>
        <v>0</v>
      </c>
      <c r="AS266" s="118" t="e">
        <f t="shared" si="93"/>
        <v>#DIV/0!</v>
      </c>
      <c r="AT266" s="118" t="e">
        <f t="shared" si="94"/>
        <v>#DIV/0!</v>
      </c>
      <c r="BB266" s="106">
        <f t="shared" si="106"/>
        <v>0</v>
      </c>
      <c r="BD266" s="50"/>
      <c r="BF266" s="106">
        <f t="shared" si="107"/>
        <v>0</v>
      </c>
      <c r="BG266" s="23"/>
      <c r="BH266" s="23"/>
      <c r="BL266" s="114">
        <f t="shared" si="97"/>
        <v>0</v>
      </c>
    </row>
    <row r="267" spans="1:64" x14ac:dyDescent="0.2">
      <c r="A267" s="13" t="str">
        <f t="shared" si="102"/>
        <v>2033Q2</v>
      </c>
      <c r="B267" s="11">
        <f t="shared" si="90"/>
        <v>2033</v>
      </c>
      <c r="C267" s="11" t="s">
        <v>2</v>
      </c>
      <c r="F267" s="87">
        <f t="shared" si="103"/>
        <v>0</v>
      </c>
      <c r="I267" s="93">
        <f t="shared" si="76"/>
        <v>0</v>
      </c>
      <c r="J267" s="95" t="e">
        <f t="shared" si="95"/>
        <v>#DIV/0!</v>
      </c>
      <c r="K267" s="95" t="e">
        <f t="shared" si="96"/>
        <v>#DIV/0!</v>
      </c>
      <c r="T267" s="96" t="e">
        <f t="shared" si="91"/>
        <v>#DIV/0!</v>
      </c>
      <c r="V267" s="96" t="e">
        <f t="shared" si="92"/>
        <v>#DIV/0!</v>
      </c>
      <c r="X267" s="96" t="e">
        <f t="shared" si="104"/>
        <v>#DIV/0!</v>
      </c>
      <c r="Z267" s="96" t="e">
        <f t="shared" si="105"/>
        <v>#DIV/0!</v>
      </c>
      <c r="AC267" s="105">
        <f t="shared" ref="AC267:AC293" si="108">IF(AA267=":",Q267+AB267,Q267++R267+AA267+AB267)</f>
        <v>0</v>
      </c>
      <c r="AF267" s="49">
        <f t="shared" si="98"/>
        <v>0</v>
      </c>
      <c r="AI267" s="109">
        <f t="shared" si="101"/>
        <v>0</v>
      </c>
      <c r="AL267" s="27">
        <f t="shared" si="100"/>
        <v>0</v>
      </c>
      <c r="AP267" s="106">
        <f t="shared" si="99"/>
        <v>0</v>
      </c>
      <c r="AS267" s="118" t="e">
        <f t="shared" si="93"/>
        <v>#DIV/0!</v>
      </c>
      <c r="AT267" s="118" t="e">
        <f t="shared" si="94"/>
        <v>#DIV/0!</v>
      </c>
      <c r="BB267" s="106">
        <f t="shared" si="106"/>
        <v>0</v>
      </c>
      <c r="BD267" s="50"/>
      <c r="BF267" s="106">
        <f t="shared" si="107"/>
        <v>0</v>
      </c>
      <c r="BG267" s="23"/>
      <c r="BH267" s="23"/>
      <c r="BL267" s="114">
        <f t="shared" si="97"/>
        <v>0</v>
      </c>
    </row>
    <row r="268" spans="1:64" x14ac:dyDescent="0.2">
      <c r="A268" s="13" t="str">
        <f t="shared" si="102"/>
        <v>2033Q3</v>
      </c>
      <c r="B268" s="11">
        <f t="shared" si="90"/>
        <v>2033</v>
      </c>
      <c r="C268" s="11" t="s">
        <v>3</v>
      </c>
      <c r="F268" s="87">
        <f t="shared" si="103"/>
        <v>0</v>
      </c>
      <c r="I268" s="93">
        <f t="shared" si="76"/>
        <v>0</v>
      </c>
      <c r="J268" s="95" t="e">
        <f t="shared" si="95"/>
        <v>#DIV/0!</v>
      </c>
      <c r="K268" s="95" t="e">
        <f t="shared" si="96"/>
        <v>#DIV/0!</v>
      </c>
      <c r="T268" s="96" t="e">
        <f t="shared" si="91"/>
        <v>#DIV/0!</v>
      </c>
      <c r="V268" s="96" t="e">
        <f t="shared" si="92"/>
        <v>#DIV/0!</v>
      </c>
      <c r="X268" s="96" t="e">
        <f t="shared" si="104"/>
        <v>#DIV/0!</v>
      </c>
      <c r="Z268" s="96" t="e">
        <f t="shared" si="105"/>
        <v>#DIV/0!</v>
      </c>
      <c r="AC268" s="105">
        <f t="shared" si="108"/>
        <v>0</v>
      </c>
      <c r="AF268" s="49">
        <f t="shared" si="98"/>
        <v>0</v>
      </c>
      <c r="AI268" s="109">
        <f t="shared" si="101"/>
        <v>0</v>
      </c>
      <c r="AL268" s="27">
        <f t="shared" si="100"/>
        <v>0</v>
      </c>
      <c r="AP268" s="106">
        <f t="shared" si="99"/>
        <v>0</v>
      </c>
      <c r="AS268" s="118" t="e">
        <f t="shared" si="93"/>
        <v>#DIV/0!</v>
      </c>
      <c r="AT268" s="118" t="e">
        <f t="shared" si="94"/>
        <v>#DIV/0!</v>
      </c>
      <c r="BB268" s="106">
        <f t="shared" si="106"/>
        <v>0</v>
      </c>
      <c r="BD268" s="50"/>
      <c r="BF268" s="106">
        <f t="shared" si="107"/>
        <v>0</v>
      </c>
      <c r="BG268" s="23"/>
      <c r="BH268" s="23"/>
      <c r="BL268" s="114">
        <f t="shared" si="97"/>
        <v>0</v>
      </c>
    </row>
    <row r="269" spans="1:64" x14ac:dyDescent="0.2">
      <c r="A269" s="13" t="str">
        <f t="shared" si="102"/>
        <v>2033Q4</v>
      </c>
      <c r="B269" s="11">
        <f t="shared" si="90"/>
        <v>2033</v>
      </c>
      <c r="C269" s="11" t="s">
        <v>4</v>
      </c>
      <c r="F269" s="87">
        <f t="shared" si="103"/>
        <v>0</v>
      </c>
      <c r="I269" s="93">
        <f t="shared" si="76"/>
        <v>0</v>
      </c>
      <c r="J269" s="95" t="e">
        <f t="shared" si="95"/>
        <v>#DIV/0!</v>
      </c>
      <c r="K269" s="95" t="e">
        <f t="shared" si="96"/>
        <v>#DIV/0!</v>
      </c>
      <c r="T269" s="96" t="e">
        <f t="shared" si="91"/>
        <v>#DIV/0!</v>
      </c>
      <c r="V269" s="96" t="e">
        <f t="shared" si="92"/>
        <v>#DIV/0!</v>
      </c>
      <c r="X269" s="96" t="e">
        <f t="shared" si="104"/>
        <v>#DIV/0!</v>
      </c>
      <c r="Z269" s="96" t="e">
        <f t="shared" si="105"/>
        <v>#DIV/0!</v>
      </c>
      <c r="AC269" s="105">
        <f t="shared" si="108"/>
        <v>0</v>
      </c>
      <c r="AF269" s="49">
        <f t="shared" si="98"/>
        <v>0</v>
      </c>
      <c r="AI269" s="109">
        <f t="shared" si="101"/>
        <v>0</v>
      </c>
      <c r="AL269" s="27">
        <f t="shared" si="100"/>
        <v>0</v>
      </c>
      <c r="AP269" s="106">
        <f t="shared" si="99"/>
        <v>0</v>
      </c>
      <c r="AS269" s="118" t="e">
        <f t="shared" si="93"/>
        <v>#DIV/0!</v>
      </c>
      <c r="AT269" s="118" t="e">
        <f t="shared" si="94"/>
        <v>#DIV/0!</v>
      </c>
      <c r="BB269" s="106">
        <f t="shared" si="106"/>
        <v>0</v>
      </c>
      <c r="BD269" s="50"/>
      <c r="BF269" s="106">
        <f t="shared" si="107"/>
        <v>0</v>
      </c>
      <c r="BG269" s="23"/>
      <c r="BH269" s="23"/>
      <c r="BL269" s="114">
        <f t="shared" si="97"/>
        <v>0</v>
      </c>
    </row>
    <row r="270" spans="1:64" x14ac:dyDescent="0.2">
      <c r="A270" s="13" t="str">
        <f t="shared" si="102"/>
        <v>2034Q1</v>
      </c>
      <c r="B270" s="11">
        <f t="shared" ref="B270:B293" si="109">B266+1</f>
        <v>2034</v>
      </c>
      <c r="C270" s="11" t="s">
        <v>1</v>
      </c>
      <c r="F270" s="87">
        <f t="shared" si="103"/>
        <v>0</v>
      </c>
      <c r="I270" s="93">
        <f t="shared" ref="I270:I293" si="110">H270-G270</f>
        <v>0</v>
      </c>
      <c r="J270" s="95" t="e">
        <f t="shared" si="95"/>
        <v>#DIV/0!</v>
      </c>
      <c r="K270" s="95" t="e">
        <f t="shared" si="96"/>
        <v>#DIV/0!</v>
      </c>
      <c r="T270" s="96" t="e">
        <f t="shared" ref="T270:T293" si="111">S270/$Q270*100</f>
        <v>#DIV/0!</v>
      </c>
      <c r="V270" s="96" t="e">
        <f t="shared" ref="V270:V293" si="112">U270/$Q270*100</f>
        <v>#DIV/0!</v>
      </c>
      <c r="X270" s="96" t="e">
        <f t="shared" si="104"/>
        <v>#DIV/0!</v>
      </c>
      <c r="Z270" s="96" t="e">
        <f t="shared" si="105"/>
        <v>#DIV/0!</v>
      </c>
      <c r="AC270" s="105">
        <f t="shared" si="108"/>
        <v>0</v>
      </c>
      <c r="AF270" s="49">
        <f t="shared" si="98"/>
        <v>0</v>
      </c>
      <c r="AI270" s="109">
        <f t="shared" si="101"/>
        <v>0</v>
      </c>
      <c r="AL270" s="27">
        <f t="shared" si="100"/>
        <v>0</v>
      </c>
      <c r="AP270" s="106">
        <f t="shared" si="99"/>
        <v>0</v>
      </c>
      <c r="AS270" s="118" t="e">
        <f t="shared" ref="AS270:AS293" si="113">4*(SUM($AP267:$AP270)/SUM(AQ267:AQ270))*100</f>
        <v>#DIV/0!</v>
      </c>
      <c r="AT270" s="118" t="e">
        <f t="shared" ref="AT270:AT293" si="114">4*(SUM($AP267:$AP270)/SUM(AR267:AR270))*100</f>
        <v>#DIV/0!</v>
      </c>
      <c r="BB270" s="106">
        <f t="shared" si="106"/>
        <v>0</v>
      </c>
      <c r="BD270" s="50"/>
      <c r="BF270" s="106">
        <f t="shared" si="107"/>
        <v>0</v>
      </c>
      <c r="BG270" s="23"/>
      <c r="BH270" s="23"/>
      <c r="BL270" s="114">
        <f t="shared" si="97"/>
        <v>0</v>
      </c>
    </row>
    <row r="271" spans="1:64" x14ac:dyDescent="0.2">
      <c r="A271" s="13" t="str">
        <f t="shared" si="102"/>
        <v>2034Q2</v>
      </c>
      <c r="B271" s="11">
        <f t="shared" si="109"/>
        <v>2034</v>
      </c>
      <c r="C271" s="11" t="s">
        <v>2</v>
      </c>
      <c r="F271" s="87">
        <f t="shared" si="103"/>
        <v>0</v>
      </c>
      <c r="I271" s="93">
        <f t="shared" si="110"/>
        <v>0</v>
      </c>
      <c r="J271" s="95" t="e">
        <f t="shared" si="95"/>
        <v>#DIV/0!</v>
      </c>
      <c r="K271" s="95" t="e">
        <f t="shared" si="96"/>
        <v>#DIV/0!</v>
      </c>
      <c r="T271" s="96" t="e">
        <f t="shared" si="111"/>
        <v>#DIV/0!</v>
      </c>
      <c r="V271" s="96" t="e">
        <f t="shared" si="112"/>
        <v>#DIV/0!</v>
      </c>
      <c r="X271" s="96" t="e">
        <f t="shared" si="104"/>
        <v>#DIV/0!</v>
      </c>
      <c r="Z271" s="96" t="e">
        <f t="shared" si="105"/>
        <v>#DIV/0!</v>
      </c>
      <c r="AC271" s="105">
        <f t="shared" si="108"/>
        <v>0</v>
      </c>
      <c r="AF271" s="49">
        <f t="shared" si="98"/>
        <v>0</v>
      </c>
      <c r="AI271" s="109">
        <f t="shared" si="101"/>
        <v>0</v>
      </c>
      <c r="AL271" s="27">
        <f t="shared" si="100"/>
        <v>0</v>
      </c>
      <c r="AP271" s="106">
        <f t="shared" si="99"/>
        <v>0</v>
      </c>
      <c r="AS271" s="118" t="e">
        <f t="shared" si="113"/>
        <v>#DIV/0!</v>
      </c>
      <c r="AT271" s="118" t="e">
        <f t="shared" si="114"/>
        <v>#DIV/0!</v>
      </c>
      <c r="BB271" s="106">
        <f t="shared" si="106"/>
        <v>0</v>
      </c>
      <c r="BD271" s="50"/>
      <c r="BF271" s="106">
        <f t="shared" si="107"/>
        <v>0</v>
      </c>
      <c r="BG271" s="23"/>
      <c r="BH271" s="23"/>
      <c r="BL271" s="114">
        <f t="shared" si="97"/>
        <v>0</v>
      </c>
    </row>
    <row r="272" spans="1:64" x14ac:dyDescent="0.2">
      <c r="A272" s="13" t="str">
        <f t="shared" si="102"/>
        <v>2034Q3</v>
      </c>
      <c r="B272" s="11">
        <f t="shared" si="109"/>
        <v>2034</v>
      </c>
      <c r="C272" s="11" t="s">
        <v>3</v>
      </c>
      <c r="F272" s="87">
        <f t="shared" si="103"/>
        <v>0</v>
      </c>
      <c r="I272" s="93">
        <f t="shared" si="110"/>
        <v>0</v>
      </c>
      <c r="J272" s="95" t="e">
        <f t="shared" si="95"/>
        <v>#DIV/0!</v>
      </c>
      <c r="K272" s="95" t="e">
        <f t="shared" si="96"/>
        <v>#DIV/0!</v>
      </c>
      <c r="T272" s="96" t="e">
        <f t="shared" si="111"/>
        <v>#DIV/0!</v>
      </c>
      <c r="V272" s="96" t="e">
        <f t="shared" si="112"/>
        <v>#DIV/0!</v>
      </c>
      <c r="X272" s="96" t="e">
        <f t="shared" si="104"/>
        <v>#DIV/0!</v>
      </c>
      <c r="Z272" s="96" t="e">
        <f t="shared" si="105"/>
        <v>#DIV/0!</v>
      </c>
      <c r="AC272" s="105">
        <f t="shared" si="108"/>
        <v>0</v>
      </c>
      <c r="AF272" s="49">
        <f t="shared" si="98"/>
        <v>0</v>
      </c>
      <c r="AI272" s="109">
        <f t="shared" si="101"/>
        <v>0</v>
      </c>
      <c r="AL272" s="27">
        <f t="shared" si="100"/>
        <v>0</v>
      </c>
      <c r="AP272" s="106">
        <f t="shared" si="99"/>
        <v>0</v>
      </c>
      <c r="AS272" s="118" t="e">
        <f t="shared" si="113"/>
        <v>#DIV/0!</v>
      </c>
      <c r="AT272" s="118" t="e">
        <f t="shared" si="114"/>
        <v>#DIV/0!</v>
      </c>
      <c r="BB272" s="106">
        <f t="shared" si="106"/>
        <v>0</v>
      </c>
      <c r="BD272" s="50"/>
      <c r="BF272" s="106">
        <f t="shared" si="107"/>
        <v>0</v>
      </c>
      <c r="BG272" s="23"/>
      <c r="BH272" s="23"/>
      <c r="BL272" s="114">
        <f t="shared" si="97"/>
        <v>0</v>
      </c>
    </row>
    <row r="273" spans="1:64" x14ac:dyDescent="0.2">
      <c r="A273" s="13" t="str">
        <f t="shared" si="102"/>
        <v>2034Q4</v>
      </c>
      <c r="B273" s="11">
        <f t="shared" si="109"/>
        <v>2034</v>
      </c>
      <c r="C273" s="11" t="s">
        <v>4</v>
      </c>
      <c r="F273" s="87">
        <f t="shared" si="103"/>
        <v>0</v>
      </c>
      <c r="I273" s="93">
        <f t="shared" si="110"/>
        <v>0</v>
      </c>
      <c r="J273" s="95" t="e">
        <f t="shared" si="95"/>
        <v>#DIV/0!</v>
      </c>
      <c r="K273" s="95" t="e">
        <f t="shared" si="96"/>
        <v>#DIV/0!</v>
      </c>
      <c r="T273" s="96" t="e">
        <f t="shared" si="111"/>
        <v>#DIV/0!</v>
      </c>
      <c r="V273" s="96" t="e">
        <f t="shared" si="112"/>
        <v>#DIV/0!</v>
      </c>
      <c r="X273" s="96" t="e">
        <f t="shared" si="104"/>
        <v>#DIV/0!</v>
      </c>
      <c r="Z273" s="96" t="e">
        <f t="shared" si="105"/>
        <v>#DIV/0!</v>
      </c>
      <c r="AC273" s="105">
        <f t="shared" si="108"/>
        <v>0</v>
      </c>
      <c r="AF273" s="49">
        <f t="shared" si="98"/>
        <v>0</v>
      </c>
      <c r="AI273" s="109">
        <f t="shared" si="101"/>
        <v>0</v>
      </c>
      <c r="AL273" s="27">
        <f t="shared" si="100"/>
        <v>0</v>
      </c>
      <c r="AP273" s="106">
        <f t="shared" si="99"/>
        <v>0</v>
      </c>
      <c r="AS273" s="118" t="e">
        <f t="shared" si="113"/>
        <v>#DIV/0!</v>
      </c>
      <c r="AT273" s="118" t="e">
        <f t="shared" si="114"/>
        <v>#DIV/0!</v>
      </c>
      <c r="BB273" s="106">
        <f t="shared" si="106"/>
        <v>0</v>
      </c>
      <c r="BD273" s="50"/>
      <c r="BF273" s="106">
        <f t="shared" si="107"/>
        <v>0</v>
      </c>
      <c r="BG273" s="23"/>
      <c r="BH273" s="23"/>
      <c r="BL273" s="114">
        <f t="shared" si="97"/>
        <v>0</v>
      </c>
    </row>
    <row r="274" spans="1:64" x14ac:dyDescent="0.2">
      <c r="A274" s="13" t="str">
        <f t="shared" si="102"/>
        <v>2035Q1</v>
      </c>
      <c r="B274" s="11">
        <f t="shared" si="109"/>
        <v>2035</v>
      </c>
      <c r="C274" s="11" t="s">
        <v>1</v>
      </c>
      <c r="F274" s="87">
        <f t="shared" si="103"/>
        <v>0</v>
      </c>
      <c r="I274" s="93">
        <f t="shared" si="110"/>
        <v>0</v>
      </c>
      <c r="J274" s="95" t="e">
        <f t="shared" si="95"/>
        <v>#DIV/0!</v>
      </c>
      <c r="K274" s="95" t="e">
        <f t="shared" si="96"/>
        <v>#DIV/0!</v>
      </c>
      <c r="T274" s="96" t="e">
        <f t="shared" si="111"/>
        <v>#DIV/0!</v>
      </c>
      <c r="V274" s="96" t="e">
        <f t="shared" si="112"/>
        <v>#DIV/0!</v>
      </c>
      <c r="X274" s="96" t="e">
        <f t="shared" si="104"/>
        <v>#DIV/0!</v>
      </c>
      <c r="Z274" s="96" t="e">
        <f t="shared" si="105"/>
        <v>#DIV/0!</v>
      </c>
      <c r="AC274" s="105">
        <f t="shared" si="108"/>
        <v>0</v>
      </c>
      <c r="AF274" s="49">
        <f t="shared" si="98"/>
        <v>0</v>
      </c>
      <c r="AI274" s="109">
        <f t="shared" si="101"/>
        <v>0</v>
      </c>
      <c r="AL274" s="27">
        <f t="shared" si="100"/>
        <v>0</v>
      </c>
      <c r="AP274" s="106">
        <f t="shared" si="99"/>
        <v>0</v>
      </c>
      <c r="AS274" s="118" t="e">
        <f t="shared" si="113"/>
        <v>#DIV/0!</v>
      </c>
      <c r="AT274" s="118" t="e">
        <f t="shared" si="114"/>
        <v>#DIV/0!</v>
      </c>
      <c r="BB274" s="106">
        <f t="shared" si="106"/>
        <v>0</v>
      </c>
      <c r="BD274" s="50"/>
      <c r="BF274" s="106">
        <f t="shared" si="107"/>
        <v>0</v>
      </c>
      <c r="BG274" s="23"/>
      <c r="BH274" s="23"/>
      <c r="BL274" s="114">
        <f t="shared" si="97"/>
        <v>0</v>
      </c>
    </row>
    <row r="275" spans="1:64" x14ac:dyDescent="0.2">
      <c r="A275" s="13" t="str">
        <f t="shared" si="102"/>
        <v>2035Q2</v>
      </c>
      <c r="B275" s="11">
        <f t="shared" si="109"/>
        <v>2035</v>
      </c>
      <c r="C275" s="11" t="s">
        <v>2</v>
      </c>
      <c r="F275" s="87">
        <f t="shared" si="103"/>
        <v>0</v>
      </c>
      <c r="I275" s="93">
        <f t="shared" si="110"/>
        <v>0</v>
      </c>
      <c r="J275" s="95" t="e">
        <f t="shared" si="95"/>
        <v>#DIV/0!</v>
      </c>
      <c r="K275" s="95" t="e">
        <f t="shared" si="96"/>
        <v>#DIV/0!</v>
      </c>
      <c r="T275" s="96" t="e">
        <f t="shared" si="111"/>
        <v>#DIV/0!</v>
      </c>
      <c r="V275" s="96" t="e">
        <f t="shared" si="112"/>
        <v>#DIV/0!</v>
      </c>
      <c r="X275" s="96" t="e">
        <f t="shared" si="104"/>
        <v>#DIV/0!</v>
      </c>
      <c r="Z275" s="96" t="e">
        <f t="shared" si="105"/>
        <v>#DIV/0!</v>
      </c>
      <c r="AC275" s="105">
        <f t="shared" si="108"/>
        <v>0</v>
      </c>
      <c r="AF275" s="49">
        <f t="shared" si="98"/>
        <v>0</v>
      </c>
      <c r="AI275" s="109">
        <f t="shared" si="101"/>
        <v>0</v>
      </c>
      <c r="AL275" s="27">
        <f t="shared" si="100"/>
        <v>0</v>
      </c>
      <c r="AP275" s="106">
        <f t="shared" si="99"/>
        <v>0</v>
      </c>
      <c r="AS275" s="118" t="e">
        <f t="shared" si="113"/>
        <v>#DIV/0!</v>
      </c>
      <c r="AT275" s="118" t="e">
        <f t="shared" si="114"/>
        <v>#DIV/0!</v>
      </c>
      <c r="BB275" s="106">
        <f t="shared" si="106"/>
        <v>0</v>
      </c>
      <c r="BD275" s="50"/>
      <c r="BF275" s="106">
        <f t="shared" si="107"/>
        <v>0</v>
      </c>
      <c r="BG275" s="23"/>
      <c r="BH275" s="23"/>
      <c r="BL275" s="114">
        <f t="shared" si="97"/>
        <v>0</v>
      </c>
    </row>
    <row r="276" spans="1:64" x14ac:dyDescent="0.2">
      <c r="A276" s="13" t="str">
        <f t="shared" si="102"/>
        <v>2035Q3</v>
      </c>
      <c r="B276" s="11">
        <f t="shared" si="109"/>
        <v>2035</v>
      </c>
      <c r="C276" s="11" t="s">
        <v>3</v>
      </c>
      <c r="F276" s="87">
        <f t="shared" si="103"/>
        <v>0</v>
      </c>
      <c r="I276" s="93">
        <f t="shared" si="110"/>
        <v>0</v>
      </c>
      <c r="J276" s="95" t="e">
        <f t="shared" ref="J276:J293" si="115">SUM(F273:F276,O273:O276)/AVERAGE(G273:G276)*100</f>
        <v>#DIV/0!</v>
      </c>
      <c r="K276" s="95" t="e">
        <f t="shared" ref="K276:K293" si="116">SUM(F273:F276,O273:O276)/AVERAGE(H273:H276)*100</f>
        <v>#DIV/0!</v>
      </c>
      <c r="T276" s="96" t="e">
        <f t="shared" si="111"/>
        <v>#DIV/0!</v>
      </c>
      <c r="V276" s="96" t="e">
        <f t="shared" si="112"/>
        <v>#DIV/0!</v>
      </c>
      <c r="X276" s="96" t="e">
        <f t="shared" si="104"/>
        <v>#DIV/0!</v>
      </c>
      <c r="Z276" s="96" t="e">
        <f t="shared" si="105"/>
        <v>#DIV/0!</v>
      </c>
      <c r="AC276" s="105">
        <f t="shared" si="108"/>
        <v>0</v>
      </c>
      <c r="AF276" s="49">
        <f t="shared" si="98"/>
        <v>0</v>
      </c>
      <c r="AI276" s="109">
        <f t="shared" si="101"/>
        <v>0</v>
      </c>
      <c r="AL276" s="27">
        <f t="shared" si="100"/>
        <v>0</v>
      </c>
      <c r="AP276" s="106">
        <f t="shared" si="99"/>
        <v>0</v>
      </c>
      <c r="AS276" s="118" t="e">
        <f t="shared" si="113"/>
        <v>#DIV/0!</v>
      </c>
      <c r="AT276" s="118" t="e">
        <f t="shared" si="114"/>
        <v>#DIV/0!</v>
      </c>
      <c r="BB276" s="106">
        <f t="shared" si="106"/>
        <v>0</v>
      </c>
      <c r="BD276" s="50"/>
      <c r="BF276" s="106">
        <f t="shared" si="107"/>
        <v>0</v>
      </c>
      <c r="BG276" s="23"/>
      <c r="BH276" s="23"/>
      <c r="BL276" s="114">
        <f t="shared" ref="BL276:BL293" si="117">BI276+BJ276+BK276</f>
        <v>0</v>
      </c>
    </row>
    <row r="277" spans="1:64" x14ac:dyDescent="0.2">
      <c r="A277" s="13" t="str">
        <f t="shared" si="102"/>
        <v>2035Q4</v>
      </c>
      <c r="B277" s="11">
        <f t="shared" si="109"/>
        <v>2035</v>
      </c>
      <c r="C277" s="11" t="s">
        <v>4</v>
      </c>
      <c r="F277" s="87">
        <f t="shared" si="103"/>
        <v>0</v>
      </c>
      <c r="I277" s="93">
        <f t="shared" si="110"/>
        <v>0</v>
      </c>
      <c r="J277" s="95" t="e">
        <f t="shared" si="115"/>
        <v>#DIV/0!</v>
      </c>
      <c r="K277" s="95" t="e">
        <f t="shared" si="116"/>
        <v>#DIV/0!</v>
      </c>
      <c r="T277" s="96" t="e">
        <f t="shared" si="111"/>
        <v>#DIV/0!</v>
      </c>
      <c r="V277" s="96" t="e">
        <f t="shared" si="112"/>
        <v>#DIV/0!</v>
      </c>
      <c r="X277" s="96" t="e">
        <f t="shared" si="104"/>
        <v>#DIV/0!</v>
      </c>
      <c r="Z277" s="96" t="e">
        <f t="shared" si="105"/>
        <v>#DIV/0!</v>
      </c>
      <c r="AC277" s="105">
        <f t="shared" si="108"/>
        <v>0</v>
      </c>
      <c r="AF277" s="49">
        <f t="shared" si="98"/>
        <v>0</v>
      </c>
      <c r="AI277" s="109">
        <f t="shared" si="101"/>
        <v>0</v>
      </c>
      <c r="AL277" s="27">
        <f t="shared" si="100"/>
        <v>0</v>
      </c>
      <c r="AP277" s="106">
        <f t="shared" si="99"/>
        <v>0</v>
      </c>
      <c r="AS277" s="118" t="e">
        <f t="shared" si="113"/>
        <v>#DIV/0!</v>
      </c>
      <c r="AT277" s="118" t="e">
        <f t="shared" si="114"/>
        <v>#DIV/0!</v>
      </c>
      <c r="BB277" s="106">
        <f t="shared" si="106"/>
        <v>0</v>
      </c>
      <c r="BD277" s="50"/>
      <c r="BF277" s="106">
        <f t="shared" si="107"/>
        <v>0</v>
      </c>
      <c r="BG277" s="23"/>
      <c r="BH277" s="23"/>
      <c r="BL277" s="114">
        <f t="shared" si="117"/>
        <v>0</v>
      </c>
    </row>
    <row r="278" spans="1:64" x14ac:dyDescent="0.2">
      <c r="A278" s="13" t="str">
        <f t="shared" si="102"/>
        <v>2036Q1</v>
      </c>
      <c r="B278" s="11">
        <f t="shared" si="109"/>
        <v>2036</v>
      </c>
      <c r="C278" s="11" t="s">
        <v>1</v>
      </c>
      <c r="F278" s="87">
        <f t="shared" si="103"/>
        <v>0</v>
      </c>
      <c r="I278" s="93">
        <f t="shared" si="110"/>
        <v>0</v>
      </c>
      <c r="J278" s="95" t="e">
        <f t="shared" si="115"/>
        <v>#DIV/0!</v>
      </c>
      <c r="K278" s="95" t="e">
        <f t="shared" si="116"/>
        <v>#DIV/0!</v>
      </c>
      <c r="T278" s="96" t="e">
        <f t="shared" si="111"/>
        <v>#DIV/0!</v>
      </c>
      <c r="V278" s="96" t="e">
        <f t="shared" si="112"/>
        <v>#DIV/0!</v>
      </c>
      <c r="X278" s="96" t="e">
        <f t="shared" si="104"/>
        <v>#DIV/0!</v>
      </c>
      <c r="Z278" s="96" t="e">
        <f t="shared" si="105"/>
        <v>#DIV/0!</v>
      </c>
      <c r="AC278" s="105">
        <f t="shared" si="108"/>
        <v>0</v>
      </c>
      <c r="AF278" s="49">
        <f t="shared" ref="AF278:AF293" si="118">AD278+AE278</f>
        <v>0</v>
      </c>
      <c r="AI278" s="109">
        <f t="shared" si="101"/>
        <v>0</v>
      </c>
      <c r="AL278" s="27">
        <f t="shared" si="100"/>
        <v>0</v>
      </c>
      <c r="AP278" s="106">
        <f t="shared" si="99"/>
        <v>0</v>
      </c>
      <c r="AS278" s="118" t="e">
        <f t="shared" si="113"/>
        <v>#DIV/0!</v>
      </c>
      <c r="AT278" s="118" t="e">
        <f t="shared" si="114"/>
        <v>#DIV/0!</v>
      </c>
      <c r="BB278" s="106">
        <f t="shared" si="106"/>
        <v>0</v>
      </c>
      <c r="BD278" s="50"/>
      <c r="BF278" s="106">
        <f t="shared" si="107"/>
        <v>0</v>
      </c>
      <c r="BG278" s="23"/>
      <c r="BH278" s="23"/>
      <c r="BL278" s="114">
        <f t="shared" si="117"/>
        <v>0</v>
      </c>
    </row>
    <row r="279" spans="1:64" x14ac:dyDescent="0.2">
      <c r="A279" s="13" t="str">
        <f t="shared" si="102"/>
        <v>2036Q2</v>
      </c>
      <c r="B279" s="11">
        <f t="shared" si="109"/>
        <v>2036</v>
      </c>
      <c r="C279" s="11" t="s">
        <v>2</v>
      </c>
      <c r="F279" s="87">
        <f t="shared" si="103"/>
        <v>0</v>
      </c>
      <c r="I279" s="93">
        <f t="shared" si="110"/>
        <v>0</v>
      </c>
      <c r="J279" s="95" t="e">
        <f t="shared" si="115"/>
        <v>#DIV/0!</v>
      </c>
      <c r="K279" s="95" t="e">
        <f t="shared" si="116"/>
        <v>#DIV/0!</v>
      </c>
      <c r="T279" s="96" t="e">
        <f t="shared" si="111"/>
        <v>#DIV/0!</v>
      </c>
      <c r="V279" s="96" t="e">
        <f t="shared" si="112"/>
        <v>#DIV/0!</v>
      </c>
      <c r="X279" s="96" t="e">
        <f t="shared" si="104"/>
        <v>#DIV/0!</v>
      </c>
      <c r="Z279" s="96" t="e">
        <f t="shared" si="105"/>
        <v>#DIV/0!</v>
      </c>
      <c r="AC279" s="105">
        <f t="shared" si="108"/>
        <v>0</v>
      </c>
      <c r="AF279" s="49">
        <f t="shared" si="118"/>
        <v>0</v>
      </c>
      <c r="AI279" s="109">
        <f t="shared" si="101"/>
        <v>0</v>
      </c>
      <c r="AL279" s="27">
        <f t="shared" si="100"/>
        <v>0</v>
      </c>
      <c r="AP279" s="106">
        <f t="shared" si="99"/>
        <v>0</v>
      </c>
      <c r="AS279" s="118" t="e">
        <f t="shared" si="113"/>
        <v>#DIV/0!</v>
      </c>
      <c r="AT279" s="118" t="e">
        <f t="shared" si="114"/>
        <v>#DIV/0!</v>
      </c>
      <c r="BB279" s="106">
        <f t="shared" si="106"/>
        <v>0</v>
      </c>
      <c r="BD279" s="50"/>
      <c r="BF279" s="106">
        <f t="shared" si="107"/>
        <v>0</v>
      </c>
      <c r="BG279" s="23"/>
      <c r="BH279" s="23"/>
      <c r="BL279" s="114">
        <f t="shared" si="117"/>
        <v>0</v>
      </c>
    </row>
    <row r="280" spans="1:64" x14ac:dyDescent="0.2">
      <c r="A280" s="13" t="str">
        <f t="shared" si="102"/>
        <v>2036Q3</v>
      </c>
      <c r="B280" s="11">
        <f t="shared" si="109"/>
        <v>2036</v>
      </c>
      <c r="C280" s="11" t="s">
        <v>3</v>
      </c>
      <c r="F280" s="87">
        <f t="shared" si="103"/>
        <v>0</v>
      </c>
      <c r="I280" s="93">
        <f t="shared" si="110"/>
        <v>0</v>
      </c>
      <c r="J280" s="95" t="e">
        <f t="shared" si="115"/>
        <v>#DIV/0!</v>
      </c>
      <c r="K280" s="95" t="e">
        <f t="shared" si="116"/>
        <v>#DIV/0!</v>
      </c>
      <c r="T280" s="96" t="e">
        <f t="shared" si="111"/>
        <v>#DIV/0!</v>
      </c>
      <c r="V280" s="96" t="e">
        <f t="shared" si="112"/>
        <v>#DIV/0!</v>
      </c>
      <c r="X280" s="96" t="e">
        <f t="shared" si="104"/>
        <v>#DIV/0!</v>
      </c>
      <c r="Z280" s="96" t="e">
        <f t="shared" si="105"/>
        <v>#DIV/0!</v>
      </c>
      <c r="AC280" s="105">
        <f t="shared" si="108"/>
        <v>0</v>
      </c>
      <c r="AF280" s="49">
        <f t="shared" si="118"/>
        <v>0</v>
      </c>
      <c r="AI280" s="109">
        <f t="shared" si="101"/>
        <v>0</v>
      </c>
      <c r="AL280" s="27">
        <f t="shared" si="100"/>
        <v>0</v>
      </c>
      <c r="AP280" s="106">
        <f t="shared" si="99"/>
        <v>0</v>
      </c>
      <c r="AS280" s="118" t="e">
        <f t="shared" si="113"/>
        <v>#DIV/0!</v>
      </c>
      <c r="AT280" s="118" t="e">
        <f t="shared" si="114"/>
        <v>#DIV/0!</v>
      </c>
      <c r="BB280" s="106">
        <f t="shared" si="106"/>
        <v>0</v>
      </c>
      <c r="BD280" s="50"/>
      <c r="BF280" s="106">
        <f t="shared" si="107"/>
        <v>0</v>
      </c>
      <c r="BG280" s="23"/>
      <c r="BH280" s="23"/>
      <c r="BL280" s="114">
        <f t="shared" si="117"/>
        <v>0</v>
      </c>
    </row>
    <row r="281" spans="1:64" x14ac:dyDescent="0.2">
      <c r="A281" s="13" t="str">
        <f t="shared" si="102"/>
        <v>2036Q4</v>
      </c>
      <c r="B281" s="11">
        <f t="shared" si="109"/>
        <v>2036</v>
      </c>
      <c r="C281" s="11" t="s">
        <v>4</v>
      </c>
      <c r="F281" s="87">
        <f t="shared" si="103"/>
        <v>0</v>
      </c>
      <c r="I281" s="93">
        <f t="shared" si="110"/>
        <v>0</v>
      </c>
      <c r="J281" s="95" t="e">
        <f t="shared" si="115"/>
        <v>#DIV/0!</v>
      </c>
      <c r="K281" s="95" t="e">
        <f t="shared" si="116"/>
        <v>#DIV/0!</v>
      </c>
      <c r="T281" s="96" t="e">
        <f t="shared" si="111"/>
        <v>#DIV/0!</v>
      </c>
      <c r="V281" s="96" t="e">
        <f t="shared" si="112"/>
        <v>#DIV/0!</v>
      </c>
      <c r="X281" s="96" t="e">
        <f t="shared" si="104"/>
        <v>#DIV/0!</v>
      </c>
      <c r="Z281" s="96" t="e">
        <f t="shared" si="105"/>
        <v>#DIV/0!</v>
      </c>
      <c r="AC281" s="105">
        <f t="shared" si="108"/>
        <v>0</v>
      </c>
      <c r="AF281" s="49">
        <f t="shared" si="118"/>
        <v>0</v>
      </c>
      <c r="AI281" s="109">
        <f t="shared" si="101"/>
        <v>0</v>
      </c>
      <c r="AL281" s="27">
        <f t="shared" si="100"/>
        <v>0</v>
      </c>
      <c r="AP281" s="106">
        <f t="shared" si="99"/>
        <v>0</v>
      </c>
      <c r="AS281" s="118" t="e">
        <f t="shared" si="113"/>
        <v>#DIV/0!</v>
      </c>
      <c r="AT281" s="118" t="e">
        <f t="shared" si="114"/>
        <v>#DIV/0!</v>
      </c>
      <c r="BB281" s="106">
        <f t="shared" si="106"/>
        <v>0</v>
      </c>
      <c r="BD281" s="50"/>
      <c r="BF281" s="106">
        <f t="shared" si="107"/>
        <v>0</v>
      </c>
      <c r="BG281" s="23"/>
      <c r="BH281" s="23"/>
      <c r="BL281" s="114">
        <f t="shared" si="117"/>
        <v>0</v>
      </c>
    </row>
    <row r="282" spans="1:64" x14ac:dyDescent="0.2">
      <c r="A282" s="13" t="str">
        <f t="shared" si="102"/>
        <v>2037Q1</v>
      </c>
      <c r="B282" s="11">
        <f t="shared" si="109"/>
        <v>2037</v>
      </c>
      <c r="C282" s="11" t="s">
        <v>1</v>
      </c>
      <c r="F282" s="87">
        <f t="shared" si="103"/>
        <v>0</v>
      </c>
      <c r="I282" s="93">
        <f t="shared" si="110"/>
        <v>0</v>
      </c>
      <c r="J282" s="95" t="e">
        <f t="shared" si="115"/>
        <v>#DIV/0!</v>
      </c>
      <c r="K282" s="95" t="e">
        <f t="shared" si="116"/>
        <v>#DIV/0!</v>
      </c>
      <c r="T282" s="96" t="e">
        <f t="shared" si="111"/>
        <v>#DIV/0!</v>
      </c>
      <c r="V282" s="96" t="e">
        <f t="shared" si="112"/>
        <v>#DIV/0!</v>
      </c>
      <c r="X282" s="96" t="e">
        <f t="shared" si="104"/>
        <v>#DIV/0!</v>
      </c>
      <c r="Z282" s="96" t="e">
        <f t="shared" si="105"/>
        <v>#DIV/0!</v>
      </c>
      <c r="AC282" s="105">
        <f t="shared" si="108"/>
        <v>0</v>
      </c>
      <c r="AF282" s="49">
        <f t="shared" si="118"/>
        <v>0</v>
      </c>
      <c r="AI282" s="109">
        <f t="shared" si="101"/>
        <v>0</v>
      </c>
      <c r="AL282" s="27">
        <f t="shared" si="100"/>
        <v>0</v>
      </c>
      <c r="AP282" s="106">
        <f t="shared" si="99"/>
        <v>0</v>
      </c>
      <c r="AS282" s="118" t="e">
        <f t="shared" si="113"/>
        <v>#DIV/0!</v>
      </c>
      <c r="AT282" s="118" t="e">
        <f t="shared" si="114"/>
        <v>#DIV/0!</v>
      </c>
      <c r="BB282" s="106">
        <f t="shared" si="106"/>
        <v>0</v>
      </c>
      <c r="BD282" s="50"/>
      <c r="BF282" s="106">
        <f t="shared" si="107"/>
        <v>0</v>
      </c>
      <c r="BG282" s="23"/>
      <c r="BH282" s="23"/>
      <c r="BL282" s="114">
        <f t="shared" si="117"/>
        <v>0</v>
      </c>
    </row>
    <row r="283" spans="1:64" x14ac:dyDescent="0.2">
      <c r="A283" s="13" t="str">
        <f t="shared" si="102"/>
        <v>2037Q2</v>
      </c>
      <c r="B283" s="11">
        <f t="shared" si="109"/>
        <v>2037</v>
      </c>
      <c r="C283" s="11" t="s">
        <v>2</v>
      </c>
      <c r="F283" s="87">
        <f t="shared" si="103"/>
        <v>0</v>
      </c>
      <c r="I283" s="93">
        <f t="shared" si="110"/>
        <v>0</v>
      </c>
      <c r="J283" s="95" t="e">
        <f t="shared" si="115"/>
        <v>#DIV/0!</v>
      </c>
      <c r="K283" s="95" t="e">
        <f t="shared" si="116"/>
        <v>#DIV/0!</v>
      </c>
      <c r="T283" s="96" t="e">
        <f t="shared" si="111"/>
        <v>#DIV/0!</v>
      </c>
      <c r="V283" s="96" t="e">
        <f t="shared" si="112"/>
        <v>#DIV/0!</v>
      </c>
      <c r="X283" s="96" t="e">
        <f t="shared" si="104"/>
        <v>#DIV/0!</v>
      </c>
      <c r="Z283" s="96" t="e">
        <f t="shared" si="105"/>
        <v>#DIV/0!</v>
      </c>
      <c r="AC283" s="105">
        <f t="shared" si="108"/>
        <v>0</v>
      </c>
      <c r="AF283" s="49">
        <f t="shared" si="118"/>
        <v>0</v>
      </c>
      <c r="AI283" s="109">
        <f t="shared" si="101"/>
        <v>0</v>
      </c>
      <c r="AL283" s="27">
        <f t="shared" ref="AL283:AL293" si="119">AJ283+AK283</f>
        <v>0</v>
      </c>
      <c r="AP283" s="106">
        <f t="shared" si="99"/>
        <v>0</v>
      </c>
      <c r="AS283" s="118" t="e">
        <f t="shared" si="113"/>
        <v>#DIV/0!</v>
      </c>
      <c r="AT283" s="118" t="e">
        <f t="shared" si="114"/>
        <v>#DIV/0!</v>
      </c>
      <c r="BB283" s="106">
        <f t="shared" si="106"/>
        <v>0</v>
      </c>
      <c r="BD283" s="50"/>
      <c r="BF283" s="106">
        <f t="shared" si="107"/>
        <v>0</v>
      </c>
      <c r="BG283" s="23"/>
      <c r="BH283" s="23"/>
      <c r="BL283" s="114">
        <f t="shared" si="117"/>
        <v>0</v>
      </c>
    </row>
    <row r="284" spans="1:64" x14ac:dyDescent="0.2">
      <c r="A284" s="13" t="str">
        <f t="shared" si="102"/>
        <v>2037Q3</v>
      </c>
      <c r="B284" s="11">
        <f t="shared" si="109"/>
        <v>2037</v>
      </c>
      <c r="C284" s="11" t="s">
        <v>3</v>
      </c>
      <c r="F284" s="87">
        <f t="shared" si="103"/>
        <v>0</v>
      </c>
      <c r="I284" s="93">
        <f t="shared" si="110"/>
        <v>0</v>
      </c>
      <c r="J284" s="95" t="e">
        <f t="shared" si="115"/>
        <v>#DIV/0!</v>
      </c>
      <c r="K284" s="95" t="e">
        <f t="shared" si="116"/>
        <v>#DIV/0!</v>
      </c>
      <c r="T284" s="96" t="e">
        <f t="shared" si="111"/>
        <v>#DIV/0!</v>
      </c>
      <c r="V284" s="96" t="e">
        <f t="shared" si="112"/>
        <v>#DIV/0!</v>
      </c>
      <c r="X284" s="96" t="e">
        <f t="shared" si="104"/>
        <v>#DIV/0!</v>
      </c>
      <c r="Z284" s="96" t="e">
        <f t="shared" si="105"/>
        <v>#DIV/0!</v>
      </c>
      <c r="AC284" s="105">
        <f t="shared" si="108"/>
        <v>0</v>
      </c>
      <c r="AF284" s="49">
        <f t="shared" si="118"/>
        <v>0</v>
      </c>
      <c r="AI284" s="109">
        <f t="shared" si="101"/>
        <v>0</v>
      </c>
      <c r="AL284" s="27">
        <f t="shared" si="119"/>
        <v>0</v>
      </c>
      <c r="AP284" s="106">
        <f t="shared" si="99"/>
        <v>0</v>
      </c>
      <c r="AS284" s="118" t="e">
        <f t="shared" si="113"/>
        <v>#DIV/0!</v>
      </c>
      <c r="AT284" s="118" t="e">
        <f t="shared" si="114"/>
        <v>#DIV/0!</v>
      </c>
      <c r="BB284" s="106">
        <f t="shared" si="106"/>
        <v>0</v>
      </c>
      <c r="BD284" s="50"/>
      <c r="BF284" s="106">
        <f t="shared" si="107"/>
        <v>0</v>
      </c>
      <c r="BG284" s="23"/>
      <c r="BH284" s="23"/>
      <c r="BL284" s="114">
        <f t="shared" si="117"/>
        <v>0</v>
      </c>
    </row>
    <row r="285" spans="1:64" x14ac:dyDescent="0.2">
      <c r="A285" s="13" t="str">
        <f t="shared" si="102"/>
        <v>2037Q4</v>
      </c>
      <c r="B285" s="11">
        <f t="shared" si="109"/>
        <v>2037</v>
      </c>
      <c r="C285" s="11" t="s">
        <v>4</v>
      </c>
      <c r="F285" s="87">
        <f t="shared" si="103"/>
        <v>0</v>
      </c>
      <c r="I285" s="93">
        <f t="shared" si="110"/>
        <v>0</v>
      </c>
      <c r="J285" s="95" t="e">
        <f t="shared" si="115"/>
        <v>#DIV/0!</v>
      </c>
      <c r="K285" s="95" t="e">
        <f t="shared" si="116"/>
        <v>#DIV/0!</v>
      </c>
      <c r="T285" s="96" t="e">
        <f t="shared" si="111"/>
        <v>#DIV/0!</v>
      </c>
      <c r="V285" s="96" t="e">
        <f t="shared" si="112"/>
        <v>#DIV/0!</v>
      </c>
      <c r="X285" s="96" t="e">
        <f t="shared" si="104"/>
        <v>#DIV/0!</v>
      </c>
      <c r="Z285" s="96" t="e">
        <f t="shared" si="105"/>
        <v>#DIV/0!</v>
      </c>
      <c r="AC285" s="105">
        <f t="shared" si="108"/>
        <v>0</v>
      </c>
      <c r="AF285" s="49">
        <f t="shared" si="118"/>
        <v>0</v>
      </c>
      <c r="AI285" s="109">
        <f t="shared" si="101"/>
        <v>0</v>
      </c>
      <c r="AL285" s="27">
        <f t="shared" si="119"/>
        <v>0</v>
      </c>
      <c r="AP285" s="106">
        <f t="shared" si="99"/>
        <v>0</v>
      </c>
      <c r="AS285" s="118" t="e">
        <f t="shared" si="113"/>
        <v>#DIV/0!</v>
      </c>
      <c r="AT285" s="118" t="e">
        <f t="shared" si="114"/>
        <v>#DIV/0!</v>
      </c>
      <c r="BB285" s="106">
        <f t="shared" si="106"/>
        <v>0</v>
      </c>
      <c r="BD285" s="50"/>
      <c r="BF285" s="106">
        <f t="shared" si="107"/>
        <v>0</v>
      </c>
      <c r="BG285" s="23"/>
      <c r="BH285" s="23"/>
      <c r="BL285" s="114">
        <f t="shared" si="117"/>
        <v>0</v>
      </c>
    </row>
    <row r="286" spans="1:64" x14ac:dyDescent="0.2">
      <c r="A286" s="13" t="str">
        <f t="shared" si="102"/>
        <v>2038Q1</v>
      </c>
      <c r="B286" s="11">
        <f t="shared" si="109"/>
        <v>2038</v>
      </c>
      <c r="C286" s="11" t="s">
        <v>1</v>
      </c>
      <c r="F286" s="87">
        <f t="shared" si="103"/>
        <v>0</v>
      </c>
      <c r="I286" s="93">
        <f t="shared" si="110"/>
        <v>0</v>
      </c>
      <c r="J286" s="95" t="e">
        <f t="shared" si="115"/>
        <v>#DIV/0!</v>
      </c>
      <c r="K286" s="95" t="e">
        <f t="shared" si="116"/>
        <v>#DIV/0!</v>
      </c>
      <c r="T286" s="96" t="e">
        <f t="shared" si="111"/>
        <v>#DIV/0!</v>
      </c>
      <c r="V286" s="96" t="e">
        <f t="shared" si="112"/>
        <v>#DIV/0!</v>
      </c>
      <c r="X286" s="96" t="e">
        <f t="shared" si="104"/>
        <v>#DIV/0!</v>
      </c>
      <c r="Z286" s="96" t="e">
        <f t="shared" si="105"/>
        <v>#DIV/0!</v>
      </c>
      <c r="AC286" s="105">
        <f t="shared" si="108"/>
        <v>0</v>
      </c>
      <c r="AF286" s="49">
        <f t="shared" si="118"/>
        <v>0</v>
      </c>
      <c r="AI286" s="109">
        <f t="shared" ref="AI286:AI293" si="120">AG286+AH286</f>
        <v>0</v>
      </c>
      <c r="AL286" s="27">
        <f t="shared" si="119"/>
        <v>0</v>
      </c>
      <c r="AP286" s="106">
        <f t="shared" si="99"/>
        <v>0</v>
      </c>
      <c r="AS286" s="118" t="e">
        <f t="shared" si="113"/>
        <v>#DIV/0!</v>
      </c>
      <c r="AT286" s="118" t="e">
        <f t="shared" si="114"/>
        <v>#DIV/0!</v>
      </c>
      <c r="BB286" s="106">
        <f t="shared" si="106"/>
        <v>0</v>
      </c>
      <c r="BD286" s="50"/>
      <c r="BF286" s="106">
        <f t="shared" si="107"/>
        <v>0</v>
      </c>
      <c r="BG286" s="23"/>
      <c r="BH286" s="23"/>
      <c r="BL286" s="114">
        <f t="shared" si="117"/>
        <v>0</v>
      </c>
    </row>
    <row r="287" spans="1:64" x14ac:dyDescent="0.2">
      <c r="A287" s="13" t="str">
        <f t="shared" si="102"/>
        <v>2038Q2</v>
      </c>
      <c r="B287" s="11">
        <f t="shared" si="109"/>
        <v>2038</v>
      </c>
      <c r="C287" s="11" t="s">
        <v>2</v>
      </c>
      <c r="F287" s="87">
        <f t="shared" si="103"/>
        <v>0</v>
      </c>
      <c r="I287" s="93">
        <f t="shared" si="110"/>
        <v>0</v>
      </c>
      <c r="J287" s="95" t="e">
        <f t="shared" si="115"/>
        <v>#DIV/0!</v>
      </c>
      <c r="K287" s="95" t="e">
        <f t="shared" si="116"/>
        <v>#DIV/0!</v>
      </c>
      <c r="T287" s="96" t="e">
        <f t="shared" si="111"/>
        <v>#DIV/0!</v>
      </c>
      <c r="V287" s="96" t="e">
        <f t="shared" si="112"/>
        <v>#DIV/0!</v>
      </c>
      <c r="X287" s="96" t="e">
        <f t="shared" si="104"/>
        <v>#DIV/0!</v>
      </c>
      <c r="Z287" s="96" t="e">
        <f t="shared" si="105"/>
        <v>#DIV/0!</v>
      </c>
      <c r="AC287" s="105">
        <f t="shared" si="108"/>
        <v>0</v>
      </c>
      <c r="AF287" s="49">
        <f t="shared" si="118"/>
        <v>0</v>
      </c>
      <c r="AI287" s="109">
        <f t="shared" si="120"/>
        <v>0</v>
      </c>
      <c r="AL287" s="27">
        <f t="shared" si="119"/>
        <v>0</v>
      </c>
      <c r="AP287" s="106">
        <f t="shared" si="99"/>
        <v>0</v>
      </c>
      <c r="AS287" s="118" t="e">
        <f t="shared" si="113"/>
        <v>#DIV/0!</v>
      </c>
      <c r="AT287" s="118" t="e">
        <f t="shared" si="114"/>
        <v>#DIV/0!</v>
      </c>
      <c r="BB287" s="106">
        <f t="shared" si="106"/>
        <v>0</v>
      </c>
      <c r="BD287" s="50"/>
      <c r="BF287" s="106">
        <f t="shared" si="107"/>
        <v>0</v>
      </c>
      <c r="BG287" s="23"/>
      <c r="BH287" s="23"/>
      <c r="BL287" s="114">
        <f t="shared" si="117"/>
        <v>0</v>
      </c>
    </row>
    <row r="288" spans="1:64" x14ac:dyDescent="0.2">
      <c r="A288" s="13" t="str">
        <f t="shared" si="102"/>
        <v>2038Q3</v>
      </c>
      <c r="B288" s="11">
        <f t="shared" si="109"/>
        <v>2038</v>
      </c>
      <c r="C288" s="11" t="s">
        <v>3</v>
      </c>
      <c r="F288" s="87">
        <f t="shared" si="103"/>
        <v>0</v>
      </c>
      <c r="I288" s="93">
        <f t="shared" si="110"/>
        <v>0</v>
      </c>
      <c r="J288" s="95" t="e">
        <f t="shared" si="115"/>
        <v>#DIV/0!</v>
      </c>
      <c r="K288" s="95" t="e">
        <f t="shared" si="116"/>
        <v>#DIV/0!</v>
      </c>
      <c r="T288" s="96" t="e">
        <f t="shared" si="111"/>
        <v>#DIV/0!</v>
      </c>
      <c r="V288" s="96" t="e">
        <f t="shared" si="112"/>
        <v>#DIV/0!</v>
      </c>
      <c r="X288" s="96" t="e">
        <f t="shared" si="104"/>
        <v>#DIV/0!</v>
      </c>
      <c r="Z288" s="96" t="e">
        <f t="shared" si="105"/>
        <v>#DIV/0!</v>
      </c>
      <c r="AC288" s="105">
        <f t="shared" si="108"/>
        <v>0</v>
      </c>
      <c r="AF288" s="49">
        <f t="shared" si="118"/>
        <v>0</v>
      </c>
      <c r="AI288" s="109">
        <f t="shared" si="120"/>
        <v>0</v>
      </c>
      <c r="AL288" s="27">
        <f t="shared" si="119"/>
        <v>0</v>
      </c>
      <c r="AP288" s="106">
        <f t="shared" si="99"/>
        <v>0</v>
      </c>
      <c r="AS288" s="118" t="e">
        <f t="shared" si="113"/>
        <v>#DIV/0!</v>
      </c>
      <c r="AT288" s="118" t="e">
        <f t="shared" si="114"/>
        <v>#DIV/0!</v>
      </c>
      <c r="BB288" s="106">
        <f t="shared" si="106"/>
        <v>0</v>
      </c>
      <c r="BD288" s="50"/>
      <c r="BF288" s="106">
        <f t="shared" si="107"/>
        <v>0</v>
      </c>
      <c r="BG288" s="23"/>
      <c r="BH288" s="23"/>
      <c r="BL288" s="114">
        <f t="shared" si="117"/>
        <v>0</v>
      </c>
    </row>
    <row r="289" spans="1:64" x14ac:dyDescent="0.2">
      <c r="A289" s="13" t="str">
        <f t="shared" si="102"/>
        <v>2038Q4</v>
      </c>
      <c r="B289" s="11">
        <f t="shared" si="109"/>
        <v>2038</v>
      </c>
      <c r="C289" s="11" t="s">
        <v>4</v>
      </c>
      <c r="F289" s="87">
        <f t="shared" si="103"/>
        <v>0</v>
      </c>
      <c r="I289" s="93">
        <f t="shared" si="110"/>
        <v>0</v>
      </c>
      <c r="J289" s="95" t="e">
        <f t="shared" si="115"/>
        <v>#DIV/0!</v>
      </c>
      <c r="K289" s="95" t="e">
        <f t="shared" si="116"/>
        <v>#DIV/0!</v>
      </c>
      <c r="T289" s="96" t="e">
        <f t="shared" si="111"/>
        <v>#DIV/0!</v>
      </c>
      <c r="V289" s="96" t="e">
        <f t="shared" si="112"/>
        <v>#DIV/0!</v>
      </c>
      <c r="X289" s="96" t="e">
        <f t="shared" si="104"/>
        <v>#DIV/0!</v>
      </c>
      <c r="Z289" s="96" t="e">
        <f t="shared" si="105"/>
        <v>#DIV/0!</v>
      </c>
      <c r="AC289" s="105">
        <f t="shared" si="108"/>
        <v>0</v>
      </c>
      <c r="AF289" s="49">
        <f t="shared" si="118"/>
        <v>0</v>
      </c>
      <c r="AI289" s="109">
        <f t="shared" si="120"/>
        <v>0</v>
      </c>
      <c r="AL289" s="27">
        <f t="shared" si="119"/>
        <v>0</v>
      </c>
      <c r="AP289" s="106">
        <f t="shared" si="99"/>
        <v>0</v>
      </c>
      <c r="AS289" s="118" t="e">
        <f t="shared" si="113"/>
        <v>#DIV/0!</v>
      </c>
      <c r="AT289" s="118" t="e">
        <f t="shared" si="114"/>
        <v>#DIV/0!</v>
      </c>
      <c r="BB289" s="106">
        <f t="shared" si="106"/>
        <v>0</v>
      </c>
      <c r="BD289" s="50"/>
      <c r="BF289" s="106">
        <f t="shared" si="107"/>
        <v>0</v>
      </c>
      <c r="BG289" s="23"/>
      <c r="BH289" s="23"/>
      <c r="BL289" s="114">
        <f t="shared" si="117"/>
        <v>0</v>
      </c>
    </row>
    <row r="290" spans="1:64" x14ac:dyDescent="0.2">
      <c r="A290" s="13" t="str">
        <f t="shared" si="102"/>
        <v>2039Q1</v>
      </c>
      <c r="B290" s="11">
        <f t="shared" si="109"/>
        <v>2039</v>
      </c>
      <c r="C290" s="11" t="s">
        <v>1</v>
      </c>
      <c r="F290" s="87">
        <f t="shared" si="103"/>
        <v>0</v>
      </c>
      <c r="I290" s="93">
        <f t="shared" si="110"/>
        <v>0</v>
      </c>
      <c r="J290" s="95" t="e">
        <f t="shared" si="115"/>
        <v>#DIV/0!</v>
      </c>
      <c r="K290" s="95" t="e">
        <f t="shared" si="116"/>
        <v>#DIV/0!</v>
      </c>
      <c r="T290" s="96" t="e">
        <f t="shared" si="111"/>
        <v>#DIV/0!</v>
      </c>
      <c r="V290" s="96" t="e">
        <f t="shared" si="112"/>
        <v>#DIV/0!</v>
      </c>
      <c r="X290" s="96" t="e">
        <f t="shared" si="104"/>
        <v>#DIV/0!</v>
      </c>
      <c r="Z290" s="96" t="e">
        <f t="shared" si="105"/>
        <v>#DIV/0!</v>
      </c>
      <c r="AC290" s="105">
        <f t="shared" si="108"/>
        <v>0</v>
      </c>
      <c r="AF290" s="49">
        <f t="shared" si="118"/>
        <v>0</v>
      </c>
      <c r="AI290" s="109">
        <f t="shared" si="120"/>
        <v>0</v>
      </c>
      <c r="AL290" s="27">
        <f t="shared" si="119"/>
        <v>0</v>
      </c>
      <c r="AP290" s="106">
        <f t="shared" si="99"/>
        <v>0</v>
      </c>
      <c r="AS290" s="118" t="e">
        <f t="shared" si="113"/>
        <v>#DIV/0!</v>
      </c>
      <c r="AT290" s="118" t="e">
        <f t="shared" si="114"/>
        <v>#DIV/0!</v>
      </c>
      <c r="BB290" s="106">
        <f t="shared" si="106"/>
        <v>0</v>
      </c>
      <c r="BD290" s="50"/>
      <c r="BF290" s="106">
        <f t="shared" si="107"/>
        <v>0</v>
      </c>
      <c r="BG290" s="23"/>
      <c r="BH290" s="23"/>
      <c r="BL290" s="114">
        <f t="shared" si="117"/>
        <v>0</v>
      </c>
    </row>
    <row r="291" spans="1:64" x14ac:dyDescent="0.2">
      <c r="A291" s="13" t="str">
        <f t="shared" si="102"/>
        <v>2039Q2</v>
      </c>
      <c r="B291" s="11">
        <f t="shared" si="109"/>
        <v>2039</v>
      </c>
      <c r="C291" s="11" t="s">
        <v>2</v>
      </c>
      <c r="F291" s="87">
        <f t="shared" si="103"/>
        <v>0</v>
      </c>
      <c r="I291" s="93">
        <f t="shared" si="110"/>
        <v>0</v>
      </c>
      <c r="J291" s="95" t="e">
        <f t="shared" si="115"/>
        <v>#DIV/0!</v>
      </c>
      <c r="K291" s="95" t="e">
        <f t="shared" si="116"/>
        <v>#DIV/0!</v>
      </c>
      <c r="T291" s="96" t="e">
        <f t="shared" si="111"/>
        <v>#DIV/0!</v>
      </c>
      <c r="V291" s="96" t="e">
        <f t="shared" si="112"/>
        <v>#DIV/0!</v>
      </c>
      <c r="X291" s="96" t="e">
        <f t="shared" si="104"/>
        <v>#DIV/0!</v>
      </c>
      <c r="Z291" s="96" t="e">
        <f t="shared" si="105"/>
        <v>#DIV/0!</v>
      </c>
      <c r="AC291" s="105">
        <f t="shared" si="108"/>
        <v>0</v>
      </c>
      <c r="AF291" s="49">
        <f t="shared" si="118"/>
        <v>0</v>
      </c>
      <c r="AI291" s="109">
        <f t="shared" si="120"/>
        <v>0</v>
      </c>
      <c r="AL291" s="27">
        <f t="shared" si="119"/>
        <v>0</v>
      </c>
      <c r="AP291" s="106">
        <f t="shared" si="99"/>
        <v>0</v>
      </c>
      <c r="AS291" s="118" t="e">
        <f t="shared" si="113"/>
        <v>#DIV/0!</v>
      </c>
      <c r="AT291" s="118" t="e">
        <f t="shared" si="114"/>
        <v>#DIV/0!</v>
      </c>
      <c r="BB291" s="106">
        <f t="shared" si="106"/>
        <v>0</v>
      </c>
      <c r="BD291" s="50"/>
      <c r="BF291" s="106">
        <f t="shared" si="107"/>
        <v>0</v>
      </c>
      <c r="BG291" s="23"/>
      <c r="BH291" s="23"/>
      <c r="BL291" s="114">
        <f t="shared" si="117"/>
        <v>0</v>
      </c>
    </row>
    <row r="292" spans="1:64" x14ac:dyDescent="0.2">
      <c r="A292" s="13" t="str">
        <f t="shared" si="102"/>
        <v>2039Q3</v>
      </c>
      <c r="B292" s="11">
        <f t="shared" si="109"/>
        <v>2039</v>
      </c>
      <c r="C292" s="11" t="s">
        <v>3</v>
      </c>
      <c r="F292" s="87">
        <f t="shared" si="103"/>
        <v>0</v>
      </c>
      <c r="I292" s="93">
        <f t="shared" si="110"/>
        <v>0</v>
      </c>
      <c r="J292" s="95" t="e">
        <f t="shared" si="115"/>
        <v>#DIV/0!</v>
      </c>
      <c r="K292" s="95" t="e">
        <f t="shared" si="116"/>
        <v>#DIV/0!</v>
      </c>
      <c r="T292" s="96" t="e">
        <f t="shared" si="111"/>
        <v>#DIV/0!</v>
      </c>
      <c r="V292" s="96" t="e">
        <f t="shared" si="112"/>
        <v>#DIV/0!</v>
      </c>
      <c r="X292" s="96" t="e">
        <f t="shared" si="104"/>
        <v>#DIV/0!</v>
      </c>
      <c r="Z292" s="96" t="e">
        <f t="shared" si="105"/>
        <v>#DIV/0!</v>
      </c>
      <c r="AC292" s="105">
        <f t="shared" si="108"/>
        <v>0</v>
      </c>
      <c r="AF292" s="49">
        <f t="shared" si="118"/>
        <v>0</v>
      </c>
      <c r="AI292" s="109">
        <f t="shared" si="120"/>
        <v>0</v>
      </c>
      <c r="AL292" s="27">
        <f t="shared" si="119"/>
        <v>0</v>
      </c>
      <c r="AP292" s="106">
        <f t="shared" si="99"/>
        <v>0</v>
      </c>
      <c r="AS292" s="118" t="e">
        <f t="shared" si="113"/>
        <v>#DIV/0!</v>
      </c>
      <c r="AT292" s="118" t="e">
        <f t="shared" si="114"/>
        <v>#DIV/0!</v>
      </c>
      <c r="BB292" s="106">
        <f t="shared" si="106"/>
        <v>0</v>
      </c>
      <c r="BD292" s="50"/>
      <c r="BF292" s="106">
        <f t="shared" si="107"/>
        <v>0</v>
      </c>
      <c r="BG292" s="23"/>
      <c r="BH292" s="23"/>
      <c r="BL292" s="114">
        <f t="shared" si="117"/>
        <v>0</v>
      </c>
    </row>
    <row r="293" spans="1:64" x14ac:dyDescent="0.2">
      <c r="A293" s="13" t="str">
        <f t="shared" si="102"/>
        <v>2039Q4</v>
      </c>
      <c r="B293" s="11">
        <f t="shared" si="109"/>
        <v>2039</v>
      </c>
      <c r="C293" s="11" t="s">
        <v>4</v>
      </c>
      <c r="F293" s="87">
        <f t="shared" si="103"/>
        <v>0</v>
      </c>
      <c r="I293" s="93">
        <f t="shared" si="110"/>
        <v>0</v>
      </c>
      <c r="J293" s="95" t="e">
        <f t="shared" si="115"/>
        <v>#DIV/0!</v>
      </c>
      <c r="K293" s="95" t="e">
        <f t="shared" si="116"/>
        <v>#DIV/0!</v>
      </c>
      <c r="T293" s="96" t="e">
        <f t="shared" si="111"/>
        <v>#DIV/0!</v>
      </c>
      <c r="V293" s="96" t="e">
        <f t="shared" si="112"/>
        <v>#DIV/0!</v>
      </c>
      <c r="X293" s="96" t="e">
        <f t="shared" si="104"/>
        <v>#DIV/0!</v>
      </c>
      <c r="Z293" s="96" t="e">
        <f t="shared" si="105"/>
        <v>#DIV/0!</v>
      </c>
      <c r="AC293" s="105">
        <f t="shared" si="108"/>
        <v>0</v>
      </c>
      <c r="AF293" s="49">
        <f t="shared" si="118"/>
        <v>0</v>
      </c>
      <c r="AI293" s="109">
        <f t="shared" si="120"/>
        <v>0</v>
      </c>
      <c r="AL293" s="27">
        <f t="shared" si="119"/>
        <v>0</v>
      </c>
      <c r="AP293" s="106">
        <f t="shared" si="99"/>
        <v>0</v>
      </c>
      <c r="AS293" s="118" t="e">
        <f t="shared" si="113"/>
        <v>#DIV/0!</v>
      </c>
      <c r="AT293" s="118" t="e">
        <f t="shared" si="114"/>
        <v>#DIV/0!</v>
      </c>
      <c r="BB293" s="106">
        <f t="shared" si="106"/>
        <v>0</v>
      </c>
      <c r="BD293" s="50"/>
      <c r="BF293" s="106">
        <f t="shared" si="107"/>
        <v>0</v>
      </c>
      <c r="BG293" s="23"/>
      <c r="BH293" s="23"/>
      <c r="BL293" s="114">
        <f t="shared" si="117"/>
        <v>0</v>
      </c>
    </row>
    <row r="294" spans="1:64" x14ac:dyDescent="0.2">
      <c r="AI294" s="109"/>
      <c r="AL294" s="27"/>
      <c r="BD294" s="50"/>
    </row>
    <row r="295" spans="1:64" x14ac:dyDescent="0.2">
      <c r="AI295" s="109"/>
      <c r="BD295" s="50"/>
    </row>
    <row r="296" spans="1:64" x14ac:dyDescent="0.2">
      <c r="BD296" s="50"/>
    </row>
    <row r="297" spans="1:64" x14ac:dyDescent="0.2">
      <c r="BD297" s="50"/>
    </row>
    <row r="298" spans="1:64" x14ac:dyDescent="0.2">
      <c r="BD298" s="50"/>
    </row>
    <row r="299" spans="1:64" x14ac:dyDescent="0.2">
      <c r="BD299" s="50"/>
    </row>
    <row r="300" spans="1:64" x14ac:dyDescent="0.2">
      <c r="BD300" s="50"/>
    </row>
    <row r="301" spans="1:64" x14ac:dyDescent="0.2">
      <c r="BD301" s="50"/>
    </row>
    <row r="302" spans="1:64" x14ac:dyDescent="0.2">
      <c r="BD302" s="50"/>
    </row>
    <row r="303" spans="1:64" x14ac:dyDescent="0.2">
      <c r="BD303" s="50"/>
    </row>
    <row r="304" spans="1:64" x14ac:dyDescent="0.2">
      <c r="BD304" s="50"/>
    </row>
    <row r="305" spans="56:56" x14ac:dyDescent="0.2">
      <c r="BD305" s="50"/>
    </row>
    <row r="306" spans="56:56" x14ac:dyDescent="0.2">
      <c r="BD306" s="50"/>
    </row>
    <row r="307" spans="56:56" x14ac:dyDescent="0.2">
      <c r="BD307" s="50"/>
    </row>
    <row r="308" spans="56:56" x14ac:dyDescent="0.2">
      <c r="BD308" s="50"/>
    </row>
    <row r="309" spans="56:56" x14ac:dyDescent="0.2">
      <c r="BD309" s="50"/>
    </row>
    <row r="310" spans="56:56" x14ac:dyDescent="0.2">
      <c r="BD310" s="50"/>
    </row>
    <row r="311" spans="56:56" x14ac:dyDescent="0.2">
      <c r="BD311" s="50"/>
    </row>
    <row r="312" spans="56:56" x14ac:dyDescent="0.2">
      <c r="BD312" s="50"/>
    </row>
    <row r="313" spans="56:56" x14ac:dyDescent="0.2">
      <c r="BD313" s="50"/>
    </row>
    <row r="314" spans="56:56" x14ac:dyDescent="0.2">
      <c r="BD314" s="50"/>
    </row>
    <row r="315" spans="56:56" x14ac:dyDescent="0.2">
      <c r="BD315" s="50"/>
    </row>
    <row r="316" spans="56:56" x14ac:dyDescent="0.2">
      <c r="BD316" s="50"/>
    </row>
    <row r="317" spans="56:56" x14ac:dyDescent="0.2">
      <c r="BD317" s="50"/>
    </row>
    <row r="318" spans="56:56" x14ac:dyDescent="0.2">
      <c r="BD318" s="50"/>
    </row>
    <row r="319" spans="56:56" x14ac:dyDescent="0.2">
      <c r="BD319" s="50"/>
    </row>
    <row r="320" spans="56:56" x14ac:dyDescent="0.2">
      <c r="BD320" s="50"/>
    </row>
    <row r="321" spans="56:56" x14ac:dyDescent="0.2">
      <c r="BD321" s="50"/>
    </row>
    <row r="322" spans="56:56" x14ac:dyDescent="0.2">
      <c r="BD322" s="50"/>
    </row>
    <row r="323" spans="56:56" x14ac:dyDescent="0.2">
      <c r="BD323" s="50"/>
    </row>
    <row r="324" spans="56:56" x14ac:dyDescent="0.2">
      <c r="BD324" s="50"/>
    </row>
    <row r="325" spans="56:56" x14ac:dyDescent="0.2">
      <c r="BD325" s="50"/>
    </row>
    <row r="326" spans="56:56" x14ac:dyDescent="0.2">
      <c r="BD326" s="50"/>
    </row>
    <row r="327" spans="56:56" x14ac:dyDescent="0.2">
      <c r="BD327" s="50"/>
    </row>
    <row r="328" spans="56:56" x14ac:dyDescent="0.2">
      <c r="BD328" s="50"/>
    </row>
    <row r="329" spans="56:56" x14ac:dyDescent="0.2">
      <c r="BD329" s="50"/>
    </row>
    <row r="330" spans="56:56" x14ac:dyDescent="0.2">
      <c r="BD330" s="50"/>
    </row>
    <row r="331" spans="56:56" x14ac:dyDescent="0.2">
      <c r="BD331" s="50"/>
    </row>
    <row r="332" spans="56:56" x14ac:dyDescent="0.2">
      <c r="BD332" s="50"/>
    </row>
    <row r="333" spans="56:56" x14ac:dyDescent="0.2">
      <c r="BD333" s="50"/>
    </row>
    <row r="334" spans="56:56" x14ac:dyDescent="0.2">
      <c r="BD334" s="50"/>
    </row>
    <row r="335" spans="56:56" x14ac:dyDescent="0.2">
      <c r="BD335" s="50"/>
    </row>
    <row r="336" spans="56:56" x14ac:dyDescent="0.2">
      <c r="BD336" s="50"/>
    </row>
    <row r="337" spans="56:56" x14ac:dyDescent="0.2">
      <c r="BD337" s="50"/>
    </row>
    <row r="338" spans="56:56" x14ac:dyDescent="0.2">
      <c r="BD338" s="50"/>
    </row>
    <row r="339" spans="56:56" x14ac:dyDescent="0.2">
      <c r="BD339" s="50"/>
    </row>
    <row r="340" spans="56:56" x14ac:dyDescent="0.2">
      <c r="BD340" s="50"/>
    </row>
    <row r="341" spans="56:56" x14ac:dyDescent="0.2">
      <c r="BD341" s="50"/>
    </row>
    <row r="342" spans="56:56" x14ac:dyDescent="0.2">
      <c r="BD342" s="50"/>
    </row>
    <row r="343" spans="56:56" x14ac:dyDescent="0.2">
      <c r="BD343" s="50"/>
    </row>
    <row r="344" spans="56:56" x14ac:dyDescent="0.2">
      <c r="BD344" s="50"/>
    </row>
    <row r="345" spans="56:56" x14ac:dyDescent="0.2">
      <c r="BD345" s="50"/>
    </row>
    <row r="346" spans="56:56" x14ac:dyDescent="0.2">
      <c r="BD346" s="50"/>
    </row>
    <row r="347" spans="56:56" x14ac:dyDescent="0.2">
      <c r="BD347" s="50"/>
    </row>
    <row r="348" spans="56:56" x14ac:dyDescent="0.2">
      <c r="BD348" s="50"/>
    </row>
    <row r="349" spans="56:56" x14ac:dyDescent="0.2">
      <c r="BD349" s="50"/>
    </row>
    <row r="350" spans="56:56" x14ac:dyDescent="0.2">
      <c r="BD350" s="50"/>
    </row>
    <row r="351" spans="56:56" x14ac:dyDescent="0.2">
      <c r="BD351" s="50"/>
    </row>
    <row r="352" spans="56:56" x14ac:dyDescent="0.2">
      <c r="BD352" s="50"/>
    </row>
    <row r="353" spans="56:56" x14ac:dyDescent="0.2">
      <c r="BD353" s="50"/>
    </row>
    <row r="354" spans="56:56" x14ac:dyDescent="0.2">
      <c r="BD354" s="50"/>
    </row>
    <row r="355" spans="56:56" x14ac:dyDescent="0.2">
      <c r="BD355" s="50"/>
    </row>
    <row r="356" spans="56:56" x14ac:dyDescent="0.2">
      <c r="BD356" s="50"/>
    </row>
    <row r="357" spans="56:56" x14ac:dyDescent="0.2">
      <c r="BD357" s="50"/>
    </row>
    <row r="358" spans="56:56" x14ac:dyDescent="0.2">
      <c r="BD358" s="50"/>
    </row>
    <row r="359" spans="56:56" x14ac:dyDescent="0.2">
      <c r="BD359" s="50"/>
    </row>
    <row r="360" spans="56:56" x14ac:dyDescent="0.2">
      <c r="BD360" s="50"/>
    </row>
    <row r="361" spans="56:56" x14ac:dyDescent="0.2">
      <c r="BD361" s="50"/>
    </row>
    <row r="362" spans="56:56" x14ac:dyDescent="0.2">
      <c r="BD362" s="50"/>
    </row>
    <row r="363" spans="56:56" x14ac:dyDescent="0.2">
      <c r="BD363" s="50"/>
    </row>
    <row r="364" spans="56:56" x14ac:dyDescent="0.2">
      <c r="BD364" s="50"/>
    </row>
    <row r="365" spans="56:56" x14ac:dyDescent="0.2">
      <c r="BD365" s="50"/>
    </row>
    <row r="366" spans="56:56" x14ac:dyDescent="0.2">
      <c r="BD366" s="50"/>
    </row>
    <row r="367" spans="56:56" x14ac:dyDescent="0.2">
      <c r="BD367" s="50"/>
    </row>
    <row r="368" spans="56:56" x14ac:dyDescent="0.2">
      <c r="BD368" s="50"/>
    </row>
    <row r="369" spans="56:56" x14ac:dyDescent="0.2">
      <c r="BD369" s="50"/>
    </row>
    <row r="370" spans="56:56" x14ac:dyDescent="0.2">
      <c r="BD370" s="50"/>
    </row>
    <row r="371" spans="56:56" x14ac:dyDescent="0.2">
      <c r="BD371" s="50"/>
    </row>
    <row r="372" spans="56:56" x14ac:dyDescent="0.2">
      <c r="BD372" s="50"/>
    </row>
    <row r="373" spans="56:56" x14ac:dyDescent="0.2">
      <c r="BD373" s="50"/>
    </row>
    <row r="374" spans="56:56" x14ac:dyDescent="0.2">
      <c r="BD374" s="50"/>
    </row>
    <row r="375" spans="56:56" x14ac:dyDescent="0.2">
      <c r="BD375" s="50"/>
    </row>
    <row r="376" spans="56:56" x14ac:dyDescent="0.2">
      <c r="BD376" s="50"/>
    </row>
    <row r="377" spans="56:56" x14ac:dyDescent="0.2">
      <c r="BD377" s="50"/>
    </row>
    <row r="378" spans="56:56" x14ac:dyDescent="0.2">
      <c r="BD378" s="50"/>
    </row>
  </sheetData>
  <mergeCells count="5">
    <mergeCell ref="AN3:BB3"/>
    <mergeCell ref="BD3:BL3"/>
    <mergeCell ref="D3:AL3"/>
    <mergeCell ref="D1:E1"/>
    <mergeCell ref="D2:E2"/>
  </mergeCells>
  <phoneticPr fontId="0" type="noConversion"/>
  <conditionalFormatting sqref="BF201:BH65536 BB166:BB65536 BL166:BL65536 F158:F65536 AP166:AP65536 AC166:AC65536 AF166:AF65536 AI126:AI295 I166:I65536 BF166:BF200 AL126:AL294">
    <cfRule type="cellIs" dxfId="7" priority="1" stopIfTrue="1" operator="lessThanOrEqual">
      <formula>0</formula>
    </cfRule>
  </conditionalFormatting>
  <pageMargins left="0.75" right="0.75" top="1" bottom="1" header="0.5" footer="0.5"/>
  <pageSetup paperSize="9" scale="67" fitToWidth="4" fitToHeight="4" pageOrder="overThenDown" orientation="landscape" r:id="rId1"/>
  <headerFooter alignWithMargins="0"/>
  <rowBreaks count="3" manualBreakCount="3">
    <brk id="54" min="1" max="63" man="1"/>
    <brk id="95" min="1" max="63" man="1"/>
    <brk id="158" min="1" max="63" man="1"/>
  </rowBreaks>
  <colBreaks count="3" manualBreakCount="3">
    <brk id="16" min="3" max="186" man="1"/>
    <brk id="28" min="3" max="186" man="1"/>
    <brk id="47" min="3" max="18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Q83"/>
  <sheetViews>
    <sheetView showGridLines="0" zoomScaleNormal="100" workbookViewId="0">
      <pane xSplit="3" ySplit="5" topLeftCell="D47" activePane="bottomRight" state="frozen"/>
      <selection activeCell="CS201" sqref="CS201"/>
      <selection pane="topRight" activeCell="CS201" sqref="CS201"/>
      <selection pane="bottomLeft" activeCell="CS201" sqref="CS201"/>
      <selection pane="bottomRight" activeCell="H66" sqref="H6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7" ht="12.75" customHeight="1" x14ac:dyDescent="0.3">
      <c r="B1" s="132"/>
      <c r="C1" s="133"/>
      <c r="D1" s="132"/>
      <c r="E1" s="133"/>
      <c r="F1" s="132"/>
      <c r="G1" s="133"/>
      <c r="H1" s="132"/>
      <c r="I1" s="133"/>
      <c r="J1" s="132"/>
      <c r="K1" s="133"/>
    </row>
    <row r="2" spans="1:17" s="136" customFormat="1" ht="31.5" customHeight="1" x14ac:dyDescent="0.3">
      <c r="A2" s="192" t="s">
        <v>168</v>
      </c>
      <c r="B2" s="193"/>
      <c r="C2" s="193"/>
      <c r="D2" s="194" t="s">
        <v>169</v>
      </c>
      <c r="E2" s="133"/>
      <c r="F2" s="132"/>
      <c r="G2" s="133"/>
      <c r="H2" s="132"/>
      <c r="I2" s="133"/>
      <c r="J2" s="132"/>
      <c r="K2" s="133"/>
      <c r="L2" s="132"/>
      <c r="M2" s="132"/>
      <c r="N2" s="132"/>
    </row>
    <row r="3" spans="1:17" s="136" customFormat="1" ht="17.25" x14ac:dyDescent="0.3">
      <c r="A3" s="195" t="s">
        <v>153</v>
      </c>
      <c r="B3" s="196"/>
      <c r="C3" s="213"/>
      <c r="D3" s="197" t="s">
        <v>155</v>
      </c>
      <c r="E3" s="282"/>
      <c r="F3" s="187"/>
      <c r="G3" s="282"/>
      <c r="H3" s="187"/>
      <c r="I3" s="282"/>
      <c r="J3" s="187"/>
      <c r="K3" s="282"/>
      <c r="L3" s="132"/>
      <c r="M3" s="132"/>
      <c r="N3" s="132"/>
    </row>
    <row r="4" spans="1:17" ht="10.5" customHeight="1" thickBot="1" x14ac:dyDescent="0.35">
      <c r="A4" s="137"/>
      <c r="B4" s="137"/>
      <c r="C4" s="214"/>
      <c r="D4" s="137"/>
      <c r="E4" s="214"/>
      <c r="F4" s="137"/>
      <c r="G4" s="214"/>
      <c r="H4" s="137"/>
      <c r="I4" s="214"/>
      <c r="J4" s="339"/>
      <c r="K4" s="339"/>
    </row>
    <row r="5" spans="1:17" ht="30.75" customHeight="1" thickBot="1" x14ac:dyDescent="0.35">
      <c r="A5" s="230"/>
      <c r="B5" s="230"/>
      <c r="C5" s="231"/>
      <c r="D5" s="345" t="s">
        <v>123</v>
      </c>
      <c r="E5" s="345"/>
      <c r="F5" s="346" t="s">
        <v>236</v>
      </c>
      <c r="G5" s="346"/>
      <c r="H5" s="346" t="s">
        <v>391</v>
      </c>
      <c r="I5" s="346"/>
      <c r="J5" s="346" t="s">
        <v>239</v>
      </c>
      <c r="K5" s="346"/>
    </row>
    <row r="6" spans="1:17" s="146" customFormat="1" ht="12.75" customHeight="1" x14ac:dyDescent="0.25">
      <c r="A6" s="143">
        <v>2008</v>
      </c>
      <c r="B6" s="143"/>
      <c r="C6" s="212"/>
      <c r="D6" s="144">
        <v>106544</v>
      </c>
      <c r="E6" s="145" t="s">
        <v>501</v>
      </c>
      <c r="F6" s="144">
        <v>67428</v>
      </c>
      <c r="G6" s="145" t="s">
        <v>501</v>
      </c>
      <c r="H6" s="144" t="s">
        <v>206</v>
      </c>
      <c r="I6" s="145" t="s">
        <v>501</v>
      </c>
      <c r="J6" s="144">
        <v>39116</v>
      </c>
      <c r="K6" s="145" t="s">
        <v>501</v>
      </c>
    </row>
    <row r="7" spans="1:17" s="146" customFormat="1" ht="12.75" customHeight="1" x14ac:dyDescent="0.25">
      <c r="A7" s="143">
        <v>2009</v>
      </c>
      <c r="B7" s="143"/>
      <c r="C7" s="212"/>
      <c r="D7" s="144">
        <v>134143</v>
      </c>
      <c r="E7" s="145" t="s">
        <v>501</v>
      </c>
      <c r="F7" s="144">
        <v>74671</v>
      </c>
      <c r="G7" s="145" t="s">
        <v>501</v>
      </c>
      <c r="H7" s="144">
        <v>11831</v>
      </c>
      <c r="I7" s="145" t="s">
        <v>501</v>
      </c>
      <c r="J7" s="144">
        <v>47641</v>
      </c>
      <c r="K7" s="145" t="s">
        <v>501</v>
      </c>
    </row>
    <row r="8" spans="1:17" s="146" customFormat="1" ht="12.75" customHeight="1" x14ac:dyDescent="0.25">
      <c r="A8" s="143">
        <v>2010</v>
      </c>
      <c r="B8" s="143"/>
      <c r="C8" s="212"/>
      <c r="D8" s="144">
        <v>135046</v>
      </c>
      <c r="E8" s="145" t="s">
        <v>501</v>
      </c>
      <c r="F8" s="144">
        <v>59173</v>
      </c>
      <c r="G8" s="145" t="s">
        <v>501</v>
      </c>
      <c r="H8" s="144">
        <v>25179</v>
      </c>
      <c r="I8" s="145" t="s">
        <v>501</v>
      </c>
      <c r="J8" s="144">
        <v>50694</v>
      </c>
      <c r="K8" s="145" t="s">
        <v>501</v>
      </c>
    </row>
    <row r="9" spans="1:17" s="146" customFormat="1" ht="12.75" customHeight="1" x14ac:dyDescent="0.25">
      <c r="A9" s="143">
        <v>2011</v>
      </c>
      <c r="B9" s="143"/>
      <c r="C9" s="212"/>
      <c r="D9" s="144">
        <v>119943.00000000003</v>
      </c>
      <c r="E9" s="145" t="s">
        <v>501</v>
      </c>
      <c r="F9" s="144">
        <v>41875.999999999942</v>
      </c>
      <c r="G9" s="145" t="s">
        <v>501</v>
      </c>
      <c r="H9" s="144">
        <v>29009</v>
      </c>
      <c r="I9" s="145" t="s">
        <v>501</v>
      </c>
      <c r="J9" s="144">
        <v>49058.000000000102</v>
      </c>
      <c r="K9" s="145" t="s">
        <v>501</v>
      </c>
    </row>
    <row r="10" spans="1:17" s="146" customFormat="1" ht="12.75" customHeight="1" x14ac:dyDescent="0.25">
      <c r="A10" s="143">
        <v>2012</v>
      </c>
      <c r="B10" s="143"/>
      <c r="C10" s="212"/>
      <c r="D10" s="144">
        <v>109640</v>
      </c>
      <c r="E10" s="145" t="s">
        <v>501</v>
      </c>
      <c r="F10" s="144">
        <v>31787.000000000011</v>
      </c>
      <c r="G10" s="145" t="s">
        <v>501</v>
      </c>
      <c r="H10" s="144">
        <v>31179</v>
      </c>
      <c r="I10" s="145" t="s">
        <v>501</v>
      </c>
      <c r="J10" s="144">
        <v>46674</v>
      </c>
      <c r="K10" s="145" t="s">
        <v>501</v>
      </c>
    </row>
    <row r="11" spans="1:17" s="146" customFormat="1" ht="12.75" customHeight="1" x14ac:dyDescent="0.25">
      <c r="A11" s="143">
        <v>2013</v>
      </c>
      <c r="B11" s="143"/>
      <c r="C11" s="212"/>
      <c r="D11" s="144">
        <v>100998.0000000001</v>
      </c>
      <c r="E11" s="145" t="s">
        <v>501</v>
      </c>
      <c r="F11" s="144">
        <v>24570.999999999993</v>
      </c>
      <c r="G11" s="145" t="s">
        <v>501</v>
      </c>
      <c r="H11" s="144">
        <v>27546</v>
      </c>
      <c r="I11" s="145" t="s">
        <v>501</v>
      </c>
      <c r="J11" s="144">
        <v>48881.000000000095</v>
      </c>
      <c r="K11" s="145" t="s">
        <v>501</v>
      </c>
    </row>
    <row r="12" spans="1:17" s="146" customFormat="1" ht="12.75" customHeight="1" x14ac:dyDescent="0.25">
      <c r="A12" s="143">
        <v>2014</v>
      </c>
      <c r="B12" s="143"/>
      <c r="C12" s="212"/>
      <c r="D12" s="144">
        <v>99223.000000000116</v>
      </c>
      <c r="E12" s="145" t="s">
        <v>501</v>
      </c>
      <c r="F12" s="144">
        <v>20345</v>
      </c>
      <c r="G12" s="145" t="s">
        <v>501</v>
      </c>
      <c r="H12" s="144">
        <v>26688</v>
      </c>
      <c r="I12" s="145" t="s">
        <v>501</v>
      </c>
      <c r="J12" s="144">
        <v>52190.000000000102</v>
      </c>
      <c r="K12" s="145" t="s">
        <v>501</v>
      </c>
    </row>
    <row r="13" spans="1:17" s="146" customFormat="1" ht="12.75" customHeight="1" x14ac:dyDescent="0.25">
      <c r="A13" s="143">
        <v>2015</v>
      </c>
      <c r="B13" s="143"/>
      <c r="C13" s="212"/>
      <c r="D13" s="144">
        <v>80403.999999999942</v>
      </c>
      <c r="E13" s="145" t="s">
        <v>501</v>
      </c>
      <c r="F13" s="144">
        <v>15844.999999999991</v>
      </c>
      <c r="G13" s="145" t="s">
        <v>501</v>
      </c>
      <c r="H13" s="144">
        <v>24175</v>
      </c>
      <c r="I13" s="145" t="s">
        <v>501</v>
      </c>
      <c r="J13" s="144">
        <v>40383.999999999949</v>
      </c>
      <c r="K13" s="145" t="s">
        <v>501</v>
      </c>
      <c r="M13" s="314"/>
      <c r="N13" s="314"/>
      <c r="O13" s="314"/>
      <c r="P13" s="314"/>
      <c r="Q13" s="314"/>
    </row>
    <row r="14" spans="1:17" s="146" customFormat="1" ht="12.75" customHeight="1" x14ac:dyDescent="0.25">
      <c r="A14" s="143">
        <v>2016</v>
      </c>
      <c r="B14" s="143"/>
      <c r="C14" s="212"/>
      <c r="D14" s="144">
        <v>90657</v>
      </c>
      <c r="E14" s="145" t="s">
        <v>501</v>
      </c>
      <c r="F14" s="144">
        <v>15044</v>
      </c>
      <c r="G14" s="145" t="s">
        <v>501</v>
      </c>
      <c r="H14" s="144">
        <v>26196</v>
      </c>
      <c r="I14" s="145" t="s">
        <v>501</v>
      </c>
      <c r="J14" s="144">
        <v>49417</v>
      </c>
      <c r="K14" s="145" t="s">
        <v>501</v>
      </c>
      <c r="M14" s="314"/>
      <c r="N14" s="314"/>
      <c r="O14" s="314"/>
      <c r="P14" s="314"/>
      <c r="Q14" s="314"/>
    </row>
    <row r="15" spans="1:17" s="146" customFormat="1" ht="12.75" customHeight="1" x14ac:dyDescent="0.25">
      <c r="A15" s="143">
        <v>2017</v>
      </c>
      <c r="B15" s="212" t="s">
        <v>196</v>
      </c>
      <c r="C15" s="216"/>
      <c r="D15" s="144">
        <v>99196</v>
      </c>
      <c r="E15" s="145" t="s">
        <v>501</v>
      </c>
      <c r="F15" s="144">
        <v>15082</v>
      </c>
      <c r="G15" s="145" t="s">
        <v>501</v>
      </c>
      <c r="H15" s="144">
        <v>24894</v>
      </c>
      <c r="I15" s="145" t="s">
        <v>501</v>
      </c>
      <c r="J15" s="144">
        <v>59220</v>
      </c>
      <c r="K15" s="145" t="s">
        <v>501</v>
      </c>
      <c r="M15" s="314"/>
      <c r="N15" s="314"/>
      <c r="O15" s="314"/>
      <c r="P15" s="314"/>
      <c r="Q15" s="314"/>
    </row>
    <row r="16" spans="1:17" s="142" customFormat="1" ht="12.75" customHeight="1" x14ac:dyDescent="0.25">
      <c r="A16" s="148"/>
      <c r="B16" s="148"/>
      <c r="C16" s="217"/>
      <c r="D16" s="149"/>
      <c r="E16" s="154"/>
      <c r="F16" s="149"/>
      <c r="G16" s="154"/>
      <c r="H16" s="149"/>
      <c r="I16" s="154"/>
      <c r="J16" s="149"/>
      <c r="K16" s="154"/>
      <c r="M16" s="312"/>
      <c r="O16" s="312"/>
      <c r="Q16" s="312"/>
    </row>
    <row r="17" spans="1:11" s="142" customFormat="1" ht="12.75" customHeight="1" x14ac:dyDescent="0.25">
      <c r="A17" s="151">
        <v>2008</v>
      </c>
      <c r="B17" s="152" t="s">
        <v>1</v>
      </c>
      <c r="C17" s="218"/>
      <c r="D17" s="153">
        <v>25123</v>
      </c>
      <c r="E17" s="154" t="s">
        <v>501</v>
      </c>
      <c r="F17" s="153">
        <v>15482</v>
      </c>
      <c r="G17" s="154" t="s">
        <v>501</v>
      </c>
      <c r="H17" s="153" t="s">
        <v>206</v>
      </c>
      <c r="I17" s="154" t="s">
        <v>501</v>
      </c>
      <c r="J17" s="153">
        <v>9641</v>
      </c>
      <c r="K17" s="154" t="s">
        <v>501</v>
      </c>
    </row>
    <row r="18" spans="1:11" s="142" customFormat="1" ht="12.75" customHeight="1" x14ac:dyDescent="0.25">
      <c r="A18" s="151"/>
      <c r="B18" s="152" t="s">
        <v>2</v>
      </c>
      <c r="C18" s="218"/>
      <c r="D18" s="153">
        <v>24911</v>
      </c>
      <c r="E18" s="154" t="s">
        <v>501</v>
      </c>
      <c r="F18" s="153">
        <v>15536</v>
      </c>
      <c r="G18" s="154" t="s">
        <v>501</v>
      </c>
      <c r="H18" s="153" t="s">
        <v>206</v>
      </c>
      <c r="I18" s="154" t="s">
        <v>501</v>
      </c>
      <c r="J18" s="153">
        <v>9375</v>
      </c>
      <c r="K18" s="154" t="s">
        <v>501</v>
      </c>
    </row>
    <row r="19" spans="1:11" s="142" customFormat="1" ht="12.75" customHeight="1" x14ac:dyDescent="0.25">
      <c r="A19" s="151"/>
      <c r="B19" s="152" t="s">
        <v>3</v>
      </c>
      <c r="C19" s="218"/>
      <c r="D19" s="153">
        <v>27276</v>
      </c>
      <c r="E19" s="154" t="s">
        <v>501</v>
      </c>
      <c r="F19" s="153">
        <v>17474</v>
      </c>
      <c r="G19" s="154" t="s">
        <v>501</v>
      </c>
      <c r="H19" s="153" t="s">
        <v>206</v>
      </c>
      <c r="I19" s="154" t="s">
        <v>501</v>
      </c>
      <c r="J19" s="153">
        <v>9802</v>
      </c>
      <c r="K19" s="154" t="s">
        <v>501</v>
      </c>
    </row>
    <row r="20" spans="1:11" s="142" customFormat="1" ht="12.75" customHeight="1" x14ac:dyDescent="0.25">
      <c r="A20" s="151"/>
      <c r="B20" s="152" t="s">
        <v>4</v>
      </c>
      <c r="C20" s="218"/>
      <c r="D20" s="153">
        <v>29234</v>
      </c>
      <c r="E20" s="154" t="s">
        <v>501</v>
      </c>
      <c r="F20" s="153">
        <v>18936</v>
      </c>
      <c r="G20" s="154" t="s">
        <v>501</v>
      </c>
      <c r="H20" s="153" t="s">
        <v>206</v>
      </c>
      <c r="I20" s="154" t="s">
        <v>501</v>
      </c>
      <c r="J20" s="153">
        <v>10298</v>
      </c>
      <c r="K20" s="154" t="s">
        <v>501</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2009</v>
      </c>
      <c r="B22" s="152" t="s">
        <v>1</v>
      </c>
      <c r="C22" s="218"/>
      <c r="D22" s="153">
        <v>29680</v>
      </c>
      <c r="E22" s="154" t="s">
        <v>501</v>
      </c>
      <c r="F22" s="153">
        <v>18958</v>
      </c>
      <c r="G22" s="154" t="s">
        <v>501</v>
      </c>
      <c r="H22" s="153" t="s">
        <v>206</v>
      </c>
      <c r="I22" s="154" t="s">
        <v>501</v>
      </c>
      <c r="J22" s="153">
        <v>10722</v>
      </c>
      <c r="K22" s="154" t="s">
        <v>501</v>
      </c>
    </row>
    <row r="23" spans="1:11" s="142" customFormat="1" ht="12.75" customHeight="1" x14ac:dyDescent="0.25">
      <c r="A23" s="151"/>
      <c r="B23" s="152" t="s">
        <v>2</v>
      </c>
      <c r="C23" s="218"/>
      <c r="D23" s="153">
        <v>33132</v>
      </c>
      <c r="E23" s="154" t="s">
        <v>501</v>
      </c>
      <c r="F23" s="153">
        <v>19121</v>
      </c>
      <c r="G23" s="154" t="s">
        <v>501</v>
      </c>
      <c r="H23" s="153">
        <v>1978</v>
      </c>
      <c r="I23" s="154" t="s">
        <v>501</v>
      </c>
      <c r="J23" s="153">
        <v>12033</v>
      </c>
      <c r="K23" s="154" t="s">
        <v>501</v>
      </c>
    </row>
    <row r="24" spans="1:11" s="142" customFormat="1" ht="12.75" customHeight="1" x14ac:dyDescent="0.25">
      <c r="A24" s="151"/>
      <c r="B24" s="152" t="s">
        <v>3</v>
      </c>
      <c r="C24" s="218"/>
      <c r="D24" s="153">
        <v>35032</v>
      </c>
      <c r="E24" s="154" t="s">
        <v>501</v>
      </c>
      <c r="F24" s="153">
        <v>18659</v>
      </c>
      <c r="G24" s="154" t="s">
        <v>501</v>
      </c>
      <c r="H24" s="153">
        <v>4505</v>
      </c>
      <c r="I24" s="154" t="s">
        <v>501</v>
      </c>
      <c r="J24" s="153">
        <v>11868</v>
      </c>
      <c r="K24" s="154" t="s">
        <v>501</v>
      </c>
    </row>
    <row r="25" spans="1:11" s="142" customFormat="1" ht="12.75" customHeight="1" x14ac:dyDescent="0.25">
      <c r="A25" s="151"/>
      <c r="B25" s="152" t="s">
        <v>4</v>
      </c>
      <c r="C25" s="218"/>
      <c r="D25" s="153">
        <v>36299</v>
      </c>
      <c r="E25" s="154" t="s">
        <v>501</v>
      </c>
      <c r="F25" s="153">
        <v>17933</v>
      </c>
      <c r="G25" s="154" t="s">
        <v>501</v>
      </c>
      <c r="H25" s="153">
        <v>5348</v>
      </c>
      <c r="I25" s="154" t="s">
        <v>501</v>
      </c>
      <c r="J25" s="153">
        <v>13018</v>
      </c>
      <c r="K25" s="154" t="s">
        <v>501</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2010</v>
      </c>
      <c r="B27" s="152" t="s">
        <v>1</v>
      </c>
      <c r="C27" s="218"/>
      <c r="D27" s="153">
        <v>35456</v>
      </c>
      <c r="E27" s="154" t="s">
        <v>501</v>
      </c>
      <c r="F27" s="153">
        <v>17058</v>
      </c>
      <c r="G27" s="154" t="s">
        <v>501</v>
      </c>
      <c r="H27" s="153">
        <v>5644</v>
      </c>
      <c r="I27" s="154" t="s">
        <v>501</v>
      </c>
      <c r="J27" s="153">
        <v>12754</v>
      </c>
      <c r="K27" s="154" t="s">
        <v>501</v>
      </c>
    </row>
    <row r="28" spans="1:11" s="142" customFormat="1" ht="12.75" customHeight="1" x14ac:dyDescent="0.25">
      <c r="A28" s="151"/>
      <c r="B28" s="152" t="s">
        <v>2</v>
      </c>
      <c r="C28" s="218"/>
      <c r="D28" s="153">
        <v>34813</v>
      </c>
      <c r="E28" s="154" t="s">
        <v>501</v>
      </c>
      <c r="F28" s="153">
        <v>15256</v>
      </c>
      <c r="G28" s="154" t="s">
        <v>501</v>
      </c>
      <c r="H28" s="153">
        <v>6295</v>
      </c>
      <c r="I28" s="154" t="s">
        <v>501</v>
      </c>
      <c r="J28" s="153">
        <v>13262</v>
      </c>
      <c r="K28" s="154" t="s">
        <v>501</v>
      </c>
    </row>
    <row r="29" spans="1:11" s="142" customFormat="1" ht="12.75" customHeight="1" x14ac:dyDescent="0.25">
      <c r="A29" s="151"/>
      <c r="B29" s="152" t="s">
        <v>3</v>
      </c>
      <c r="C29" s="218"/>
      <c r="D29" s="153">
        <v>33602</v>
      </c>
      <c r="E29" s="154" t="s">
        <v>501</v>
      </c>
      <c r="F29" s="153">
        <v>14155</v>
      </c>
      <c r="G29" s="154" t="s">
        <v>501</v>
      </c>
      <c r="H29" s="153">
        <v>7068</v>
      </c>
      <c r="I29" s="154" t="s">
        <v>501</v>
      </c>
      <c r="J29" s="153">
        <v>12379</v>
      </c>
      <c r="K29" s="154" t="s">
        <v>501</v>
      </c>
    </row>
    <row r="30" spans="1:11" s="142" customFormat="1" ht="12.75" customHeight="1" x14ac:dyDescent="0.25">
      <c r="A30" s="151"/>
      <c r="B30" s="152" t="s">
        <v>4</v>
      </c>
      <c r="C30" s="218"/>
      <c r="D30" s="153">
        <v>31175</v>
      </c>
      <c r="E30" s="154" t="s">
        <v>501</v>
      </c>
      <c r="F30" s="153">
        <v>12704</v>
      </c>
      <c r="G30" s="154" t="s">
        <v>501</v>
      </c>
      <c r="H30" s="153">
        <v>6172</v>
      </c>
      <c r="I30" s="154" t="s">
        <v>501</v>
      </c>
      <c r="J30" s="153">
        <v>12299</v>
      </c>
      <c r="K30" s="154" t="s">
        <v>501</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2011</v>
      </c>
      <c r="B32" s="152" t="s">
        <v>1</v>
      </c>
      <c r="C32" s="218"/>
      <c r="D32" s="153">
        <v>30253.4370186714</v>
      </c>
      <c r="E32" s="154" t="s">
        <v>501</v>
      </c>
      <c r="F32" s="153">
        <v>11760.3355733227</v>
      </c>
      <c r="G32" s="154" t="s">
        <v>501</v>
      </c>
      <c r="H32" s="153">
        <v>6788</v>
      </c>
      <c r="I32" s="154" t="s">
        <v>501</v>
      </c>
      <c r="J32" s="153">
        <v>11705.101445348701</v>
      </c>
      <c r="K32" s="154" t="s">
        <v>501</v>
      </c>
    </row>
    <row r="33" spans="1:11" s="142" customFormat="1" ht="12.75" customHeight="1" x14ac:dyDescent="0.25">
      <c r="A33" s="151"/>
      <c r="B33" s="152" t="s">
        <v>2</v>
      </c>
      <c r="C33" s="218"/>
      <c r="D33" s="153">
        <v>30481.005751782599</v>
      </c>
      <c r="E33" s="154" t="s">
        <v>501</v>
      </c>
      <c r="F33" s="153">
        <v>11304.9546410033</v>
      </c>
      <c r="G33" s="154" t="s">
        <v>501</v>
      </c>
      <c r="H33" s="153">
        <v>7258</v>
      </c>
      <c r="I33" s="154" t="s">
        <v>501</v>
      </c>
      <c r="J33" s="153">
        <v>11918.051110779301</v>
      </c>
      <c r="K33" s="154" t="s">
        <v>501</v>
      </c>
    </row>
    <row r="34" spans="1:11" s="142" customFormat="1" ht="12.75" customHeight="1" x14ac:dyDescent="0.25">
      <c r="A34" s="151"/>
      <c r="B34" s="152" t="s">
        <v>3</v>
      </c>
      <c r="C34" s="218"/>
      <c r="D34" s="153">
        <v>29741.58177655367</v>
      </c>
      <c r="E34" s="154" t="s">
        <v>501</v>
      </c>
      <c r="F34" s="153">
        <v>9689.7918014033694</v>
      </c>
      <c r="G34" s="154" t="s">
        <v>501</v>
      </c>
      <c r="H34" s="153">
        <v>7604</v>
      </c>
      <c r="I34" s="154" t="s">
        <v>501</v>
      </c>
      <c r="J34" s="153">
        <v>12447.789975150299</v>
      </c>
      <c r="K34" s="154" t="s">
        <v>501</v>
      </c>
    </row>
    <row r="35" spans="1:11" s="142" customFormat="1" ht="12.75" customHeight="1" x14ac:dyDescent="0.25">
      <c r="A35" s="151"/>
      <c r="B35" s="152" t="s">
        <v>4</v>
      </c>
      <c r="C35" s="218"/>
      <c r="D35" s="153">
        <v>29466.97545299237</v>
      </c>
      <c r="E35" s="154" t="s">
        <v>501</v>
      </c>
      <c r="F35" s="153">
        <v>9120.9179842705707</v>
      </c>
      <c r="G35" s="154" t="s">
        <v>501</v>
      </c>
      <c r="H35" s="153">
        <v>7359</v>
      </c>
      <c r="I35" s="154" t="s">
        <v>501</v>
      </c>
      <c r="J35" s="153">
        <v>12987.0574687218</v>
      </c>
      <c r="K35" s="154" t="s">
        <v>501</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2012</v>
      </c>
      <c r="B37" s="152" t="s">
        <v>1</v>
      </c>
      <c r="C37" s="218"/>
      <c r="D37" s="153">
        <v>29114.58448271433</v>
      </c>
      <c r="E37" s="154" t="s">
        <v>501</v>
      </c>
      <c r="F37" s="153">
        <v>8649.6575586789295</v>
      </c>
      <c r="G37" s="154" t="s">
        <v>501</v>
      </c>
      <c r="H37" s="153">
        <v>7897</v>
      </c>
      <c r="I37" s="154" t="s">
        <v>501</v>
      </c>
      <c r="J37" s="153">
        <v>12567.926924035401</v>
      </c>
      <c r="K37" s="154" t="s">
        <v>501</v>
      </c>
    </row>
    <row r="38" spans="1:11" s="142" customFormat="1" ht="12.75" customHeight="1" x14ac:dyDescent="0.25">
      <c r="A38" s="151"/>
      <c r="B38" s="152" t="s">
        <v>2</v>
      </c>
      <c r="C38" s="218"/>
      <c r="D38" s="153">
        <v>27223.118737929151</v>
      </c>
      <c r="E38" s="154" t="s">
        <v>501</v>
      </c>
      <c r="F38" s="153">
        <v>8158.4626641561499</v>
      </c>
      <c r="G38" s="154" t="s">
        <v>501</v>
      </c>
      <c r="H38" s="153">
        <v>7956</v>
      </c>
      <c r="I38" s="154" t="s">
        <v>501</v>
      </c>
      <c r="J38" s="153">
        <v>11108.656073773</v>
      </c>
      <c r="K38" s="154" t="s">
        <v>501</v>
      </c>
    </row>
    <row r="39" spans="1:11" s="142" customFormat="1" ht="12.75" customHeight="1" x14ac:dyDescent="0.25">
      <c r="A39" s="151"/>
      <c r="B39" s="152" t="s">
        <v>3</v>
      </c>
      <c r="C39" s="218"/>
      <c r="D39" s="153">
        <v>27454.73868984501</v>
      </c>
      <c r="E39" s="154" t="s">
        <v>501</v>
      </c>
      <c r="F39" s="153">
        <v>7680.8327716182102</v>
      </c>
      <c r="G39" s="154" t="s">
        <v>501</v>
      </c>
      <c r="H39" s="153">
        <v>7777</v>
      </c>
      <c r="I39" s="154" t="s">
        <v>501</v>
      </c>
      <c r="J39" s="153">
        <v>11996.905918226799</v>
      </c>
      <c r="K39" s="154" t="s">
        <v>501</v>
      </c>
    </row>
    <row r="40" spans="1:11" s="142" customFormat="1" ht="12.75" customHeight="1" x14ac:dyDescent="0.25">
      <c r="A40" s="151"/>
      <c r="B40" s="152" t="s">
        <v>4</v>
      </c>
      <c r="C40" s="218"/>
      <c r="D40" s="153">
        <v>25847.55808951152</v>
      </c>
      <c r="E40" s="154" t="s">
        <v>501</v>
      </c>
      <c r="F40" s="153">
        <v>7298.0470055467204</v>
      </c>
      <c r="G40" s="154" t="s">
        <v>501</v>
      </c>
      <c r="H40" s="153">
        <v>7549</v>
      </c>
      <c r="I40" s="154" t="s">
        <v>501</v>
      </c>
      <c r="J40" s="153">
        <v>11000.5110839648</v>
      </c>
      <c r="K40" s="154" t="s">
        <v>501</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2013</v>
      </c>
      <c r="B42" s="152" t="s">
        <v>1</v>
      </c>
      <c r="C42" s="218"/>
      <c r="D42" s="153">
        <v>25694.808523155873</v>
      </c>
      <c r="E42" s="154" t="s">
        <v>501</v>
      </c>
      <c r="F42" s="153">
        <v>6615.4911052341704</v>
      </c>
      <c r="G42" s="154" t="s">
        <v>501</v>
      </c>
      <c r="H42" s="153">
        <v>7219</v>
      </c>
      <c r="I42" s="154" t="s">
        <v>501</v>
      </c>
      <c r="J42" s="153">
        <v>11860.3174179217</v>
      </c>
      <c r="K42" s="154" t="s">
        <v>501</v>
      </c>
    </row>
    <row r="43" spans="1:11" s="142" customFormat="1" ht="12.75" customHeight="1" x14ac:dyDescent="0.25">
      <c r="A43" s="151"/>
      <c r="B43" s="152" t="s">
        <v>2</v>
      </c>
      <c r="C43" s="218"/>
      <c r="D43" s="153">
        <v>25496.309481417502</v>
      </c>
      <c r="E43" s="154" t="s">
        <v>501</v>
      </c>
      <c r="F43" s="153">
        <v>6224.7030856189003</v>
      </c>
      <c r="G43" s="154" t="s">
        <v>501</v>
      </c>
      <c r="H43" s="153">
        <v>7132</v>
      </c>
      <c r="I43" s="154" t="s">
        <v>501</v>
      </c>
      <c r="J43" s="153">
        <v>12139.606395798601</v>
      </c>
      <c r="K43" s="154" t="s">
        <v>501</v>
      </c>
    </row>
    <row r="44" spans="1:11" s="142" customFormat="1" ht="12.75" customHeight="1" x14ac:dyDescent="0.25">
      <c r="A44" s="151"/>
      <c r="B44" s="152" t="s">
        <v>3</v>
      </c>
      <c r="C44" s="218"/>
      <c r="D44" s="153">
        <v>25159.258810384439</v>
      </c>
      <c r="E44" s="154" t="s">
        <v>501</v>
      </c>
      <c r="F44" s="153">
        <v>6017.9559364115403</v>
      </c>
      <c r="G44" s="154" t="s">
        <v>501</v>
      </c>
      <c r="H44" s="153">
        <v>6632</v>
      </c>
      <c r="I44" s="154" t="s">
        <v>501</v>
      </c>
      <c r="J44" s="153">
        <v>12509.3028739729</v>
      </c>
      <c r="K44" s="154" t="s">
        <v>501</v>
      </c>
    </row>
    <row r="45" spans="1:11" s="142" customFormat="1" ht="12.75" customHeight="1" x14ac:dyDescent="0.25">
      <c r="A45" s="151"/>
      <c r="B45" s="152" t="s">
        <v>4</v>
      </c>
      <c r="C45" s="218"/>
      <c r="D45" s="153">
        <v>24647.623185042277</v>
      </c>
      <c r="E45" s="154" t="s">
        <v>501</v>
      </c>
      <c r="F45" s="153">
        <v>5712.8498727353799</v>
      </c>
      <c r="G45" s="154" t="s">
        <v>501</v>
      </c>
      <c r="H45" s="153">
        <v>6563</v>
      </c>
      <c r="I45" s="154" t="s">
        <v>501</v>
      </c>
      <c r="J45" s="153">
        <v>12371.773312306899</v>
      </c>
      <c r="K45" s="154" t="s">
        <v>501</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2014</v>
      </c>
      <c r="B47" s="152" t="s">
        <v>1</v>
      </c>
      <c r="C47" s="218"/>
      <c r="D47" s="153">
        <v>25363.47026587955</v>
      </c>
      <c r="E47" s="154" t="s">
        <v>501</v>
      </c>
      <c r="F47" s="153">
        <v>5405.2780227656503</v>
      </c>
      <c r="G47" s="154" t="s">
        <v>501</v>
      </c>
      <c r="H47" s="153">
        <v>6549</v>
      </c>
      <c r="I47" s="154" t="s">
        <v>501</v>
      </c>
      <c r="J47" s="153">
        <v>13409.192243113899</v>
      </c>
      <c r="K47" s="154" t="s">
        <v>501</v>
      </c>
    </row>
    <row r="48" spans="1:11" s="142" customFormat="1" ht="12.75" customHeight="1" x14ac:dyDescent="0.25">
      <c r="A48" s="151"/>
      <c r="B48" s="152" t="s">
        <v>2</v>
      </c>
      <c r="C48" s="218"/>
      <c r="D48" s="153">
        <v>27059.837102862239</v>
      </c>
      <c r="E48" s="154" t="s">
        <v>501</v>
      </c>
      <c r="F48" s="153">
        <v>5493.6928785475402</v>
      </c>
      <c r="G48" s="154" t="s">
        <v>501</v>
      </c>
      <c r="H48" s="153">
        <v>7006</v>
      </c>
      <c r="I48" s="154" t="s">
        <v>501</v>
      </c>
      <c r="J48" s="153">
        <v>14560.144224314699</v>
      </c>
      <c r="K48" s="154" t="s">
        <v>501</v>
      </c>
    </row>
    <row r="49" spans="1:11" s="142" customFormat="1" ht="12.75" customHeight="1" x14ac:dyDescent="0.25">
      <c r="A49" s="151"/>
      <c r="B49" s="152" t="s">
        <v>3</v>
      </c>
      <c r="C49" s="218"/>
      <c r="D49" s="153">
        <v>23949.589864393703</v>
      </c>
      <c r="E49" s="154" t="s">
        <v>501</v>
      </c>
      <c r="F49" s="153">
        <v>4910.5003458286001</v>
      </c>
      <c r="G49" s="154" t="s">
        <v>501</v>
      </c>
      <c r="H49" s="153">
        <v>6808</v>
      </c>
      <c r="I49" s="154" t="s">
        <v>501</v>
      </c>
      <c r="J49" s="153">
        <v>12231.089518565101</v>
      </c>
      <c r="K49" s="154" t="s">
        <v>501</v>
      </c>
    </row>
    <row r="50" spans="1:11" s="142" customFormat="1" ht="12.75" customHeight="1" x14ac:dyDescent="0.25">
      <c r="A50" s="151"/>
      <c r="B50" s="152" t="s">
        <v>4</v>
      </c>
      <c r="C50" s="218"/>
      <c r="D50" s="153">
        <v>22850.102766864613</v>
      </c>
      <c r="E50" s="154" t="s">
        <v>501</v>
      </c>
      <c r="F50" s="153">
        <v>4535.5287528582103</v>
      </c>
      <c r="G50" s="154" t="s">
        <v>501</v>
      </c>
      <c r="H50" s="153">
        <v>6325</v>
      </c>
      <c r="I50" s="154" t="s">
        <v>501</v>
      </c>
      <c r="J50" s="153">
        <v>11989.574014006401</v>
      </c>
      <c r="K50" s="154" t="s">
        <v>501</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2015</v>
      </c>
      <c r="B52" s="152" t="s">
        <v>1</v>
      </c>
      <c r="C52" s="218"/>
      <c r="D52" s="153">
        <v>20868.433919611671</v>
      </c>
      <c r="E52" s="154" t="s">
        <v>501</v>
      </c>
      <c r="F52" s="153">
        <v>4178.61989964647</v>
      </c>
      <c r="G52" s="154" t="s">
        <v>501</v>
      </c>
      <c r="H52" s="153">
        <v>6213</v>
      </c>
      <c r="I52" s="154" t="s">
        <v>501</v>
      </c>
      <c r="J52" s="153">
        <v>10476.814019965201</v>
      </c>
      <c r="K52" s="154" t="s">
        <v>501</v>
      </c>
    </row>
    <row r="53" spans="1:11" s="142" customFormat="1" ht="12.75" customHeight="1" x14ac:dyDescent="0.25">
      <c r="A53" s="151"/>
      <c r="B53" s="152" t="s">
        <v>2</v>
      </c>
      <c r="C53" s="218"/>
      <c r="D53" s="153">
        <v>18382.24197158049</v>
      </c>
      <c r="E53" s="154" t="s">
        <v>501</v>
      </c>
      <c r="F53" s="153">
        <v>3982.0681918810401</v>
      </c>
      <c r="G53" s="154" t="s">
        <v>501</v>
      </c>
      <c r="H53" s="153">
        <v>5832</v>
      </c>
      <c r="I53" s="154" t="s">
        <v>501</v>
      </c>
      <c r="J53" s="153">
        <v>8568.1737796994494</v>
      </c>
      <c r="K53" s="154" t="s">
        <v>501</v>
      </c>
    </row>
    <row r="54" spans="1:11" s="142" customFormat="1" ht="12.75" customHeight="1" x14ac:dyDescent="0.25">
      <c r="A54" s="151"/>
      <c r="B54" s="152" t="s">
        <v>3</v>
      </c>
      <c r="C54" s="218"/>
      <c r="D54" s="153">
        <v>20333.068382996189</v>
      </c>
      <c r="E54" s="154" t="s">
        <v>501</v>
      </c>
      <c r="F54" s="153">
        <v>3902.7725014163898</v>
      </c>
      <c r="G54" s="154" t="s">
        <v>501</v>
      </c>
      <c r="H54" s="153">
        <v>5629</v>
      </c>
      <c r="I54" s="154" t="s">
        <v>501</v>
      </c>
      <c r="J54" s="153">
        <v>10801.295881579799</v>
      </c>
      <c r="K54" s="154" t="s">
        <v>501</v>
      </c>
    </row>
    <row r="55" spans="1:11" s="142" customFormat="1" ht="12.75" customHeight="1" x14ac:dyDescent="0.25">
      <c r="A55" s="151"/>
      <c r="B55" s="152" t="s">
        <v>4</v>
      </c>
      <c r="C55" s="218"/>
      <c r="D55" s="153">
        <v>20820.255725811592</v>
      </c>
      <c r="E55" s="154" t="s">
        <v>501</v>
      </c>
      <c r="F55" s="153">
        <v>3781.5394070560901</v>
      </c>
      <c r="G55" s="154" t="s">
        <v>501</v>
      </c>
      <c r="H55" s="153">
        <v>6501</v>
      </c>
      <c r="I55" s="154" t="s">
        <v>501</v>
      </c>
      <c r="J55" s="153">
        <v>10537.7163187555</v>
      </c>
      <c r="K55" s="154" t="s">
        <v>501</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2016</v>
      </c>
      <c r="B57" s="152" t="s">
        <v>1</v>
      </c>
      <c r="C57" s="218"/>
      <c r="D57" s="153">
        <v>21198.65566707687</v>
      </c>
      <c r="E57" s="154" t="s">
        <v>501</v>
      </c>
      <c r="F57" s="153">
        <v>3725.85743152947</v>
      </c>
      <c r="G57" s="154" t="s">
        <v>501</v>
      </c>
      <c r="H57" s="153">
        <v>6722</v>
      </c>
      <c r="I57" s="154" t="s">
        <v>501</v>
      </c>
      <c r="J57" s="153">
        <v>10750.7982355474</v>
      </c>
      <c r="K57" s="154" t="s">
        <v>501</v>
      </c>
    </row>
    <row r="58" spans="1:11" s="142" customFormat="1" ht="12.75" customHeight="1" x14ac:dyDescent="0.25">
      <c r="A58" s="151"/>
      <c r="B58" s="152" t="s">
        <v>2</v>
      </c>
      <c r="C58" s="218"/>
      <c r="D58" s="153">
        <v>22795.508045433948</v>
      </c>
      <c r="E58" s="154" t="s">
        <v>501</v>
      </c>
      <c r="F58" s="153">
        <v>3607.2402389941499</v>
      </c>
      <c r="G58" s="154" t="s">
        <v>501</v>
      </c>
      <c r="H58" s="153">
        <v>6741</v>
      </c>
      <c r="I58" s="154" t="s">
        <v>501</v>
      </c>
      <c r="J58" s="153">
        <v>12447.267806439801</v>
      </c>
      <c r="K58" s="154" t="s">
        <v>501</v>
      </c>
    </row>
    <row r="59" spans="1:11" s="142" customFormat="1" ht="12.75" customHeight="1" x14ac:dyDescent="0.25">
      <c r="A59" s="151"/>
      <c r="B59" s="152" t="s">
        <v>3</v>
      </c>
      <c r="C59" s="218"/>
      <c r="D59" s="153">
        <v>23663.490244498033</v>
      </c>
      <c r="E59" s="154" t="s">
        <v>501</v>
      </c>
      <c r="F59" s="153">
        <v>3883.0889419856298</v>
      </c>
      <c r="G59" s="154" t="s">
        <v>501</v>
      </c>
      <c r="H59" s="153">
        <v>6490</v>
      </c>
      <c r="I59" s="154" t="s">
        <v>501</v>
      </c>
      <c r="J59" s="153">
        <v>13290.4013025124</v>
      </c>
      <c r="K59" s="154" t="s">
        <v>501</v>
      </c>
    </row>
    <row r="60" spans="1:11" s="142" customFormat="1" ht="12.75" customHeight="1" x14ac:dyDescent="0.25">
      <c r="A60" s="151"/>
      <c r="B60" s="152" t="s">
        <v>4</v>
      </c>
      <c r="C60" s="218"/>
      <c r="D60" s="153">
        <v>22999.34604299115</v>
      </c>
      <c r="E60" s="154" t="s">
        <v>501</v>
      </c>
      <c r="F60" s="153">
        <v>3827.8133874907498</v>
      </c>
      <c r="G60" s="154" t="s">
        <v>501</v>
      </c>
      <c r="H60" s="153">
        <v>6243</v>
      </c>
      <c r="I60" s="154" t="s">
        <v>501</v>
      </c>
      <c r="J60" s="153">
        <v>12928.532655500399</v>
      </c>
      <c r="K60" s="154" t="s">
        <v>501</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2017</v>
      </c>
      <c r="B62" s="152" t="s">
        <v>1</v>
      </c>
      <c r="C62" s="218"/>
      <c r="D62" s="153">
        <v>25299.543760902601</v>
      </c>
      <c r="E62" s="154" t="s">
        <v>279</v>
      </c>
      <c r="F62" s="153">
        <v>3859.54</v>
      </c>
      <c r="G62" s="154" t="s">
        <v>279</v>
      </c>
      <c r="H62" s="153">
        <v>6119</v>
      </c>
      <c r="I62" s="154" t="s">
        <v>501</v>
      </c>
      <c r="J62" s="153">
        <v>15321.0037609026</v>
      </c>
      <c r="K62" s="154" t="s">
        <v>279</v>
      </c>
    </row>
    <row r="63" spans="1:11" s="142" customFormat="1" ht="12.75" customHeight="1" x14ac:dyDescent="0.25">
      <c r="A63" s="151"/>
      <c r="B63" s="152" t="s">
        <v>2</v>
      </c>
      <c r="C63" s="218" t="s">
        <v>196</v>
      </c>
      <c r="D63" s="153">
        <v>23054.357569785097</v>
      </c>
      <c r="E63" s="154" t="s">
        <v>279</v>
      </c>
      <c r="F63" s="153">
        <v>3771.64</v>
      </c>
      <c r="G63" s="154" t="s">
        <v>279</v>
      </c>
      <c r="H63" s="153">
        <v>6146</v>
      </c>
      <c r="I63" s="154" t="s">
        <v>501</v>
      </c>
      <c r="J63" s="153">
        <v>13136.7175697851</v>
      </c>
      <c r="K63" s="154" t="s">
        <v>279</v>
      </c>
    </row>
    <row r="64" spans="1:11" s="142" customFormat="1" ht="12.75" customHeight="1" x14ac:dyDescent="0.25">
      <c r="A64" s="151"/>
      <c r="B64" s="152" t="s">
        <v>3</v>
      </c>
      <c r="C64" s="218" t="s">
        <v>196</v>
      </c>
      <c r="D64" s="153">
        <v>25440.798804389298</v>
      </c>
      <c r="E64" s="154" t="s">
        <v>279</v>
      </c>
      <c r="F64" s="153">
        <v>3715.09</v>
      </c>
      <c r="G64" s="154" t="s">
        <v>279</v>
      </c>
      <c r="H64" s="153">
        <v>6274</v>
      </c>
      <c r="I64" s="154" t="s">
        <v>279</v>
      </c>
      <c r="J64" s="153">
        <v>15451.7088043893</v>
      </c>
      <c r="K64" s="154" t="s">
        <v>279</v>
      </c>
    </row>
    <row r="65" spans="1:15" s="142" customFormat="1" ht="12.75" customHeight="1" x14ac:dyDescent="0.25">
      <c r="A65" s="152"/>
      <c r="B65" s="152" t="s">
        <v>4</v>
      </c>
      <c r="C65" s="218" t="s">
        <v>196</v>
      </c>
      <c r="D65" s="153">
        <v>25401.299864922999</v>
      </c>
      <c r="E65" s="154" t="s">
        <v>501</v>
      </c>
      <c r="F65" s="153">
        <v>3735.73</v>
      </c>
      <c r="G65" s="154" t="s">
        <v>501</v>
      </c>
      <c r="H65" s="153">
        <v>6355</v>
      </c>
      <c r="I65" s="154" t="s">
        <v>501</v>
      </c>
      <c r="J65" s="153">
        <v>15310.569864923</v>
      </c>
      <c r="K65" s="154" t="s">
        <v>501</v>
      </c>
    </row>
    <row r="66" spans="1:15" s="142" customFormat="1" ht="12.75" customHeight="1" x14ac:dyDescent="0.25">
      <c r="A66" s="151"/>
      <c r="B66" s="152"/>
      <c r="C66" s="218"/>
      <c r="D66" s="153"/>
      <c r="E66" s="154"/>
      <c r="F66" s="153"/>
      <c r="G66" s="154"/>
      <c r="H66" s="153"/>
      <c r="I66" s="154"/>
      <c r="J66" s="153"/>
      <c r="K66" s="154"/>
    </row>
    <row r="67" spans="1:15" s="142" customFormat="1" ht="12.75" customHeight="1" thickBot="1" x14ac:dyDescent="0.3">
      <c r="A67" s="152"/>
      <c r="B67" s="156"/>
      <c r="C67" s="219"/>
      <c r="D67" s="153"/>
      <c r="E67" s="154"/>
      <c r="F67" s="321"/>
      <c r="G67" s="321"/>
      <c r="H67" s="321"/>
      <c r="I67" s="321"/>
      <c r="J67" s="321"/>
      <c r="K67" s="154"/>
    </row>
    <row r="68" spans="1:15" s="142" customFormat="1" ht="12.75" customHeight="1" x14ac:dyDescent="0.2">
      <c r="A68" s="159" t="s">
        <v>502</v>
      </c>
      <c r="B68" s="159"/>
      <c r="C68" s="220"/>
      <c r="D68" s="159"/>
      <c r="E68" s="220"/>
      <c r="F68" s="159"/>
      <c r="G68" s="220"/>
      <c r="H68" s="159"/>
      <c r="I68" s="220"/>
      <c r="J68" s="159"/>
      <c r="K68" s="220"/>
    </row>
    <row r="69" spans="1:15" s="142" customFormat="1" ht="12.75" customHeight="1" x14ac:dyDescent="0.2">
      <c r="A69" s="160"/>
      <c r="B69" s="160"/>
      <c r="C69" s="161"/>
      <c r="D69" s="160"/>
      <c r="E69" s="161"/>
      <c r="F69" s="160"/>
      <c r="G69" s="161"/>
      <c r="H69" s="160"/>
      <c r="I69" s="161"/>
      <c r="J69" s="160"/>
      <c r="K69" s="161"/>
    </row>
    <row r="70" spans="1:15" s="142" customFormat="1" ht="12.75" customHeight="1" x14ac:dyDescent="0.2">
      <c r="A70" s="162">
        <v>2017</v>
      </c>
      <c r="B70" s="163" t="s">
        <v>3</v>
      </c>
      <c r="C70" s="221"/>
      <c r="D70" s="164">
        <v>-0.15525825179468766</v>
      </c>
      <c r="E70" s="161"/>
      <c r="F70" s="164">
        <v>0.55557200498506099</v>
      </c>
      <c r="G70" s="161"/>
      <c r="H70" s="164">
        <v>1.2910423971947749</v>
      </c>
      <c r="I70" s="161"/>
      <c r="J70" s="164">
        <v>-0.91341961755199153</v>
      </c>
      <c r="K70" s="161"/>
    </row>
    <row r="71" spans="1:15" s="142" customFormat="1" ht="12.75" customHeight="1" x14ac:dyDescent="0.2">
      <c r="A71" s="165"/>
      <c r="B71" s="166"/>
      <c r="C71" s="222"/>
      <c r="D71" s="167"/>
      <c r="E71" s="280"/>
      <c r="F71" s="167"/>
      <c r="G71" s="280"/>
      <c r="H71" s="167"/>
      <c r="I71" s="280"/>
      <c r="J71" s="167"/>
      <c r="K71" s="280"/>
    </row>
    <row r="72" spans="1:15" s="142" customFormat="1" ht="12.75" customHeight="1" thickBot="1" x14ac:dyDescent="0.25">
      <c r="A72" s="157">
        <v>2016</v>
      </c>
      <c r="B72" s="158" t="s">
        <v>4</v>
      </c>
      <c r="C72" s="223"/>
      <c r="D72" s="168">
        <v>10.443574427907798</v>
      </c>
      <c r="E72" s="281"/>
      <c r="F72" s="168">
        <v>-2.4056394126128811</v>
      </c>
      <c r="G72" s="281"/>
      <c r="H72" s="168">
        <v>1.7940092904052518</v>
      </c>
      <c r="I72" s="281"/>
      <c r="J72" s="168">
        <v>18.424652455893131</v>
      </c>
      <c r="K72" s="281"/>
    </row>
    <row r="73" spans="1:15" s="169" customFormat="1" ht="12.75" customHeight="1" x14ac:dyDescent="0.2">
      <c r="A73" s="343"/>
      <c r="B73" s="343"/>
      <c r="C73" s="343"/>
      <c r="D73" s="343"/>
      <c r="E73" s="343"/>
      <c r="F73" s="343"/>
      <c r="G73" s="343"/>
      <c r="H73" s="343"/>
      <c r="I73" s="343"/>
      <c r="J73" s="343"/>
      <c r="K73" s="343"/>
    </row>
    <row r="74" spans="1:15" s="169" customFormat="1" ht="48" customHeight="1" x14ac:dyDescent="0.2">
      <c r="A74" s="338" t="s">
        <v>483</v>
      </c>
      <c r="B74" s="338"/>
      <c r="C74" s="338"/>
      <c r="D74" s="338"/>
      <c r="E74" s="338"/>
      <c r="F74" s="338"/>
      <c r="G74" s="338"/>
      <c r="H74" s="338"/>
      <c r="I74" s="338"/>
      <c r="J74" s="338"/>
      <c r="K74" s="338"/>
    </row>
    <row r="75" spans="1:15" s="170" customFormat="1" ht="47.25" customHeight="1" x14ac:dyDescent="0.3">
      <c r="A75" s="338" t="s">
        <v>237</v>
      </c>
      <c r="B75" s="338"/>
      <c r="C75" s="338"/>
      <c r="D75" s="338"/>
      <c r="E75" s="338"/>
      <c r="F75" s="338"/>
      <c r="G75" s="338"/>
      <c r="H75" s="338"/>
      <c r="I75" s="338"/>
      <c r="J75" s="338"/>
      <c r="K75" s="338"/>
    </row>
    <row r="76" spans="1:15" s="171" customFormat="1" ht="15" x14ac:dyDescent="0.3">
      <c r="A76" s="338" t="s">
        <v>240</v>
      </c>
      <c r="B76" s="338"/>
      <c r="C76" s="338"/>
      <c r="D76" s="338"/>
      <c r="E76" s="338"/>
      <c r="F76" s="338"/>
      <c r="G76" s="338"/>
      <c r="H76" s="338"/>
      <c r="I76" s="338"/>
      <c r="J76" s="338"/>
      <c r="K76" s="338"/>
    </row>
    <row r="77" spans="1:15" s="171" customFormat="1" ht="27.75" customHeight="1" x14ac:dyDescent="0.3">
      <c r="A77" s="338" t="s">
        <v>392</v>
      </c>
      <c r="B77" s="338"/>
      <c r="C77" s="338"/>
      <c r="D77" s="338"/>
      <c r="E77" s="338"/>
      <c r="F77" s="338"/>
      <c r="G77" s="338"/>
      <c r="H77" s="338"/>
      <c r="I77" s="338"/>
      <c r="J77" s="338"/>
      <c r="K77" s="338"/>
      <c r="L77" s="279"/>
      <c r="M77" s="279"/>
      <c r="N77" s="279"/>
      <c r="O77" s="279"/>
    </row>
    <row r="78" spans="1:15" ht="12.75" customHeight="1" x14ac:dyDescent="0.3">
      <c r="A78" s="344"/>
      <c r="B78" s="344"/>
      <c r="C78" s="344"/>
      <c r="D78" s="344"/>
      <c r="E78" s="344"/>
      <c r="F78" s="344"/>
      <c r="G78" s="344"/>
      <c r="H78" s="344"/>
      <c r="I78" s="344"/>
      <c r="J78" s="344"/>
      <c r="K78" s="344"/>
    </row>
    <row r="79" spans="1:15" ht="12.75" customHeight="1" x14ac:dyDescent="0.3">
      <c r="A79" s="344"/>
      <c r="B79" s="344"/>
      <c r="C79" s="344"/>
      <c r="D79" s="344"/>
      <c r="E79" s="344"/>
      <c r="F79" s="344"/>
      <c r="G79" s="344"/>
      <c r="H79" s="344"/>
      <c r="I79" s="344"/>
      <c r="J79" s="344"/>
      <c r="K79" s="344"/>
    </row>
    <row r="80" spans="1:15" ht="12.75" customHeight="1" x14ac:dyDescent="0.3">
      <c r="A80" s="344"/>
      <c r="B80" s="344"/>
      <c r="C80" s="344"/>
      <c r="D80" s="344"/>
      <c r="E80" s="344"/>
      <c r="F80" s="344"/>
      <c r="G80" s="344"/>
      <c r="H80" s="344"/>
      <c r="I80" s="344"/>
      <c r="J80" s="344"/>
      <c r="K80" s="344"/>
    </row>
    <row r="81" spans="1:11" ht="12.75" customHeight="1" x14ac:dyDescent="0.3">
      <c r="A81" s="344"/>
      <c r="B81" s="344"/>
      <c r="C81" s="344"/>
      <c r="D81" s="344"/>
      <c r="E81" s="344"/>
      <c r="F81" s="344"/>
      <c r="G81" s="344"/>
      <c r="H81" s="344"/>
      <c r="I81" s="344"/>
      <c r="J81" s="344"/>
      <c r="K81" s="344"/>
    </row>
    <row r="82" spans="1:11" ht="12.75" customHeight="1" x14ac:dyDescent="0.3">
      <c r="A82" s="344"/>
      <c r="B82" s="344"/>
      <c r="C82" s="344"/>
      <c r="D82" s="344"/>
      <c r="E82" s="344"/>
      <c r="F82" s="344"/>
      <c r="G82" s="344"/>
      <c r="H82" s="344"/>
      <c r="I82" s="344"/>
      <c r="J82" s="344"/>
      <c r="K82" s="344"/>
    </row>
    <row r="83" spans="1:11" ht="12.75" customHeight="1" x14ac:dyDescent="0.3">
      <c r="A83" s="344"/>
      <c r="B83" s="344"/>
      <c r="C83" s="344"/>
      <c r="D83" s="344"/>
      <c r="E83" s="344"/>
      <c r="F83" s="344"/>
      <c r="G83" s="344"/>
      <c r="H83" s="344"/>
      <c r="I83" s="344"/>
      <c r="J83" s="344"/>
      <c r="K83" s="344"/>
    </row>
  </sheetData>
  <dataConsolidate/>
  <mergeCells count="16">
    <mergeCell ref="A83:K83"/>
    <mergeCell ref="D5:E5"/>
    <mergeCell ref="F5:G5"/>
    <mergeCell ref="H5:I5"/>
    <mergeCell ref="J5:K5"/>
    <mergeCell ref="A77:K77"/>
    <mergeCell ref="A78:K78"/>
    <mergeCell ref="A79:K79"/>
    <mergeCell ref="A80:K80"/>
    <mergeCell ref="A81:K81"/>
    <mergeCell ref="A82:K82"/>
    <mergeCell ref="J4:K4"/>
    <mergeCell ref="A73:K73"/>
    <mergeCell ref="A74:K74"/>
    <mergeCell ref="A75:K75"/>
    <mergeCell ref="A76:K7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83"/>
  <sheetViews>
    <sheetView showGridLines="0" zoomScaleNormal="100" workbookViewId="0">
      <pane xSplit="3" ySplit="5" topLeftCell="D45"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2" t="s">
        <v>170</v>
      </c>
      <c r="B2" s="193"/>
      <c r="C2" s="193"/>
      <c r="D2" s="194" t="s">
        <v>169</v>
      </c>
      <c r="E2" s="133"/>
      <c r="F2" s="132"/>
      <c r="G2" s="133"/>
      <c r="H2" s="132"/>
      <c r="I2" s="133"/>
      <c r="J2" s="132"/>
      <c r="K2" s="133"/>
      <c r="L2" s="132"/>
      <c r="M2" s="132"/>
      <c r="N2" s="132"/>
    </row>
    <row r="3" spans="1:16" s="136" customFormat="1" ht="17.25" x14ac:dyDescent="0.3">
      <c r="A3" s="195" t="s">
        <v>153</v>
      </c>
      <c r="B3" s="196"/>
      <c r="C3" s="213"/>
      <c r="D3" s="197" t="s">
        <v>160</v>
      </c>
      <c r="E3" s="282"/>
      <c r="F3" s="187"/>
      <c r="G3" s="282"/>
      <c r="H3" s="187"/>
      <c r="I3" s="282"/>
      <c r="J3" s="187"/>
      <c r="K3" s="282"/>
      <c r="L3" s="132"/>
      <c r="M3" s="132"/>
      <c r="N3" s="132"/>
    </row>
    <row r="4" spans="1:16" ht="10.5" customHeight="1" thickBot="1" x14ac:dyDescent="0.35">
      <c r="A4" s="137"/>
      <c r="B4" s="137"/>
      <c r="C4" s="214"/>
      <c r="D4" s="137"/>
      <c r="E4" s="214"/>
      <c r="F4" s="137"/>
      <c r="G4" s="214"/>
      <c r="H4" s="137"/>
      <c r="I4" s="214"/>
      <c r="J4" s="339"/>
      <c r="K4" s="339"/>
    </row>
    <row r="5" spans="1:16" ht="30.75" customHeight="1" thickBot="1" x14ac:dyDescent="0.35">
      <c r="A5" s="230"/>
      <c r="B5" s="230"/>
      <c r="C5" s="231"/>
      <c r="D5" s="345" t="s">
        <v>123</v>
      </c>
      <c r="E5" s="345"/>
      <c r="F5" s="346" t="s">
        <v>236</v>
      </c>
      <c r="G5" s="346"/>
      <c r="H5" s="346" t="s">
        <v>238</v>
      </c>
      <c r="I5" s="346"/>
      <c r="J5" s="346" t="s">
        <v>239</v>
      </c>
      <c r="K5" s="346"/>
    </row>
    <row r="6" spans="1:16" s="146" customFormat="1" ht="12.75" customHeight="1" x14ac:dyDescent="0.25">
      <c r="A6" s="143">
        <v>2008</v>
      </c>
      <c r="B6" s="143"/>
      <c r="C6" s="212"/>
      <c r="D6" s="144">
        <v>106544</v>
      </c>
      <c r="E6" s="145" t="s">
        <v>501</v>
      </c>
      <c r="F6" s="144">
        <v>67428</v>
      </c>
      <c r="G6" s="145" t="s">
        <v>501</v>
      </c>
      <c r="H6" s="144" t="s">
        <v>206</v>
      </c>
      <c r="I6" s="145" t="s">
        <v>501</v>
      </c>
      <c r="J6" s="144">
        <v>39116</v>
      </c>
      <c r="K6" s="145" t="s">
        <v>501</v>
      </c>
    </row>
    <row r="7" spans="1:16" s="146" customFormat="1" ht="12.75" customHeight="1" x14ac:dyDescent="0.25">
      <c r="A7" s="143">
        <v>2009</v>
      </c>
      <c r="B7" s="143"/>
      <c r="C7" s="212"/>
      <c r="D7" s="144">
        <v>134142</v>
      </c>
      <c r="E7" s="145" t="s">
        <v>501</v>
      </c>
      <c r="F7" s="144">
        <v>74670</v>
      </c>
      <c r="G7" s="145" t="s">
        <v>501</v>
      </c>
      <c r="H7" s="144">
        <v>11831</v>
      </c>
      <c r="I7" s="145" t="s">
        <v>501</v>
      </c>
      <c r="J7" s="144">
        <v>47641</v>
      </c>
      <c r="K7" s="145" t="s">
        <v>501</v>
      </c>
    </row>
    <row r="8" spans="1:16" s="146" customFormat="1" ht="12.75" customHeight="1" x14ac:dyDescent="0.25">
      <c r="A8" s="143">
        <v>2010</v>
      </c>
      <c r="B8" s="143"/>
      <c r="C8" s="212"/>
      <c r="D8" s="144">
        <v>135045</v>
      </c>
      <c r="E8" s="145" t="s">
        <v>501</v>
      </c>
      <c r="F8" s="144">
        <v>59173</v>
      </c>
      <c r="G8" s="145" t="s">
        <v>501</v>
      </c>
      <c r="H8" s="144">
        <v>25179</v>
      </c>
      <c r="I8" s="145" t="s">
        <v>501</v>
      </c>
      <c r="J8" s="144">
        <v>50693</v>
      </c>
      <c r="K8" s="145" t="s">
        <v>501</v>
      </c>
    </row>
    <row r="9" spans="1:16" s="146" customFormat="1" ht="12.75" customHeight="1" x14ac:dyDescent="0.25">
      <c r="A9" s="143">
        <v>2011</v>
      </c>
      <c r="B9" s="143"/>
      <c r="C9" s="212"/>
      <c r="D9" s="144">
        <v>119943</v>
      </c>
      <c r="E9" s="145" t="s">
        <v>501</v>
      </c>
      <c r="F9" s="144">
        <v>41876</v>
      </c>
      <c r="G9" s="145" t="s">
        <v>501</v>
      </c>
      <c r="H9" s="144">
        <v>29009</v>
      </c>
      <c r="I9" s="145" t="s">
        <v>501</v>
      </c>
      <c r="J9" s="144">
        <v>49058</v>
      </c>
      <c r="K9" s="145" t="s">
        <v>501</v>
      </c>
    </row>
    <row r="10" spans="1:16" s="146" customFormat="1" ht="12.75" customHeight="1" x14ac:dyDescent="0.25">
      <c r="A10" s="143">
        <v>2012</v>
      </c>
      <c r="B10" s="143"/>
      <c r="C10" s="212"/>
      <c r="D10" s="144">
        <v>109640</v>
      </c>
      <c r="E10" s="145" t="s">
        <v>501</v>
      </c>
      <c r="F10" s="144">
        <v>31787</v>
      </c>
      <c r="G10" s="145" t="s">
        <v>501</v>
      </c>
      <c r="H10" s="144">
        <v>31179</v>
      </c>
      <c r="I10" s="145" t="s">
        <v>501</v>
      </c>
      <c r="J10" s="144">
        <v>46674</v>
      </c>
      <c r="K10" s="145" t="s">
        <v>501</v>
      </c>
    </row>
    <row r="11" spans="1:16" s="146" customFormat="1" ht="12.75" customHeight="1" x14ac:dyDescent="0.25">
      <c r="A11" s="143">
        <v>2013</v>
      </c>
      <c r="B11" s="143"/>
      <c r="C11" s="212"/>
      <c r="D11" s="144">
        <v>100998</v>
      </c>
      <c r="E11" s="145" t="s">
        <v>501</v>
      </c>
      <c r="F11" s="144">
        <v>24571</v>
      </c>
      <c r="G11" s="145" t="s">
        <v>501</v>
      </c>
      <c r="H11" s="144">
        <v>27546</v>
      </c>
      <c r="I11" s="145" t="s">
        <v>501</v>
      </c>
      <c r="J11" s="144">
        <v>48881</v>
      </c>
      <c r="K11" s="145" t="s">
        <v>501</v>
      </c>
    </row>
    <row r="12" spans="1:16" s="146" customFormat="1" ht="12.75" customHeight="1" x14ac:dyDescent="0.25">
      <c r="A12" s="143">
        <v>2014</v>
      </c>
      <c r="B12" s="143"/>
      <c r="C12" s="212"/>
      <c r="D12" s="144">
        <v>99223</v>
      </c>
      <c r="E12" s="145" t="s">
        <v>501</v>
      </c>
      <c r="F12" s="144">
        <v>20345</v>
      </c>
      <c r="G12" s="145" t="s">
        <v>501</v>
      </c>
      <c r="H12" s="144">
        <v>26688</v>
      </c>
      <c r="I12" s="145" t="s">
        <v>501</v>
      </c>
      <c r="J12" s="144">
        <v>52190</v>
      </c>
      <c r="K12" s="145" t="s">
        <v>501</v>
      </c>
    </row>
    <row r="13" spans="1:16" s="146" customFormat="1" ht="12.75" customHeight="1" x14ac:dyDescent="0.25">
      <c r="A13" s="143">
        <v>2015</v>
      </c>
      <c r="B13" s="143"/>
      <c r="C13" s="212"/>
      <c r="D13" s="144">
        <v>80404</v>
      </c>
      <c r="E13" s="145" t="s">
        <v>501</v>
      </c>
      <c r="F13" s="144">
        <v>15845</v>
      </c>
      <c r="G13" s="145" t="s">
        <v>501</v>
      </c>
      <c r="H13" s="144">
        <v>24175</v>
      </c>
      <c r="I13" s="145" t="s">
        <v>501</v>
      </c>
      <c r="J13" s="144">
        <v>40384</v>
      </c>
      <c r="K13" s="145" t="s">
        <v>501</v>
      </c>
    </row>
    <row r="14" spans="1:16" s="146" customFormat="1" ht="12.75" customHeight="1" x14ac:dyDescent="0.25">
      <c r="A14" s="143">
        <v>2016</v>
      </c>
      <c r="B14" s="143"/>
      <c r="C14" s="212"/>
      <c r="D14" s="144">
        <v>90657</v>
      </c>
      <c r="E14" s="145" t="s">
        <v>501</v>
      </c>
      <c r="F14" s="144">
        <v>15044</v>
      </c>
      <c r="G14" s="145" t="s">
        <v>501</v>
      </c>
      <c r="H14" s="144">
        <v>26196</v>
      </c>
      <c r="I14" s="145" t="s">
        <v>501</v>
      </c>
      <c r="J14" s="144">
        <v>49417</v>
      </c>
      <c r="K14" s="145" t="s">
        <v>501</v>
      </c>
      <c r="P14" s="147"/>
    </row>
    <row r="15" spans="1:16" s="146" customFormat="1" ht="12.75" customHeight="1" x14ac:dyDescent="0.25">
      <c r="A15" s="143">
        <v>2017</v>
      </c>
      <c r="B15" s="212" t="s">
        <v>196</v>
      </c>
      <c r="C15" s="216"/>
      <c r="D15" s="144">
        <v>99196</v>
      </c>
      <c r="E15" s="145" t="s">
        <v>501</v>
      </c>
      <c r="F15" s="144">
        <v>15082</v>
      </c>
      <c r="G15" s="145" t="s">
        <v>501</v>
      </c>
      <c r="H15" s="144">
        <v>24894</v>
      </c>
      <c r="I15" s="145" t="s">
        <v>501</v>
      </c>
      <c r="J15" s="144">
        <v>59220</v>
      </c>
      <c r="K15" s="145" t="s">
        <v>501</v>
      </c>
    </row>
    <row r="16" spans="1:16" s="142" customFormat="1" ht="12.75" customHeight="1" x14ac:dyDescent="0.25">
      <c r="A16" s="148"/>
      <c r="B16" s="148"/>
      <c r="C16" s="217"/>
      <c r="D16" s="149"/>
      <c r="E16" s="154"/>
      <c r="F16" s="149"/>
      <c r="G16" s="154"/>
      <c r="H16" s="149"/>
      <c r="I16" s="154"/>
      <c r="J16" s="149"/>
      <c r="K16" s="154"/>
    </row>
    <row r="17" spans="1:11" s="142" customFormat="1" ht="12.75" customHeight="1" x14ac:dyDescent="0.25">
      <c r="A17" s="151">
        <v>2008</v>
      </c>
      <c r="B17" s="152" t="s">
        <v>1</v>
      </c>
      <c r="C17" s="218"/>
      <c r="D17" s="153">
        <v>24619</v>
      </c>
      <c r="E17" s="154" t="s">
        <v>501</v>
      </c>
      <c r="F17" s="153">
        <v>15814</v>
      </c>
      <c r="G17" s="154" t="s">
        <v>501</v>
      </c>
      <c r="H17" s="153" t="s">
        <v>206</v>
      </c>
      <c r="I17" s="154" t="s">
        <v>501</v>
      </c>
      <c r="J17" s="153">
        <v>8805</v>
      </c>
      <c r="K17" s="154" t="s">
        <v>501</v>
      </c>
    </row>
    <row r="18" spans="1:11" s="142" customFormat="1" ht="12.75" customHeight="1" x14ac:dyDescent="0.25">
      <c r="A18" s="151"/>
      <c r="B18" s="152" t="s">
        <v>2</v>
      </c>
      <c r="C18" s="218"/>
      <c r="D18" s="153">
        <v>25966</v>
      </c>
      <c r="E18" s="154" t="s">
        <v>501</v>
      </c>
      <c r="F18" s="153">
        <v>16373</v>
      </c>
      <c r="G18" s="154" t="s">
        <v>501</v>
      </c>
      <c r="H18" s="153" t="s">
        <v>206</v>
      </c>
      <c r="I18" s="154" t="s">
        <v>501</v>
      </c>
      <c r="J18" s="153">
        <v>9593</v>
      </c>
      <c r="K18" s="154" t="s">
        <v>501</v>
      </c>
    </row>
    <row r="19" spans="1:11" s="142" customFormat="1" ht="12.75" customHeight="1" x14ac:dyDescent="0.25">
      <c r="A19" s="151"/>
      <c r="B19" s="152" t="s">
        <v>3</v>
      </c>
      <c r="C19" s="218"/>
      <c r="D19" s="153">
        <v>27488</v>
      </c>
      <c r="E19" s="154" t="s">
        <v>501</v>
      </c>
      <c r="F19" s="153">
        <v>17237</v>
      </c>
      <c r="G19" s="154" t="s">
        <v>501</v>
      </c>
      <c r="H19" s="153" t="s">
        <v>206</v>
      </c>
      <c r="I19" s="154" t="s">
        <v>501</v>
      </c>
      <c r="J19" s="153">
        <v>10251</v>
      </c>
      <c r="K19" s="154" t="s">
        <v>501</v>
      </c>
    </row>
    <row r="20" spans="1:11" s="142" customFormat="1" ht="12.75" customHeight="1" x14ac:dyDescent="0.25">
      <c r="A20" s="151"/>
      <c r="B20" s="152" t="s">
        <v>4</v>
      </c>
      <c r="C20" s="218"/>
      <c r="D20" s="153">
        <v>28471</v>
      </c>
      <c r="E20" s="154" t="s">
        <v>501</v>
      </c>
      <c r="F20" s="153">
        <v>18004</v>
      </c>
      <c r="G20" s="154" t="s">
        <v>501</v>
      </c>
      <c r="H20" s="153" t="s">
        <v>206</v>
      </c>
      <c r="I20" s="154" t="s">
        <v>501</v>
      </c>
      <c r="J20" s="153">
        <v>10467</v>
      </c>
      <c r="K20" s="154" t="s">
        <v>501</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2009</v>
      </c>
      <c r="B22" s="152" t="s">
        <v>1</v>
      </c>
      <c r="C22" s="218"/>
      <c r="D22" s="153">
        <v>30253</v>
      </c>
      <c r="E22" s="154" t="s">
        <v>501</v>
      </c>
      <c r="F22" s="153">
        <v>20446</v>
      </c>
      <c r="G22" s="154" t="s">
        <v>501</v>
      </c>
      <c r="H22" s="153" t="s">
        <v>206</v>
      </c>
      <c r="I22" s="154" t="s">
        <v>501</v>
      </c>
      <c r="J22" s="153">
        <v>9807</v>
      </c>
      <c r="K22" s="154" t="s">
        <v>501</v>
      </c>
    </row>
    <row r="23" spans="1:11" s="142" customFormat="1" ht="12.75" customHeight="1" x14ac:dyDescent="0.25">
      <c r="A23" s="151"/>
      <c r="B23" s="152" t="s">
        <v>2</v>
      </c>
      <c r="C23" s="218"/>
      <c r="D23" s="153">
        <v>33073</v>
      </c>
      <c r="E23" s="154" t="s">
        <v>501</v>
      </c>
      <c r="F23" s="153">
        <v>18870</v>
      </c>
      <c r="G23" s="154" t="s">
        <v>501</v>
      </c>
      <c r="H23" s="153">
        <v>1978</v>
      </c>
      <c r="I23" s="154" t="s">
        <v>501</v>
      </c>
      <c r="J23" s="153">
        <v>12225</v>
      </c>
      <c r="K23" s="154" t="s">
        <v>501</v>
      </c>
    </row>
    <row r="24" spans="1:11" s="142" customFormat="1" ht="12.75" customHeight="1" x14ac:dyDescent="0.25">
      <c r="A24" s="151"/>
      <c r="B24" s="152" t="s">
        <v>3</v>
      </c>
      <c r="C24" s="218"/>
      <c r="D24" s="153">
        <v>35242</v>
      </c>
      <c r="E24" s="154" t="s">
        <v>501</v>
      </c>
      <c r="F24" s="153">
        <v>18347</v>
      </c>
      <c r="G24" s="154" t="s">
        <v>501</v>
      </c>
      <c r="H24" s="153">
        <v>4505</v>
      </c>
      <c r="I24" s="154" t="s">
        <v>501</v>
      </c>
      <c r="J24" s="153">
        <v>12390</v>
      </c>
      <c r="K24" s="154" t="s">
        <v>501</v>
      </c>
    </row>
    <row r="25" spans="1:11" s="142" customFormat="1" ht="12.75" customHeight="1" x14ac:dyDescent="0.25">
      <c r="A25" s="151"/>
      <c r="B25" s="152" t="s">
        <v>4</v>
      </c>
      <c r="C25" s="218"/>
      <c r="D25" s="153">
        <v>35574</v>
      </c>
      <c r="E25" s="154" t="s">
        <v>501</v>
      </c>
      <c r="F25" s="153">
        <v>17007</v>
      </c>
      <c r="G25" s="154" t="s">
        <v>501</v>
      </c>
      <c r="H25" s="153">
        <v>5348</v>
      </c>
      <c r="I25" s="154" t="s">
        <v>501</v>
      </c>
      <c r="J25" s="153">
        <v>13219</v>
      </c>
      <c r="K25" s="154" t="s">
        <v>501</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2010</v>
      </c>
      <c r="B27" s="152" t="s">
        <v>1</v>
      </c>
      <c r="C27" s="218"/>
      <c r="D27" s="153">
        <v>35682</v>
      </c>
      <c r="E27" s="154" t="s">
        <v>501</v>
      </c>
      <c r="F27" s="153">
        <v>18256</v>
      </c>
      <c r="G27" s="154" t="s">
        <v>501</v>
      </c>
      <c r="H27" s="153">
        <v>5644</v>
      </c>
      <c r="I27" s="154" t="s">
        <v>501</v>
      </c>
      <c r="J27" s="153">
        <v>11782</v>
      </c>
      <c r="K27" s="154" t="s">
        <v>501</v>
      </c>
    </row>
    <row r="28" spans="1:11" s="142" customFormat="1" ht="12.75" customHeight="1" x14ac:dyDescent="0.25">
      <c r="A28" s="151"/>
      <c r="B28" s="152" t="s">
        <v>2</v>
      </c>
      <c r="C28" s="218"/>
      <c r="D28" s="153">
        <v>34743</v>
      </c>
      <c r="E28" s="154" t="s">
        <v>501</v>
      </c>
      <c r="F28" s="153">
        <v>14982</v>
      </c>
      <c r="G28" s="154" t="s">
        <v>501</v>
      </c>
      <c r="H28" s="153">
        <v>6295</v>
      </c>
      <c r="I28" s="154" t="s">
        <v>501</v>
      </c>
      <c r="J28" s="153">
        <v>13466</v>
      </c>
      <c r="K28" s="154" t="s">
        <v>501</v>
      </c>
    </row>
    <row r="29" spans="1:11" s="142" customFormat="1" ht="12.75" customHeight="1" x14ac:dyDescent="0.25">
      <c r="A29" s="151"/>
      <c r="B29" s="152" t="s">
        <v>3</v>
      </c>
      <c r="C29" s="218"/>
      <c r="D29" s="153">
        <v>33935</v>
      </c>
      <c r="E29" s="154" t="s">
        <v>501</v>
      </c>
      <c r="F29" s="153">
        <v>13907</v>
      </c>
      <c r="G29" s="154" t="s">
        <v>501</v>
      </c>
      <c r="H29" s="153">
        <v>7068</v>
      </c>
      <c r="I29" s="154" t="s">
        <v>501</v>
      </c>
      <c r="J29" s="153">
        <v>12960</v>
      </c>
      <c r="K29" s="154" t="s">
        <v>501</v>
      </c>
    </row>
    <row r="30" spans="1:11" s="142" customFormat="1" ht="12.75" customHeight="1" x14ac:dyDescent="0.25">
      <c r="A30" s="151"/>
      <c r="B30" s="152" t="s">
        <v>4</v>
      </c>
      <c r="C30" s="218"/>
      <c r="D30" s="153">
        <v>30685</v>
      </c>
      <c r="E30" s="154" t="s">
        <v>501</v>
      </c>
      <c r="F30" s="153">
        <v>12028</v>
      </c>
      <c r="G30" s="154" t="s">
        <v>501</v>
      </c>
      <c r="H30" s="153">
        <v>6172</v>
      </c>
      <c r="I30" s="154" t="s">
        <v>501</v>
      </c>
      <c r="J30" s="153">
        <v>12485</v>
      </c>
      <c r="K30" s="154" t="s">
        <v>501</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2011</v>
      </c>
      <c r="B32" s="152" t="s">
        <v>1</v>
      </c>
      <c r="C32" s="218"/>
      <c r="D32" s="153">
        <v>30145</v>
      </c>
      <c r="E32" s="154" t="s">
        <v>501</v>
      </c>
      <c r="F32" s="153">
        <v>12539</v>
      </c>
      <c r="G32" s="154" t="s">
        <v>501</v>
      </c>
      <c r="H32" s="153">
        <v>6788</v>
      </c>
      <c r="I32" s="154" t="s">
        <v>501</v>
      </c>
      <c r="J32" s="153">
        <v>10818</v>
      </c>
      <c r="K32" s="154" t="s">
        <v>501</v>
      </c>
    </row>
    <row r="33" spans="1:11" s="142" customFormat="1" ht="12.75" customHeight="1" x14ac:dyDescent="0.25">
      <c r="A33" s="151"/>
      <c r="B33" s="152" t="s">
        <v>2</v>
      </c>
      <c r="C33" s="218"/>
      <c r="D33" s="153">
        <v>30501</v>
      </c>
      <c r="E33" s="154" t="s">
        <v>501</v>
      </c>
      <c r="F33" s="153">
        <v>11101</v>
      </c>
      <c r="G33" s="154" t="s">
        <v>501</v>
      </c>
      <c r="H33" s="153">
        <v>7258</v>
      </c>
      <c r="I33" s="154" t="s">
        <v>501</v>
      </c>
      <c r="J33" s="153">
        <v>12142</v>
      </c>
      <c r="K33" s="154" t="s">
        <v>501</v>
      </c>
    </row>
    <row r="34" spans="1:11" s="142" customFormat="1" ht="12.75" customHeight="1" x14ac:dyDescent="0.25">
      <c r="A34" s="151"/>
      <c r="B34" s="152" t="s">
        <v>3</v>
      </c>
      <c r="C34" s="218"/>
      <c r="D34" s="153">
        <v>30233</v>
      </c>
      <c r="E34" s="154" t="s">
        <v>501</v>
      </c>
      <c r="F34" s="153">
        <v>9578</v>
      </c>
      <c r="G34" s="154" t="s">
        <v>501</v>
      </c>
      <c r="H34" s="153">
        <v>7604</v>
      </c>
      <c r="I34" s="154" t="s">
        <v>501</v>
      </c>
      <c r="J34" s="153">
        <v>13051</v>
      </c>
      <c r="K34" s="154" t="s">
        <v>501</v>
      </c>
    </row>
    <row r="35" spans="1:11" s="142" customFormat="1" ht="12.75" customHeight="1" x14ac:dyDescent="0.25">
      <c r="A35" s="151"/>
      <c r="B35" s="152" t="s">
        <v>4</v>
      </c>
      <c r="C35" s="218"/>
      <c r="D35" s="153">
        <v>29064</v>
      </c>
      <c r="E35" s="154" t="s">
        <v>501</v>
      </c>
      <c r="F35" s="153">
        <v>8658</v>
      </c>
      <c r="G35" s="154" t="s">
        <v>501</v>
      </c>
      <c r="H35" s="153">
        <v>7359</v>
      </c>
      <c r="I35" s="154" t="s">
        <v>501</v>
      </c>
      <c r="J35" s="153">
        <v>13047</v>
      </c>
      <c r="K35" s="154" t="s">
        <v>501</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2012</v>
      </c>
      <c r="B37" s="152" t="s">
        <v>1</v>
      </c>
      <c r="C37" s="218"/>
      <c r="D37" s="153">
        <v>28723</v>
      </c>
      <c r="E37" s="154" t="s">
        <v>501</v>
      </c>
      <c r="F37" s="153">
        <v>9132</v>
      </c>
      <c r="G37" s="154" t="s">
        <v>501</v>
      </c>
      <c r="H37" s="153">
        <v>7897</v>
      </c>
      <c r="I37" s="154" t="s">
        <v>501</v>
      </c>
      <c r="J37" s="153">
        <v>11694</v>
      </c>
      <c r="K37" s="154" t="s">
        <v>501</v>
      </c>
    </row>
    <row r="38" spans="1:11" s="142" customFormat="1" ht="12.75" customHeight="1" x14ac:dyDescent="0.25">
      <c r="A38" s="151"/>
      <c r="B38" s="152" t="s">
        <v>2</v>
      </c>
      <c r="C38" s="218"/>
      <c r="D38" s="153">
        <v>27394</v>
      </c>
      <c r="E38" s="154" t="s">
        <v>501</v>
      </c>
      <c r="F38" s="153">
        <v>8092</v>
      </c>
      <c r="G38" s="154" t="s">
        <v>501</v>
      </c>
      <c r="H38" s="153">
        <v>7956</v>
      </c>
      <c r="I38" s="154" t="s">
        <v>501</v>
      </c>
      <c r="J38" s="153">
        <v>11346</v>
      </c>
      <c r="K38" s="154" t="s">
        <v>501</v>
      </c>
    </row>
    <row r="39" spans="1:11" s="142" customFormat="1" ht="12.75" customHeight="1" x14ac:dyDescent="0.25">
      <c r="A39" s="151"/>
      <c r="B39" s="152" t="s">
        <v>3</v>
      </c>
      <c r="C39" s="218"/>
      <c r="D39" s="153">
        <v>28072</v>
      </c>
      <c r="E39" s="154" t="s">
        <v>501</v>
      </c>
      <c r="F39" s="153">
        <v>7642</v>
      </c>
      <c r="G39" s="154" t="s">
        <v>501</v>
      </c>
      <c r="H39" s="153">
        <v>7777</v>
      </c>
      <c r="I39" s="154" t="s">
        <v>501</v>
      </c>
      <c r="J39" s="153">
        <v>12653</v>
      </c>
      <c r="K39" s="154" t="s">
        <v>501</v>
      </c>
    </row>
    <row r="40" spans="1:11" s="142" customFormat="1" ht="12.75" customHeight="1" x14ac:dyDescent="0.25">
      <c r="A40" s="151"/>
      <c r="B40" s="152" t="s">
        <v>4</v>
      </c>
      <c r="C40" s="218"/>
      <c r="D40" s="153">
        <v>25451</v>
      </c>
      <c r="E40" s="154" t="s">
        <v>501</v>
      </c>
      <c r="F40" s="153">
        <v>6921</v>
      </c>
      <c r="G40" s="154" t="s">
        <v>501</v>
      </c>
      <c r="H40" s="153">
        <v>7549</v>
      </c>
      <c r="I40" s="154" t="s">
        <v>501</v>
      </c>
      <c r="J40" s="153">
        <v>10981</v>
      </c>
      <c r="K40" s="154" t="s">
        <v>501</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2013</v>
      </c>
      <c r="B42" s="152" t="s">
        <v>1</v>
      </c>
      <c r="C42" s="218"/>
      <c r="D42" s="153">
        <v>25018</v>
      </c>
      <c r="E42" s="154" t="s">
        <v>501</v>
      </c>
      <c r="F42" s="153">
        <v>6673</v>
      </c>
      <c r="G42" s="154" t="s">
        <v>501</v>
      </c>
      <c r="H42" s="153">
        <v>7219</v>
      </c>
      <c r="I42" s="154" t="s">
        <v>501</v>
      </c>
      <c r="J42" s="153">
        <v>11126</v>
      </c>
      <c r="K42" s="154" t="s">
        <v>501</v>
      </c>
    </row>
    <row r="43" spans="1:11" s="142" customFormat="1" ht="12.75" customHeight="1" x14ac:dyDescent="0.25">
      <c r="A43" s="151"/>
      <c r="B43" s="152" t="s">
        <v>2</v>
      </c>
      <c r="C43" s="218"/>
      <c r="D43" s="153">
        <v>25720</v>
      </c>
      <c r="E43" s="154" t="s">
        <v>501</v>
      </c>
      <c r="F43" s="153">
        <v>6480</v>
      </c>
      <c r="G43" s="154" t="s">
        <v>501</v>
      </c>
      <c r="H43" s="153">
        <v>7132</v>
      </c>
      <c r="I43" s="154" t="s">
        <v>501</v>
      </c>
      <c r="J43" s="153">
        <v>12108</v>
      </c>
      <c r="K43" s="154" t="s">
        <v>501</v>
      </c>
    </row>
    <row r="44" spans="1:11" s="142" customFormat="1" ht="12.75" customHeight="1" x14ac:dyDescent="0.25">
      <c r="A44" s="151"/>
      <c r="B44" s="152" t="s">
        <v>3</v>
      </c>
      <c r="C44" s="218"/>
      <c r="D44" s="153">
        <v>26032</v>
      </c>
      <c r="E44" s="154" t="s">
        <v>501</v>
      </c>
      <c r="F44" s="153">
        <v>6009</v>
      </c>
      <c r="G44" s="154" t="s">
        <v>501</v>
      </c>
      <c r="H44" s="153">
        <v>6632</v>
      </c>
      <c r="I44" s="154" t="s">
        <v>501</v>
      </c>
      <c r="J44" s="153">
        <v>13391</v>
      </c>
      <c r="K44" s="154" t="s">
        <v>501</v>
      </c>
    </row>
    <row r="45" spans="1:11" s="142" customFormat="1" ht="12.75" customHeight="1" x14ac:dyDescent="0.25">
      <c r="A45" s="151"/>
      <c r="B45" s="152" t="s">
        <v>4</v>
      </c>
      <c r="C45" s="218"/>
      <c r="D45" s="153">
        <v>24228</v>
      </c>
      <c r="E45" s="154" t="s">
        <v>501</v>
      </c>
      <c r="F45" s="153">
        <v>5409</v>
      </c>
      <c r="G45" s="154" t="s">
        <v>501</v>
      </c>
      <c r="H45" s="153">
        <v>6563</v>
      </c>
      <c r="I45" s="154" t="s">
        <v>501</v>
      </c>
      <c r="J45" s="153">
        <v>12256</v>
      </c>
      <c r="K45" s="154" t="s">
        <v>501</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2014</v>
      </c>
      <c r="B47" s="152" t="s">
        <v>1</v>
      </c>
      <c r="C47" s="218"/>
      <c r="D47" s="153">
        <v>24944</v>
      </c>
      <c r="E47" s="154" t="s">
        <v>501</v>
      </c>
      <c r="F47" s="153">
        <v>5681</v>
      </c>
      <c r="G47" s="154" t="s">
        <v>501</v>
      </c>
      <c r="H47" s="153">
        <v>6549</v>
      </c>
      <c r="I47" s="154" t="s">
        <v>501</v>
      </c>
      <c r="J47" s="153">
        <v>12714</v>
      </c>
      <c r="K47" s="154" t="s">
        <v>501</v>
      </c>
    </row>
    <row r="48" spans="1:11" s="142" customFormat="1" ht="12.75" customHeight="1" x14ac:dyDescent="0.25">
      <c r="A48" s="151"/>
      <c r="B48" s="152" t="s">
        <v>2</v>
      </c>
      <c r="C48" s="218"/>
      <c r="D48" s="153">
        <v>26973</v>
      </c>
      <c r="E48" s="154" t="s">
        <v>501</v>
      </c>
      <c r="F48" s="153">
        <v>5475</v>
      </c>
      <c r="G48" s="154" t="s">
        <v>501</v>
      </c>
      <c r="H48" s="153">
        <v>7006</v>
      </c>
      <c r="I48" s="154" t="s">
        <v>501</v>
      </c>
      <c r="J48" s="153">
        <v>14492</v>
      </c>
      <c r="K48" s="154" t="s">
        <v>501</v>
      </c>
    </row>
    <row r="49" spans="1:11" s="142" customFormat="1" ht="12.75" customHeight="1" x14ac:dyDescent="0.25">
      <c r="A49" s="151"/>
      <c r="B49" s="152" t="s">
        <v>3</v>
      </c>
      <c r="C49" s="218"/>
      <c r="D49" s="153">
        <v>24858</v>
      </c>
      <c r="E49" s="154" t="s">
        <v>501</v>
      </c>
      <c r="F49" s="153">
        <v>4907</v>
      </c>
      <c r="G49" s="154" t="s">
        <v>501</v>
      </c>
      <c r="H49" s="153">
        <v>6808</v>
      </c>
      <c r="I49" s="154" t="s">
        <v>501</v>
      </c>
      <c r="J49" s="153">
        <v>13143</v>
      </c>
      <c r="K49" s="154" t="s">
        <v>501</v>
      </c>
    </row>
    <row r="50" spans="1:11" s="142" customFormat="1" ht="12.75" customHeight="1" x14ac:dyDescent="0.25">
      <c r="A50" s="151"/>
      <c r="B50" s="152" t="s">
        <v>4</v>
      </c>
      <c r="C50" s="218"/>
      <c r="D50" s="153">
        <v>22448</v>
      </c>
      <c r="E50" s="154" t="s">
        <v>501</v>
      </c>
      <c r="F50" s="153">
        <v>4282</v>
      </c>
      <c r="G50" s="154" t="s">
        <v>501</v>
      </c>
      <c r="H50" s="153">
        <v>6325</v>
      </c>
      <c r="I50" s="154" t="s">
        <v>501</v>
      </c>
      <c r="J50" s="153">
        <v>11841</v>
      </c>
      <c r="K50" s="154" t="s">
        <v>501</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2015</v>
      </c>
      <c r="B52" s="152" t="s">
        <v>1</v>
      </c>
      <c r="C52" s="218"/>
      <c r="D52" s="153">
        <v>20182</v>
      </c>
      <c r="E52" s="154" t="s">
        <v>501</v>
      </c>
      <c r="F52" s="153">
        <v>4404</v>
      </c>
      <c r="G52" s="154" t="s">
        <v>501</v>
      </c>
      <c r="H52" s="153">
        <v>6213</v>
      </c>
      <c r="I52" s="154" t="s">
        <v>501</v>
      </c>
      <c r="J52" s="153">
        <v>9565</v>
      </c>
      <c r="K52" s="154" t="s">
        <v>501</v>
      </c>
    </row>
    <row r="53" spans="1:11" s="142" customFormat="1" ht="12.75" customHeight="1" x14ac:dyDescent="0.25">
      <c r="A53" s="151"/>
      <c r="B53" s="152" t="s">
        <v>2</v>
      </c>
      <c r="C53" s="218"/>
      <c r="D53" s="153">
        <v>18665</v>
      </c>
      <c r="E53" s="154" t="s">
        <v>501</v>
      </c>
      <c r="F53" s="153">
        <v>3975</v>
      </c>
      <c r="G53" s="154" t="s">
        <v>501</v>
      </c>
      <c r="H53" s="153">
        <v>5832</v>
      </c>
      <c r="I53" s="154" t="s">
        <v>501</v>
      </c>
      <c r="J53" s="153">
        <v>8858</v>
      </c>
      <c r="K53" s="154" t="s">
        <v>501</v>
      </c>
    </row>
    <row r="54" spans="1:11" s="142" customFormat="1" ht="12.75" customHeight="1" x14ac:dyDescent="0.25">
      <c r="A54" s="151"/>
      <c r="B54" s="152" t="s">
        <v>3</v>
      </c>
      <c r="C54" s="218"/>
      <c r="D54" s="153">
        <v>20946</v>
      </c>
      <c r="E54" s="154" t="s">
        <v>501</v>
      </c>
      <c r="F54" s="153">
        <v>3896</v>
      </c>
      <c r="G54" s="154" t="s">
        <v>501</v>
      </c>
      <c r="H54" s="153">
        <v>5629</v>
      </c>
      <c r="I54" s="154" t="s">
        <v>501</v>
      </c>
      <c r="J54" s="153">
        <v>11421</v>
      </c>
      <c r="K54" s="154" t="s">
        <v>501</v>
      </c>
    </row>
    <row r="55" spans="1:11" s="142" customFormat="1" ht="12.75" customHeight="1" x14ac:dyDescent="0.25">
      <c r="A55" s="151"/>
      <c r="B55" s="152" t="s">
        <v>4</v>
      </c>
      <c r="C55" s="218"/>
      <c r="D55" s="153">
        <v>20611</v>
      </c>
      <c r="E55" s="154" t="s">
        <v>501</v>
      </c>
      <c r="F55" s="153">
        <v>3570</v>
      </c>
      <c r="G55" s="154" t="s">
        <v>501</v>
      </c>
      <c r="H55" s="153">
        <v>6501</v>
      </c>
      <c r="I55" s="154" t="s">
        <v>501</v>
      </c>
      <c r="J55" s="153">
        <v>10540</v>
      </c>
      <c r="K55" s="154" t="s">
        <v>501</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2016</v>
      </c>
      <c r="B57" s="152" t="s">
        <v>1</v>
      </c>
      <c r="C57" s="218"/>
      <c r="D57" s="153">
        <v>20119</v>
      </c>
      <c r="E57" s="154" t="s">
        <v>501</v>
      </c>
      <c r="F57" s="153">
        <v>3775</v>
      </c>
      <c r="G57" s="154" t="s">
        <v>501</v>
      </c>
      <c r="H57" s="153">
        <v>6722</v>
      </c>
      <c r="I57" s="154" t="s">
        <v>501</v>
      </c>
      <c r="J57" s="153">
        <v>9622</v>
      </c>
      <c r="K57" s="154" t="s">
        <v>501</v>
      </c>
    </row>
    <row r="58" spans="1:11" s="142" customFormat="1" ht="12.75" customHeight="1" x14ac:dyDescent="0.25">
      <c r="A58" s="151"/>
      <c r="B58" s="152" t="s">
        <v>2</v>
      </c>
      <c r="C58" s="218"/>
      <c r="D58" s="153">
        <v>22793</v>
      </c>
      <c r="E58" s="154" t="s">
        <v>501</v>
      </c>
      <c r="F58" s="153">
        <v>3709</v>
      </c>
      <c r="G58" s="154" t="s">
        <v>501</v>
      </c>
      <c r="H58" s="153">
        <v>6741</v>
      </c>
      <c r="I58" s="154" t="s">
        <v>501</v>
      </c>
      <c r="J58" s="153">
        <v>12343</v>
      </c>
      <c r="K58" s="154" t="s">
        <v>501</v>
      </c>
    </row>
    <row r="59" spans="1:11" s="142" customFormat="1" ht="12.75" customHeight="1" x14ac:dyDescent="0.25">
      <c r="A59" s="151"/>
      <c r="B59" s="152" t="s">
        <v>3</v>
      </c>
      <c r="C59" s="218"/>
      <c r="D59" s="153">
        <v>25295</v>
      </c>
      <c r="E59" s="154" t="s">
        <v>501</v>
      </c>
      <c r="F59" s="153">
        <v>3936</v>
      </c>
      <c r="G59" s="154" t="s">
        <v>501</v>
      </c>
      <c r="H59" s="153">
        <v>6490</v>
      </c>
      <c r="I59" s="154" t="s">
        <v>501</v>
      </c>
      <c r="J59" s="153">
        <v>14869</v>
      </c>
      <c r="K59" s="154" t="s">
        <v>501</v>
      </c>
    </row>
    <row r="60" spans="1:11" s="142" customFormat="1" ht="12.75" customHeight="1" x14ac:dyDescent="0.25">
      <c r="A60" s="151"/>
      <c r="B60" s="152" t="s">
        <v>4</v>
      </c>
      <c r="C60" s="218"/>
      <c r="D60" s="153">
        <v>22450</v>
      </c>
      <c r="E60" s="154" t="s">
        <v>501</v>
      </c>
      <c r="F60" s="153">
        <v>3624</v>
      </c>
      <c r="G60" s="154" t="s">
        <v>501</v>
      </c>
      <c r="H60" s="153">
        <v>6243</v>
      </c>
      <c r="I60" s="154" t="s">
        <v>501</v>
      </c>
      <c r="J60" s="153">
        <v>12583</v>
      </c>
      <c r="K60" s="154" t="s">
        <v>501</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2017</v>
      </c>
      <c r="B62" s="152" t="s">
        <v>1</v>
      </c>
      <c r="C62" s="218"/>
      <c r="D62" s="153">
        <v>24274</v>
      </c>
      <c r="E62" s="154" t="s">
        <v>501</v>
      </c>
      <c r="F62" s="153">
        <v>4083</v>
      </c>
      <c r="G62" s="154" t="s">
        <v>501</v>
      </c>
      <c r="H62" s="153">
        <v>6119</v>
      </c>
      <c r="I62" s="154" t="s">
        <v>501</v>
      </c>
      <c r="J62" s="153">
        <v>14072</v>
      </c>
      <c r="K62" s="154" t="s">
        <v>501</v>
      </c>
    </row>
    <row r="63" spans="1:11" s="142" customFormat="1" ht="12.75" customHeight="1" x14ac:dyDescent="0.25">
      <c r="A63" s="151"/>
      <c r="B63" s="152" t="s">
        <v>2</v>
      </c>
      <c r="C63" s="218" t="s">
        <v>196</v>
      </c>
      <c r="D63" s="153">
        <v>22390</v>
      </c>
      <c r="E63" s="154" t="s">
        <v>279</v>
      </c>
      <c r="F63" s="153">
        <v>3722</v>
      </c>
      <c r="G63" s="154" t="s">
        <v>279</v>
      </c>
      <c r="H63" s="153">
        <v>6146</v>
      </c>
      <c r="I63" s="154" t="s">
        <v>501</v>
      </c>
      <c r="J63" s="153">
        <v>12522</v>
      </c>
      <c r="K63" s="154" t="s">
        <v>501</v>
      </c>
    </row>
    <row r="64" spans="1:11" s="142" customFormat="1" ht="12.75" customHeight="1" x14ac:dyDescent="0.25">
      <c r="A64" s="151"/>
      <c r="B64" s="152" t="s">
        <v>3</v>
      </c>
      <c r="C64" s="218" t="s">
        <v>196</v>
      </c>
      <c r="D64" s="153">
        <v>27825</v>
      </c>
      <c r="E64" s="154" t="s">
        <v>279</v>
      </c>
      <c r="F64" s="153">
        <v>3738</v>
      </c>
      <c r="G64" s="154" t="s">
        <v>279</v>
      </c>
      <c r="H64" s="153">
        <v>6274</v>
      </c>
      <c r="I64" s="154" t="s">
        <v>279</v>
      </c>
      <c r="J64" s="153">
        <v>17813</v>
      </c>
      <c r="K64" s="154" t="s">
        <v>501</v>
      </c>
    </row>
    <row r="65" spans="1:11" s="142" customFormat="1" ht="12.75" customHeight="1" x14ac:dyDescent="0.25">
      <c r="A65" s="152"/>
      <c r="B65" s="152" t="s">
        <v>4</v>
      </c>
      <c r="C65" s="218" t="s">
        <v>196</v>
      </c>
      <c r="D65" s="153">
        <v>24707</v>
      </c>
      <c r="E65" s="154" t="s">
        <v>501</v>
      </c>
      <c r="F65" s="153">
        <v>3539</v>
      </c>
      <c r="G65" s="154" t="s">
        <v>501</v>
      </c>
      <c r="H65" s="153">
        <v>6355</v>
      </c>
      <c r="I65" s="154" t="s">
        <v>501</v>
      </c>
      <c r="J65" s="153">
        <v>14813</v>
      </c>
      <c r="K65" s="154" t="s">
        <v>501</v>
      </c>
    </row>
    <row r="66" spans="1:11" s="142" customFormat="1" ht="12.75" customHeight="1" x14ac:dyDescent="0.25">
      <c r="A66" s="151"/>
      <c r="B66" s="152"/>
      <c r="C66" s="218"/>
      <c r="D66" s="153"/>
      <c r="E66" s="154"/>
      <c r="F66" s="153"/>
      <c r="G66" s="154"/>
      <c r="H66" s="153"/>
      <c r="I66" s="154"/>
      <c r="J66" s="153"/>
      <c r="K66" s="154"/>
    </row>
    <row r="67" spans="1:11" s="142" customFormat="1" ht="12.75" customHeight="1" thickBot="1" x14ac:dyDescent="0.3">
      <c r="A67" s="152"/>
      <c r="B67" s="156"/>
      <c r="C67" s="219"/>
      <c r="D67" s="153"/>
      <c r="E67" s="154"/>
      <c r="F67" s="153"/>
      <c r="G67" s="154"/>
      <c r="H67" s="153"/>
      <c r="I67" s="154"/>
      <c r="J67" s="153"/>
      <c r="K67" s="154"/>
    </row>
    <row r="68" spans="1:11" s="142" customFormat="1" ht="12.75" customHeight="1" x14ac:dyDescent="0.2">
      <c r="A68" s="159" t="s">
        <v>502</v>
      </c>
      <c r="B68" s="159"/>
      <c r="C68" s="220"/>
      <c r="D68" s="159"/>
      <c r="E68" s="220"/>
      <c r="F68" s="159"/>
      <c r="G68" s="220"/>
      <c r="H68" s="159"/>
      <c r="I68" s="220"/>
      <c r="J68" s="159"/>
      <c r="K68" s="220"/>
    </row>
    <row r="69" spans="1:11" s="142" customFormat="1" ht="12.75" customHeight="1" x14ac:dyDescent="0.2">
      <c r="A69" s="160"/>
      <c r="B69" s="160"/>
      <c r="C69" s="161"/>
      <c r="D69" s="160"/>
      <c r="E69" s="161"/>
      <c r="F69" s="160"/>
      <c r="G69" s="161"/>
      <c r="H69" s="160"/>
      <c r="I69" s="161"/>
      <c r="J69" s="160"/>
      <c r="K69" s="161"/>
    </row>
    <row r="70" spans="1:11" s="142" customFormat="1" ht="12.75" hidden="1" customHeight="1" x14ac:dyDescent="0.2">
      <c r="A70" s="162">
        <v>2017</v>
      </c>
      <c r="B70" s="163" t="s">
        <v>3</v>
      </c>
      <c r="C70" s="221"/>
      <c r="D70" s="164" t="s">
        <v>121</v>
      </c>
      <c r="E70" s="161"/>
      <c r="F70" s="164" t="s">
        <v>121</v>
      </c>
      <c r="G70" s="161"/>
      <c r="H70" s="164" t="s">
        <v>121</v>
      </c>
      <c r="I70" s="161"/>
      <c r="J70" s="164" t="s">
        <v>121</v>
      </c>
      <c r="K70" s="161"/>
    </row>
    <row r="71" spans="1:11" s="142" customFormat="1" ht="12.75" hidden="1" customHeight="1" x14ac:dyDescent="0.2">
      <c r="A71" s="165"/>
      <c r="B71" s="166"/>
      <c r="C71" s="222"/>
      <c r="D71" s="167"/>
      <c r="E71" s="280"/>
      <c r="F71" s="167"/>
      <c r="G71" s="280"/>
      <c r="H71" s="167"/>
      <c r="I71" s="280"/>
      <c r="J71" s="167"/>
      <c r="K71" s="280"/>
    </row>
    <row r="72" spans="1:11" s="142" customFormat="1" ht="12.75" customHeight="1" thickBot="1" x14ac:dyDescent="0.25">
      <c r="A72" s="157">
        <v>2016</v>
      </c>
      <c r="B72" s="158" t="s">
        <v>4</v>
      </c>
      <c r="C72" s="223"/>
      <c r="D72" s="168">
        <v>10.053452115812922</v>
      </c>
      <c r="E72" s="281"/>
      <c r="F72" s="168">
        <v>-2.3454746136865379</v>
      </c>
      <c r="G72" s="281"/>
      <c r="H72" s="168">
        <v>1.7940092904052518</v>
      </c>
      <c r="I72" s="281"/>
      <c r="J72" s="168">
        <v>17.722323770166092</v>
      </c>
      <c r="K72" s="281"/>
    </row>
    <row r="73" spans="1:11" s="169" customFormat="1" ht="12.75" customHeight="1" x14ac:dyDescent="0.2">
      <c r="A73" s="343"/>
      <c r="B73" s="343"/>
      <c r="C73" s="343"/>
      <c r="D73" s="343"/>
      <c r="E73" s="343"/>
      <c r="F73" s="343"/>
      <c r="G73" s="343"/>
      <c r="H73" s="343"/>
      <c r="I73" s="343"/>
      <c r="J73" s="343"/>
      <c r="K73" s="343"/>
    </row>
    <row r="74" spans="1:11" s="169" customFormat="1" ht="48" customHeight="1" x14ac:dyDescent="0.2">
      <c r="A74" s="338" t="s">
        <v>484</v>
      </c>
      <c r="B74" s="338"/>
      <c r="C74" s="338"/>
      <c r="D74" s="338"/>
      <c r="E74" s="338"/>
      <c r="F74" s="338"/>
      <c r="G74" s="338"/>
      <c r="H74" s="338"/>
      <c r="I74" s="338"/>
      <c r="J74" s="338"/>
      <c r="K74" s="338"/>
    </row>
    <row r="75" spans="1:11" s="170" customFormat="1" ht="47.25" customHeight="1" x14ac:dyDescent="0.3">
      <c r="A75" s="338" t="s">
        <v>237</v>
      </c>
      <c r="B75" s="338"/>
      <c r="C75" s="338"/>
      <c r="D75" s="338"/>
      <c r="E75" s="338"/>
      <c r="F75" s="338"/>
      <c r="G75" s="338"/>
      <c r="H75" s="338"/>
      <c r="I75" s="338"/>
      <c r="J75" s="338"/>
      <c r="K75" s="338"/>
    </row>
    <row r="76" spans="1:11" s="171" customFormat="1" ht="15" x14ac:dyDescent="0.3">
      <c r="A76" s="338" t="s">
        <v>240</v>
      </c>
      <c r="B76" s="338"/>
      <c r="C76" s="338"/>
      <c r="D76" s="338"/>
      <c r="E76" s="338"/>
      <c r="F76" s="338"/>
      <c r="G76" s="338"/>
      <c r="H76" s="338"/>
      <c r="I76" s="338"/>
      <c r="J76" s="338"/>
      <c r="K76" s="338"/>
    </row>
    <row r="77" spans="1:11" s="171" customFormat="1" ht="27.75" customHeight="1" x14ac:dyDescent="0.3">
      <c r="A77" s="344"/>
      <c r="B77" s="344"/>
      <c r="C77" s="344"/>
      <c r="D77" s="344"/>
      <c r="E77" s="344"/>
      <c r="F77" s="344"/>
      <c r="G77" s="344"/>
      <c r="H77" s="344"/>
      <c r="I77" s="344"/>
      <c r="J77" s="344"/>
      <c r="K77" s="344"/>
    </row>
    <row r="78" spans="1:11" ht="12.75" customHeight="1" x14ac:dyDescent="0.3">
      <c r="A78" s="344"/>
      <c r="B78" s="344"/>
      <c r="C78" s="344"/>
      <c r="D78" s="344"/>
      <c r="E78" s="344"/>
      <c r="F78" s="344"/>
      <c r="G78" s="344"/>
      <c r="H78" s="344"/>
      <c r="I78" s="344"/>
      <c r="J78" s="344"/>
      <c r="K78" s="344"/>
    </row>
    <row r="79" spans="1:11" ht="12.75" customHeight="1" x14ac:dyDescent="0.3">
      <c r="A79" s="344"/>
      <c r="B79" s="344"/>
      <c r="C79" s="344"/>
      <c r="D79" s="344"/>
      <c r="E79" s="344"/>
      <c r="F79" s="344"/>
      <c r="G79" s="344"/>
      <c r="H79" s="344"/>
      <c r="I79" s="344"/>
      <c r="J79" s="344"/>
      <c r="K79" s="344"/>
    </row>
    <row r="80" spans="1:11" ht="12.75" customHeight="1" x14ac:dyDescent="0.3">
      <c r="A80" s="344"/>
      <c r="B80" s="344"/>
      <c r="C80" s="344"/>
      <c r="D80" s="344"/>
      <c r="E80" s="344"/>
      <c r="F80" s="344"/>
      <c r="G80" s="344"/>
      <c r="H80" s="344"/>
      <c r="I80" s="344"/>
      <c r="J80" s="344"/>
      <c r="K80" s="344"/>
    </row>
    <row r="81" spans="1:11" ht="12.75" customHeight="1" x14ac:dyDescent="0.3">
      <c r="A81" s="344"/>
      <c r="B81" s="344"/>
      <c r="C81" s="344"/>
      <c r="D81" s="344"/>
      <c r="E81" s="344"/>
      <c r="F81" s="344"/>
      <c r="G81" s="344"/>
      <c r="H81" s="344"/>
      <c r="I81" s="344"/>
      <c r="J81" s="344"/>
      <c r="K81" s="344"/>
    </row>
    <row r="82" spans="1:11" ht="12.75" customHeight="1" x14ac:dyDescent="0.3">
      <c r="A82" s="344"/>
      <c r="B82" s="344"/>
      <c r="C82" s="344"/>
      <c r="D82" s="344"/>
      <c r="E82" s="344"/>
      <c r="F82" s="344"/>
      <c r="G82" s="344"/>
      <c r="H82" s="344"/>
      <c r="I82" s="344"/>
      <c r="J82" s="344"/>
      <c r="K82" s="344"/>
    </row>
    <row r="83" spans="1:11" ht="12.75" customHeight="1" x14ac:dyDescent="0.3">
      <c r="A83" s="344"/>
      <c r="B83" s="344"/>
      <c r="C83" s="344"/>
      <c r="D83" s="344"/>
      <c r="E83" s="344"/>
      <c r="F83" s="344"/>
      <c r="G83" s="344"/>
      <c r="H83" s="344"/>
      <c r="I83" s="344"/>
      <c r="J83" s="344"/>
      <c r="K83" s="344"/>
    </row>
  </sheetData>
  <dataConsolidate/>
  <mergeCells count="16">
    <mergeCell ref="A80:K80"/>
    <mergeCell ref="A81:K81"/>
    <mergeCell ref="A82:K82"/>
    <mergeCell ref="A83:K83"/>
    <mergeCell ref="A74:K74"/>
    <mergeCell ref="A75:K75"/>
    <mergeCell ref="A76:K76"/>
    <mergeCell ref="A77:K77"/>
    <mergeCell ref="A78:K78"/>
    <mergeCell ref="A79:K79"/>
    <mergeCell ref="A73:K73"/>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72"/>
  <sheetViews>
    <sheetView showGridLines="0" zoomScaleNormal="100" workbookViewId="0">
      <pane xSplit="3" ySplit="5" topLeftCell="D36"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2" t="s">
        <v>171</v>
      </c>
      <c r="B2" s="193"/>
      <c r="C2" s="193"/>
      <c r="D2" s="194" t="s">
        <v>127</v>
      </c>
      <c r="E2" s="133"/>
      <c r="F2" s="132"/>
      <c r="G2" s="133"/>
      <c r="H2" s="132"/>
      <c r="I2" s="133"/>
      <c r="J2" s="132"/>
      <c r="K2" s="133"/>
      <c r="L2" s="132"/>
    </row>
    <row r="3" spans="1:12" s="136" customFormat="1" ht="19.5" x14ac:dyDescent="0.3">
      <c r="A3" s="195" t="s">
        <v>153</v>
      </c>
      <c r="B3" s="196"/>
      <c r="C3" s="213"/>
      <c r="D3" s="197" t="s">
        <v>241</v>
      </c>
      <c r="E3" s="282"/>
      <c r="F3" s="187"/>
      <c r="G3" s="282"/>
      <c r="H3" s="187"/>
      <c r="I3" s="282"/>
      <c r="J3" s="187"/>
      <c r="K3" s="282"/>
      <c r="L3" s="132"/>
    </row>
    <row r="4" spans="1:12" ht="10.5" customHeight="1" thickBot="1" x14ac:dyDescent="0.35">
      <c r="A4" s="137"/>
      <c r="B4" s="137"/>
      <c r="C4" s="214"/>
      <c r="D4" s="137"/>
      <c r="E4" s="214"/>
      <c r="F4" s="137"/>
      <c r="G4" s="214"/>
      <c r="H4" s="137"/>
      <c r="I4" s="214"/>
      <c r="J4" s="339"/>
      <c r="K4" s="339"/>
    </row>
    <row r="5" spans="1:12" ht="47.25" customHeight="1" thickBot="1" x14ac:dyDescent="0.35">
      <c r="A5" s="230"/>
      <c r="B5" s="230"/>
      <c r="C5" s="231"/>
      <c r="D5" s="345" t="s">
        <v>123</v>
      </c>
      <c r="E5" s="345"/>
      <c r="F5" s="346" t="s">
        <v>124</v>
      </c>
      <c r="G5" s="346"/>
      <c r="H5" s="346" t="s">
        <v>87</v>
      </c>
      <c r="I5" s="346"/>
      <c r="J5" s="346" t="s">
        <v>125</v>
      </c>
      <c r="K5" s="346"/>
      <c r="L5" s="188"/>
    </row>
    <row r="6" spans="1:12" s="142" customFormat="1" ht="12.75" customHeight="1" x14ac:dyDescent="0.25">
      <c r="A6" s="151">
        <v>2008</v>
      </c>
      <c r="B6" s="152" t="s">
        <v>1</v>
      </c>
      <c r="C6" s="218"/>
      <c r="D6" s="155">
        <v>23.896936439589986</v>
      </c>
      <c r="E6" s="154" t="s">
        <v>501</v>
      </c>
      <c r="F6" s="155">
        <v>14.605218818005968</v>
      </c>
      <c r="G6" s="154" t="s">
        <v>501</v>
      </c>
      <c r="H6" s="155" t="s">
        <v>206</v>
      </c>
      <c r="I6" s="154" t="s">
        <v>501</v>
      </c>
      <c r="J6" s="155">
        <v>9.29171762158402</v>
      </c>
      <c r="K6" s="154" t="s">
        <v>501</v>
      </c>
      <c r="L6" s="205"/>
    </row>
    <row r="7" spans="1:12" s="142" customFormat="1" ht="12.75" customHeight="1" x14ac:dyDescent="0.25">
      <c r="A7" s="151"/>
      <c r="B7" s="152" t="s">
        <v>2</v>
      </c>
      <c r="C7" s="218"/>
      <c r="D7" s="155">
        <v>23.52225559801153</v>
      </c>
      <c r="E7" s="154" t="s">
        <v>501</v>
      </c>
      <c r="F7" s="155">
        <v>14.543482081276244</v>
      </c>
      <c r="G7" s="154" t="s">
        <v>501</v>
      </c>
      <c r="H7" s="155" t="s">
        <v>206</v>
      </c>
      <c r="I7" s="154" t="s">
        <v>501</v>
      </c>
      <c r="J7" s="155">
        <v>8.978773516735286</v>
      </c>
      <c r="K7" s="154" t="s">
        <v>501</v>
      </c>
      <c r="L7" s="205"/>
    </row>
    <row r="8" spans="1:12" s="142" customFormat="1" ht="12.75" customHeight="1" x14ac:dyDescent="0.25">
      <c r="A8" s="151"/>
      <c r="B8" s="152" t="s">
        <v>3</v>
      </c>
      <c r="C8" s="218"/>
      <c r="D8" s="155">
        <v>23.754737389143791</v>
      </c>
      <c r="E8" s="154" t="s">
        <v>501</v>
      </c>
      <c r="F8" s="155">
        <v>14.890681480856571</v>
      </c>
      <c r="G8" s="154" t="s">
        <v>501</v>
      </c>
      <c r="H8" s="155" t="s">
        <v>206</v>
      </c>
      <c r="I8" s="154" t="s">
        <v>501</v>
      </c>
      <c r="J8" s="155">
        <v>8.8640559082872201</v>
      </c>
      <c r="K8" s="154" t="s">
        <v>501</v>
      </c>
      <c r="L8" s="205"/>
    </row>
    <row r="9" spans="1:12" s="142" customFormat="1" ht="12.75" customHeight="1" x14ac:dyDescent="0.25">
      <c r="A9" s="151"/>
      <c r="B9" s="152" t="s">
        <v>4</v>
      </c>
      <c r="C9" s="218"/>
      <c r="D9" s="155">
        <v>24.777992498880447</v>
      </c>
      <c r="E9" s="154" t="s">
        <v>501</v>
      </c>
      <c r="F9" s="155">
        <v>15.681131534525745</v>
      </c>
      <c r="G9" s="154" t="s">
        <v>501</v>
      </c>
      <c r="H9" s="155" t="s">
        <v>206</v>
      </c>
      <c r="I9" s="154" t="s">
        <v>501</v>
      </c>
      <c r="J9" s="155">
        <v>9.0968609643547058</v>
      </c>
      <c r="K9" s="154" t="s">
        <v>501</v>
      </c>
      <c r="L9" s="205"/>
    </row>
    <row r="10" spans="1:12" s="142" customFormat="1" ht="12.75" customHeight="1" x14ac:dyDescent="0.25">
      <c r="A10" s="151"/>
      <c r="B10" s="152"/>
      <c r="C10" s="218"/>
      <c r="D10" s="155"/>
      <c r="E10" s="154"/>
      <c r="F10" s="155"/>
      <c r="G10" s="154"/>
      <c r="H10" s="155"/>
      <c r="I10" s="154"/>
      <c r="J10" s="155"/>
      <c r="K10" s="154"/>
      <c r="L10" s="205"/>
    </row>
    <row r="11" spans="1:12" s="142" customFormat="1" ht="12.75" customHeight="1" x14ac:dyDescent="0.25">
      <c r="A11" s="151">
        <v>2009</v>
      </c>
      <c r="B11" s="152" t="s">
        <v>1</v>
      </c>
      <c r="C11" s="218"/>
      <c r="D11" s="155">
        <v>26.032553594790652</v>
      </c>
      <c r="E11" s="154" t="s">
        <v>501</v>
      </c>
      <c r="F11" s="155">
        <v>16.722582075278702</v>
      </c>
      <c r="G11" s="154" t="s">
        <v>501</v>
      </c>
      <c r="H11" s="155" t="s">
        <v>206</v>
      </c>
      <c r="I11" s="154" t="s">
        <v>501</v>
      </c>
      <c r="J11" s="155">
        <v>9.3099715195119472</v>
      </c>
      <c r="K11" s="154" t="s">
        <v>501</v>
      </c>
      <c r="L11" s="205"/>
    </row>
    <row r="12" spans="1:12" s="142" customFormat="1" ht="12.75" customHeight="1" x14ac:dyDescent="0.25">
      <c r="A12" s="151"/>
      <c r="B12" s="152" t="s">
        <v>2</v>
      </c>
      <c r="C12" s="218"/>
      <c r="D12" s="155">
        <v>27.622873272065213</v>
      </c>
      <c r="E12" s="154" t="s">
        <v>501</v>
      </c>
      <c r="F12" s="155">
        <v>17.2651931302793</v>
      </c>
      <c r="G12" s="154" t="s">
        <v>501</v>
      </c>
      <c r="H12" s="155">
        <v>0.45804621982768151</v>
      </c>
      <c r="I12" s="154" t="s">
        <v>501</v>
      </c>
      <c r="J12" s="155">
        <v>9.8996339219582321</v>
      </c>
      <c r="K12" s="154" t="s">
        <v>501</v>
      </c>
      <c r="L12" s="205"/>
    </row>
    <row r="13" spans="1:12" s="142" customFormat="1" ht="12.75" customHeight="1" x14ac:dyDescent="0.25">
      <c r="A13" s="151"/>
      <c r="B13" s="152" t="s">
        <v>3</v>
      </c>
      <c r="C13" s="218"/>
      <c r="D13" s="155">
        <v>29.355939957433321</v>
      </c>
      <c r="E13" s="154" t="s">
        <v>501</v>
      </c>
      <c r="F13" s="155">
        <v>17.48499207927571</v>
      </c>
      <c r="G13" s="154" t="s">
        <v>501</v>
      </c>
      <c r="H13" s="155">
        <v>1.498079792379035</v>
      </c>
      <c r="I13" s="154" t="s">
        <v>501</v>
      </c>
      <c r="J13" s="155">
        <v>10.372868085778576</v>
      </c>
      <c r="K13" s="154" t="s">
        <v>501</v>
      </c>
      <c r="L13" s="205"/>
    </row>
    <row r="14" spans="1:12" s="142" customFormat="1" ht="12.75" customHeight="1" x14ac:dyDescent="0.25">
      <c r="A14" s="151"/>
      <c r="B14" s="152" t="s">
        <v>4</v>
      </c>
      <c r="C14" s="218"/>
      <c r="D14" s="155">
        <v>30.931542051581534</v>
      </c>
      <c r="E14" s="154" t="s">
        <v>501</v>
      </c>
      <c r="F14" s="155">
        <v>17.218009609157406</v>
      </c>
      <c r="G14" s="154" t="s">
        <v>501</v>
      </c>
      <c r="H14" s="155">
        <v>2.7280872061864372</v>
      </c>
      <c r="I14" s="154" t="s">
        <v>501</v>
      </c>
      <c r="J14" s="155">
        <v>10.985445236237686</v>
      </c>
      <c r="K14" s="154" t="s">
        <v>501</v>
      </c>
      <c r="L14" s="205"/>
    </row>
    <row r="15" spans="1:12" s="142" customFormat="1" ht="12.75" customHeight="1" x14ac:dyDescent="0.25">
      <c r="A15" s="151"/>
      <c r="B15" s="152"/>
      <c r="C15" s="218"/>
      <c r="D15" s="155"/>
      <c r="E15" s="154"/>
      <c r="F15" s="155"/>
      <c r="G15" s="154"/>
      <c r="H15" s="155"/>
      <c r="I15" s="154"/>
      <c r="J15" s="155"/>
      <c r="K15" s="154"/>
      <c r="L15" s="205"/>
    </row>
    <row r="16" spans="1:12" s="142" customFormat="1" ht="12.75" customHeight="1" x14ac:dyDescent="0.25">
      <c r="A16" s="151">
        <v>2010</v>
      </c>
      <c r="B16" s="152" t="s">
        <v>1</v>
      </c>
      <c r="C16" s="218"/>
      <c r="D16" s="155">
        <v>32.10705390911594</v>
      </c>
      <c r="E16" s="154" t="s">
        <v>501</v>
      </c>
      <c r="F16" s="155">
        <v>16.673372457979976</v>
      </c>
      <c r="G16" s="154" t="s">
        <v>501</v>
      </c>
      <c r="H16" s="155">
        <v>4.0199666625717452</v>
      </c>
      <c r="I16" s="154" t="s">
        <v>501</v>
      </c>
      <c r="J16" s="155">
        <v>11.413714788564217</v>
      </c>
      <c r="K16" s="154" t="s">
        <v>501</v>
      </c>
      <c r="L16" s="205"/>
    </row>
    <row r="17" spans="1:12" s="142" customFormat="1" ht="12.75" customHeight="1" x14ac:dyDescent="0.25">
      <c r="A17" s="151"/>
      <c r="B17" s="152" t="s">
        <v>2</v>
      </c>
      <c r="C17" s="218"/>
      <c r="D17" s="155">
        <v>32.414323913168829</v>
      </c>
      <c r="E17" s="154" t="s">
        <v>501</v>
      </c>
      <c r="F17" s="155">
        <v>15.741628180571338</v>
      </c>
      <c r="G17" s="154" t="s">
        <v>501</v>
      </c>
      <c r="H17" s="155">
        <v>5.0011890790618523</v>
      </c>
      <c r="I17" s="154" t="s">
        <v>501</v>
      </c>
      <c r="J17" s="155">
        <v>11.671506653535637</v>
      </c>
      <c r="K17" s="154" t="s">
        <v>501</v>
      </c>
      <c r="L17" s="205"/>
    </row>
    <row r="18" spans="1:12" s="142" customFormat="1" ht="12.75" customHeight="1" x14ac:dyDescent="0.25">
      <c r="A18" s="151"/>
      <c r="B18" s="152" t="s">
        <v>3</v>
      </c>
      <c r="C18" s="218"/>
      <c r="D18" s="155">
        <v>32.038544795851152</v>
      </c>
      <c r="E18" s="154" t="s">
        <v>501</v>
      </c>
      <c r="F18" s="155">
        <v>14.68790090859579</v>
      </c>
      <c r="G18" s="154" t="s">
        <v>501</v>
      </c>
      <c r="H18" s="155">
        <v>5.5761913366512417</v>
      </c>
      <c r="I18" s="154" t="s">
        <v>501</v>
      </c>
      <c r="J18" s="155">
        <v>11.774452550604122</v>
      </c>
      <c r="K18" s="154" t="s">
        <v>501</v>
      </c>
      <c r="L18" s="205"/>
    </row>
    <row r="19" spans="1:12" s="142" customFormat="1" ht="12.75" customHeight="1" x14ac:dyDescent="0.25">
      <c r="A19" s="151"/>
      <c r="B19" s="152" t="s">
        <v>4</v>
      </c>
      <c r="C19" s="218"/>
      <c r="D19" s="155">
        <v>30.846352228407685</v>
      </c>
      <c r="E19" s="154" t="s">
        <v>501</v>
      </c>
      <c r="F19" s="155">
        <v>13.516022069766137</v>
      </c>
      <c r="G19" s="154" t="s">
        <v>501</v>
      </c>
      <c r="H19" s="155">
        <v>5.7512703377324375</v>
      </c>
      <c r="I19" s="154" t="s">
        <v>501</v>
      </c>
      <c r="J19" s="155">
        <v>11.57905982090911</v>
      </c>
      <c r="K19" s="154" t="s">
        <v>501</v>
      </c>
      <c r="L19" s="205"/>
    </row>
    <row r="20" spans="1:12" s="142" customFormat="1" ht="12.75" customHeight="1" x14ac:dyDescent="0.25">
      <c r="A20" s="151"/>
      <c r="B20" s="152"/>
      <c r="C20" s="218"/>
      <c r="D20" s="155"/>
      <c r="E20" s="154"/>
      <c r="F20" s="155"/>
      <c r="G20" s="154"/>
      <c r="H20" s="155"/>
      <c r="I20" s="154"/>
      <c r="J20" s="155"/>
      <c r="K20" s="154"/>
      <c r="L20" s="205"/>
    </row>
    <row r="21" spans="1:12" s="142" customFormat="1" ht="12.75" customHeight="1" x14ac:dyDescent="0.25">
      <c r="A21" s="151">
        <v>2011</v>
      </c>
      <c r="B21" s="152" t="s">
        <v>1</v>
      </c>
      <c r="C21" s="218"/>
      <c r="D21" s="155">
        <v>29.511200181577237</v>
      </c>
      <c r="E21" s="154" t="s">
        <v>501</v>
      </c>
      <c r="F21" s="155">
        <v>12.18110631703364</v>
      </c>
      <c r="G21" s="154" t="s">
        <v>501</v>
      </c>
      <c r="H21" s="155">
        <v>5.9982651448532716</v>
      </c>
      <c r="I21" s="154" t="s">
        <v>501</v>
      </c>
      <c r="J21" s="155">
        <v>11.331828719690323</v>
      </c>
      <c r="K21" s="154" t="s">
        <v>501</v>
      </c>
      <c r="L21" s="205"/>
    </row>
    <row r="22" spans="1:12" s="142" customFormat="1" ht="12.75" customHeight="1" x14ac:dyDescent="0.25">
      <c r="A22" s="151"/>
      <c r="B22" s="152" t="s">
        <v>2</v>
      </c>
      <c r="C22" s="218"/>
      <c r="D22" s="155">
        <v>28.476782440482943</v>
      </c>
      <c r="E22" s="154" t="s">
        <v>501</v>
      </c>
      <c r="F22" s="155">
        <v>11.269909548376591</v>
      </c>
      <c r="G22" s="154" t="s">
        <v>501</v>
      </c>
      <c r="H22" s="155">
        <v>6.2029400289864567</v>
      </c>
      <c r="I22" s="154" t="s">
        <v>501</v>
      </c>
      <c r="J22" s="155">
        <v>11.003932863119896</v>
      </c>
      <c r="K22" s="154" t="s">
        <v>501</v>
      </c>
      <c r="L22" s="205"/>
    </row>
    <row r="23" spans="1:12" s="142" customFormat="1" ht="12.75" customHeight="1" x14ac:dyDescent="0.25">
      <c r="A23" s="151"/>
      <c r="B23" s="152" t="s">
        <v>3</v>
      </c>
      <c r="C23" s="218"/>
      <c r="D23" s="155">
        <v>27.569733669510029</v>
      </c>
      <c r="E23" s="154" t="s">
        <v>501</v>
      </c>
      <c r="F23" s="155">
        <v>10.261427475326995</v>
      </c>
      <c r="G23" s="154" t="s">
        <v>501</v>
      </c>
      <c r="H23" s="155">
        <v>6.3098049599643646</v>
      </c>
      <c r="I23" s="154" t="s">
        <v>501</v>
      </c>
      <c r="J23" s="155">
        <v>10.99850123421867</v>
      </c>
      <c r="K23" s="154" t="s">
        <v>501</v>
      </c>
      <c r="L23" s="205"/>
    </row>
    <row r="24" spans="1:12" s="142" customFormat="1" ht="12.75" customHeight="1" x14ac:dyDescent="0.25">
      <c r="A24" s="151"/>
      <c r="B24" s="152" t="s">
        <v>4</v>
      </c>
      <c r="C24" s="218"/>
      <c r="D24" s="155">
        <v>27.137811086869299</v>
      </c>
      <c r="E24" s="154" t="s">
        <v>501</v>
      </c>
      <c r="F24" s="155">
        <v>9.4746919542927799</v>
      </c>
      <c r="G24" s="154" t="s">
        <v>501</v>
      </c>
      <c r="H24" s="155">
        <v>6.5634573240538545</v>
      </c>
      <c r="I24" s="154" t="s">
        <v>501</v>
      </c>
      <c r="J24" s="155">
        <v>11.099661808522665</v>
      </c>
      <c r="K24" s="154" t="s">
        <v>501</v>
      </c>
      <c r="L24" s="205"/>
    </row>
    <row r="25" spans="1:12" s="142" customFormat="1" ht="12.75" customHeight="1" x14ac:dyDescent="0.25">
      <c r="A25" s="151"/>
      <c r="B25" s="152"/>
      <c r="C25" s="218"/>
      <c r="D25" s="155"/>
      <c r="E25" s="154"/>
      <c r="F25" s="155"/>
      <c r="G25" s="154"/>
      <c r="H25" s="155"/>
      <c r="I25" s="154"/>
      <c r="J25" s="155"/>
      <c r="K25" s="154"/>
      <c r="L25" s="205"/>
    </row>
    <row r="26" spans="1:12" s="142" customFormat="1" ht="12.75" customHeight="1" x14ac:dyDescent="0.25">
      <c r="A26" s="151">
        <v>2012</v>
      </c>
      <c r="B26" s="152" t="s">
        <v>1</v>
      </c>
      <c r="C26" s="218"/>
      <c r="D26" s="155">
        <v>26.768253726484335</v>
      </c>
      <c r="E26" s="154" t="s">
        <v>501</v>
      </c>
      <c r="F26" s="155">
        <v>8.6883164384718832</v>
      </c>
      <c r="G26" s="154" t="s">
        <v>501</v>
      </c>
      <c r="H26" s="155">
        <v>6.8022229455898557</v>
      </c>
      <c r="I26" s="154" t="s">
        <v>501</v>
      </c>
      <c r="J26" s="155">
        <v>11.2777143424226</v>
      </c>
      <c r="K26" s="154" t="s">
        <v>501</v>
      </c>
      <c r="L26" s="205"/>
    </row>
    <row r="27" spans="1:12" s="142" customFormat="1" ht="12.75" customHeight="1" x14ac:dyDescent="0.25">
      <c r="A27" s="151"/>
      <c r="B27" s="152" t="s">
        <v>2</v>
      </c>
      <c r="C27" s="218"/>
      <c r="D27" s="155">
        <v>26.020128230981289</v>
      </c>
      <c r="E27" s="154" t="s">
        <v>501</v>
      </c>
      <c r="F27" s="155">
        <v>7.9944698829483123</v>
      </c>
      <c r="G27" s="154" t="s">
        <v>501</v>
      </c>
      <c r="H27" s="155">
        <v>6.9474783957398545</v>
      </c>
      <c r="I27" s="154" t="s">
        <v>501</v>
      </c>
      <c r="J27" s="155">
        <v>11.078179952293125</v>
      </c>
      <c r="K27" s="154" t="s">
        <v>501</v>
      </c>
      <c r="L27" s="205"/>
    </row>
    <row r="28" spans="1:12" s="142" customFormat="1" ht="12.75" customHeight="1" x14ac:dyDescent="0.25">
      <c r="A28" s="151"/>
      <c r="B28" s="152" t="s">
        <v>3</v>
      </c>
      <c r="C28" s="218"/>
      <c r="D28" s="155">
        <v>25.487558594724813</v>
      </c>
      <c r="E28" s="154" t="s">
        <v>501</v>
      </c>
      <c r="F28" s="155">
        <v>7.5445675993532584</v>
      </c>
      <c r="G28" s="154" t="s">
        <v>501</v>
      </c>
      <c r="H28" s="155">
        <v>6.9740664997123893</v>
      </c>
      <c r="I28" s="154" t="s">
        <v>501</v>
      </c>
      <c r="J28" s="155">
        <v>10.968924495659165</v>
      </c>
      <c r="K28" s="154" t="s">
        <v>501</v>
      </c>
      <c r="L28" s="205"/>
    </row>
    <row r="29" spans="1:12" s="142" customFormat="1" ht="12.75" customHeight="1" x14ac:dyDescent="0.25">
      <c r="A29" s="151"/>
      <c r="B29" s="152" t="s">
        <v>4</v>
      </c>
      <c r="C29" s="218"/>
      <c r="D29" s="155">
        <v>24.630685736802121</v>
      </c>
      <c r="E29" s="154" t="s">
        <v>501</v>
      </c>
      <c r="F29" s="155">
        <v>7.140966868986947</v>
      </c>
      <c r="G29" s="154" t="s">
        <v>501</v>
      </c>
      <c r="H29" s="155">
        <v>7.0043793377212076</v>
      </c>
      <c r="I29" s="154" t="s">
        <v>501</v>
      </c>
      <c r="J29" s="155">
        <v>10.485339530093961</v>
      </c>
      <c r="K29" s="154" t="s">
        <v>501</v>
      </c>
      <c r="L29" s="205"/>
    </row>
    <row r="30" spans="1:12" s="142" customFormat="1" ht="12.75" customHeight="1" x14ac:dyDescent="0.25">
      <c r="A30" s="151"/>
      <c r="B30" s="152"/>
      <c r="C30" s="218"/>
      <c r="D30" s="155"/>
      <c r="E30" s="154"/>
      <c r="F30" s="155"/>
      <c r="G30" s="154"/>
      <c r="H30" s="155"/>
      <c r="I30" s="154"/>
      <c r="J30" s="155"/>
      <c r="K30" s="154"/>
      <c r="L30" s="205"/>
    </row>
    <row r="31" spans="1:12" s="142" customFormat="1" ht="12.75" customHeight="1" x14ac:dyDescent="0.25">
      <c r="A31" s="151">
        <v>2013</v>
      </c>
      <c r="B31" s="152" t="s">
        <v>1</v>
      </c>
      <c r="C31" s="218"/>
      <c r="D31" s="155">
        <v>23.758593714181671</v>
      </c>
      <c r="E31" s="154" t="s">
        <v>501</v>
      </c>
      <c r="F31" s="155">
        <v>6.5775431769435988</v>
      </c>
      <c r="G31" s="154" t="s">
        <v>501</v>
      </c>
      <c r="H31" s="155">
        <v>6.8406179909968872</v>
      </c>
      <c r="I31" s="154" t="s">
        <v>501</v>
      </c>
      <c r="J31" s="155">
        <v>10.340432546241187</v>
      </c>
      <c r="K31" s="154" t="s">
        <v>501</v>
      </c>
      <c r="L31" s="205"/>
    </row>
    <row r="32" spans="1:12" s="142" customFormat="1" ht="12.75" customHeight="1" x14ac:dyDescent="0.25">
      <c r="A32" s="151"/>
      <c r="B32" s="152" t="s">
        <v>2</v>
      </c>
      <c r="C32" s="218"/>
      <c r="D32" s="155">
        <v>23.344154138363749</v>
      </c>
      <c r="E32" s="154" t="s">
        <v>501</v>
      </c>
      <c r="F32" s="155">
        <v>6.2056432999768809</v>
      </c>
      <c r="G32" s="154" t="s">
        <v>501</v>
      </c>
      <c r="H32" s="155">
        <v>6.6447133862539296</v>
      </c>
      <c r="I32" s="154" t="s">
        <v>501</v>
      </c>
      <c r="J32" s="155">
        <v>10.493797452132936</v>
      </c>
      <c r="K32" s="154" t="s">
        <v>501</v>
      </c>
      <c r="L32" s="205"/>
    </row>
    <row r="33" spans="1:12" s="142" customFormat="1" ht="12.75" customHeight="1" x14ac:dyDescent="0.25">
      <c r="A33" s="151"/>
      <c r="B33" s="152" t="s">
        <v>3</v>
      </c>
      <c r="C33" s="218"/>
      <c r="D33" s="155">
        <v>22.849283475374651</v>
      </c>
      <c r="E33" s="154" t="s">
        <v>501</v>
      </c>
      <c r="F33" s="155">
        <v>5.8302879143052513</v>
      </c>
      <c r="G33" s="154" t="s">
        <v>501</v>
      </c>
      <c r="H33" s="155">
        <v>6.3777086520322595</v>
      </c>
      <c r="I33" s="154" t="s">
        <v>501</v>
      </c>
      <c r="J33" s="155">
        <v>10.641286909037142</v>
      </c>
      <c r="K33" s="154" t="s">
        <v>501</v>
      </c>
      <c r="L33" s="205"/>
    </row>
    <row r="34" spans="1:12" s="142" customFormat="1" ht="12.75" customHeight="1" x14ac:dyDescent="0.25">
      <c r="A34" s="151"/>
      <c r="B34" s="152" t="s">
        <v>4</v>
      </c>
      <c r="C34" s="218"/>
      <c r="D34" s="155">
        <v>22.538377200690167</v>
      </c>
      <c r="E34" s="154" t="s">
        <v>501</v>
      </c>
      <c r="F34" s="155">
        <v>5.4831825006253405</v>
      </c>
      <c r="G34" s="154" t="s">
        <v>501</v>
      </c>
      <c r="H34" s="155">
        <v>6.1470735892810895</v>
      </c>
      <c r="I34" s="154" t="s">
        <v>501</v>
      </c>
      <c r="J34" s="155">
        <v>10.908121110783739</v>
      </c>
      <c r="K34" s="154" t="s">
        <v>501</v>
      </c>
      <c r="L34" s="205"/>
    </row>
    <row r="35" spans="1:12" s="142" customFormat="1" ht="12.75" customHeight="1" x14ac:dyDescent="0.25">
      <c r="A35" s="151"/>
      <c r="B35" s="152"/>
      <c r="C35" s="218"/>
      <c r="D35" s="155"/>
      <c r="E35" s="154"/>
      <c r="F35" s="155"/>
      <c r="G35" s="154"/>
      <c r="H35" s="155"/>
      <c r="I35" s="154"/>
      <c r="J35" s="155"/>
      <c r="K35" s="154"/>
      <c r="L35" s="205"/>
    </row>
    <row r="36" spans="1:12" s="142" customFormat="1" ht="12.75" customHeight="1" x14ac:dyDescent="0.25">
      <c r="A36" s="151">
        <v>2014</v>
      </c>
      <c r="B36" s="152" t="s">
        <v>1</v>
      </c>
      <c r="C36" s="218"/>
      <c r="D36" s="155">
        <v>22.474746905370104</v>
      </c>
      <c r="E36" s="154" t="s">
        <v>501</v>
      </c>
      <c r="F36" s="155">
        <v>5.2508031516955507</v>
      </c>
      <c r="G36" s="154" t="s">
        <v>501</v>
      </c>
      <c r="H36" s="155">
        <v>5.9850114722833716</v>
      </c>
      <c r="I36" s="154" t="s">
        <v>501</v>
      </c>
      <c r="J36" s="155">
        <v>11.238932281391184</v>
      </c>
      <c r="K36" s="154" t="s">
        <v>501</v>
      </c>
      <c r="L36" s="205"/>
    </row>
    <row r="37" spans="1:12" s="142" customFormat="1" ht="12.75" customHeight="1" x14ac:dyDescent="0.25">
      <c r="A37" s="151"/>
      <c r="B37" s="152" t="s">
        <v>2</v>
      </c>
      <c r="C37" s="218"/>
      <c r="D37" s="155">
        <v>22.706274745924425</v>
      </c>
      <c r="E37" s="154" t="s">
        <v>501</v>
      </c>
      <c r="F37" s="155">
        <v>5.0165051441566888</v>
      </c>
      <c r="G37" s="154" t="s">
        <v>501</v>
      </c>
      <c r="H37" s="155">
        <v>5.9445163730925588</v>
      </c>
      <c r="I37" s="154" t="s">
        <v>501</v>
      </c>
      <c r="J37" s="155">
        <v>11.745253228675177</v>
      </c>
      <c r="K37" s="154" t="s">
        <v>501</v>
      </c>
      <c r="L37" s="205"/>
    </row>
    <row r="38" spans="1:12" s="142" customFormat="1" ht="12.75" customHeight="1" x14ac:dyDescent="0.25">
      <c r="A38" s="151"/>
      <c r="B38" s="152" t="s">
        <v>3</v>
      </c>
      <c r="C38" s="218"/>
      <c r="D38" s="155">
        <v>22.398621651941422</v>
      </c>
      <c r="E38" s="154" t="s">
        <v>501</v>
      </c>
      <c r="F38" s="155">
        <v>4.7616724662681928</v>
      </c>
      <c r="G38" s="154" t="s">
        <v>501</v>
      </c>
      <c r="H38" s="155">
        <v>5.9711621100380663</v>
      </c>
      <c r="I38" s="154" t="s">
        <v>501</v>
      </c>
      <c r="J38" s="155">
        <v>11.665787075635166</v>
      </c>
      <c r="K38" s="154" t="s">
        <v>501</v>
      </c>
      <c r="L38" s="205"/>
    </row>
    <row r="39" spans="1:12" s="142" customFormat="1" ht="12.75" customHeight="1" x14ac:dyDescent="0.25">
      <c r="A39" s="151"/>
      <c r="B39" s="152" t="s">
        <v>4</v>
      </c>
      <c r="C39" s="218"/>
      <c r="D39" s="155">
        <v>21.958139429482735</v>
      </c>
      <c r="E39" s="154" t="s">
        <v>501</v>
      </c>
      <c r="F39" s="155">
        <v>4.5023668574103404</v>
      </c>
      <c r="G39" s="154" t="s">
        <v>501</v>
      </c>
      <c r="H39" s="155">
        <v>5.9060784807356681</v>
      </c>
      <c r="I39" s="154" t="s">
        <v>501</v>
      </c>
      <c r="J39" s="155">
        <v>11.549694091336725</v>
      </c>
      <c r="K39" s="154" t="s">
        <v>501</v>
      </c>
      <c r="L39" s="205"/>
    </row>
    <row r="40" spans="1:12" s="142" customFormat="1" ht="12.75" customHeight="1" x14ac:dyDescent="0.25">
      <c r="A40" s="151"/>
      <c r="B40" s="152"/>
      <c r="C40" s="218"/>
      <c r="D40" s="155"/>
      <c r="E40" s="154"/>
      <c r="F40" s="155"/>
      <c r="G40" s="154"/>
      <c r="H40" s="155"/>
      <c r="I40" s="154"/>
      <c r="J40" s="155"/>
      <c r="K40" s="154"/>
      <c r="L40" s="205"/>
    </row>
    <row r="41" spans="1:12" s="142" customFormat="1" ht="12.75" customHeight="1" x14ac:dyDescent="0.25">
      <c r="A41" s="151">
        <v>2015</v>
      </c>
      <c r="B41" s="152" t="s">
        <v>1</v>
      </c>
      <c r="C41" s="218"/>
      <c r="D41" s="155">
        <v>20.859029031641921</v>
      </c>
      <c r="E41" s="154" t="s">
        <v>501</v>
      </c>
      <c r="F41" s="155">
        <v>4.210626243373965</v>
      </c>
      <c r="G41" s="154" t="s">
        <v>501</v>
      </c>
      <c r="H41" s="155">
        <v>5.8190907680611881</v>
      </c>
      <c r="I41" s="154" t="s">
        <v>501</v>
      </c>
      <c r="J41" s="155">
        <v>10.829312020206766</v>
      </c>
      <c r="K41" s="154" t="s">
        <v>501</v>
      </c>
      <c r="L41" s="205"/>
    </row>
    <row r="42" spans="1:12" s="142" customFormat="1" ht="12.75" customHeight="1" x14ac:dyDescent="0.25">
      <c r="A42" s="151"/>
      <c r="B42" s="152" t="s">
        <v>2</v>
      </c>
      <c r="C42" s="218"/>
      <c r="D42" s="155">
        <v>18.983328227403497</v>
      </c>
      <c r="E42" s="154" t="s">
        <v>501</v>
      </c>
      <c r="F42" s="155">
        <v>3.8710098348174133</v>
      </c>
      <c r="G42" s="154" t="s">
        <v>501</v>
      </c>
      <c r="H42" s="155">
        <v>5.5478304656780981</v>
      </c>
      <c r="I42" s="154" t="s">
        <v>501</v>
      </c>
      <c r="J42" s="155">
        <v>9.564487926907983</v>
      </c>
      <c r="K42" s="154" t="s">
        <v>501</v>
      </c>
      <c r="L42" s="205"/>
    </row>
    <row r="43" spans="1:12" s="142" customFormat="1" ht="12.75" customHeight="1" x14ac:dyDescent="0.25">
      <c r="A43" s="151"/>
      <c r="B43" s="152" t="s">
        <v>3</v>
      </c>
      <c r="C43" s="218"/>
      <c r="D43" s="155">
        <v>18.082262310642399</v>
      </c>
      <c r="E43" s="154" t="s">
        <v>501</v>
      </c>
      <c r="F43" s="155">
        <v>3.6403742303389572</v>
      </c>
      <c r="G43" s="154" t="s">
        <v>501</v>
      </c>
      <c r="H43" s="155">
        <v>5.2766407654710781</v>
      </c>
      <c r="I43" s="154" t="s">
        <v>501</v>
      </c>
      <c r="J43" s="155">
        <v>9.1652473148323637</v>
      </c>
      <c r="K43" s="154" t="s">
        <v>501</v>
      </c>
      <c r="L43" s="205"/>
    </row>
    <row r="44" spans="1:12" s="142" customFormat="1" ht="12.75" customHeight="1" x14ac:dyDescent="0.25">
      <c r="A44" s="151"/>
      <c r="B44" s="152" t="s">
        <v>4</v>
      </c>
      <c r="C44" s="218"/>
      <c r="D44" s="155">
        <v>17.640321170388493</v>
      </c>
      <c r="E44" s="154" t="s">
        <v>501</v>
      </c>
      <c r="F44" s="155">
        <v>3.4763306420676288</v>
      </c>
      <c r="G44" s="154" t="s">
        <v>501</v>
      </c>
      <c r="H44" s="155">
        <v>5.3038998593868687</v>
      </c>
      <c r="I44" s="154" t="s">
        <v>501</v>
      </c>
      <c r="J44" s="155">
        <v>8.860090668933994</v>
      </c>
      <c r="K44" s="154" t="s">
        <v>501</v>
      </c>
      <c r="L44" s="205"/>
    </row>
    <row r="45" spans="1:12" s="142" customFormat="1" ht="12.75" customHeight="1" x14ac:dyDescent="0.25">
      <c r="A45" s="151"/>
      <c r="B45" s="152"/>
      <c r="C45" s="218"/>
      <c r="D45" s="155"/>
      <c r="E45" s="154"/>
      <c r="F45" s="155"/>
      <c r="G45" s="154"/>
      <c r="H45" s="155"/>
      <c r="I45" s="154"/>
      <c r="J45" s="155"/>
      <c r="K45" s="154"/>
      <c r="L45" s="205"/>
    </row>
    <row r="46" spans="1:12" s="142" customFormat="1" ht="12.75" customHeight="1" x14ac:dyDescent="0.25">
      <c r="A46" s="151">
        <v>2016</v>
      </c>
      <c r="B46" s="152" t="s">
        <v>1</v>
      </c>
      <c r="C46" s="218"/>
      <c r="D46" s="155">
        <v>17.589072676124559</v>
      </c>
      <c r="E46" s="154" t="s">
        <v>501</v>
      </c>
      <c r="F46" s="155">
        <v>3.3312422031081428</v>
      </c>
      <c r="G46" s="154" t="s">
        <v>501</v>
      </c>
      <c r="H46" s="155">
        <v>5.4040735108781144</v>
      </c>
      <c r="I46" s="154" t="s">
        <v>501</v>
      </c>
      <c r="J46" s="155">
        <v>8.8537569621383003</v>
      </c>
      <c r="K46" s="154" t="s">
        <v>501</v>
      </c>
      <c r="L46" s="205"/>
    </row>
    <row r="47" spans="1:12" s="142" customFormat="1" ht="12.75" customHeight="1" x14ac:dyDescent="0.25">
      <c r="A47" s="151"/>
      <c r="B47" s="152" t="s">
        <v>2</v>
      </c>
      <c r="C47" s="218"/>
      <c r="D47" s="155">
        <v>18.453633811363552</v>
      </c>
      <c r="E47" s="154" t="s">
        <v>501</v>
      </c>
      <c r="F47" s="155">
        <v>3.2660718782024776</v>
      </c>
      <c r="G47" s="154" t="s">
        <v>501</v>
      </c>
      <c r="H47" s="155">
        <v>5.5912092025977262</v>
      </c>
      <c r="I47" s="154" t="s">
        <v>501</v>
      </c>
      <c r="J47" s="155">
        <v>9.596352730563348</v>
      </c>
      <c r="K47" s="154" t="s">
        <v>501</v>
      </c>
      <c r="L47" s="205"/>
    </row>
    <row r="48" spans="1:12" s="142" customFormat="1" ht="12.75" customHeight="1" x14ac:dyDescent="0.25">
      <c r="A48" s="151"/>
      <c r="B48" s="152" t="s">
        <v>3</v>
      </c>
      <c r="C48" s="218"/>
      <c r="D48" s="155">
        <v>19.362717987744933</v>
      </c>
      <c r="E48" s="154" t="s">
        <v>501</v>
      </c>
      <c r="F48" s="155">
        <v>3.2678864941374108</v>
      </c>
      <c r="G48" s="154" t="s">
        <v>501</v>
      </c>
      <c r="H48" s="155">
        <v>5.7670893472922664</v>
      </c>
      <c r="I48" s="154" t="s">
        <v>501</v>
      </c>
      <c r="J48" s="155">
        <v>10.327742146315259</v>
      </c>
      <c r="K48" s="154" t="s">
        <v>501</v>
      </c>
      <c r="L48" s="205"/>
    </row>
    <row r="49" spans="1:12" s="142" customFormat="1" ht="12.75" customHeight="1" x14ac:dyDescent="0.25">
      <c r="A49" s="151"/>
      <c r="B49" s="152" t="s">
        <v>4</v>
      </c>
      <c r="C49" s="218"/>
      <c r="D49" s="155">
        <v>19.721929431531052</v>
      </c>
      <c r="E49" s="154" t="s">
        <v>501</v>
      </c>
      <c r="F49" s="155">
        <v>3.272739075503857</v>
      </c>
      <c r="G49" s="317" t="s">
        <v>501</v>
      </c>
      <c r="H49" s="155">
        <v>5.6987950559624458</v>
      </c>
      <c r="I49" s="318" t="s">
        <v>501</v>
      </c>
      <c r="J49" s="155">
        <v>10.750395300064749</v>
      </c>
      <c r="K49" s="154" t="s">
        <v>501</v>
      </c>
      <c r="L49" s="205"/>
    </row>
    <row r="50" spans="1:12" s="142" customFormat="1" ht="12.75" customHeight="1" x14ac:dyDescent="0.25">
      <c r="A50" s="151"/>
      <c r="B50" s="152"/>
      <c r="C50" s="218"/>
      <c r="D50" s="155"/>
      <c r="E50" s="154"/>
      <c r="F50" s="155"/>
      <c r="G50" s="317"/>
      <c r="H50" s="155"/>
      <c r="I50" s="318"/>
      <c r="J50" s="155"/>
      <c r="K50" s="154"/>
      <c r="L50" s="205"/>
    </row>
    <row r="51" spans="1:12" s="142" customFormat="1" ht="12.75" customHeight="1" x14ac:dyDescent="0.25">
      <c r="A51" s="151">
        <v>2017</v>
      </c>
      <c r="B51" s="152" t="s">
        <v>1</v>
      </c>
      <c r="C51" s="218"/>
      <c r="D51" s="155">
        <v>20.587188246985029</v>
      </c>
      <c r="E51" s="154" t="s">
        <v>501</v>
      </c>
      <c r="F51" s="155">
        <v>3.3334864148811771</v>
      </c>
      <c r="G51" s="317" t="s">
        <v>501</v>
      </c>
      <c r="H51" s="155">
        <v>5.5571858921348332</v>
      </c>
      <c r="I51" s="318" t="s">
        <v>501</v>
      </c>
      <c r="J51" s="155">
        <v>11.696515939969016</v>
      </c>
      <c r="K51" s="154" t="s">
        <v>501</v>
      </c>
      <c r="L51" s="205"/>
    </row>
    <row r="52" spans="1:12" s="142" customFormat="1" ht="12.75" customHeight="1" x14ac:dyDescent="0.25">
      <c r="A52" s="151"/>
      <c r="B52" s="152" t="s">
        <v>2</v>
      </c>
      <c r="C52" s="218" t="s">
        <v>196</v>
      </c>
      <c r="D52" s="155">
        <v>20.461351692813881</v>
      </c>
      <c r="E52" s="154" t="s">
        <v>501</v>
      </c>
      <c r="F52" s="155">
        <v>3.3300709546768346</v>
      </c>
      <c r="G52" s="317" t="s">
        <v>501</v>
      </c>
      <c r="H52" s="155">
        <v>5.4178401383020836</v>
      </c>
      <c r="I52" s="318" t="s">
        <v>501</v>
      </c>
      <c r="J52" s="155">
        <v>11.713440599834964</v>
      </c>
      <c r="K52" s="154" t="s">
        <v>501</v>
      </c>
      <c r="L52" s="205"/>
    </row>
    <row r="53" spans="1:12" s="142" customFormat="1" ht="12.75" customHeight="1" x14ac:dyDescent="0.25">
      <c r="A53" s="151"/>
      <c r="B53" s="152" t="s">
        <v>3</v>
      </c>
      <c r="C53" s="218" t="s">
        <v>196</v>
      </c>
      <c r="D53" s="155">
        <v>20.970470335466736</v>
      </c>
      <c r="E53" s="154" t="s">
        <v>279</v>
      </c>
      <c r="F53" s="155">
        <v>3.2810233608560435</v>
      </c>
      <c r="G53" s="317" t="s">
        <v>501</v>
      </c>
      <c r="H53" s="155">
        <v>5.3610022370102515</v>
      </c>
      <c r="I53" s="318" t="s">
        <v>279</v>
      </c>
      <c r="J53" s="155">
        <v>12.328444737600442</v>
      </c>
      <c r="K53" s="154" t="s">
        <v>501</v>
      </c>
      <c r="L53" s="205"/>
    </row>
    <row r="54" spans="1:12" s="142" customFormat="1" ht="12.75" customHeight="1" x14ac:dyDescent="0.25">
      <c r="A54" s="152"/>
      <c r="B54" s="152" t="s">
        <v>4</v>
      </c>
      <c r="C54" s="218" t="s">
        <v>196</v>
      </c>
      <c r="D54" s="155">
        <v>21.418745059670883</v>
      </c>
      <c r="E54" s="154" t="s">
        <v>501</v>
      </c>
      <c r="F54" s="155">
        <v>3.2565578550541989</v>
      </c>
      <c r="G54" s="317" t="s">
        <v>501</v>
      </c>
      <c r="H54" s="155">
        <v>5.3751989950748724</v>
      </c>
      <c r="I54" s="318" t="s">
        <v>501</v>
      </c>
      <c r="J54" s="155">
        <v>12.786988209541814</v>
      </c>
      <c r="K54" s="154" t="s">
        <v>501</v>
      </c>
      <c r="L54" s="205"/>
    </row>
    <row r="55" spans="1:12" s="142" customFormat="1" ht="12.75" customHeight="1" x14ac:dyDescent="0.25">
      <c r="A55" s="151"/>
      <c r="B55" s="152"/>
      <c r="C55" s="218"/>
      <c r="D55" s="155"/>
      <c r="E55" s="154"/>
      <c r="F55" s="155"/>
      <c r="G55" s="154"/>
      <c r="H55" s="155"/>
      <c r="I55" s="154"/>
      <c r="J55" s="155"/>
      <c r="K55" s="154"/>
      <c r="L55" s="205"/>
    </row>
    <row r="56" spans="1:12" s="142" customFormat="1" ht="12.75" customHeight="1" thickBot="1" x14ac:dyDescent="0.3">
      <c r="A56" s="152"/>
      <c r="B56" s="156"/>
      <c r="C56" s="219"/>
      <c r="D56" s="155"/>
      <c r="E56" s="154"/>
      <c r="F56" s="155"/>
      <c r="G56" s="154"/>
      <c r="H56" s="155"/>
      <c r="I56" s="154"/>
      <c r="J56" s="155"/>
      <c r="K56" s="154"/>
      <c r="L56" s="205"/>
    </row>
    <row r="57" spans="1:12" s="142" customFormat="1" ht="12.75" customHeight="1" x14ac:dyDescent="0.2">
      <c r="A57" s="159" t="s">
        <v>504</v>
      </c>
      <c r="B57" s="159"/>
      <c r="C57" s="220"/>
      <c r="D57" s="200"/>
      <c r="E57" s="220"/>
      <c r="F57" s="200"/>
      <c r="G57" s="220"/>
      <c r="H57" s="200"/>
      <c r="I57" s="220"/>
      <c r="J57" s="200"/>
      <c r="K57" s="220"/>
      <c r="L57" s="206"/>
    </row>
    <row r="58" spans="1:12" s="142" customFormat="1" ht="12.75" customHeight="1" x14ac:dyDescent="0.2">
      <c r="A58" s="160"/>
      <c r="B58" s="160"/>
      <c r="C58" s="161"/>
      <c r="D58" s="201"/>
      <c r="E58" s="161"/>
      <c r="F58" s="201"/>
      <c r="G58" s="161"/>
      <c r="H58" s="201"/>
      <c r="I58" s="161"/>
      <c r="J58" s="201"/>
      <c r="K58" s="161"/>
      <c r="L58" s="207"/>
    </row>
    <row r="59" spans="1:12" s="142" customFormat="1" ht="12.75" customHeight="1" x14ac:dyDescent="0.2">
      <c r="A59" s="162">
        <v>2017</v>
      </c>
      <c r="B59" s="163" t="s">
        <v>3</v>
      </c>
      <c r="C59" s="221"/>
      <c r="D59" s="202">
        <v>0.44827472420414693</v>
      </c>
      <c r="E59" s="161"/>
      <c r="F59" s="202">
        <v>-2.4465505801844589E-2</v>
      </c>
      <c r="G59" s="161"/>
      <c r="H59" s="202">
        <v>1.4196758064620951E-2</v>
      </c>
      <c r="I59" s="161"/>
      <c r="J59" s="202">
        <v>0.45854347194137191</v>
      </c>
      <c r="K59" s="161"/>
      <c r="L59" s="208"/>
    </row>
    <row r="60" spans="1:12" s="142" customFormat="1" ht="12.75" customHeight="1" x14ac:dyDescent="0.2">
      <c r="A60" s="165"/>
      <c r="B60" s="166"/>
      <c r="C60" s="222"/>
      <c r="D60" s="203"/>
      <c r="E60" s="280"/>
      <c r="F60" s="203"/>
      <c r="G60" s="280"/>
      <c r="H60" s="203"/>
      <c r="I60" s="280"/>
      <c r="J60" s="203"/>
      <c r="K60" s="280"/>
      <c r="L60" s="209"/>
    </row>
    <row r="61" spans="1:12" s="142" customFormat="1" ht="12.75" customHeight="1" thickBot="1" x14ac:dyDescent="0.25">
      <c r="A61" s="157">
        <v>2016</v>
      </c>
      <c r="B61" s="158" t="s">
        <v>4</v>
      </c>
      <c r="C61" s="223"/>
      <c r="D61" s="204">
        <v>1.6968156281398308</v>
      </c>
      <c r="E61" s="281"/>
      <c r="F61" s="204">
        <v>-1.6181220449658085E-2</v>
      </c>
      <c r="G61" s="281"/>
      <c r="H61" s="204">
        <v>-0.32359606088757342</v>
      </c>
      <c r="I61" s="281"/>
      <c r="J61" s="204">
        <v>2.0365929094770649</v>
      </c>
      <c r="K61" s="281"/>
      <c r="L61" s="210"/>
    </row>
    <row r="62" spans="1:12" s="169" customFormat="1" ht="12.75" customHeight="1" x14ac:dyDescent="0.2">
      <c r="A62" s="343"/>
      <c r="B62" s="343"/>
      <c r="C62" s="343"/>
      <c r="D62" s="343"/>
      <c r="E62" s="343"/>
      <c r="F62" s="343"/>
      <c r="G62" s="343"/>
      <c r="H62" s="343"/>
      <c r="I62" s="343"/>
      <c r="J62" s="343"/>
      <c r="K62" s="343"/>
    </row>
    <row r="63" spans="1:12" s="169" customFormat="1" ht="46.5" customHeight="1" x14ac:dyDescent="0.2">
      <c r="A63" s="338" t="s">
        <v>242</v>
      </c>
      <c r="B63" s="338"/>
      <c r="C63" s="338"/>
      <c r="D63" s="338"/>
      <c r="E63" s="338"/>
      <c r="F63" s="338"/>
      <c r="G63" s="338"/>
      <c r="H63" s="338"/>
      <c r="I63" s="338"/>
      <c r="J63" s="338"/>
      <c r="K63" s="338"/>
    </row>
    <row r="64" spans="1:12" s="170" customFormat="1" ht="47.25" customHeight="1" x14ac:dyDescent="0.3">
      <c r="A64" s="344"/>
      <c r="B64" s="344"/>
      <c r="C64" s="344"/>
      <c r="D64" s="344"/>
      <c r="E64" s="344"/>
      <c r="F64" s="344"/>
      <c r="G64" s="344"/>
      <c r="H64" s="344"/>
      <c r="I64" s="344"/>
      <c r="J64" s="344"/>
      <c r="K64" s="344"/>
    </row>
    <row r="65" spans="1:11" s="171" customFormat="1" ht="15" x14ac:dyDescent="0.3">
      <c r="A65" s="344"/>
      <c r="B65" s="344"/>
      <c r="C65" s="344"/>
      <c r="D65" s="344"/>
      <c r="E65" s="344"/>
      <c r="F65" s="344"/>
      <c r="G65" s="344"/>
      <c r="H65" s="344"/>
      <c r="I65" s="344"/>
      <c r="J65" s="344"/>
      <c r="K65" s="344"/>
    </row>
    <row r="66" spans="1:11" s="171" customFormat="1" ht="27.75" customHeight="1" x14ac:dyDescent="0.3">
      <c r="A66" s="344"/>
      <c r="B66" s="344"/>
      <c r="C66" s="344"/>
      <c r="D66" s="344"/>
      <c r="E66" s="344"/>
      <c r="F66" s="344"/>
      <c r="G66" s="344"/>
      <c r="H66" s="344"/>
      <c r="I66" s="344"/>
      <c r="J66" s="344"/>
      <c r="K66" s="344"/>
    </row>
    <row r="67" spans="1:11" ht="12.75" customHeight="1" x14ac:dyDescent="0.3">
      <c r="A67" s="344"/>
      <c r="B67" s="344"/>
      <c r="C67" s="344"/>
      <c r="D67" s="344"/>
      <c r="E67" s="344"/>
      <c r="F67" s="344"/>
      <c r="G67" s="344"/>
      <c r="H67" s="344"/>
      <c r="I67" s="344"/>
      <c r="J67" s="344"/>
      <c r="K67" s="344"/>
    </row>
    <row r="68" spans="1:11" ht="12.75" customHeight="1" x14ac:dyDescent="0.3">
      <c r="A68" s="344"/>
      <c r="B68" s="344"/>
      <c r="C68" s="344"/>
      <c r="D68" s="344"/>
      <c r="E68" s="344"/>
      <c r="F68" s="344"/>
      <c r="G68" s="344"/>
      <c r="H68" s="344"/>
      <c r="I68" s="344"/>
      <c r="J68" s="344"/>
      <c r="K68" s="344"/>
    </row>
    <row r="69" spans="1:11" ht="12.75" customHeight="1" x14ac:dyDescent="0.3">
      <c r="A69" s="344"/>
      <c r="B69" s="344"/>
      <c r="C69" s="344"/>
      <c r="D69" s="344"/>
      <c r="E69" s="344"/>
      <c r="F69" s="344"/>
      <c r="G69" s="344"/>
      <c r="H69" s="344"/>
      <c r="I69" s="344"/>
      <c r="J69" s="344"/>
      <c r="K69" s="344"/>
    </row>
    <row r="70" spans="1:11" ht="12.75" customHeight="1" x14ac:dyDescent="0.3">
      <c r="A70" s="344"/>
      <c r="B70" s="344"/>
      <c r="C70" s="344"/>
      <c r="D70" s="344"/>
      <c r="E70" s="344"/>
      <c r="F70" s="344"/>
      <c r="G70" s="344"/>
      <c r="H70" s="344"/>
      <c r="I70" s="344"/>
      <c r="J70" s="344"/>
      <c r="K70" s="344"/>
    </row>
    <row r="71" spans="1:11" ht="12.75" customHeight="1" x14ac:dyDescent="0.3">
      <c r="A71" s="344"/>
      <c r="B71" s="344"/>
      <c r="C71" s="344"/>
      <c r="D71" s="344"/>
      <c r="E71" s="344"/>
      <c r="F71" s="344"/>
      <c r="G71" s="344"/>
      <c r="H71" s="344"/>
      <c r="I71" s="344"/>
      <c r="J71" s="344"/>
      <c r="K71" s="344"/>
    </row>
    <row r="72" spans="1:11" ht="12.75" customHeight="1" x14ac:dyDescent="0.3">
      <c r="A72" s="344"/>
      <c r="B72" s="344"/>
      <c r="C72" s="344"/>
      <c r="D72" s="344"/>
      <c r="E72" s="344"/>
      <c r="F72" s="344"/>
      <c r="G72" s="344"/>
      <c r="H72" s="344"/>
      <c r="I72" s="344"/>
      <c r="J72" s="344"/>
      <c r="K72" s="344"/>
    </row>
  </sheetData>
  <dataConsolidate/>
  <mergeCells count="16">
    <mergeCell ref="A69:K69"/>
    <mergeCell ref="A70:K70"/>
    <mergeCell ref="A71:K71"/>
    <mergeCell ref="A72:K72"/>
    <mergeCell ref="A63:K63"/>
    <mergeCell ref="A64:K64"/>
    <mergeCell ref="A65:K65"/>
    <mergeCell ref="A66:K66"/>
    <mergeCell ref="A67:K67"/>
    <mergeCell ref="A68:K68"/>
    <mergeCell ref="A62:K62"/>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86"/>
  <sheetViews>
    <sheetView showGridLines="0" zoomScaleNormal="100" workbookViewId="0">
      <pane xSplit="3" ySplit="6" topLeftCell="D48"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3.28515625" style="173" customWidth="1"/>
    <col min="9" max="9" width="5.5703125" style="174" customWidth="1"/>
    <col min="10" max="16384" width="8.85546875" style="134"/>
  </cols>
  <sheetData>
    <row r="1" spans="1:13" ht="12.75" customHeight="1" x14ac:dyDescent="0.3">
      <c r="B1" s="132"/>
      <c r="C1" s="133"/>
      <c r="D1" s="132"/>
      <c r="E1" s="133"/>
      <c r="F1" s="132"/>
      <c r="G1" s="133"/>
      <c r="H1" s="132"/>
      <c r="I1" s="133"/>
    </row>
    <row r="2" spans="1:13" s="136" customFormat="1" ht="31.5" customHeight="1" x14ac:dyDescent="0.3">
      <c r="A2" s="192" t="s">
        <v>172</v>
      </c>
      <c r="B2" s="193"/>
      <c r="C2" s="193"/>
      <c r="D2" s="194" t="s">
        <v>244</v>
      </c>
      <c r="E2" s="133"/>
      <c r="F2" s="132"/>
      <c r="G2" s="133"/>
      <c r="H2" s="132"/>
      <c r="I2" s="133"/>
      <c r="J2" s="132"/>
      <c r="K2" s="132"/>
    </row>
    <row r="3" spans="1:13" s="136" customFormat="1" ht="19.5" x14ac:dyDescent="0.3">
      <c r="A3" s="195" t="s">
        <v>153</v>
      </c>
      <c r="B3" s="196"/>
      <c r="C3" s="213"/>
      <c r="D3" s="197" t="s">
        <v>245</v>
      </c>
      <c r="E3" s="282"/>
      <c r="F3" s="187"/>
      <c r="G3" s="282"/>
      <c r="H3" s="187"/>
      <c r="I3" s="282"/>
      <c r="J3" s="132"/>
      <c r="K3" s="132"/>
    </row>
    <row r="4" spans="1:13" ht="10.5" customHeight="1" thickBot="1" x14ac:dyDescent="0.35">
      <c r="A4" s="137"/>
      <c r="B4" s="137"/>
      <c r="C4" s="214"/>
      <c r="D4" s="137"/>
      <c r="E4" s="214"/>
      <c r="F4" s="137"/>
      <c r="G4" s="214"/>
      <c r="H4" s="339"/>
      <c r="I4" s="339"/>
    </row>
    <row r="5" spans="1:13" ht="30.75" customHeight="1" thickBot="1" x14ac:dyDescent="0.35">
      <c r="A5" s="232"/>
      <c r="B5" s="232"/>
      <c r="C5" s="233"/>
      <c r="D5" s="348" t="s">
        <v>175</v>
      </c>
      <c r="E5" s="348"/>
      <c r="F5" s="347" t="s">
        <v>173</v>
      </c>
      <c r="G5" s="347"/>
      <c r="H5" s="347"/>
      <c r="I5" s="347"/>
    </row>
    <row r="6" spans="1:13" s="141" customFormat="1" ht="19.5" customHeight="1" thickBot="1" x14ac:dyDescent="0.35">
      <c r="A6" s="228"/>
      <c r="B6" s="229" t="s">
        <v>140</v>
      </c>
      <c r="C6" s="234"/>
      <c r="D6" s="349"/>
      <c r="E6" s="349"/>
      <c r="F6" s="347" t="s">
        <v>486</v>
      </c>
      <c r="G6" s="347"/>
      <c r="H6" s="346" t="s">
        <v>487</v>
      </c>
      <c r="I6" s="346"/>
    </row>
    <row r="7" spans="1:13" s="146" customFormat="1" ht="12.75" customHeight="1" x14ac:dyDescent="0.25">
      <c r="A7" s="143">
        <v>2008</v>
      </c>
      <c r="B7" s="143"/>
      <c r="C7" s="212"/>
      <c r="D7" s="144">
        <v>67428</v>
      </c>
      <c r="E7" s="145" t="s">
        <v>501</v>
      </c>
      <c r="F7" s="144">
        <v>10828</v>
      </c>
      <c r="G7" s="145" t="s">
        <v>501</v>
      </c>
      <c r="H7" s="144">
        <v>56600</v>
      </c>
      <c r="I7" s="145" t="s">
        <v>501</v>
      </c>
    </row>
    <row r="8" spans="1:13" s="146" customFormat="1" ht="12.75" customHeight="1" x14ac:dyDescent="0.25">
      <c r="A8" s="143">
        <v>2009</v>
      </c>
      <c r="B8" s="143"/>
      <c r="C8" s="212"/>
      <c r="D8" s="144">
        <v>74671</v>
      </c>
      <c r="E8" s="145" t="s">
        <v>501</v>
      </c>
      <c r="F8" s="144">
        <v>10866.000000000009</v>
      </c>
      <c r="G8" s="145" t="s">
        <v>501</v>
      </c>
      <c r="H8" s="144">
        <v>63803.999999999993</v>
      </c>
      <c r="I8" s="145" t="s">
        <v>501</v>
      </c>
    </row>
    <row r="9" spans="1:13" s="146" customFormat="1" ht="12.75" customHeight="1" x14ac:dyDescent="0.25">
      <c r="A9" s="143">
        <v>2010</v>
      </c>
      <c r="B9" s="143"/>
      <c r="C9" s="212"/>
      <c r="D9" s="144">
        <v>59173</v>
      </c>
      <c r="E9" s="145" t="s">
        <v>501</v>
      </c>
      <c r="F9" s="144">
        <v>8542</v>
      </c>
      <c r="G9" s="145" t="s">
        <v>501</v>
      </c>
      <c r="H9" s="144">
        <v>50631</v>
      </c>
      <c r="I9" s="145" t="s">
        <v>501</v>
      </c>
    </row>
    <row r="10" spans="1:13" s="146" customFormat="1" ht="12.75" customHeight="1" x14ac:dyDescent="0.25">
      <c r="A10" s="143">
        <v>2011</v>
      </c>
      <c r="B10" s="143"/>
      <c r="C10" s="212"/>
      <c r="D10" s="144">
        <v>41875.999999999942</v>
      </c>
      <c r="E10" s="145" t="s">
        <v>501</v>
      </c>
      <c r="F10" s="144">
        <v>7803.0000000000091</v>
      </c>
      <c r="G10" s="145" t="s">
        <v>501</v>
      </c>
      <c r="H10" s="144">
        <v>34073</v>
      </c>
      <c r="I10" s="145" t="s">
        <v>501</v>
      </c>
    </row>
    <row r="11" spans="1:13" s="146" customFormat="1" ht="12.75" customHeight="1" x14ac:dyDescent="0.25">
      <c r="A11" s="143">
        <v>2012</v>
      </c>
      <c r="B11" s="143"/>
      <c r="C11" s="212"/>
      <c r="D11" s="144">
        <v>31787.000000000011</v>
      </c>
      <c r="E11" s="145" t="s">
        <v>501</v>
      </c>
      <c r="F11" s="144">
        <v>6595</v>
      </c>
      <c r="G11" s="145" t="s">
        <v>501</v>
      </c>
      <c r="H11" s="144">
        <v>25192</v>
      </c>
      <c r="I11" s="145" t="s">
        <v>501</v>
      </c>
    </row>
    <row r="12" spans="1:13" s="146" customFormat="1" ht="12.75" customHeight="1" x14ac:dyDescent="0.25">
      <c r="A12" s="143">
        <v>2013</v>
      </c>
      <c r="B12" s="143"/>
      <c r="C12" s="212"/>
      <c r="D12" s="144">
        <v>24570.999999999993</v>
      </c>
      <c r="E12" s="145" t="s">
        <v>501</v>
      </c>
      <c r="F12" s="144">
        <v>5377</v>
      </c>
      <c r="G12" s="145" t="s">
        <v>501</v>
      </c>
      <c r="H12" s="144">
        <v>19193.999999999989</v>
      </c>
      <c r="I12" s="145" t="s">
        <v>501</v>
      </c>
    </row>
    <row r="13" spans="1:13" s="146" customFormat="1" ht="12.75" customHeight="1" x14ac:dyDescent="0.25">
      <c r="A13" s="143">
        <v>2014</v>
      </c>
      <c r="B13" s="143"/>
      <c r="C13" s="212"/>
      <c r="D13" s="144">
        <v>20345</v>
      </c>
      <c r="E13" s="145" t="s">
        <v>501</v>
      </c>
      <c r="F13" s="144">
        <v>4782</v>
      </c>
      <c r="G13" s="145" t="s">
        <v>501</v>
      </c>
      <c r="H13" s="144">
        <v>15563</v>
      </c>
      <c r="I13" s="145" t="s">
        <v>501</v>
      </c>
    </row>
    <row r="14" spans="1:13" s="146" customFormat="1" ht="12.75" customHeight="1" x14ac:dyDescent="0.25">
      <c r="A14" s="143">
        <v>2015</v>
      </c>
      <c r="B14" s="143"/>
      <c r="C14" s="212"/>
      <c r="D14" s="144">
        <v>15844.999999999991</v>
      </c>
      <c r="E14" s="145" t="s">
        <v>501</v>
      </c>
      <c r="F14" s="144">
        <v>4405</v>
      </c>
      <c r="G14" s="145" t="s">
        <v>501</v>
      </c>
      <c r="H14" s="144">
        <v>11440</v>
      </c>
      <c r="I14" s="145" t="s">
        <v>501</v>
      </c>
    </row>
    <row r="15" spans="1:13" s="146" customFormat="1" ht="12.75" customHeight="1" x14ac:dyDescent="0.25">
      <c r="A15" s="143">
        <v>2016</v>
      </c>
      <c r="B15" s="143"/>
      <c r="C15" s="212"/>
      <c r="D15" s="144">
        <v>15044</v>
      </c>
      <c r="E15" s="145" t="s">
        <v>501</v>
      </c>
      <c r="F15" s="144">
        <v>3896.9999999999973</v>
      </c>
      <c r="G15" s="145" t="s">
        <v>501</v>
      </c>
      <c r="H15" s="144">
        <v>11147</v>
      </c>
      <c r="I15" s="145" t="s">
        <v>501</v>
      </c>
      <c r="M15" s="147"/>
    </row>
    <row r="16" spans="1:13" s="146" customFormat="1" ht="12.75" customHeight="1" x14ac:dyDescent="0.25">
      <c r="A16" s="143">
        <v>2017</v>
      </c>
      <c r="B16" s="212" t="s">
        <v>196</v>
      </c>
      <c r="D16" s="144">
        <v>15082</v>
      </c>
      <c r="E16" s="145" t="s">
        <v>501</v>
      </c>
      <c r="F16" s="144">
        <v>3281.9999999999991</v>
      </c>
      <c r="G16" s="145" t="s">
        <v>501</v>
      </c>
      <c r="H16" s="144">
        <v>11799.999999999989</v>
      </c>
      <c r="I16" s="145" t="s">
        <v>501</v>
      </c>
    </row>
    <row r="17" spans="1:9" s="142" customFormat="1" ht="12.75" customHeight="1" x14ac:dyDescent="0.25">
      <c r="A17" s="148"/>
      <c r="B17" s="148"/>
      <c r="C17" s="217"/>
      <c r="D17" s="149"/>
      <c r="E17" s="154"/>
      <c r="F17" s="149"/>
      <c r="G17" s="154"/>
      <c r="H17" s="149"/>
      <c r="I17" s="154"/>
    </row>
    <row r="18" spans="1:9" s="142" customFormat="1" ht="12.75" customHeight="1" x14ac:dyDescent="0.25">
      <c r="A18" s="151">
        <v>2008</v>
      </c>
      <c r="B18" s="152" t="s">
        <v>1</v>
      </c>
      <c r="C18" s="218"/>
      <c r="D18" s="153">
        <v>15482</v>
      </c>
      <c r="E18" s="154" t="s">
        <v>501</v>
      </c>
      <c r="F18" s="153">
        <v>2598.7110853794502</v>
      </c>
      <c r="G18" s="154" t="s">
        <v>501</v>
      </c>
      <c r="H18" s="153">
        <v>12811.0322518756</v>
      </c>
      <c r="I18" s="154" t="s">
        <v>501</v>
      </c>
    </row>
    <row r="19" spans="1:9" s="142" customFormat="1" ht="12.75" customHeight="1" x14ac:dyDescent="0.25">
      <c r="A19" s="151"/>
      <c r="B19" s="152" t="s">
        <v>2</v>
      </c>
      <c r="C19" s="218"/>
      <c r="D19" s="153">
        <v>15536</v>
      </c>
      <c r="E19" s="154" t="s">
        <v>501</v>
      </c>
      <c r="F19" s="153">
        <v>2519.3622772792401</v>
      </c>
      <c r="G19" s="154" t="s">
        <v>501</v>
      </c>
      <c r="H19" s="153">
        <v>13095.535578020101</v>
      </c>
      <c r="I19" s="154" t="s">
        <v>501</v>
      </c>
    </row>
    <row r="20" spans="1:9" s="142" customFormat="1" ht="12.75" customHeight="1" x14ac:dyDescent="0.25">
      <c r="A20" s="151"/>
      <c r="B20" s="152" t="s">
        <v>3</v>
      </c>
      <c r="C20" s="218"/>
      <c r="D20" s="153">
        <v>17474</v>
      </c>
      <c r="E20" s="154" t="s">
        <v>501</v>
      </c>
      <c r="F20" s="153">
        <v>2831.4775834644502</v>
      </c>
      <c r="G20" s="154" t="s">
        <v>501</v>
      </c>
      <c r="H20" s="153">
        <v>14606.911428502201</v>
      </c>
      <c r="I20" s="154" t="s">
        <v>501</v>
      </c>
    </row>
    <row r="21" spans="1:9" s="142" customFormat="1" ht="12.75" customHeight="1" x14ac:dyDescent="0.25">
      <c r="A21" s="151"/>
      <c r="B21" s="152" t="s">
        <v>4</v>
      </c>
      <c r="C21" s="218"/>
      <c r="D21" s="153">
        <v>18936</v>
      </c>
      <c r="E21" s="154" t="s">
        <v>501</v>
      </c>
      <c r="F21" s="153">
        <v>2878.44905387686</v>
      </c>
      <c r="G21" s="154" t="s">
        <v>501</v>
      </c>
      <c r="H21" s="153">
        <v>16086.5207416021</v>
      </c>
      <c r="I21" s="154" t="s">
        <v>501</v>
      </c>
    </row>
    <row r="22" spans="1:9" s="142" customFormat="1" ht="12.75" customHeight="1" x14ac:dyDescent="0.25">
      <c r="A22" s="151"/>
      <c r="B22" s="152"/>
      <c r="C22" s="218"/>
      <c r="D22" s="153"/>
      <c r="E22" s="154"/>
      <c r="F22" s="153"/>
      <c r="G22" s="154"/>
      <c r="H22" s="153"/>
      <c r="I22" s="154"/>
    </row>
    <row r="23" spans="1:9" s="142" customFormat="1" ht="12.75" customHeight="1" x14ac:dyDescent="0.25">
      <c r="A23" s="151">
        <v>2009</v>
      </c>
      <c r="B23" s="152" t="s">
        <v>1</v>
      </c>
      <c r="C23" s="218"/>
      <c r="D23" s="153">
        <v>18958</v>
      </c>
      <c r="E23" s="154" t="s">
        <v>501</v>
      </c>
      <c r="F23" s="153">
        <v>2793.3496876921199</v>
      </c>
      <c r="G23" s="154" t="s">
        <v>501</v>
      </c>
      <c r="H23" s="153">
        <v>16191.5554864266</v>
      </c>
      <c r="I23" s="154" t="s">
        <v>501</v>
      </c>
    </row>
    <row r="24" spans="1:9" s="142" customFormat="1" ht="12.75" customHeight="1" x14ac:dyDescent="0.25">
      <c r="A24" s="151"/>
      <c r="B24" s="152" t="s">
        <v>2</v>
      </c>
      <c r="C24" s="218"/>
      <c r="D24" s="153">
        <v>19121</v>
      </c>
      <c r="E24" s="154" t="s">
        <v>501</v>
      </c>
      <c r="F24" s="153">
        <v>2712.1080442909501</v>
      </c>
      <c r="G24" s="154" t="s">
        <v>501</v>
      </c>
      <c r="H24" s="153">
        <v>16451.212722165099</v>
      </c>
      <c r="I24" s="154" t="s">
        <v>501</v>
      </c>
    </row>
    <row r="25" spans="1:9" s="142" customFormat="1" ht="12.75" customHeight="1" x14ac:dyDescent="0.25">
      <c r="A25" s="151"/>
      <c r="B25" s="152" t="s">
        <v>3</v>
      </c>
      <c r="C25" s="218"/>
      <c r="D25" s="153">
        <v>18659</v>
      </c>
      <c r="E25" s="154" t="s">
        <v>501</v>
      </c>
      <c r="F25" s="153">
        <v>2678.5990072114701</v>
      </c>
      <c r="G25" s="154" t="s">
        <v>501</v>
      </c>
      <c r="H25" s="153">
        <v>15969.595364615599</v>
      </c>
      <c r="I25" s="154" t="s">
        <v>501</v>
      </c>
    </row>
    <row r="26" spans="1:9" s="142" customFormat="1" ht="12.75" customHeight="1" x14ac:dyDescent="0.25">
      <c r="A26" s="151"/>
      <c r="B26" s="152" t="s">
        <v>4</v>
      </c>
      <c r="C26" s="218"/>
      <c r="D26" s="153">
        <v>17933</v>
      </c>
      <c r="E26" s="154" t="s">
        <v>501</v>
      </c>
      <c r="F26" s="153">
        <v>2681.9432608054699</v>
      </c>
      <c r="G26" s="154" t="s">
        <v>501</v>
      </c>
      <c r="H26" s="153">
        <v>15191.6364267927</v>
      </c>
      <c r="I26" s="154" t="s">
        <v>501</v>
      </c>
    </row>
    <row r="27" spans="1:9" s="142" customFormat="1" ht="12.75" customHeight="1" x14ac:dyDescent="0.25">
      <c r="A27" s="151"/>
      <c r="B27" s="152"/>
      <c r="C27" s="218"/>
      <c r="D27" s="153"/>
      <c r="E27" s="154"/>
      <c r="F27" s="153"/>
      <c r="G27" s="154"/>
      <c r="H27" s="153"/>
      <c r="I27" s="154"/>
    </row>
    <row r="28" spans="1:9" s="142" customFormat="1" ht="12.75" customHeight="1" x14ac:dyDescent="0.25">
      <c r="A28" s="151">
        <v>2010</v>
      </c>
      <c r="B28" s="152" t="s">
        <v>1</v>
      </c>
      <c r="C28" s="218"/>
      <c r="D28" s="153">
        <v>17058</v>
      </c>
      <c r="E28" s="154" t="s">
        <v>501</v>
      </c>
      <c r="F28" s="153">
        <v>2495.9280765246799</v>
      </c>
      <c r="G28" s="154" t="s">
        <v>501</v>
      </c>
      <c r="H28" s="153">
        <v>14634.7565180355</v>
      </c>
      <c r="I28" s="154" t="s">
        <v>501</v>
      </c>
    </row>
    <row r="29" spans="1:9" s="142" customFormat="1" ht="12.75" customHeight="1" x14ac:dyDescent="0.25">
      <c r="A29" s="151"/>
      <c r="B29" s="152" t="s">
        <v>2</v>
      </c>
      <c r="C29" s="218"/>
      <c r="D29" s="153">
        <v>15256</v>
      </c>
      <c r="E29" s="154" t="s">
        <v>501</v>
      </c>
      <c r="F29" s="153">
        <v>2198.0424373083201</v>
      </c>
      <c r="G29" s="154" t="s">
        <v>501</v>
      </c>
      <c r="H29" s="153">
        <v>13060.3755264806</v>
      </c>
      <c r="I29" s="154" t="s">
        <v>501</v>
      </c>
    </row>
    <row r="30" spans="1:9" s="142" customFormat="1" ht="12.75" customHeight="1" x14ac:dyDescent="0.25">
      <c r="A30" s="151"/>
      <c r="B30" s="152" t="s">
        <v>3</v>
      </c>
      <c r="C30" s="218"/>
      <c r="D30" s="153">
        <v>14155</v>
      </c>
      <c r="E30" s="154" t="s">
        <v>501</v>
      </c>
      <c r="F30" s="153">
        <v>2011.8516533198899</v>
      </c>
      <c r="G30" s="154" t="s">
        <v>501</v>
      </c>
      <c r="H30" s="153">
        <v>12021.788359337501</v>
      </c>
      <c r="I30" s="154" t="s">
        <v>501</v>
      </c>
    </row>
    <row r="31" spans="1:9" s="142" customFormat="1" ht="12.75" customHeight="1" x14ac:dyDescent="0.25">
      <c r="A31" s="151"/>
      <c r="B31" s="152" t="s">
        <v>4</v>
      </c>
      <c r="C31" s="218"/>
      <c r="D31" s="153">
        <v>12704</v>
      </c>
      <c r="E31" s="154" t="s">
        <v>501</v>
      </c>
      <c r="F31" s="153">
        <v>1836.17783284711</v>
      </c>
      <c r="G31" s="154" t="s">
        <v>501</v>
      </c>
      <c r="H31" s="153">
        <v>10914.079596146399</v>
      </c>
      <c r="I31" s="154" t="s">
        <v>501</v>
      </c>
    </row>
    <row r="32" spans="1:9" s="142" customFormat="1" ht="12.75" customHeight="1" x14ac:dyDescent="0.25">
      <c r="A32" s="151"/>
      <c r="B32" s="152"/>
      <c r="C32" s="218"/>
      <c r="D32" s="153"/>
      <c r="E32" s="154"/>
      <c r="F32" s="153"/>
      <c r="G32" s="154"/>
      <c r="H32" s="153"/>
      <c r="I32" s="154"/>
    </row>
    <row r="33" spans="1:9" s="142" customFormat="1" ht="12.75" customHeight="1" x14ac:dyDescent="0.25">
      <c r="A33" s="151">
        <v>2011</v>
      </c>
      <c r="B33" s="152" t="s">
        <v>1</v>
      </c>
      <c r="C33" s="218"/>
      <c r="D33" s="153">
        <v>11760.3355733227</v>
      </c>
      <c r="E33" s="154" t="s">
        <v>501</v>
      </c>
      <c r="F33" s="153">
        <v>1852.70565620038</v>
      </c>
      <c r="G33" s="154" t="s">
        <v>501</v>
      </c>
      <c r="H33" s="153">
        <v>9827.4824200327203</v>
      </c>
      <c r="I33" s="154" t="s">
        <v>501</v>
      </c>
    </row>
    <row r="34" spans="1:9" s="142" customFormat="1" ht="12.75" customHeight="1" x14ac:dyDescent="0.25">
      <c r="A34" s="151"/>
      <c r="B34" s="152" t="s">
        <v>2</v>
      </c>
      <c r="C34" s="218"/>
      <c r="D34" s="153">
        <v>11304.9546410033</v>
      </c>
      <c r="E34" s="154" t="s">
        <v>501</v>
      </c>
      <c r="F34" s="153">
        <v>1928.6794742474999</v>
      </c>
      <c r="G34" s="154" t="s">
        <v>501</v>
      </c>
      <c r="H34" s="153">
        <v>9369.3977565872701</v>
      </c>
      <c r="I34" s="154" t="s">
        <v>501</v>
      </c>
    </row>
    <row r="35" spans="1:9" s="142" customFormat="1" ht="12.75" customHeight="1" x14ac:dyDescent="0.25">
      <c r="A35" s="151"/>
      <c r="B35" s="152" t="s">
        <v>3</v>
      </c>
      <c r="C35" s="218"/>
      <c r="D35" s="153">
        <v>9689.7918014033694</v>
      </c>
      <c r="E35" s="154" t="s">
        <v>501</v>
      </c>
      <c r="F35" s="153">
        <v>1978.6326599631</v>
      </c>
      <c r="G35" s="154" t="s">
        <v>501</v>
      </c>
      <c r="H35" s="153">
        <v>7732.8287179324698</v>
      </c>
      <c r="I35" s="154" t="s">
        <v>501</v>
      </c>
    </row>
    <row r="36" spans="1:9" s="142" customFormat="1" ht="12.75" customHeight="1" x14ac:dyDescent="0.25">
      <c r="A36" s="151"/>
      <c r="B36" s="152" t="s">
        <v>4</v>
      </c>
      <c r="C36" s="218"/>
      <c r="D36" s="153">
        <v>9120.9179842705707</v>
      </c>
      <c r="E36" s="154" t="s">
        <v>501</v>
      </c>
      <c r="F36" s="153">
        <v>2042.9822095890299</v>
      </c>
      <c r="G36" s="154" t="s">
        <v>501</v>
      </c>
      <c r="H36" s="153">
        <v>7143.2911054475398</v>
      </c>
      <c r="I36" s="154" t="s">
        <v>501</v>
      </c>
    </row>
    <row r="37" spans="1:9" s="142" customFormat="1" ht="12.75" customHeight="1" x14ac:dyDescent="0.25">
      <c r="A37" s="151"/>
      <c r="B37" s="152"/>
      <c r="C37" s="218"/>
      <c r="D37" s="153"/>
      <c r="E37" s="154"/>
      <c r="F37" s="153"/>
      <c r="G37" s="154"/>
      <c r="H37" s="153"/>
      <c r="I37" s="154"/>
    </row>
    <row r="38" spans="1:9" s="142" customFormat="1" ht="12.75" customHeight="1" x14ac:dyDescent="0.25">
      <c r="A38" s="151">
        <v>2012</v>
      </c>
      <c r="B38" s="152" t="s">
        <v>1</v>
      </c>
      <c r="C38" s="218"/>
      <c r="D38" s="153">
        <v>8649.6575586789295</v>
      </c>
      <c r="E38" s="154" t="s">
        <v>501</v>
      </c>
      <c r="F38" s="153">
        <v>1840.4353716205701</v>
      </c>
      <c r="G38" s="154" t="s">
        <v>501</v>
      </c>
      <c r="H38" s="153">
        <v>6788.45018823599</v>
      </c>
      <c r="I38" s="154" t="s">
        <v>501</v>
      </c>
    </row>
    <row r="39" spans="1:9" s="142" customFormat="1" ht="12.75" customHeight="1" x14ac:dyDescent="0.25">
      <c r="A39" s="151"/>
      <c r="B39" s="152" t="s">
        <v>2</v>
      </c>
      <c r="C39" s="218"/>
      <c r="D39" s="153">
        <v>8158.4626641561499</v>
      </c>
      <c r="E39" s="154" t="s">
        <v>501</v>
      </c>
      <c r="F39" s="153">
        <v>1705.2492560897399</v>
      </c>
      <c r="G39" s="154" t="s">
        <v>501</v>
      </c>
      <c r="H39" s="153">
        <v>6455.4213229623701</v>
      </c>
      <c r="I39" s="154" t="s">
        <v>501</v>
      </c>
    </row>
    <row r="40" spans="1:9" s="142" customFormat="1" ht="12.75" customHeight="1" x14ac:dyDescent="0.25">
      <c r="A40" s="151"/>
      <c r="B40" s="152" t="s">
        <v>3</v>
      </c>
      <c r="C40" s="218"/>
      <c r="D40" s="153">
        <v>7680.8327716182102</v>
      </c>
      <c r="E40" s="154" t="s">
        <v>501</v>
      </c>
      <c r="F40" s="153">
        <v>1567.9929362687101</v>
      </c>
      <c r="G40" s="154" t="s">
        <v>501</v>
      </c>
      <c r="H40" s="153">
        <v>6169.1087931784696</v>
      </c>
      <c r="I40" s="154" t="s">
        <v>501</v>
      </c>
    </row>
    <row r="41" spans="1:9" s="142" customFormat="1" ht="12.75" customHeight="1" x14ac:dyDescent="0.25">
      <c r="A41" s="151"/>
      <c r="B41" s="152" t="s">
        <v>4</v>
      </c>
      <c r="C41" s="218"/>
      <c r="D41" s="153">
        <v>7298.0470055467204</v>
      </c>
      <c r="E41" s="154" t="s">
        <v>501</v>
      </c>
      <c r="F41" s="153">
        <v>1481.3224360209799</v>
      </c>
      <c r="G41" s="154" t="s">
        <v>501</v>
      </c>
      <c r="H41" s="153">
        <v>5779.0196956231703</v>
      </c>
      <c r="I41" s="154" t="s">
        <v>501</v>
      </c>
    </row>
    <row r="42" spans="1:9" s="142" customFormat="1" ht="12.75" customHeight="1" x14ac:dyDescent="0.25">
      <c r="A42" s="151"/>
      <c r="B42" s="152"/>
      <c r="C42" s="218"/>
      <c r="D42" s="153"/>
      <c r="E42" s="154"/>
      <c r="F42" s="153"/>
      <c r="G42" s="154"/>
      <c r="H42" s="153"/>
      <c r="I42" s="154"/>
    </row>
    <row r="43" spans="1:9" s="142" customFormat="1" ht="12.75" customHeight="1" x14ac:dyDescent="0.25">
      <c r="A43" s="151">
        <v>2013</v>
      </c>
      <c r="B43" s="152" t="s">
        <v>1</v>
      </c>
      <c r="C43" s="218"/>
      <c r="D43" s="153">
        <v>6615.4911052341704</v>
      </c>
      <c r="E43" s="154" t="s">
        <v>501</v>
      </c>
      <c r="F43" s="153">
        <v>1405.0759916511699</v>
      </c>
      <c r="G43" s="154" t="s">
        <v>501</v>
      </c>
      <c r="H43" s="153">
        <v>5269.00340900437</v>
      </c>
      <c r="I43" s="154" t="s">
        <v>501</v>
      </c>
    </row>
    <row r="44" spans="1:9" s="142" customFormat="1" ht="12.75" customHeight="1" x14ac:dyDescent="0.25">
      <c r="A44" s="151"/>
      <c r="B44" s="152" t="s">
        <v>2</v>
      </c>
      <c r="C44" s="218"/>
      <c r="D44" s="153">
        <v>6224.7030856189003</v>
      </c>
      <c r="E44" s="154" t="s">
        <v>501</v>
      </c>
      <c r="F44" s="153">
        <v>1351.58507711487</v>
      </c>
      <c r="G44" s="154" t="s">
        <v>501</v>
      </c>
      <c r="H44" s="153">
        <v>4884.5245379014996</v>
      </c>
      <c r="I44" s="154" t="s">
        <v>501</v>
      </c>
    </row>
    <row r="45" spans="1:9" s="142" customFormat="1" ht="12.75" customHeight="1" x14ac:dyDescent="0.25">
      <c r="A45" s="151"/>
      <c r="B45" s="152" t="s">
        <v>3</v>
      </c>
      <c r="C45" s="218"/>
      <c r="D45" s="153">
        <v>6017.9559364115403</v>
      </c>
      <c r="E45" s="154" t="s">
        <v>501</v>
      </c>
      <c r="F45" s="153">
        <v>1344.8115132118801</v>
      </c>
      <c r="G45" s="154" t="s">
        <v>501</v>
      </c>
      <c r="H45" s="153">
        <v>4632.5501055179602</v>
      </c>
      <c r="I45" s="154" t="s">
        <v>501</v>
      </c>
    </row>
    <row r="46" spans="1:9" s="142" customFormat="1" ht="12.75" customHeight="1" x14ac:dyDescent="0.25">
      <c r="A46" s="151"/>
      <c r="B46" s="152" t="s">
        <v>4</v>
      </c>
      <c r="C46" s="218"/>
      <c r="D46" s="153">
        <v>5712.8498727353799</v>
      </c>
      <c r="E46" s="154" t="s">
        <v>501</v>
      </c>
      <c r="F46" s="153">
        <v>1275.5274180220799</v>
      </c>
      <c r="G46" s="154" t="s">
        <v>501</v>
      </c>
      <c r="H46" s="153">
        <v>4407.9219475761602</v>
      </c>
      <c r="I46" s="154" t="s">
        <v>501</v>
      </c>
    </row>
    <row r="47" spans="1:9" s="142" customFormat="1" ht="12.75" customHeight="1" x14ac:dyDescent="0.25">
      <c r="A47" s="151"/>
      <c r="B47" s="152"/>
      <c r="C47" s="218"/>
      <c r="D47" s="153"/>
      <c r="E47" s="154"/>
      <c r="F47" s="153"/>
      <c r="G47" s="154"/>
      <c r="H47" s="153"/>
      <c r="I47" s="154"/>
    </row>
    <row r="48" spans="1:9" s="142" customFormat="1" ht="12.75" customHeight="1" x14ac:dyDescent="0.25">
      <c r="A48" s="151">
        <v>2014</v>
      </c>
      <c r="B48" s="152" t="s">
        <v>1</v>
      </c>
      <c r="C48" s="218"/>
      <c r="D48" s="153">
        <v>5405.2780227656503</v>
      </c>
      <c r="E48" s="154" t="s">
        <v>501</v>
      </c>
      <c r="F48" s="153">
        <v>1258.54628139083</v>
      </c>
      <c r="G48" s="154" t="s">
        <v>501</v>
      </c>
      <c r="H48" s="153">
        <v>4187.5315743150004</v>
      </c>
      <c r="I48" s="154" t="s">
        <v>501</v>
      </c>
    </row>
    <row r="49" spans="1:9" s="142" customFormat="1" ht="12.75" customHeight="1" x14ac:dyDescent="0.25">
      <c r="A49" s="151"/>
      <c r="B49" s="152" t="s">
        <v>2</v>
      </c>
      <c r="C49" s="218"/>
      <c r="D49" s="153">
        <v>5493.6928785475402</v>
      </c>
      <c r="E49" s="154" t="s">
        <v>501</v>
      </c>
      <c r="F49" s="153">
        <v>1335.29436075995</v>
      </c>
      <c r="G49" s="154" t="s">
        <v>501</v>
      </c>
      <c r="H49" s="153">
        <v>4144.7211432837703</v>
      </c>
      <c r="I49" s="154" t="s">
        <v>501</v>
      </c>
    </row>
    <row r="50" spans="1:9" s="142" customFormat="1" ht="12.75" customHeight="1" x14ac:dyDescent="0.25">
      <c r="A50" s="151"/>
      <c r="B50" s="152" t="s">
        <v>3</v>
      </c>
      <c r="C50" s="218"/>
      <c r="D50" s="153">
        <v>4910.5003458286001</v>
      </c>
      <c r="E50" s="154" t="s">
        <v>501</v>
      </c>
      <c r="F50" s="153">
        <v>1143.3956461519899</v>
      </c>
      <c r="G50" s="154" t="s">
        <v>501</v>
      </c>
      <c r="H50" s="153">
        <v>3734.95839326031</v>
      </c>
      <c r="I50" s="154" t="s">
        <v>501</v>
      </c>
    </row>
    <row r="51" spans="1:9" s="142" customFormat="1" ht="12.75" customHeight="1" x14ac:dyDescent="0.25">
      <c r="A51" s="151"/>
      <c r="B51" s="152" t="s">
        <v>4</v>
      </c>
      <c r="C51" s="218"/>
      <c r="D51" s="153">
        <v>4535.5287528582103</v>
      </c>
      <c r="E51" s="154" t="s">
        <v>501</v>
      </c>
      <c r="F51" s="153">
        <v>1044.7637116972301</v>
      </c>
      <c r="G51" s="154" t="s">
        <v>501</v>
      </c>
      <c r="H51" s="153">
        <v>3495.7888891409202</v>
      </c>
      <c r="I51" s="154" t="s">
        <v>501</v>
      </c>
    </row>
    <row r="52" spans="1:9" s="142" customFormat="1" ht="12.75" customHeight="1" x14ac:dyDescent="0.25">
      <c r="A52" s="151"/>
      <c r="B52" s="152"/>
      <c r="C52" s="218"/>
      <c r="D52" s="153"/>
      <c r="E52" s="154"/>
      <c r="F52" s="153"/>
      <c r="G52" s="154"/>
      <c r="H52" s="153"/>
      <c r="I52" s="154"/>
    </row>
    <row r="53" spans="1:9" s="142" customFormat="1" ht="12.75" customHeight="1" x14ac:dyDescent="0.25">
      <c r="A53" s="151">
        <v>2015</v>
      </c>
      <c r="B53" s="152" t="s">
        <v>1</v>
      </c>
      <c r="C53" s="218"/>
      <c r="D53" s="153">
        <v>4178.61989964647</v>
      </c>
      <c r="E53" s="154" t="s">
        <v>501</v>
      </c>
      <c r="F53" s="153">
        <v>1061.31377606054</v>
      </c>
      <c r="G53" s="154" t="s">
        <v>501</v>
      </c>
      <c r="H53" s="153">
        <v>3143.2248320574499</v>
      </c>
      <c r="I53" s="154" t="s">
        <v>501</v>
      </c>
    </row>
    <row r="54" spans="1:9" s="142" customFormat="1" ht="12.75" customHeight="1" x14ac:dyDescent="0.25">
      <c r="A54" s="151"/>
      <c r="B54" s="152" t="s">
        <v>2</v>
      </c>
      <c r="C54" s="218"/>
      <c r="D54" s="153">
        <v>3982.0681918810401</v>
      </c>
      <c r="E54" s="154" t="s">
        <v>501</v>
      </c>
      <c r="F54" s="153">
        <v>1076.4219731824801</v>
      </c>
      <c r="G54" s="154" t="s">
        <v>501</v>
      </c>
      <c r="H54" s="153">
        <v>2903.9837997320201</v>
      </c>
      <c r="I54" s="154" t="s">
        <v>501</v>
      </c>
    </row>
    <row r="55" spans="1:9" s="142" customFormat="1" ht="12.75" customHeight="1" x14ac:dyDescent="0.25">
      <c r="A55" s="151"/>
      <c r="B55" s="152" t="s">
        <v>3</v>
      </c>
      <c r="C55" s="218"/>
      <c r="D55" s="153">
        <v>3902.7725014163898</v>
      </c>
      <c r="E55" s="154" t="s">
        <v>501</v>
      </c>
      <c r="F55" s="153">
        <v>1124.9148754717201</v>
      </c>
      <c r="G55" s="154" t="s">
        <v>501</v>
      </c>
      <c r="H55" s="153">
        <v>2782.9238334104002</v>
      </c>
      <c r="I55" s="154" t="s">
        <v>501</v>
      </c>
    </row>
    <row r="56" spans="1:9" s="142" customFormat="1" ht="12.75" customHeight="1" x14ac:dyDescent="0.25">
      <c r="A56" s="151"/>
      <c r="B56" s="152" t="s">
        <v>4</v>
      </c>
      <c r="C56" s="218"/>
      <c r="D56" s="153">
        <v>3781.5394070560901</v>
      </c>
      <c r="E56" s="154" t="s">
        <v>501</v>
      </c>
      <c r="F56" s="153">
        <v>1142.3493752852601</v>
      </c>
      <c r="G56" s="154" t="s">
        <v>501</v>
      </c>
      <c r="H56" s="153">
        <v>2609.8675348001302</v>
      </c>
      <c r="I56" s="154" t="s">
        <v>501</v>
      </c>
    </row>
    <row r="57" spans="1:9" s="142" customFormat="1" ht="12.75" customHeight="1" x14ac:dyDescent="0.25">
      <c r="A57" s="151"/>
      <c r="B57" s="152"/>
      <c r="C57" s="218"/>
      <c r="D57" s="153"/>
      <c r="E57" s="154"/>
      <c r="F57" s="153"/>
      <c r="G57" s="154"/>
      <c r="H57" s="153"/>
      <c r="I57" s="154"/>
    </row>
    <row r="58" spans="1:9" s="142" customFormat="1" ht="12.75" customHeight="1" x14ac:dyDescent="0.25">
      <c r="A58" s="151">
        <v>2016</v>
      </c>
      <c r="B58" s="152" t="s">
        <v>1</v>
      </c>
      <c r="C58" s="218"/>
      <c r="D58" s="153">
        <v>3725.85743152947</v>
      </c>
      <c r="E58" s="154" t="s">
        <v>501</v>
      </c>
      <c r="F58" s="153">
        <v>1065.3623502988901</v>
      </c>
      <c r="G58" s="154" t="s">
        <v>501</v>
      </c>
      <c r="H58" s="153">
        <v>2617.2626838308902</v>
      </c>
      <c r="I58" s="154" t="s">
        <v>501</v>
      </c>
    </row>
    <row r="59" spans="1:9" s="142" customFormat="1" ht="12.75" customHeight="1" x14ac:dyDescent="0.25">
      <c r="A59" s="151"/>
      <c r="B59" s="152" t="s">
        <v>2</v>
      </c>
      <c r="C59" s="218"/>
      <c r="D59" s="153">
        <v>3607.2402389941499</v>
      </c>
      <c r="E59" s="154" t="s">
        <v>501</v>
      </c>
      <c r="F59" s="153">
        <v>958.75919830192299</v>
      </c>
      <c r="G59" s="154" t="s">
        <v>501</v>
      </c>
      <c r="H59" s="153">
        <v>2573.3007963351902</v>
      </c>
      <c r="I59" s="154" t="s">
        <v>501</v>
      </c>
    </row>
    <row r="60" spans="1:9" s="142" customFormat="1" ht="12.75" customHeight="1" x14ac:dyDescent="0.25">
      <c r="A60" s="151"/>
      <c r="B60" s="152" t="s">
        <v>3</v>
      </c>
      <c r="C60" s="218"/>
      <c r="D60" s="153">
        <v>3883.0889419856298</v>
      </c>
      <c r="E60" s="154" t="s">
        <v>501</v>
      </c>
      <c r="F60" s="153">
        <v>911.63670343203603</v>
      </c>
      <c r="G60" s="154" t="s">
        <v>501</v>
      </c>
      <c r="H60" s="153">
        <v>3041.7234095147701</v>
      </c>
      <c r="I60" s="154" t="s">
        <v>501</v>
      </c>
    </row>
    <row r="61" spans="1:9" s="142" customFormat="1" ht="12.75" customHeight="1" x14ac:dyDescent="0.25">
      <c r="A61" s="151"/>
      <c r="B61" s="152" t="s">
        <v>4</v>
      </c>
      <c r="C61" s="218"/>
      <c r="D61" s="153">
        <v>3827.8133874907498</v>
      </c>
      <c r="E61" s="154" t="s">
        <v>501</v>
      </c>
      <c r="F61" s="153">
        <v>961.24174796714794</v>
      </c>
      <c r="G61" s="154" t="s">
        <v>501</v>
      </c>
      <c r="H61" s="153">
        <v>2914.71311031915</v>
      </c>
      <c r="I61" s="154" t="s">
        <v>501</v>
      </c>
    </row>
    <row r="62" spans="1:9" s="142" customFormat="1" ht="12.75" customHeight="1" x14ac:dyDescent="0.25">
      <c r="A62" s="151"/>
      <c r="B62" s="152"/>
      <c r="C62" s="218"/>
      <c r="D62" s="153"/>
      <c r="E62" s="154"/>
      <c r="F62" s="153"/>
      <c r="G62" s="154"/>
      <c r="H62" s="153"/>
      <c r="I62" s="154"/>
    </row>
    <row r="63" spans="1:9" s="142" customFormat="1" ht="12.75" customHeight="1" x14ac:dyDescent="0.25">
      <c r="A63" s="151">
        <v>2017</v>
      </c>
      <c r="B63" s="152" t="s">
        <v>1</v>
      </c>
      <c r="C63" s="218"/>
      <c r="D63" s="153">
        <v>3859.54</v>
      </c>
      <c r="E63" s="154" t="s">
        <v>279</v>
      </c>
      <c r="F63" s="153">
        <v>864.57655378351603</v>
      </c>
      <c r="G63" s="154" t="s">
        <v>279</v>
      </c>
      <c r="H63" s="153">
        <v>2978.4001925825501</v>
      </c>
      <c r="I63" s="154" t="s">
        <v>279</v>
      </c>
    </row>
    <row r="64" spans="1:9" s="142" customFormat="1" ht="12.75" customHeight="1" x14ac:dyDescent="0.25">
      <c r="A64" s="151"/>
      <c r="B64" s="152" t="s">
        <v>2</v>
      </c>
      <c r="C64" s="218" t="s">
        <v>196</v>
      </c>
      <c r="D64" s="153">
        <v>3771.64</v>
      </c>
      <c r="E64" s="154" t="s">
        <v>279</v>
      </c>
      <c r="F64" s="153">
        <v>837.17632116814195</v>
      </c>
      <c r="G64" s="154" t="s">
        <v>279</v>
      </c>
      <c r="H64" s="153">
        <v>2879.79351168537</v>
      </c>
      <c r="I64" s="154" t="s">
        <v>279</v>
      </c>
    </row>
    <row r="65" spans="1:11" s="142" customFormat="1" ht="12.75" customHeight="1" x14ac:dyDescent="0.25">
      <c r="A65" s="151"/>
      <c r="B65" s="152" t="s">
        <v>3</v>
      </c>
      <c r="C65" s="218" t="s">
        <v>196</v>
      </c>
      <c r="D65" s="153">
        <v>3715.09</v>
      </c>
      <c r="E65" s="154" t="s">
        <v>279</v>
      </c>
      <c r="F65" s="153">
        <v>805.021241404492</v>
      </c>
      <c r="G65" s="154" t="s">
        <v>279</v>
      </c>
      <c r="H65" s="153">
        <v>2941.45632511745</v>
      </c>
      <c r="I65" s="154" t="s">
        <v>279</v>
      </c>
    </row>
    <row r="66" spans="1:11" s="142" customFormat="1" ht="12.75" customHeight="1" x14ac:dyDescent="0.25">
      <c r="A66" s="152"/>
      <c r="B66" s="152" t="s">
        <v>4</v>
      </c>
      <c r="C66" s="218" t="s">
        <v>196</v>
      </c>
      <c r="D66" s="153">
        <v>3735.73</v>
      </c>
      <c r="E66" s="154" t="s">
        <v>501</v>
      </c>
      <c r="F66" s="153">
        <v>775.22588364384899</v>
      </c>
      <c r="G66" s="154" t="s">
        <v>501</v>
      </c>
      <c r="H66" s="153">
        <v>3000.3499706146199</v>
      </c>
      <c r="I66" s="154" t="s">
        <v>501</v>
      </c>
    </row>
    <row r="67" spans="1:11" s="142" customFormat="1" ht="12.75" customHeight="1" x14ac:dyDescent="0.25">
      <c r="A67" s="151"/>
      <c r="B67" s="152"/>
      <c r="C67" s="218"/>
      <c r="D67" s="153"/>
      <c r="E67" s="154"/>
      <c r="F67" s="153"/>
      <c r="G67" s="154"/>
      <c r="H67" s="153"/>
      <c r="I67" s="154"/>
    </row>
    <row r="68" spans="1:11" s="142" customFormat="1" ht="12.75" customHeight="1" thickBot="1" x14ac:dyDescent="0.3">
      <c r="A68" s="152"/>
      <c r="B68" s="156"/>
      <c r="C68" s="219"/>
      <c r="D68" s="153"/>
      <c r="E68" s="154"/>
      <c r="F68" s="153"/>
      <c r="G68" s="154"/>
      <c r="H68" s="153"/>
      <c r="I68" s="154"/>
    </row>
    <row r="69" spans="1:11" s="142" customFormat="1" ht="12.75" customHeight="1" x14ac:dyDescent="0.2">
      <c r="A69" s="159" t="s">
        <v>502</v>
      </c>
      <c r="B69" s="159"/>
      <c r="C69" s="220"/>
      <c r="D69" s="159"/>
      <c r="E69" s="220"/>
      <c r="F69" s="159"/>
      <c r="G69" s="220"/>
      <c r="H69" s="159"/>
      <c r="I69" s="220"/>
    </row>
    <row r="70" spans="1:11" s="142" customFormat="1" ht="12.75" customHeight="1" x14ac:dyDescent="0.2">
      <c r="A70" s="160"/>
      <c r="B70" s="160"/>
      <c r="C70" s="161"/>
      <c r="D70" s="160"/>
      <c r="E70" s="161"/>
      <c r="F70" s="160"/>
      <c r="G70" s="161"/>
      <c r="H70" s="160"/>
      <c r="I70" s="161"/>
    </row>
    <row r="71" spans="1:11" s="142" customFormat="1" ht="12.75" customHeight="1" x14ac:dyDescent="0.2">
      <c r="A71" s="162">
        <v>2017</v>
      </c>
      <c r="B71" s="163" t="s">
        <v>3</v>
      </c>
      <c r="C71" s="221"/>
      <c r="D71" s="164">
        <v>0.55557200498506099</v>
      </c>
      <c r="E71" s="161"/>
      <c r="F71" s="164">
        <v>-3.7011890156662286</v>
      </c>
      <c r="G71" s="161"/>
      <c r="H71" s="164">
        <v>2.0021934371171834</v>
      </c>
      <c r="I71" s="161"/>
    </row>
    <row r="72" spans="1:11" s="142" customFormat="1" ht="12.75" customHeight="1" x14ac:dyDescent="0.2">
      <c r="A72" s="165"/>
      <c r="B72" s="166"/>
      <c r="C72" s="222"/>
      <c r="D72" s="167"/>
      <c r="E72" s="280"/>
      <c r="F72" s="167"/>
      <c r="G72" s="280"/>
      <c r="H72" s="167"/>
      <c r="I72" s="280"/>
    </row>
    <row r="73" spans="1:11" s="142" customFormat="1" ht="12.75" customHeight="1" thickBot="1" x14ac:dyDescent="0.25">
      <c r="A73" s="157">
        <v>2016</v>
      </c>
      <c r="B73" s="158" t="s">
        <v>4</v>
      </c>
      <c r="C73" s="223"/>
      <c r="D73" s="168">
        <v>-2.4056394126128811</v>
      </c>
      <c r="E73" s="281"/>
      <c r="F73" s="168">
        <v>-19.351621453883872</v>
      </c>
      <c r="G73" s="281"/>
      <c r="H73" s="168">
        <v>2.9380888291298479</v>
      </c>
      <c r="I73" s="281"/>
    </row>
    <row r="74" spans="1:11" s="169" customFormat="1" ht="12.75" customHeight="1" x14ac:dyDescent="0.2">
      <c r="A74" s="343"/>
      <c r="B74" s="343"/>
      <c r="C74" s="343"/>
      <c r="D74" s="343"/>
      <c r="E74" s="343"/>
      <c r="F74" s="343"/>
      <c r="G74" s="343"/>
      <c r="H74" s="343"/>
      <c r="I74" s="343"/>
    </row>
    <row r="75" spans="1:11" s="169" customFormat="1" ht="29.25" customHeight="1" x14ac:dyDescent="0.2">
      <c r="A75" s="338" t="s">
        <v>482</v>
      </c>
      <c r="B75" s="338"/>
      <c r="C75" s="338"/>
      <c r="D75" s="338"/>
      <c r="E75" s="338"/>
      <c r="F75" s="338"/>
      <c r="G75" s="338"/>
      <c r="H75" s="338"/>
      <c r="I75" s="338"/>
      <c r="J75" s="338"/>
      <c r="K75" s="338"/>
    </row>
    <row r="76" spans="1:11" s="169" customFormat="1" ht="64.5" customHeight="1" x14ac:dyDescent="0.2">
      <c r="A76" s="338" t="s">
        <v>254</v>
      </c>
      <c r="B76" s="338"/>
      <c r="C76" s="338"/>
      <c r="D76" s="338"/>
      <c r="E76" s="338"/>
      <c r="F76" s="338"/>
      <c r="G76" s="338"/>
      <c r="H76" s="338"/>
      <c r="I76" s="338"/>
    </row>
    <row r="77" spans="1:11" s="169" customFormat="1" ht="33.75" customHeight="1" x14ac:dyDescent="0.2">
      <c r="A77" s="338" t="s">
        <v>490</v>
      </c>
      <c r="B77" s="338"/>
      <c r="C77" s="338"/>
      <c r="D77" s="338"/>
      <c r="E77" s="338"/>
      <c r="F77" s="338"/>
      <c r="G77" s="338"/>
      <c r="H77" s="338"/>
      <c r="I77" s="338"/>
    </row>
    <row r="78" spans="1:11" s="170" customFormat="1" ht="37.5" customHeight="1" x14ac:dyDescent="0.3">
      <c r="A78" s="338" t="s">
        <v>485</v>
      </c>
      <c r="B78" s="338"/>
      <c r="C78" s="338"/>
      <c r="D78" s="338"/>
      <c r="E78" s="338"/>
      <c r="F78" s="338"/>
      <c r="G78" s="338"/>
      <c r="H78" s="338"/>
      <c r="I78" s="338"/>
    </row>
    <row r="79" spans="1:11" s="171" customFormat="1" ht="15" x14ac:dyDescent="0.3">
      <c r="A79" s="344"/>
      <c r="B79" s="344"/>
      <c r="C79" s="344"/>
      <c r="D79" s="344"/>
      <c r="E79" s="344"/>
      <c r="F79" s="344"/>
      <c r="G79" s="344"/>
      <c r="H79" s="344"/>
      <c r="I79" s="344"/>
    </row>
    <row r="80" spans="1:11" s="171" customFormat="1" ht="27.75" customHeight="1" x14ac:dyDescent="0.3">
      <c r="A80" s="344"/>
      <c r="B80" s="344"/>
      <c r="C80" s="344"/>
      <c r="D80" s="344"/>
      <c r="E80" s="344"/>
      <c r="F80" s="344"/>
      <c r="G80" s="344"/>
      <c r="H80" s="344"/>
      <c r="I80" s="344"/>
    </row>
    <row r="81" spans="1:9" ht="12.75" customHeight="1" x14ac:dyDescent="0.3">
      <c r="A81" s="344"/>
      <c r="B81" s="344"/>
      <c r="C81" s="344"/>
      <c r="D81" s="344"/>
      <c r="E81" s="344"/>
      <c r="F81" s="344"/>
      <c r="G81" s="344"/>
      <c r="H81" s="344"/>
      <c r="I81" s="344"/>
    </row>
    <row r="82" spans="1:9" ht="12.75" customHeight="1" x14ac:dyDescent="0.3">
      <c r="A82" s="344"/>
      <c r="B82" s="344"/>
      <c r="C82" s="344"/>
      <c r="D82" s="344"/>
      <c r="E82" s="344"/>
      <c r="F82" s="344"/>
      <c r="G82" s="344"/>
      <c r="H82" s="344"/>
      <c r="I82" s="344"/>
    </row>
    <row r="83" spans="1:9" ht="12.75" customHeight="1" x14ac:dyDescent="0.3">
      <c r="A83" s="344"/>
      <c r="B83" s="344"/>
      <c r="C83" s="344"/>
      <c r="D83" s="344"/>
      <c r="E83" s="344"/>
      <c r="F83" s="344"/>
      <c r="G83" s="344"/>
      <c r="H83" s="344"/>
      <c r="I83" s="344"/>
    </row>
    <row r="84" spans="1:9" ht="12.75" customHeight="1" x14ac:dyDescent="0.3">
      <c r="A84" s="344"/>
      <c r="B84" s="344"/>
      <c r="C84" s="344"/>
      <c r="D84" s="344"/>
      <c r="E84" s="344"/>
      <c r="F84" s="344"/>
      <c r="G84" s="344"/>
      <c r="H84" s="344"/>
      <c r="I84" s="344"/>
    </row>
    <row r="85" spans="1:9" ht="12.75" customHeight="1" x14ac:dyDescent="0.3">
      <c r="A85" s="344"/>
      <c r="B85" s="344"/>
      <c r="C85" s="344"/>
      <c r="D85" s="344"/>
      <c r="E85" s="344"/>
      <c r="F85" s="344"/>
      <c r="G85" s="344"/>
      <c r="H85" s="344"/>
      <c r="I85" s="344"/>
    </row>
    <row r="86" spans="1:9" ht="12.75" customHeight="1" x14ac:dyDescent="0.3">
      <c r="A86" s="344"/>
      <c r="B86" s="344"/>
      <c r="C86" s="344"/>
      <c r="D86" s="344"/>
      <c r="E86" s="344"/>
      <c r="F86" s="344"/>
      <c r="G86" s="344"/>
      <c r="H86" s="344"/>
      <c r="I86" s="344"/>
    </row>
  </sheetData>
  <dataConsolidate/>
  <mergeCells count="19">
    <mergeCell ref="A86:I86"/>
    <mergeCell ref="J75:K75"/>
    <mergeCell ref="A82:I82"/>
    <mergeCell ref="A83:I83"/>
    <mergeCell ref="A84:I84"/>
    <mergeCell ref="A85:I85"/>
    <mergeCell ref="A80:I80"/>
    <mergeCell ref="A81:I81"/>
    <mergeCell ref="H4:I4"/>
    <mergeCell ref="F5:I5"/>
    <mergeCell ref="F6:G6"/>
    <mergeCell ref="H6:I6"/>
    <mergeCell ref="D5:E6"/>
    <mergeCell ref="A74:I74"/>
    <mergeCell ref="A76:I76"/>
    <mergeCell ref="A78:I78"/>
    <mergeCell ref="A79:I79"/>
    <mergeCell ref="A75:I75"/>
    <mergeCell ref="A77:I77"/>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9"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86"/>
  <sheetViews>
    <sheetView showGridLines="0" zoomScaleNormal="100" workbookViewId="0">
      <pane xSplit="3" ySplit="7" topLeftCell="D53"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2" customWidth="1"/>
    <col min="6" max="6" width="10" style="172" customWidth="1"/>
    <col min="7" max="7" width="3.85546875" style="172" customWidth="1"/>
    <col min="8" max="8" width="5.42578125" style="172" customWidth="1"/>
    <col min="9" max="9" width="3.85546875" style="172" customWidth="1"/>
    <col min="10" max="10" width="10" style="173" customWidth="1"/>
    <col min="11" max="11" width="3.85546875" style="172" customWidth="1"/>
    <col min="12" max="12" width="5.42578125" style="173" customWidth="1"/>
    <col min="13" max="13" width="3.85546875" style="172" customWidth="1"/>
    <col min="14" max="14" width="3.5703125" style="134" customWidth="1"/>
    <col min="15" max="16384" width="8.85546875" style="134"/>
  </cols>
  <sheetData>
    <row r="1" spans="1:18" ht="12.75" customHeight="1" x14ac:dyDescent="0.3">
      <c r="B1" s="132"/>
      <c r="C1" s="133"/>
      <c r="D1" s="132"/>
      <c r="E1" s="132"/>
      <c r="F1" s="132"/>
      <c r="G1" s="132"/>
      <c r="H1" s="132"/>
      <c r="I1" s="132"/>
      <c r="J1" s="132"/>
      <c r="K1" s="132"/>
      <c r="L1" s="132"/>
      <c r="M1" s="132"/>
    </row>
    <row r="2" spans="1:18" s="136" customFormat="1" ht="31.5" customHeight="1" x14ac:dyDescent="0.3">
      <c r="A2" s="192" t="s">
        <v>178</v>
      </c>
      <c r="B2" s="193"/>
      <c r="C2" s="193"/>
      <c r="D2" s="194" t="s">
        <v>244</v>
      </c>
      <c r="E2" s="132"/>
      <c r="F2" s="132"/>
      <c r="G2" s="132"/>
      <c r="H2" s="132"/>
      <c r="I2" s="132"/>
      <c r="J2" s="132"/>
      <c r="K2" s="132"/>
      <c r="L2" s="132"/>
      <c r="M2" s="132"/>
      <c r="N2" s="132"/>
      <c r="O2" s="132"/>
      <c r="P2" s="132"/>
    </row>
    <row r="3" spans="1:18" s="136" customFormat="1" ht="17.25" x14ac:dyDescent="0.3">
      <c r="A3" s="195" t="s">
        <v>153</v>
      </c>
      <c r="B3" s="196"/>
      <c r="C3" s="213"/>
      <c r="D3" s="197" t="s">
        <v>160</v>
      </c>
      <c r="E3" s="187"/>
      <c r="F3" s="187"/>
      <c r="G3" s="187"/>
      <c r="H3" s="187"/>
      <c r="I3" s="187"/>
      <c r="J3" s="187"/>
      <c r="K3" s="187"/>
      <c r="L3" s="187"/>
      <c r="M3" s="187"/>
      <c r="N3" s="132"/>
      <c r="O3" s="132"/>
      <c r="P3" s="132"/>
    </row>
    <row r="4" spans="1:18" ht="10.5" customHeight="1" thickBot="1" x14ac:dyDescent="0.35">
      <c r="A4" s="137"/>
      <c r="B4" s="137"/>
      <c r="C4" s="214"/>
      <c r="D4" s="137"/>
      <c r="E4" s="137"/>
      <c r="F4" s="137"/>
      <c r="G4" s="137"/>
      <c r="H4" s="137"/>
      <c r="I4" s="137"/>
      <c r="J4" s="339"/>
      <c r="K4" s="339"/>
      <c r="L4" s="339"/>
      <c r="M4" s="339"/>
    </row>
    <row r="5" spans="1:18" ht="30.75" customHeight="1" thickBot="1" x14ac:dyDescent="0.35">
      <c r="A5" s="232"/>
      <c r="B5" s="232"/>
      <c r="C5" s="233"/>
      <c r="D5" s="348" t="s">
        <v>175</v>
      </c>
      <c r="E5" s="348"/>
      <c r="F5" s="347" t="s">
        <v>173</v>
      </c>
      <c r="G5" s="347"/>
      <c r="H5" s="347"/>
      <c r="I5" s="347"/>
      <c r="J5" s="347"/>
      <c r="K5" s="347"/>
      <c r="L5" s="347"/>
      <c r="M5" s="347"/>
    </row>
    <row r="6" spans="1:18" s="141" customFormat="1" ht="19.5" customHeight="1" x14ac:dyDescent="0.3">
      <c r="A6" s="139"/>
      <c r="B6" s="140" t="s">
        <v>140</v>
      </c>
      <c r="C6" s="225"/>
      <c r="D6" s="351"/>
      <c r="E6" s="351"/>
      <c r="F6" s="352" t="s">
        <v>489</v>
      </c>
      <c r="G6" s="352"/>
      <c r="H6" s="352"/>
      <c r="I6" s="352"/>
      <c r="J6" s="353" t="s">
        <v>480</v>
      </c>
      <c r="K6" s="353"/>
      <c r="L6" s="353"/>
      <c r="M6" s="353"/>
    </row>
    <row r="7" spans="1:18" s="142" customFormat="1" ht="16.5" customHeight="1" thickBot="1" x14ac:dyDescent="0.35">
      <c r="A7" s="228" t="s">
        <v>141</v>
      </c>
      <c r="B7" s="229" t="s">
        <v>140</v>
      </c>
      <c r="C7" s="229"/>
      <c r="D7" s="349"/>
      <c r="E7" s="349"/>
      <c r="F7" s="350" t="s">
        <v>176</v>
      </c>
      <c r="G7" s="350"/>
      <c r="H7" s="350" t="s">
        <v>177</v>
      </c>
      <c r="I7" s="350"/>
      <c r="J7" s="350" t="s">
        <v>176</v>
      </c>
      <c r="K7" s="350"/>
      <c r="L7" s="350" t="s">
        <v>177</v>
      </c>
      <c r="M7" s="350"/>
    </row>
    <row r="8" spans="1:18" s="146" customFormat="1" ht="12.75" customHeight="1" x14ac:dyDescent="0.25">
      <c r="A8" s="143">
        <v>2008</v>
      </c>
      <c r="B8" s="143"/>
      <c r="C8" s="212"/>
      <c r="D8" s="144">
        <v>67428</v>
      </c>
      <c r="E8" s="284" t="s">
        <v>501</v>
      </c>
      <c r="F8" s="144">
        <v>10828</v>
      </c>
      <c r="G8" s="284" t="s">
        <v>501</v>
      </c>
      <c r="H8" s="198">
        <v>16.058610666192084</v>
      </c>
      <c r="I8" s="284" t="s">
        <v>501</v>
      </c>
      <c r="J8" s="144">
        <v>56600</v>
      </c>
      <c r="K8" s="284" t="s">
        <v>501</v>
      </c>
      <c r="L8" s="198">
        <v>83.941389333807919</v>
      </c>
      <c r="M8" s="284" t="s">
        <v>501</v>
      </c>
    </row>
    <row r="9" spans="1:18" s="146" customFormat="1" ht="12.75" customHeight="1" x14ac:dyDescent="0.25">
      <c r="A9" s="143">
        <v>2009</v>
      </c>
      <c r="B9" s="143"/>
      <c r="C9" s="212"/>
      <c r="D9" s="144">
        <v>74670</v>
      </c>
      <c r="E9" s="284" t="s">
        <v>501</v>
      </c>
      <c r="F9" s="144">
        <v>10866</v>
      </c>
      <c r="G9" s="284" t="s">
        <v>501</v>
      </c>
      <c r="H9" s="198">
        <v>14.552028927280034</v>
      </c>
      <c r="I9" s="284" t="s">
        <v>501</v>
      </c>
      <c r="J9" s="144">
        <v>63804</v>
      </c>
      <c r="K9" s="284" t="s">
        <v>501</v>
      </c>
      <c r="L9" s="198">
        <v>85.447971072719966</v>
      </c>
      <c r="M9" s="284" t="s">
        <v>501</v>
      </c>
    </row>
    <row r="10" spans="1:18" s="146" customFormat="1" ht="12.75" customHeight="1" x14ac:dyDescent="0.25">
      <c r="A10" s="143">
        <v>2010</v>
      </c>
      <c r="B10" s="143"/>
      <c r="C10" s="212"/>
      <c r="D10" s="144">
        <v>59173</v>
      </c>
      <c r="E10" s="284" t="s">
        <v>501</v>
      </c>
      <c r="F10" s="144">
        <v>8542</v>
      </c>
      <c r="G10" s="284" t="s">
        <v>501</v>
      </c>
      <c r="H10" s="198">
        <v>14.435637875382353</v>
      </c>
      <c r="I10" s="284" t="s">
        <v>501</v>
      </c>
      <c r="J10" s="144">
        <v>50631</v>
      </c>
      <c r="K10" s="284" t="s">
        <v>501</v>
      </c>
      <c r="L10" s="198">
        <v>85.564362124617645</v>
      </c>
      <c r="M10" s="284" t="s">
        <v>501</v>
      </c>
    </row>
    <row r="11" spans="1:18" s="146" customFormat="1" ht="12.75" customHeight="1" x14ac:dyDescent="0.25">
      <c r="A11" s="143">
        <v>2011</v>
      </c>
      <c r="B11" s="143"/>
      <c r="C11" s="212"/>
      <c r="D11" s="144">
        <v>41876</v>
      </c>
      <c r="E11" s="284" t="s">
        <v>501</v>
      </c>
      <c r="F11" s="144">
        <v>7803</v>
      </c>
      <c r="G11" s="284" t="s">
        <v>501</v>
      </c>
      <c r="H11" s="198">
        <v>18.633584869615056</v>
      </c>
      <c r="I11" s="284" t="s">
        <v>501</v>
      </c>
      <c r="J11" s="144">
        <v>34073</v>
      </c>
      <c r="K11" s="284" t="s">
        <v>501</v>
      </c>
      <c r="L11" s="198">
        <v>81.366415130384951</v>
      </c>
      <c r="M11" s="284" t="s">
        <v>501</v>
      </c>
    </row>
    <row r="12" spans="1:18" s="146" customFormat="1" ht="12.75" customHeight="1" x14ac:dyDescent="0.25">
      <c r="A12" s="143">
        <v>2012</v>
      </c>
      <c r="B12" s="143"/>
      <c r="C12" s="212"/>
      <c r="D12" s="144">
        <v>31787</v>
      </c>
      <c r="E12" s="284" t="s">
        <v>501</v>
      </c>
      <c r="F12" s="144">
        <v>6595</v>
      </c>
      <c r="G12" s="284" t="s">
        <v>501</v>
      </c>
      <c r="H12" s="198">
        <v>20.747475383018216</v>
      </c>
      <c r="I12" s="284" t="s">
        <v>501</v>
      </c>
      <c r="J12" s="144">
        <v>25192</v>
      </c>
      <c r="K12" s="284" t="s">
        <v>501</v>
      </c>
      <c r="L12" s="198">
        <v>79.252524616981788</v>
      </c>
      <c r="M12" s="284" t="s">
        <v>501</v>
      </c>
    </row>
    <row r="13" spans="1:18" s="146" customFormat="1" ht="12.75" customHeight="1" x14ac:dyDescent="0.25">
      <c r="A13" s="143">
        <v>2013</v>
      </c>
      <c r="B13" s="143"/>
      <c r="C13" s="212"/>
      <c r="D13" s="144">
        <v>24571</v>
      </c>
      <c r="E13" s="284" t="s">
        <v>501</v>
      </c>
      <c r="F13" s="144">
        <v>5377</v>
      </c>
      <c r="G13" s="284" t="s">
        <v>501</v>
      </c>
      <c r="H13" s="198">
        <v>21.883521224207399</v>
      </c>
      <c r="I13" s="284" t="s">
        <v>501</v>
      </c>
      <c r="J13" s="144">
        <v>19194</v>
      </c>
      <c r="K13" s="284" t="s">
        <v>501</v>
      </c>
      <c r="L13" s="198">
        <v>78.116478775792601</v>
      </c>
      <c r="M13" s="284" t="s">
        <v>501</v>
      </c>
    </row>
    <row r="14" spans="1:18" s="146" customFormat="1" ht="12.75" customHeight="1" x14ac:dyDescent="0.25">
      <c r="A14" s="143">
        <v>2014</v>
      </c>
      <c r="B14" s="143"/>
      <c r="C14" s="212"/>
      <c r="D14" s="144">
        <v>20345</v>
      </c>
      <c r="E14" s="284" t="s">
        <v>501</v>
      </c>
      <c r="F14" s="144">
        <v>4782</v>
      </c>
      <c r="G14" s="284" t="s">
        <v>501</v>
      </c>
      <c r="H14" s="198">
        <v>23.504546571639224</v>
      </c>
      <c r="I14" s="284" t="s">
        <v>501</v>
      </c>
      <c r="J14" s="144">
        <v>15563</v>
      </c>
      <c r="K14" s="284" t="s">
        <v>501</v>
      </c>
      <c r="L14" s="198">
        <v>76.495453428360776</v>
      </c>
      <c r="M14" s="284" t="s">
        <v>501</v>
      </c>
    </row>
    <row r="15" spans="1:18" s="146" customFormat="1" ht="12.75" customHeight="1" x14ac:dyDescent="0.25">
      <c r="A15" s="143">
        <v>2015</v>
      </c>
      <c r="B15" s="143"/>
      <c r="C15" s="212"/>
      <c r="D15" s="144">
        <v>15845</v>
      </c>
      <c r="E15" s="284" t="s">
        <v>501</v>
      </c>
      <c r="F15" s="144">
        <v>4405</v>
      </c>
      <c r="G15" s="284" t="s">
        <v>501</v>
      </c>
      <c r="H15" s="198">
        <v>27.800568002524457</v>
      </c>
      <c r="I15" s="284" t="s">
        <v>501</v>
      </c>
      <c r="J15" s="144">
        <v>11440</v>
      </c>
      <c r="K15" s="284" t="s">
        <v>501</v>
      </c>
      <c r="L15" s="198">
        <v>72.199431997475543</v>
      </c>
      <c r="M15" s="284" t="s">
        <v>501</v>
      </c>
    </row>
    <row r="16" spans="1:18" s="146" customFormat="1" ht="12.75" customHeight="1" x14ac:dyDescent="0.25">
      <c r="A16" s="143">
        <v>2016</v>
      </c>
      <c r="B16" s="143"/>
      <c r="C16" s="212"/>
      <c r="D16" s="144">
        <v>15044</v>
      </c>
      <c r="E16" s="284" t="s">
        <v>501</v>
      </c>
      <c r="F16" s="144">
        <v>3897</v>
      </c>
      <c r="G16" s="284" t="s">
        <v>501</v>
      </c>
      <c r="H16" s="198">
        <v>25.904014889657006</v>
      </c>
      <c r="I16" s="284" t="s">
        <v>501</v>
      </c>
      <c r="J16" s="144">
        <v>11147</v>
      </c>
      <c r="K16" s="284" t="s">
        <v>501</v>
      </c>
      <c r="L16" s="198">
        <v>74.095985110342994</v>
      </c>
      <c r="M16" s="284" t="s">
        <v>501</v>
      </c>
      <c r="R16" s="147"/>
    </row>
    <row r="17" spans="1:13" s="146" customFormat="1" ht="12.75" customHeight="1" x14ac:dyDescent="0.25">
      <c r="A17" s="143">
        <v>2017</v>
      </c>
      <c r="B17" s="212" t="s">
        <v>196</v>
      </c>
      <c r="D17" s="144">
        <v>15082</v>
      </c>
      <c r="E17" s="284" t="s">
        <v>501</v>
      </c>
      <c r="F17" s="144">
        <v>3282</v>
      </c>
      <c r="G17" s="284" t="s">
        <v>501</v>
      </c>
      <c r="H17" s="198">
        <v>21.761039649913805</v>
      </c>
      <c r="I17" s="284" t="s">
        <v>501</v>
      </c>
      <c r="J17" s="144">
        <v>11800</v>
      </c>
      <c r="K17" s="284" t="s">
        <v>501</v>
      </c>
      <c r="L17" s="198">
        <v>78.238960350086188</v>
      </c>
      <c r="M17" s="284" t="s">
        <v>501</v>
      </c>
    </row>
    <row r="18" spans="1:13" s="142" customFormat="1" ht="12.75" customHeight="1" x14ac:dyDescent="0.25">
      <c r="A18" s="148"/>
      <c r="B18" s="148"/>
      <c r="C18" s="217"/>
      <c r="D18" s="149"/>
      <c r="E18" s="285"/>
      <c r="F18" s="149"/>
      <c r="G18" s="285"/>
      <c r="H18" s="199"/>
      <c r="I18" s="285"/>
      <c r="J18" s="149"/>
      <c r="K18" s="285"/>
      <c r="L18" s="199"/>
      <c r="M18" s="285"/>
    </row>
    <row r="19" spans="1:13" s="142" customFormat="1" ht="12.75" customHeight="1" x14ac:dyDescent="0.25">
      <c r="A19" s="151">
        <v>2008</v>
      </c>
      <c r="B19" s="152" t="s">
        <v>1</v>
      </c>
      <c r="C19" s="218"/>
      <c r="D19" s="153">
        <v>15814</v>
      </c>
      <c r="E19" s="285" t="s">
        <v>501</v>
      </c>
      <c r="F19" s="153">
        <v>2539</v>
      </c>
      <c r="G19" s="285" t="s">
        <v>501</v>
      </c>
      <c r="H19" s="155">
        <v>16.055393954723662</v>
      </c>
      <c r="I19" s="285" t="s">
        <v>501</v>
      </c>
      <c r="J19" s="153">
        <v>13275</v>
      </c>
      <c r="K19" s="285" t="s">
        <v>501</v>
      </c>
      <c r="L19" s="155">
        <v>83.944606045276345</v>
      </c>
      <c r="M19" s="285" t="s">
        <v>501</v>
      </c>
    </row>
    <row r="20" spans="1:13" s="142" customFormat="1" ht="12.75" customHeight="1" x14ac:dyDescent="0.25">
      <c r="A20" s="151"/>
      <c r="B20" s="152" t="s">
        <v>2</v>
      </c>
      <c r="C20" s="218"/>
      <c r="D20" s="153">
        <v>16373</v>
      </c>
      <c r="E20" s="285" t="s">
        <v>501</v>
      </c>
      <c r="F20" s="153">
        <v>2619</v>
      </c>
      <c r="G20" s="285" t="s">
        <v>501</v>
      </c>
      <c r="H20" s="155">
        <v>15.995846820985768</v>
      </c>
      <c r="I20" s="285" t="s">
        <v>501</v>
      </c>
      <c r="J20" s="153">
        <v>13754</v>
      </c>
      <c r="K20" s="285" t="s">
        <v>501</v>
      </c>
      <c r="L20" s="155">
        <v>84.004153179014224</v>
      </c>
      <c r="M20" s="285" t="s">
        <v>501</v>
      </c>
    </row>
    <row r="21" spans="1:13" s="142" customFormat="1" ht="12.75" customHeight="1" x14ac:dyDescent="0.25">
      <c r="A21" s="151"/>
      <c r="B21" s="152" t="s">
        <v>3</v>
      </c>
      <c r="C21" s="218"/>
      <c r="D21" s="153">
        <v>17237</v>
      </c>
      <c r="E21" s="285" t="s">
        <v>501</v>
      </c>
      <c r="F21" s="153">
        <v>2868</v>
      </c>
      <c r="G21" s="285" t="s">
        <v>501</v>
      </c>
      <c r="H21" s="155">
        <v>16.638626211057609</v>
      </c>
      <c r="I21" s="285" t="s">
        <v>501</v>
      </c>
      <c r="J21" s="153">
        <v>14369</v>
      </c>
      <c r="K21" s="285" t="s">
        <v>501</v>
      </c>
      <c r="L21" s="155">
        <v>83.361373788942387</v>
      </c>
      <c r="M21" s="285" t="s">
        <v>501</v>
      </c>
    </row>
    <row r="22" spans="1:13" s="142" customFormat="1" ht="12.75" customHeight="1" x14ac:dyDescent="0.25">
      <c r="A22" s="151"/>
      <c r="B22" s="152" t="s">
        <v>4</v>
      </c>
      <c r="C22" s="218"/>
      <c r="D22" s="153">
        <v>18004</v>
      </c>
      <c r="E22" s="285" t="s">
        <v>501</v>
      </c>
      <c r="F22" s="153">
        <v>2802</v>
      </c>
      <c r="G22" s="285" t="s">
        <v>501</v>
      </c>
      <c r="H22" s="155">
        <v>15.563208175960897</v>
      </c>
      <c r="I22" s="285" t="s">
        <v>501</v>
      </c>
      <c r="J22" s="153">
        <v>15202</v>
      </c>
      <c r="K22" s="285" t="s">
        <v>501</v>
      </c>
      <c r="L22" s="155">
        <v>84.436791824039105</v>
      </c>
      <c r="M22" s="285" t="s">
        <v>501</v>
      </c>
    </row>
    <row r="23" spans="1:13" s="142" customFormat="1" ht="12.75" customHeight="1" x14ac:dyDescent="0.25">
      <c r="A23" s="151"/>
      <c r="B23" s="152"/>
      <c r="C23" s="218"/>
      <c r="D23" s="153"/>
      <c r="E23" s="285"/>
      <c r="F23" s="153"/>
      <c r="G23" s="285"/>
      <c r="H23" s="155"/>
      <c r="I23" s="285"/>
      <c r="J23" s="153"/>
      <c r="K23" s="285"/>
      <c r="L23" s="155"/>
      <c r="M23" s="285"/>
    </row>
    <row r="24" spans="1:13" s="142" customFormat="1" ht="12.75" customHeight="1" x14ac:dyDescent="0.25">
      <c r="A24" s="151">
        <v>2009</v>
      </c>
      <c r="B24" s="152" t="s">
        <v>1</v>
      </c>
      <c r="C24" s="218"/>
      <c r="D24" s="153">
        <v>20446</v>
      </c>
      <c r="E24" s="285" t="s">
        <v>501</v>
      </c>
      <c r="F24" s="153">
        <v>2840</v>
      </c>
      <c r="G24" s="285" t="s">
        <v>501</v>
      </c>
      <c r="H24" s="155">
        <v>13.890247481169911</v>
      </c>
      <c r="I24" s="285" t="s">
        <v>501</v>
      </c>
      <c r="J24" s="153">
        <v>17606</v>
      </c>
      <c r="K24" s="285" t="s">
        <v>501</v>
      </c>
      <c r="L24" s="155">
        <v>86.109752518830078</v>
      </c>
      <c r="M24" s="285" t="s">
        <v>501</v>
      </c>
    </row>
    <row r="25" spans="1:13" s="142" customFormat="1" ht="12.75" customHeight="1" x14ac:dyDescent="0.25">
      <c r="A25" s="151"/>
      <c r="B25" s="152" t="s">
        <v>2</v>
      </c>
      <c r="C25" s="218"/>
      <c r="D25" s="153">
        <v>18870</v>
      </c>
      <c r="E25" s="285" t="s">
        <v>501</v>
      </c>
      <c r="F25" s="153">
        <v>2605</v>
      </c>
      <c r="G25" s="285" t="s">
        <v>501</v>
      </c>
      <c r="H25" s="155">
        <v>13.804981452040277</v>
      </c>
      <c r="I25" s="285" t="s">
        <v>501</v>
      </c>
      <c r="J25" s="153">
        <v>16265</v>
      </c>
      <c r="K25" s="285" t="s">
        <v>501</v>
      </c>
      <c r="L25" s="155">
        <v>86.19501854795972</v>
      </c>
      <c r="M25" s="285" t="s">
        <v>501</v>
      </c>
    </row>
    <row r="26" spans="1:13" s="142" customFormat="1" ht="12.75" customHeight="1" x14ac:dyDescent="0.25">
      <c r="A26" s="151"/>
      <c r="B26" s="152" t="s">
        <v>3</v>
      </c>
      <c r="C26" s="218"/>
      <c r="D26" s="153">
        <v>18347</v>
      </c>
      <c r="E26" s="285" t="s">
        <v>501</v>
      </c>
      <c r="F26" s="153">
        <v>2731</v>
      </c>
      <c r="G26" s="285" t="s">
        <v>501</v>
      </c>
      <c r="H26" s="155">
        <v>14.885267346160136</v>
      </c>
      <c r="I26" s="285" t="s">
        <v>501</v>
      </c>
      <c r="J26" s="153">
        <v>15616</v>
      </c>
      <c r="K26" s="285" t="s">
        <v>501</v>
      </c>
      <c r="L26" s="155">
        <v>85.114732653839866</v>
      </c>
      <c r="M26" s="285" t="s">
        <v>501</v>
      </c>
    </row>
    <row r="27" spans="1:13" s="142" customFormat="1" ht="12.75" customHeight="1" x14ac:dyDescent="0.25">
      <c r="A27" s="151"/>
      <c r="B27" s="152" t="s">
        <v>4</v>
      </c>
      <c r="C27" s="218"/>
      <c r="D27" s="153">
        <v>17007</v>
      </c>
      <c r="E27" s="285" t="s">
        <v>501</v>
      </c>
      <c r="F27" s="153">
        <v>2690</v>
      </c>
      <c r="G27" s="285" t="s">
        <v>501</v>
      </c>
      <c r="H27" s="155">
        <v>15.817016522608338</v>
      </c>
      <c r="I27" s="285" t="s">
        <v>501</v>
      </c>
      <c r="J27" s="153">
        <v>14317</v>
      </c>
      <c r="K27" s="285" t="s">
        <v>501</v>
      </c>
      <c r="L27" s="155">
        <v>84.182983477391659</v>
      </c>
      <c r="M27" s="285" t="s">
        <v>501</v>
      </c>
    </row>
    <row r="28" spans="1:13" s="142" customFormat="1" ht="12.75" customHeight="1" x14ac:dyDescent="0.25">
      <c r="A28" s="151"/>
      <c r="B28" s="152"/>
      <c r="C28" s="218"/>
      <c r="D28" s="153"/>
      <c r="E28" s="285"/>
      <c r="F28" s="153"/>
      <c r="G28" s="285"/>
      <c r="H28" s="155"/>
      <c r="I28" s="285"/>
      <c r="J28" s="153"/>
      <c r="K28" s="285"/>
      <c r="L28" s="155"/>
      <c r="M28" s="285"/>
    </row>
    <row r="29" spans="1:13" s="142" customFormat="1" ht="12.75" customHeight="1" x14ac:dyDescent="0.25">
      <c r="A29" s="151">
        <v>2010</v>
      </c>
      <c r="B29" s="152" t="s">
        <v>1</v>
      </c>
      <c r="C29" s="218"/>
      <c r="D29" s="153">
        <v>18256</v>
      </c>
      <c r="E29" s="285" t="s">
        <v>501</v>
      </c>
      <c r="F29" s="153">
        <v>2473</v>
      </c>
      <c r="G29" s="285" t="s">
        <v>501</v>
      </c>
      <c r="H29" s="155">
        <v>13.546231375985975</v>
      </c>
      <c r="I29" s="285" t="s">
        <v>501</v>
      </c>
      <c r="J29" s="153">
        <v>15783</v>
      </c>
      <c r="K29" s="285" t="s">
        <v>501</v>
      </c>
      <c r="L29" s="155">
        <v>86.453768624014032</v>
      </c>
      <c r="M29" s="285" t="s">
        <v>501</v>
      </c>
    </row>
    <row r="30" spans="1:13" s="142" customFormat="1" ht="12.75" customHeight="1" x14ac:dyDescent="0.25">
      <c r="A30" s="151"/>
      <c r="B30" s="152" t="s">
        <v>2</v>
      </c>
      <c r="C30" s="218"/>
      <c r="D30" s="153">
        <v>14982</v>
      </c>
      <c r="E30" s="285" t="s">
        <v>501</v>
      </c>
      <c r="F30" s="153">
        <v>2138</v>
      </c>
      <c r="G30" s="285" t="s">
        <v>501</v>
      </c>
      <c r="H30" s="155">
        <v>14.270457882792684</v>
      </c>
      <c r="I30" s="285" t="s">
        <v>501</v>
      </c>
      <c r="J30" s="153">
        <v>12844</v>
      </c>
      <c r="K30" s="285" t="s">
        <v>501</v>
      </c>
      <c r="L30" s="155">
        <v>85.729542117207316</v>
      </c>
      <c r="M30" s="285" t="s">
        <v>501</v>
      </c>
    </row>
    <row r="31" spans="1:13" s="142" customFormat="1" ht="12.75" customHeight="1" x14ac:dyDescent="0.25">
      <c r="A31" s="151"/>
      <c r="B31" s="152" t="s">
        <v>3</v>
      </c>
      <c r="C31" s="218"/>
      <c r="D31" s="153">
        <v>13907</v>
      </c>
      <c r="E31" s="285" t="s">
        <v>501</v>
      </c>
      <c r="F31" s="153">
        <v>2173</v>
      </c>
      <c r="G31" s="285" t="s">
        <v>501</v>
      </c>
      <c r="H31" s="155">
        <v>15.625224706982097</v>
      </c>
      <c r="I31" s="285" t="s">
        <v>501</v>
      </c>
      <c r="J31" s="153">
        <v>11734</v>
      </c>
      <c r="K31" s="285" t="s">
        <v>501</v>
      </c>
      <c r="L31" s="155">
        <v>84.374775293017905</v>
      </c>
      <c r="M31" s="285" t="s">
        <v>501</v>
      </c>
    </row>
    <row r="32" spans="1:13" s="142" customFormat="1" ht="12.75" customHeight="1" x14ac:dyDescent="0.25">
      <c r="A32" s="151"/>
      <c r="B32" s="152" t="s">
        <v>4</v>
      </c>
      <c r="C32" s="218"/>
      <c r="D32" s="153">
        <v>12028</v>
      </c>
      <c r="E32" s="285" t="s">
        <v>501</v>
      </c>
      <c r="F32" s="153">
        <v>1758</v>
      </c>
      <c r="G32" s="285" t="s">
        <v>501</v>
      </c>
      <c r="H32" s="155">
        <v>14.615896242101762</v>
      </c>
      <c r="I32" s="285" t="s">
        <v>501</v>
      </c>
      <c r="J32" s="153">
        <v>10270</v>
      </c>
      <c r="K32" s="285" t="s">
        <v>501</v>
      </c>
      <c r="L32" s="155">
        <v>85.384103757898231</v>
      </c>
      <c r="M32" s="285" t="s">
        <v>501</v>
      </c>
    </row>
    <row r="33" spans="1:13" s="142" customFormat="1" ht="12.75" customHeight="1" x14ac:dyDescent="0.25">
      <c r="A33" s="151"/>
      <c r="B33" s="152"/>
      <c r="C33" s="218"/>
      <c r="D33" s="153"/>
      <c r="E33" s="285"/>
      <c r="F33" s="153"/>
      <c r="G33" s="285"/>
      <c r="H33" s="155"/>
      <c r="I33" s="285"/>
      <c r="J33" s="153"/>
      <c r="K33" s="285"/>
      <c r="L33" s="155"/>
      <c r="M33" s="285"/>
    </row>
    <row r="34" spans="1:13" s="142" customFormat="1" ht="12.75" customHeight="1" x14ac:dyDescent="0.25">
      <c r="A34" s="151">
        <v>2011</v>
      </c>
      <c r="B34" s="152" t="s">
        <v>1</v>
      </c>
      <c r="C34" s="218"/>
      <c r="D34" s="153">
        <v>12539</v>
      </c>
      <c r="E34" s="285" t="s">
        <v>501</v>
      </c>
      <c r="F34" s="153">
        <v>1982</v>
      </c>
      <c r="G34" s="285" t="s">
        <v>501</v>
      </c>
      <c r="H34" s="155">
        <v>15.806683148576441</v>
      </c>
      <c r="I34" s="285" t="s">
        <v>501</v>
      </c>
      <c r="J34" s="153">
        <v>10557</v>
      </c>
      <c r="K34" s="285" t="s">
        <v>501</v>
      </c>
      <c r="L34" s="155">
        <v>84.19331685142356</v>
      </c>
      <c r="M34" s="285" t="s">
        <v>501</v>
      </c>
    </row>
    <row r="35" spans="1:13" s="142" customFormat="1" ht="12.75" customHeight="1" x14ac:dyDescent="0.25">
      <c r="A35" s="151"/>
      <c r="B35" s="152" t="s">
        <v>2</v>
      </c>
      <c r="C35" s="218"/>
      <c r="D35" s="153">
        <v>11101</v>
      </c>
      <c r="E35" s="285" t="s">
        <v>501</v>
      </c>
      <c r="F35" s="153">
        <v>1888</v>
      </c>
      <c r="G35" s="285" t="s">
        <v>501</v>
      </c>
      <c r="H35" s="155">
        <v>17.007476803891542</v>
      </c>
      <c r="I35" s="285" t="s">
        <v>501</v>
      </c>
      <c r="J35" s="153">
        <v>9213</v>
      </c>
      <c r="K35" s="285" t="s">
        <v>501</v>
      </c>
      <c r="L35" s="155">
        <v>82.992523196108465</v>
      </c>
      <c r="M35" s="285" t="s">
        <v>501</v>
      </c>
    </row>
    <row r="36" spans="1:13" s="142" customFormat="1" ht="12.75" customHeight="1" x14ac:dyDescent="0.25">
      <c r="A36" s="151"/>
      <c r="B36" s="152" t="s">
        <v>3</v>
      </c>
      <c r="C36" s="218"/>
      <c r="D36" s="153">
        <v>9578</v>
      </c>
      <c r="E36" s="285" t="s">
        <v>501</v>
      </c>
      <c r="F36" s="153">
        <v>2024</v>
      </c>
      <c r="G36" s="285" t="s">
        <v>501</v>
      </c>
      <c r="H36" s="155">
        <v>21.131760283984129</v>
      </c>
      <c r="I36" s="285" t="s">
        <v>501</v>
      </c>
      <c r="J36" s="153">
        <v>7554</v>
      </c>
      <c r="K36" s="285" t="s">
        <v>501</v>
      </c>
      <c r="L36" s="155">
        <v>78.868239716015864</v>
      </c>
      <c r="M36" s="285" t="s">
        <v>501</v>
      </c>
    </row>
    <row r="37" spans="1:13" s="142" customFormat="1" ht="12.75" customHeight="1" x14ac:dyDescent="0.25">
      <c r="A37" s="151"/>
      <c r="B37" s="152" t="s">
        <v>4</v>
      </c>
      <c r="C37" s="218"/>
      <c r="D37" s="153">
        <v>8658</v>
      </c>
      <c r="E37" s="285" t="s">
        <v>501</v>
      </c>
      <c r="F37" s="153">
        <v>1909</v>
      </c>
      <c r="G37" s="285" t="s">
        <v>501</v>
      </c>
      <c r="H37" s="155">
        <v>22.048972048972047</v>
      </c>
      <c r="I37" s="285" t="s">
        <v>501</v>
      </c>
      <c r="J37" s="153">
        <v>6749</v>
      </c>
      <c r="K37" s="285" t="s">
        <v>501</v>
      </c>
      <c r="L37" s="155">
        <v>77.951027951027953</v>
      </c>
      <c r="M37" s="285" t="s">
        <v>501</v>
      </c>
    </row>
    <row r="38" spans="1:13" s="142" customFormat="1" ht="12.75" customHeight="1" x14ac:dyDescent="0.25">
      <c r="A38" s="151"/>
      <c r="B38" s="152"/>
      <c r="C38" s="218"/>
      <c r="D38" s="153"/>
      <c r="E38" s="285"/>
      <c r="F38" s="153"/>
      <c r="G38" s="285"/>
      <c r="H38" s="155"/>
      <c r="I38" s="285"/>
      <c r="J38" s="153"/>
      <c r="K38" s="285"/>
      <c r="L38" s="155"/>
      <c r="M38" s="285"/>
    </row>
    <row r="39" spans="1:13" s="142" customFormat="1" ht="12.75" customHeight="1" x14ac:dyDescent="0.25">
      <c r="A39" s="151">
        <v>2012</v>
      </c>
      <c r="B39" s="152" t="s">
        <v>1</v>
      </c>
      <c r="C39" s="218"/>
      <c r="D39" s="153">
        <v>9132</v>
      </c>
      <c r="E39" s="285" t="s">
        <v>501</v>
      </c>
      <c r="F39" s="153">
        <v>1899</v>
      </c>
      <c r="G39" s="285" t="s">
        <v>501</v>
      </c>
      <c r="H39" s="155">
        <v>20.795006570302235</v>
      </c>
      <c r="I39" s="285" t="s">
        <v>501</v>
      </c>
      <c r="J39" s="153">
        <v>7233</v>
      </c>
      <c r="K39" s="285" t="s">
        <v>501</v>
      </c>
      <c r="L39" s="155">
        <v>79.204993429697765</v>
      </c>
      <c r="M39" s="285" t="s">
        <v>501</v>
      </c>
    </row>
    <row r="40" spans="1:13" s="142" customFormat="1" ht="12.75" customHeight="1" x14ac:dyDescent="0.25">
      <c r="A40" s="151"/>
      <c r="B40" s="152" t="s">
        <v>2</v>
      </c>
      <c r="C40" s="218"/>
      <c r="D40" s="153">
        <v>8092</v>
      </c>
      <c r="E40" s="285" t="s">
        <v>501</v>
      </c>
      <c r="F40" s="153">
        <v>1666</v>
      </c>
      <c r="G40" s="285" t="s">
        <v>501</v>
      </c>
      <c r="H40" s="155">
        <v>20.588235294117645</v>
      </c>
      <c r="I40" s="285" t="s">
        <v>501</v>
      </c>
      <c r="J40" s="153">
        <v>6426</v>
      </c>
      <c r="K40" s="285" t="s">
        <v>501</v>
      </c>
      <c r="L40" s="155">
        <v>79.411764705882348</v>
      </c>
      <c r="M40" s="285" t="s">
        <v>501</v>
      </c>
    </row>
    <row r="41" spans="1:13" s="142" customFormat="1" ht="12.75" customHeight="1" x14ac:dyDescent="0.25">
      <c r="A41" s="151"/>
      <c r="B41" s="152" t="s">
        <v>3</v>
      </c>
      <c r="C41" s="218"/>
      <c r="D41" s="153">
        <v>7642</v>
      </c>
      <c r="E41" s="285" t="s">
        <v>501</v>
      </c>
      <c r="F41" s="153">
        <v>1596</v>
      </c>
      <c r="G41" s="285" t="s">
        <v>501</v>
      </c>
      <c r="H41" s="155">
        <v>20.88458518712379</v>
      </c>
      <c r="I41" s="285" t="s">
        <v>501</v>
      </c>
      <c r="J41" s="153">
        <v>6046</v>
      </c>
      <c r="K41" s="285" t="s">
        <v>501</v>
      </c>
      <c r="L41" s="155">
        <v>79.11541481287621</v>
      </c>
      <c r="M41" s="285" t="s">
        <v>501</v>
      </c>
    </row>
    <row r="42" spans="1:13" s="142" customFormat="1" ht="12.75" customHeight="1" x14ac:dyDescent="0.25">
      <c r="A42" s="151"/>
      <c r="B42" s="152" t="s">
        <v>4</v>
      </c>
      <c r="C42" s="218"/>
      <c r="D42" s="153">
        <v>6921</v>
      </c>
      <c r="E42" s="285" t="s">
        <v>501</v>
      </c>
      <c r="F42" s="153">
        <v>1434</v>
      </c>
      <c r="G42" s="285" t="s">
        <v>501</v>
      </c>
      <c r="H42" s="155">
        <v>20.719549198092761</v>
      </c>
      <c r="I42" s="285" t="s">
        <v>501</v>
      </c>
      <c r="J42" s="153">
        <v>5487</v>
      </c>
      <c r="K42" s="285" t="s">
        <v>501</v>
      </c>
      <c r="L42" s="155">
        <v>79.28045080190725</v>
      </c>
      <c r="M42" s="285" t="s">
        <v>501</v>
      </c>
    </row>
    <row r="43" spans="1:13" s="142" customFormat="1" ht="12.75" customHeight="1" x14ac:dyDescent="0.25">
      <c r="A43" s="151"/>
      <c r="B43" s="152"/>
      <c r="C43" s="218"/>
      <c r="D43" s="153"/>
      <c r="E43" s="285"/>
      <c r="F43" s="153"/>
      <c r="G43" s="285"/>
      <c r="H43" s="155"/>
      <c r="I43" s="285"/>
      <c r="J43" s="153"/>
      <c r="K43" s="285"/>
      <c r="L43" s="155"/>
      <c r="M43" s="285"/>
    </row>
    <row r="44" spans="1:13" s="142" customFormat="1" ht="12.75" customHeight="1" x14ac:dyDescent="0.25">
      <c r="A44" s="151">
        <v>2013</v>
      </c>
      <c r="B44" s="152" t="s">
        <v>1</v>
      </c>
      <c r="C44" s="218"/>
      <c r="D44" s="153">
        <v>6673</v>
      </c>
      <c r="E44" s="285" t="s">
        <v>501</v>
      </c>
      <c r="F44" s="153">
        <v>1293</v>
      </c>
      <c r="G44" s="285" t="s">
        <v>501</v>
      </c>
      <c r="H44" s="155">
        <v>19.376592237374492</v>
      </c>
      <c r="I44" s="285" t="s">
        <v>501</v>
      </c>
      <c r="J44" s="153">
        <v>5380</v>
      </c>
      <c r="K44" s="285" t="s">
        <v>501</v>
      </c>
      <c r="L44" s="155">
        <v>80.623407762625504</v>
      </c>
      <c r="M44" s="285" t="s">
        <v>501</v>
      </c>
    </row>
    <row r="45" spans="1:13" s="142" customFormat="1" ht="12.75" customHeight="1" x14ac:dyDescent="0.25">
      <c r="A45" s="151"/>
      <c r="B45" s="152" t="s">
        <v>2</v>
      </c>
      <c r="C45" s="218"/>
      <c r="D45" s="153">
        <v>6480</v>
      </c>
      <c r="E45" s="285" t="s">
        <v>501</v>
      </c>
      <c r="F45" s="153">
        <v>1403</v>
      </c>
      <c r="G45" s="285" t="s">
        <v>501</v>
      </c>
      <c r="H45" s="155">
        <v>21.651234567901234</v>
      </c>
      <c r="I45" s="285" t="s">
        <v>501</v>
      </c>
      <c r="J45" s="153">
        <v>5077</v>
      </c>
      <c r="K45" s="285" t="s">
        <v>501</v>
      </c>
      <c r="L45" s="155">
        <v>78.348765432098759</v>
      </c>
      <c r="M45" s="285" t="s">
        <v>501</v>
      </c>
    </row>
    <row r="46" spans="1:13" s="142" customFormat="1" ht="12.75" customHeight="1" x14ac:dyDescent="0.25">
      <c r="A46" s="151"/>
      <c r="B46" s="152" t="s">
        <v>3</v>
      </c>
      <c r="C46" s="218"/>
      <c r="D46" s="153">
        <v>6009</v>
      </c>
      <c r="E46" s="285" t="s">
        <v>501</v>
      </c>
      <c r="F46" s="153">
        <v>1458</v>
      </c>
      <c r="G46" s="285" t="s">
        <v>501</v>
      </c>
      <c r="H46" s="155">
        <v>24.263604593110337</v>
      </c>
      <c r="I46" s="285" t="s">
        <v>501</v>
      </c>
      <c r="J46" s="153">
        <v>4551</v>
      </c>
      <c r="K46" s="285" t="s">
        <v>501</v>
      </c>
      <c r="L46" s="155">
        <v>75.73639540688967</v>
      </c>
      <c r="M46" s="285" t="s">
        <v>501</v>
      </c>
    </row>
    <row r="47" spans="1:13" s="142" customFormat="1" ht="12.75" customHeight="1" x14ac:dyDescent="0.25">
      <c r="A47" s="151"/>
      <c r="B47" s="152" t="s">
        <v>4</v>
      </c>
      <c r="C47" s="218"/>
      <c r="D47" s="153">
        <v>5409</v>
      </c>
      <c r="E47" s="285" t="s">
        <v>501</v>
      </c>
      <c r="F47" s="153">
        <v>1223</v>
      </c>
      <c r="G47" s="285" t="s">
        <v>501</v>
      </c>
      <c r="H47" s="155">
        <v>22.610464041412463</v>
      </c>
      <c r="I47" s="285" t="s">
        <v>501</v>
      </c>
      <c r="J47" s="153">
        <v>4186</v>
      </c>
      <c r="K47" s="285" t="s">
        <v>501</v>
      </c>
      <c r="L47" s="155">
        <v>77.389535958587544</v>
      </c>
      <c r="M47" s="285" t="s">
        <v>501</v>
      </c>
    </row>
    <row r="48" spans="1:13" s="142" customFormat="1" ht="12.75" customHeight="1" x14ac:dyDescent="0.25">
      <c r="A48" s="151"/>
      <c r="B48" s="152"/>
      <c r="C48" s="218"/>
      <c r="D48" s="153"/>
      <c r="E48" s="285"/>
      <c r="F48" s="153"/>
      <c r="G48" s="285"/>
      <c r="H48" s="155"/>
      <c r="I48" s="285"/>
      <c r="J48" s="153"/>
      <c r="K48" s="285"/>
      <c r="L48" s="155"/>
      <c r="M48" s="285"/>
    </row>
    <row r="49" spans="1:13" s="142" customFormat="1" ht="12.75" customHeight="1" x14ac:dyDescent="0.25">
      <c r="A49" s="151">
        <v>2014</v>
      </c>
      <c r="B49" s="152" t="s">
        <v>1</v>
      </c>
      <c r="C49" s="218"/>
      <c r="D49" s="153">
        <v>5681</v>
      </c>
      <c r="E49" s="285" t="s">
        <v>501</v>
      </c>
      <c r="F49" s="153">
        <v>1253</v>
      </c>
      <c r="G49" s="285" t="s">
        <v>501</v>
      </c>
      <c r="H49" s="155">
        <v>22.05597606055272</v>
      </c>
      <c r="I49" s="285" t="s">
        <v>501</v>
      </c>
      <c r="J49" s="153">
        <v>4428</v>
      </c>
      <c r="K49" s="285" t="s">
        <v>501</v>
      </c>
      <c r="L49" s="155">
        <v>77.944023939447277</v>
      </c>
      <c r="M49" s="285" t="s">
        <v>501</v>
      </c>
    </row>
    <row r="50" spans="1:13" s="142" customFormat="1" ht="12.75" customHeight="1" x14ac:dyDescent="0.25">
      <c r="A50" s="151"/>
      <c r="B50" s="152" t="s">
        <v>2</v>
      </c>
      <c r="C50" s="218"/>
      <c r="D50" s="153">
        <v>5475</v>
      </c>
      <c r="E50" s="285" t="s">
        <v>501</v>
      </c>
      <c r="F50" s="153">
        <v>1324</v>
      </c>
      <c r="G50" s="285" t="s">
        <v>501</v>
      </c>
      <c r="H50" s="155">
        <v>24.182648401826484</v>
      </c>
      <c r="I50" s="285" t="s">
        <v>501</v>
      </c>
      <c r="J50" s="153">
        <v>4151</v>
      </c>
      <c r="K50" s="285" t="s">
        <v>501</v>
      </c>
      <c r="L50" s="155">
        <v>75.817351598173516</v>
      </c>
      <c r="M50" s="285" t="s">
        <v>501</v>
      </c>
    </row>
    <row r="51" spans="1:13" s="142" customFormat="1" ht="12.75" customHeight="1" x14ac:dyDescent="0.25">
      <c r="A51" s="151"/>
      <c r="B51" s="152" t="s">
        <v>3</v>
      </c>
      <c r="C51" s="218"/>
      <c r="D51" s="153">
        <v>4907</v>
      </c>
      <c r="E51" s="285" t="s">
        <v>501</v>
      </c>
      <c r="F51" s="153">
        <v>1239</v>
      </c>
      <c r="G51" s="285" t="s">
        <v>501</v>
      </c>
      <c r="H51" s="155">
        <v>25.249643366619118</v>
      </c>
      <c r="I51" s="285" t="s">
        <v>501</v>
      </c>
      <c r="J51" s="153">
        <v>3668</v>
      </c>
      <c r="K51" s="285" t="s">
        <v>501</v>
      </c>
      <c r="L51" s="155">
        <v>74.750356633380889</v>
      </c>
      <c r="M51" s="285" t="s">
        <v>501</v>
      </c>
    </row>
    <row r="52" spans="1:13" s="142" customFormat="1" ht="12.75" customHeight="1" x14ac:dyDescent="0.25">
      <c r="A52" s="151"/>
      <c r="B52" s="152" t="s">
        <v>4</v>
      </c>
      <c r="C52" s="218"/>
      <c r="D52" s="153">
        <v>4282</v>
      </c>
      <c r="E52" s="285" t="s">
        <v>501</v>
      </c>
      <c r="F52" s="153">
        <v>966</v>
      </c>
      <c r="G52" s="285" t="s">
        <v>501</v>
      </c>
      <c r="H52" s="155">
        <v>22.559551611396543</v>
      </c>
      <c r="I52" s="285" t="s">
        <v>501</v>
      </c>
      <c r="J52" s="153">
        <v>3316</v>
      </c>
      <c r="K52" s="285" t="s">
        <v>501</v>
      </c>
      <c r="L52" s="155">
        <v>77.440448388603457</v>
      </c>
      <c r="M52" s="285" t="s">
        <v>501</v>
      </c>
    </row>
    <row r="53" spans="1:13" s="142" customFormat="1" ht="12.75" customHeight="1" x14ac:dyDescent="0.25">
      <c r="A53" s="151"/>
      <c r="B53" s="152"/>
      <c r="C53" s="218"/>
      <c r="D53" s="153"/>
      <c r="E53" s="285"/>
      <c r="F53" s="153"/>
      <c r="G53" s="285"/>
      <c r="H53" s="155"/>
      <c r="I53" s="285"/>
      <c r="J53" s="153"/>
      <c r="K53" s="285"/>
      <c r="L53" s="155"/>
      <c r="M53" s="285"/>
    </row>
    <row r="54" spans="1:13" s="142" customFormat="1" ht="12.75" customHeight="1" x14ac:dyDescent="0.25">
      <c r="A54" s="151">
        <v>2015</v>
      </c>
      <c r="B54" s="152" t="s">
        <v>1</v>
      </c>
      <c r="C54" s="218"/>
      <c r="D54" s="153">
        <v>4404</v>
      </c>
      <c r="E54" s="285" t="s">
        <v>501</v>
      </c>
      <c r="F54" s="153">
        <v>1094</v>
      </c>
      <c r="G54" s="285" t="s">
        <v>501</v>
      </c>
      <c r="H54" s="155">
        <v>24.841053587647593</v>
      </c>
      <c r="I54" s="285" t="s">
        <v>501</v>
      </c>
      <c r="J54" s="153">
        <v>3310</v>
      </c>
      <c r="K54" s="285" t="s">
        <v>501</v>
      </c>
      <c r="L54" s="155">
        <v>75.158946412352407</v>
      </c>
      <c r="M54" s="285" t="s">
        <v>501</v>
      </c>
    </row>
    <row r="55" spans="1:13" s="142" customFormat="1" ht="12.75" customHeight="1" x14ac:dyDescent="0.25">
      <c r="A55" s="151"/>
      <c r="B55" s="152" t="s">
        <v>2</v>
      </c>
      <c r="C55" s="218"/>
      <c r="D55" s="153">
        <v>3975</v>
      </c>
      <c r="E55" s="285" t="s">
        <v>501</v>
      </c>
      <c r="F55" s="153">
        <v>1056</v>
      </c>
      <c r="G55" s="285" t="s">
        <v>501</v>
      </c>
      <c r="H55" s="155">
        <v>26.566037735849058</v>
      </c>
      <c r="I55" s="285" t="s">
        <v>501</v>
      </c>
      <c r="J55" s="153">
        <v>2919</v>
      </c>
      <c r="K55" s="285" t="s">
        <v>501</v>
      </c>
      <c r="L55" s="155">
        <v>73.433962264150949</v>
      </c>
      <c r="M55" s="285" t="s">
        <v>501</v>
      </c>
    </row>
    <row r="56" spans="1:13" s="142" customFormat="1" ht="12.75" customHeight="1" x14ac:dyDescent="0.25">
      <c r="A56" s="151"/>
      <c r="B56" s="152" t="s">
        <v>3</v>
      </c>
      <c r="C56" s="218"/>
      <c r="D56" s="153">
        <v>3896</v>
      </c>
      <c r="E56" s="285" t="s">
        <v>501</v>
      </c>
      <c r="F56" s="153">
        <v>1160</v>
      </c>
      <c r="G56" s="285" t="s">
        <v>501</v>
      </c>
      <c r="H56" s="155">
        <v>29.774127310061605</v>
      </c>
      <c r="I56" s="285" t="s">
        <v>501</v>
      </c>
      <c r="J56" s="153">
        <v>2736</v>
      </c>
      <c r="K56" s="285" t="s">
        <v>501</v>
      </c>
      <c r="L56" s="155">
        <v>70.225872689938399</v>
      </c>
      <c r="M56" s="285" t="s">
        <v>501</v>
      </c>
    </row>
    <row r="57" spans="1:13" s="142" customFormat="1" ht="12.75" customHeight="1" x14ac:dyDescent="0.25">
      <c r="A57" s="151"/>
      <c r="B57" s="152" t="s">
        <v>4</v>
      </c>
      <c r="C57" s="218"/>
      <c r="D57" s="153">
        <v>3570</v>
      </c>
      <c r="E57" s="285" t="s">
        <v>501</v>
      </c>
      <c r="F57" s="153">
        <v>1095</v>
      </c>
      <c r="G57" s="285" t="s">
        <v>501</v>
      </c>
      <c r="H57" s="155">
        <v>30.672268907563026</v>
      </c>
      <c r="I57" s="285" t="s">
        <v>501</v>
      </c>
      <c r="J57" s="153">
        <v>2475</v>
      </c>
      <c r="K57" s="285" t="s">
        <v>501</v>
      </c>
      <c r="L57" s="155">
        <v>69.327731092436977</v>
      </c>
      <c r="M57" s="285" t="s">
        <v>501</v>
      </c>
    </row>
    <row r="58" spans="1:13" s="142" customFormat="1" ht="12.75" customHeight="1" x14ac:dyDescent="0.25">
      <c r="A58" s="151"/>
      <c r="B58" s="152"/>
      <c r="C58" s="218"/>
      <c r="D58" s="153"/>
      <c r="E58" s="285"/>
      <c r="F58" s="153"/>
      <c r="G58" s="285"/>
      <c r="H58" s="155"/>
      <c r="I58" s="285"/>
      <c r="J58" s="153"/>
      <c r="K58" s="285"/>
      <c r="L58" s="155"/>
      <c r="M58" s="285"/>
    </row>
    <row r="59" spans="1:13" s="142" customFormat="1" ht="12.75" customHeight="1" x14ac:dyDescent="0.25">
      <c r="A59" s="151">
        <v>2016</v>
      </c>
      <c r="B59" s="152" t="s">
        <v>1</v>
      </c>
      <c r="C59" s="218"/>
      <c r="D59" s="153">
        <v>3775</v>
      </c>
      <c r="E59" s="285" t="s">
        <v>501</v>
      </c>
      <c r="F59" s="153">
        <v>1094</v>
      </c>
      <c r="G59" s="285" t="s">
        <v>501</v>
      </c>
      <c r="H59" s="155">
        <v>28.980132450331126</v>
      </c>
      <c r="I59" s="285" t="s">
        <v>501</v>
      </c>
      <c r="J59" s="153">
        <v>2681</v>
      </c>
      <c r="K59" s="285" t="s">
        <v>501</v>
      </c>
      <c r="L59" s="155">
        <v>71.019867549668874</v>
      </c>
      <c r="M59" s="285" t="s">
        <v>501</v>
      </c>
    </row>
    <row r="60" spans="1:13" s="142" customFormat="1" ht="12.75" customHeight="1" x14ac:dyDescent="0.25">
      <c r="A60" s="151"/>
      <c r="B60" s="152" t="s">
        <v>2</v>
      </c>
      <c r="C60" s="218"/>
      <c r="D60" s="153">
        <v>3709</v>
      </c>
      <c r="E60" s="285" t="s">
        <v>501</v>
      </c>
      <c r="F60" s="153">
        <v>960</v>
      </c>
      <c r="G60" s="285" t="s">
        <v>501</v>
      </c>
      <c r="H60" s="155">
        <v>25.882987328120787</v>
      </c>
      <c r="I60" s="285" t="s">
        <v>501</v>
      </c>
      <c r="J60" s="153">
        <v>2749</v>
      </c>
      <c r="K60" s="285" t="s">
        <v>501</v>
      </c>
      <c r="L60" s="155">
        <v>74.117012671879209</v>
      </c>
      <c r="M60" s="285" t="s">
        <v>501</v>
      </c>
    </row>
    <row r="61" spans="1:13" s="142" customFormat="1" ht="12.75" customHeight="1" x14ac:dyDescent="0.25">
      <c r="A61" s="151"/>
      <c r="B61" s="152" t="s">
        <v>3</v>
      </c>
      <c r="C61" s="218"/>
      <c r="D61" s="153">
        <v>3936</v>
      </c>
      <c r="E61" s="285" t="s">
        <v>501</v>
      </c>
      <c r="F61" s="153">
        <v>938</v>
      </c>
      <c r="G61" s="285" t="s">
        <v>501</v>
      </c>
      <c r="H61" s="155">
        <v>23.831300813008131</v>
      </c>
      <c r="I61" s="285" t="s">
        <v>501</v>
      </c>
      <c r="J61" s="153">
        <v>2998</v>
      </c>
      <c r="K61" s="285" t="s">
        <v>501</v>
      </c>
      <c r="L61" s="155">
        <v>76.168699186991873</v>
      </c>
      <c r="M61" s="285" t="s">
        <v>501</v>
      </c>
    </row>
    <row r="62" spans="1:13" s="142" customFormat="1" ht="12.75" customHeight="1" x14ac:dyDescent="0.25">
      <c r="A62" s="151"/>
      <c r="B62" s="152" t="s">
        <v>4</v>
      </c>
      <c r="C62" s="218"/>
      <c r="D62" s="153">
        <v>3624</v>
      </c>
      <c r="E62" s="285" t="s">
        <v>501</v>
      </c>
      <c r="F62" s="153">
        <v>905</v>
      </c>
      <c r="G62" s="285" t="s">
        <v>501</v>
      </c>
      <c r="H62" s="155">
        <v>24.972406181015451</v>
      </c>
      <c r="I62" s="285" t="s">
        <v>501</v>
      </c>
      <c r="J62" s="153">
        <v>2719</v>
      </c>
      <c r="K62" s="285" t="s">
        <v>501</v>
      </c>
      <c r="L62" s="155">
        <v>75.027593818984556</v>
      </c>
      <c r="M62" s="285" t="s">
        <v>501</v>
      </c>
    </row>
    <row r="63" spans="1:13" s="142" customFormat="1" ht="12.75" customHeight="1" x14ac:dyDescent="0.25">
      <c r="A63" s="151"/>
      <c r="B63" s="152"/>
      <c r="C63" s="218"/>
      <c r="D63" s="153"/>
      <c r="E63" s="285"/>
      <c r="F63" s="153"/>
      <c r="G63" s="285"/>
      <c r="H63" s="155"/>
      <c r="I63" s="285"/>
      <c r="J63" s="153"/>
      <c r="K63" s="285"/>
      <c r="L63" s="155"/>
      <c r="M63" s="285"/>
    </row>
    <row r="64" spans="1:13" s="142" customFormat="1" ht="12.75" customHeight="1" x14ac:dyDescent="0.25">
      <c r="A64" s="151">
        <v>2017</v>
      </c>
      <c r="B64" s="152" t="s">
        <v>1</v>
      </c>
      <c r="C64" s="218"/>
      <c r="D64" s="153">
        <v>4083</v>
      </c>
      <c r="E64" s="285" t="s">
        <v>501</v>
      </c>
      <c r="F64" s="153">
        <v>903</v>
      </c>
      <c r="G64" s="285" t="s">
        <v>501</v>
      </c>
      <c r="H64" s="155">
        <v>22.116091109478326</v>
      </c>
      <c r="I64" s="285" t="s">
        <v>501</v>
      </c>
      <c r="J64" s="153">
        <v>3180</v>
      </c>
      <c r="K64" s="285" t="s">
        <v>501</v>
      </c>
      <c r="L64" s="155">
        <v>77.883908890521681</v>
      </c>
      <c r="M64" s="285" t="s">
        <v>501</v>
      </c>
    </row>
    <row r="65" spans="1:13" s="142" customFormat="1" ht="12.75" customHeight="1" x14ac:dyDescent="0.25">
      <c r="A65" s="151"/>
      <c r="B65" s="152" t="s">
        <v>2</v>
      </c>
      <c r="C65" s="218"/>
      <c r="D65" s="153">
        <v>3722</v>
      </c>
      <c r="E65" s="285" t="s">
        <v>279</v>
      </c>
      <c r="F65" s="153">
        <v>831</v>
      </c>
      <c r="G65" s="285" t="s">
        <v>279</v>
      </c>
      <c r="H65" s="155">
        <v>22.326706072004299</v>
      </c>
      <c r="I65" s="285" t="s">
        <v>501</v>
      </c>
      <c r="J65" s="153">
        <v>2891</v>
      </c>
      <c r="K65" s="285" t="s">
        <v>501</v>
      </c>
      <c r="L65" s="155">
        <v>77.673293927995701</v>
      </c>
      <c r="M65" s="285" t="s">
        <v>501</v>
      </c>
    </row>
    <row r="66" spans="1:13" s="142" customFormat="1" ht="12.75" customHeight="1" x14ac:dyDescent="0.25">
      <c r="A66" s="151"/>
      <c r="B66" s="152" t="s">
        <v>3</v>
      </c>
      <c r="C66" s="218"/>
      <c r="D66" s="153">
        <v>3738</v>
      </c>
      <c r="E66" s="285" t="s">
        <v>279</v>
      </c>
      <c r="F66" s="153">
        <v>816</v>
      </c>
      <c r="G66" s="285" t="s">
        <v>279</v>
      </c>
      <c r="H66" s="155">
        <v>21.829855537720707</v>
      </c>
      <c r="I66" s="285" t="s">
        <v>279</v>
      </c>
      <c r="J66" s="153">
        <v>2922</v>
      </c>
      <c r="K66" s="285" t="s">
        <v>501</v>
      </c>
      <c r="L66" s="155">
        <v>78.170144462279296</v>
      </c>
      <c r="M66" s="285" t="s">
        <v>279</v>
      </c>
    </row>
    <row r="67" spans="1:13" s="142" customFormat="1" ht="12.75" customHeight="1" x14ac:dyDescent="0.25">
      <c r="A67" s="152"/>
      <c r="B67" s="152" t="s">
        <v>4</v>
      </c>
      <c r="C67" s="218" t="s">
        <v>196</v>
      </c>
      <c r="D67" s="153">
        <v>3539</v>
      </c>
      <c r="E67" s="285" t="s">
        <v>501</v>
      </c>
      <c r="F67" s="153">
        <v>732</v>
      </c>
      <c r="G67" s="285" t="s">
        <v>501</v>
      </c>
      <c r="H67" s="155">
        <v>20.683808985589149</v>
      </c>
      <c r="I67" s="285" t="s">
        <v>501</v>
      </c>
      <c r="J67" s="153">
        <v>2807</v>
      </c>
      <c r="K67" s="285" t="s">
        <v>501</v>
      </c>
      <c r="L67" s="155">
        <v>79.316191014410848</v>
      </c>
      <c r="M67" s="285" t="s">
        <v>501</v>
      </c>
    </row>
    <row r="68" spans="1:13" s="142" customFormat="1" ht="12.75" customHeight="1" x14ac:dyDescent="0.25">
      <c r="A68" s="151"/>
      <c r="B68" s="152"/>
      <c r="C68" s="218"/>
      <c r="D68" s="153"/>
      <c r="E68" s="285"/>
      <c r="F68" s="153"/>
      <c r="G68" s="285"/>
      <c r="H68" s="155"/>
      <c r="I68" s="285"/>
      <c r="J68" s="153"/>
      <c r="K68" s="285"/>
      <c r="L68" s="155"/>
      <c r="M68" s="285"/>
    </row>
    <row r="69" spans="1:13" s="142" customFormat="1" ht="12.75" customHeight="1" thickBot="1" x14ac:dyDescent="0.3">
      <c r="A69" s="152"/>
      <c r="B69" s="156"/>
      <c r="C69" s="219"/>
      <c r="D69" s="153"/>
      <c r="E69" s="285"/>
      <c r="F69" s="153"/>
      <c r="G69" s="285"/>
      <c r="H69" s="155"/>
      <c r="I69" s="285"/>
      <c r="J69" s="153"/>
      <c r="K69" s="285"/>
      <c r="L69" s="155"/>
      <c r="M69" s="285"/>
    </row>
    <row r="70" spans="1:13" s="142" customFormat="1" ht="12.75" customHeight="1" x14ac:dyDescent="0.2">
      <c r="A70" s="159" t="s">
        <v>502</v>
      </c>
      <c r="B70" s="159"/>
      <c r="C70" s="220"/>
      <c r="D70" s="159"/>
      <c r="E70" s="159"/>
      <c r="F70" s="159"/>
      <c r="G70" s="159"/>
      <c r="H70" s="200"/>
      <c r="I70" s="159"/>
      <c r="J70" s="159"/>
      <c r="K70" s="159"/>
      <c r="L70" s="200"/>
      <c r="M70" s="159"/>
    </row>
    <row r="71" spans="1:13" s="142" customFormat="1" ht="12.75" customHeight="1" x14ac:dyDescent="0.2">
      <c r="A71" s="160"/>
      <c r="B71" s="160"/>
      <c r="C71" s="161"/>
      <c r="D71" s="160"/>
      <c r="E71" s="160"/>
      <c r="F71" s="160"/>
      <c r="G71" s="160"/>
      <c r="H71" s="201"/>
      <c r="I71" s="160"/>
      <c r="J71" s="160"/>
      <c r="K71" s="160"/>
      <c r="L71" s="201"/>
      <c r="M71" s="160"/>
    </row>
    <row r="72" spans="1:13" s="142" customFormat="1" ht="12.75" hidden="1" customHeight="1" x14ac:dyDescent="0.2">
      <c r="A72" s="162">
        <v>2017</v>
      </c>
      <c r="B72" s="163" t="s">
        <v>3</v>
      </c>
      <c r="C72" s="221"/>
      <c r="D72" s="164" t="s">
        <v>121</v>
      </c>
      <c r="E72" s="160"/>
      <c r="F72" s="164" t="s">
        <v>121</v>
      </c>
      <c r="G72" s="160"/>
      <c r="H72" s="202"/>
      <c r="I72" s="160"/>
      <c r="J72" s="164" t="s">
        <v>121</v>
      </c>
      <c r="K72" s="160"/>
      <c r="L72" s="202"/>
      <c r="M72" s="160"/>
    </row>
    <row r="73" spans="1:13" s="142" customFormat="1" ht="12.75" hidden="1" customHeight="1" x14ac:dyDescent="0.2">
      <c r="A73" s="165"/>
      <c r="B73" s="166"/>
      <c r="C73" s="222"/>
      <c r="D73" s="167"/>
      <c r="E73" s="286"/>
      <c r="F73" s="167"/>
      <c r="G73" s="286"/>
      <c r="H73" s="203"/>
      <c r="I73" s="286"/>
      <c r="J73" s="167"/>
      <c r="K73" s="286"/>
      <c r="L73" s="203"/>
      <c r="M73" s="286"/>
    </row>
    <row r="74" spans="1:13" s="142" customFormat="1" ht="12.75" customHeight="1" thickBot="1" x14ac:dyDescent="0.25">
      <c r="A74" s="157">
        <v>2016</v>
      </c>
      <c r="B74" s="158" t="s">
        <v>4</v>
      </c>
      <c r="C74" s="223"/>
      <c r="D74" s="168">
        <v>-2.3454746136865379</v>
      </c>
      <c r="E74" s="287"/>
      <c r="F74" s="168">
        <v>-19.116022099447516</v>
      </c>
      <c r="G74" s="287"/>
      <c r="H74" s="204"/>
      <c r="I74" s="287"/>
      <c r="J74" s="168">
        <v>3.2364840014711183</v>
      </c>
      <c r="K74" s="287"/>
      <c r="L74" s="204"/>
      <c r="M74" s="287"/>
    </row>
    <row r="75" spans="1:13" s="169" customFormat="1" ht="12.75" customHeight="1" x14ac:dyDescent="0.2">
      <c r="A75" s="343"/>
      <c r="B75" s="343"/>
      <c r="C75" s="343"/>
      <c r="D75" s="343"/>
      <c r="E75" s="343"/>
      <c r="F75" s="343"/>
      <c r="G75" s="343"/>
      <c r="H75" s="343"/>
      <c r="I75" s="343"/>
      <c r="J75" s="343"/>
      <c r="K75" s="343"/>
      <c r="L75" s="343"/>
      <c r="M75" s="343"/>
    </row>
    <row r="76" spans="1:13" s="169" customFormat="1" ht="29.25" customHeight="1" x14ac:dyDescent="0.2">
      <c r="A76" s="338" t="s">
        <v>482</v>
      </c>
      <c r="B76" s="338"/>
      <c r="C76" s="338"/>
      <c r="D76" s="338"/>
      <c r="E76" s="338"/>
      <c r="F76" s="338"/>
      <c r="G76" s="338"/>
      <c r="H76" s="338"/>
      <c r="I76" s="338"/>
      <c r="J76" s="338"/>
      <c r="K76" s="338"/>
      <c r="L76" s="338"/>
      <c r="M76" s="338"/>
    </row>
    <row r="77" spans="1:13" s="169" customFormat="1" ht="33.75" customHeight="1" x14ac:dyDescent="0.2">
      <c r="A77" s="338" t="s">
        <v>488</v>
      </c>
      <c r="B77" s="338"/>
      <c r="C77" s="338"/>
      <c r="D77" s="338"/>
      <c r="E77" s="338"/>
      <c r="F77" s="338"/>
      <c r="G77" s="338"/>
      <c r="H77" s="338"/>
      <c r="I77" s="338"/>
      <c r="J77" s="338"/>
      <c r="K77" s="338"/>
      <c r="L77" s="338"/>
      <c r="M77" s="338"/>
    </row>
    <row r="78" spans="1:13" s="170" customFormat="1" ht="47.25" customHeight="1" x14ac:dyDescent="0.3">
      <c r="A78" s="338" t="s">
        <v>481</v>
      </c>
      <c r="B78" s="338"/>
      <c r="C78" s="338"/>
      <c r="D78" s="338"/>
      <c r="E78" s="338"/>
      <c r="F78" s="338"/>
      <c r="G78" s="338"/>
      <c r="H78" s="338"/>
      <c r="I78" s="338"/>
      <c r="J78" s="338"/>
      <c r="K78" s="338"/>
      <c r="L78" s="338"/>
      <c r="M78" s="338"/>
    </row>
    <row r="79" spans="1:13" s="171" customFormat="1" ht="15" x14ac:dyDescent="0.3">
      <c r="A79" s="344"/>
      <c r="B79" s="344"/>
      <c r="C79" s="344"/>
      <c r="D79" s="344"/>
      <c r="E79" s="344"/>
      <c r="F79" s="344"/>
      <c r="G79" s="344"/>
      <c r="H79" s="344"/>
      <c r="I79" s="344"/>
      <c r="J79" s="344"/>
      <c r="K79" s="344"/>
      <c r="L79" s="344"/>
      <c r="M79" s="344"/>
    </row>
    <row r="80" spans="1:13" s="171" customFormat="1" ht="27.75" customHeight="1" x14ac:dyDescent="0.3">
      <c r="A80" s="344"/>
      <c r="B80" s="344"/>
      <c r="C80" s="344"/>
      <c r="D80" s="344"/>
      <c r="E80" s="344"/>
      <c r="F80" s="344"/>
      <c r="G80" s="344"/>
      <c r="H80" s="344"/>
      <c r="I80" s="344"/>
      <c r="J80" s="344"/>
      <c r="K80" s="344"/>
      <c r="L80" s="344"/>
      <c r="M80" s="344"/>
    </row>
    <row r="81" spans="1:13" ht="12.75" customHeight="1" x14ac:dyDescent="0.3">
      <c r="A81" s="344"/>
      <c r="B81" s="344"/>
      <c r="C81" s="344"/>
      <c r="D81" s="344"/>
      <c r="E81" s="344"/>
      <c r="F81" s="344"/>
      <c r="G81" s="344"/>
      <c r="H81" s="344"/>
      <c r="I81" s="344"/>
      <c r="J81" s="344"/>
      <c r="K81" s="344"/>
      <c r="L81" s="344"/>
      <c r="M81" s="344"/>
    </row>
    <row r="82" spans="1:13" ht="12.75" customHeight="1" x14ac:dyDescent="0.3">
      <c r="A82" s="344"/>
      <c r="B82" s="344"/>
      <c r="C82" s="344"/>
      <c r="D82" s="344"/>
      <c r="E82" s="344"/>
      <c r="F82" s="344"/>
      <c r="G82" s="344"/>
      <c r="H82" s="344"/>
      <c r="I82" s="344"/>
      <c r="J82" s="344"/>
      <c r="K82" s="344"/>
      <c r="L82" s="344"/>
      <c r="M82" s="344"/>
    </row>
    <row r="83" spans="1:13" ht="12.75" customHeight="1" x14ac:dyDescent="0.3">
      <c r="A83" s="344"/>
      <c r="B83" s="344"/>
      <c r="C83" s="344"/>
      <c r="D83" s="344"/>
      <c r="E83" s="344"/>
      <c r="F83" s="344"/>
      <c r="G83" s="344"/>
      <c r="H83" s="344"/>
      <c r="I83" s="344"/>
      <c r="J83" s="344"/>
      <c r="K83" s="344"/>
      <c r="L83" s="344"/>
      <c r="M83" s="344"/>
    </row>
    <row r="84" spans="1:13" ht="12.75" customHeight="1" x14ac:dyDescent="0.3">
      <c r="A84" s="344"/>
      <c r="B84" s="344"/>
      <c r="C84" s="344"/>
      <c r="D84" s="344"/>
      <c r="E84" s="344"/>
      <c r="F84" s="344"/>
      <c r="G84" s="344"/>
      <c r="H84" s="344"/>
      <c r="I84" s="344"/>
      <c r="J84" s="344"/>
      <c r="K84" s="344"/>
      <c r="L84" s="344"/>
      <c r="M84" s="344"/>
    </row>
    <row r="85" spans="1:13" ht="12.75" customHeight="1" x14ac:dyDescent="0.3">
      <c r="A85" s="344"/>
      <c r="B85" s="344"/>
      <c r="C85" s="344"/>
      <c r="D85" s="344"/>
      <c r="E85" s="344"/>
      <c r="F85" s="344"/>
      <c r="G85" s="344"/>
      <c r="H85" s="344"/>
      <c r="I85" s="344"/>
      <c r="J85" s="344"/>
      <c r="K85" s="344"/>
      <c r="L85" s="344"/>
      <c r="M85" s="344"/>
    </row>
    <row r="86" spans="1:13" ht="12.75" customHeight="1" x14ac:dyDescent="0.3">
      <c r="A86" s="344"/>
      <c r="B86" s="344"/>
      <c r="C86" s="344"/>
      <c r="D86" s="344"/>
      <c r="E86" s="344"/>
      <c r="F86" s="344"/>
      <c r="G86" s="344"/>
      <c r="H86" s="344"/>
      <c r="I86" s="344"/>
      <c r="J86" s="344"/>
      <c r="K86" s="344"/>
      <c r="L86" s="344"/>
      <c r="M86" s="344"/>
    </row>
  </sheetData>
  <dataConsolidate/>
  <mergeCells count="21">
    <mergeCell ref="A86:M86"/>
    <mergeCell ref="F5:M5"/>
    <mergeCell ref="F6:I6"/>
    <mergeCell ref="J6:M6"/>
    <mergeCell ref="F7:G7"/>
    <mergeCell ref="H7:I7"/>
    <mergeCell ref="J7:K7"/>
    <mergeCell ref="A80:M80"/>
    <mergeCell ref="A81:M81"/>
    <mergeCell ref="A82:M82"/>
    <mergeCell ref="A83:M83"/>
    <mergeCell ref="A84:M84"/>
    <mergeCell ref="A85:M85"/>
    <mergeCell ref="J4:M4"/>
    <mergeCell ref="A75:M75"/>
    <mergeCell ref="A76:M76"/>
    <mergeCell ref="A78:M78"/>
    <mergeCell ref="A79:M79"/>
    <mergeCell ref="L7:M7"/>
    <mergeCell ref="D5:E7"/>
    <mergeCell ref="A77:M77"/>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N85"/>
  <sheetViews>
    <sheetView showGridLines="0" zoomScaleNormal="100" workbookViewId="0">
      <pane xSplit="3" ySplit="6" topLeftCell="D47"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257" customWidth="1"/>
    <col min="4" max="4" width="12.7109375" style="172" customWidth="1"/>
    <col min="5" max="5" width="3.85546875" style="174" customWidth="1"/>
    <col min="6" max="6" width="14.5703125" style="172" customWidth="1"/>
    <col min="7" max="7" width="3.85546875" style="174" customWidth="1"/>
    <col min="8" max="8" width="14.5703125" style="134" customWidth="1"/>
    <col min="9" max="9" width="3.85546875" style="171" customWidth="1"/>
    <col min="10" max="10" width="12.28515625" style="134" customWidth="1"/>
    <col min="11" max="16384" width="8.85546875" style="134"/>
  </cols>
  <sheetData>
    <row r="1" spans="1:14" ht="12.75" customHeight="1" x14ac:dyDescent="0.3">
      <c r="B1" s="132"/>
      <c r="C1" s="132"/>
      <c r="D1" s="132"/>
      <c r="E1" s="133"/>
      <c r="F1" s="132"/>
      <c r="G1" s="133"/>
    </row>
    <row r="2" spans="1:14" s="136" customFormat="1" ht="31.5" customHeight="1" x14ac:dyDescent="0.3">
      <c r="A2" s="192" t="s">
        <v>179</v>
      </c>
      <c r="B2" s="193"/>
      <c r="C2" s="246"/>
      <c r="D2" s="194" t="s">
        <v>246</v>
      </c>
      <c r="E2" s="133"/>
      <c r="F2" s="132"/>
      <c r="G2" s="133"/>
      <c r="H2" s="132"/>
      <c r="I2" s="133"/>
      <c r="J2" s="132"/>
      <c r="K2" s="132"/>
      <c r="L2" s="132"/>
    </row>
    <row r="3" spans="1:14" s="136" customFormat="1" ht="19.5" x14ac:dyDescent="0.3">
      <c r="A3" s="195" t="s">
        <v>153</v>
      </c>
      <c r="B3" s="196"/>
      <c r="C3" s="247"/>
      <c r="D3" s="197" t="s">
        <v>243</v>
      </c>
      <c r="E3" s="282"/>
      <c r="F3" s="187"/>
      <c r="G3" s="133"/>
      <c r="H3" s="132"/>
      <c r="I3" s="133"/>
      <c r="J3" s="132"/>
      <c r="K3" s="132"/>
      <c r="L3" s="132"/>
    </row>
    <row r="4" spans="1:14" ht="10.5" customHeight="1" thickBot="1" x14ac:dyDescent="0.35">
      <c r="A4" s="137"/>
      <c r="B4" s="137"/>
      <c r="C4" s="137"/>
      <c r="D4" s="137"/>
      <c r="E4" s="214"/>
      <c r="F4" s="339"/>
      <c r="G4" s="339"/>
    </row>
    <row r="5" spans="1:14" ht="30.75" customHeight="1" thickBot="1" x14ac:dyDescent="0.35">
      <c r="A5" s="232"/>
      <c r="B5" s="232"/>
      <c r="C5" s="248"/>
      <c r="D5" s="348" t="s">
        <v>175</v>
      </c>
      <c r="E5" s="348"/>
      <c r="F5" s="347" t="s">
        <v>174</v>
      </c>
      <c r="G5" s="347"/>
      <c r="H5" s="347"/>
      <c r="I5" s="347"/>
    </row>
    <row r="6" spans="1:14" s="141" customFormat="1" ht="19.5" customHeight="1" thickBot="1" x14ac:dyDescent="0.35">
      <c r="A6" s="228"/>
      <c r="B6" s="229" t="s">
        <v>140</v>
      </c>
      <c r="C6" s="249"/>
      <c r="D6" s="349"/>
      <c r="E6" s="349"/>
      <c r="F6" s="346" t="s">
        <v>250</v>
      </c>
      <c r="G6" s="346"/>
      <c r="H6" s="346" t="s">
        <v>129</v>
      </c>
      <c r="I6" s="346"/>
    </row>
    <row r="7" spans="1:14" s="146" customFormat="1" ht="12.75" customHeight="1" x14ac:dyDescent="0.25">
      <c r="A7" s="143">
        <v>2008</v>
      </c>
      <c r="B7" s="143"/>
      <c r="C7" s="250"/>
      <c r="D7" s="144">
        <v>67428</v>
      </c>
      <c r="E7" s="145" t="s">
        <v>501</v>
      </c>
      <c r="F7" s="144">
        <v>8183.0000000000091</v>
      </c>
      <c r="G7" s="145" t="s">
        <v>501</v>
      </c>
      <c r="H7" s="144">
        <v>59245</v>
      </c>
      <c r="I7" s="145" t="s">
        <v>501</v>
      </c>
    </row>
    <row r="8" spans="1:14" s="146" customFormat="1" ht="12.75" customHeight="1" x14ac:dyDescent="0.25">
      <c r="A8" s="143">
        <v>2009</v>
      </c>
      <c r="B8" s="143"/>
      <c r="C8" s="250"/>
      <c r="D8" s="144">
        <v>74671</v>
      </c>
      <c r="E8" s="145" t="s">
        <v>501</v>
      </c>
      <c r="F8" s="144">
        <v>9753</v>
      </c>
      <c r="G8" s="145" t="s">
        <v>501</v>
      </c>
      <c r="H8" s="144">
        <v>64916.999999999993</v>
      </c>
      <c r="I8" s="145" t="s">
        <v>501</v>
      </c>
    </row>
    <row r="9" spans="1:14" s="146" customFormat="1" ht="12.75" customHeight="1" x14ac:dyDescent="0.25">
      <c r="A9" s="143">
        <v>2010</v>
      </c>
      <c r="B9" s="143"/>
      <c r="C9" s="250"/>
      <c r="D9" s="144">
        <v>59173</v>
      </c>
      <c r="E9" s="145" t="s">
        <v>501</v>
      </c>
      <c r="F9" s="144">
        <v>8143.9999999999909</v>
      </c>
      <c r="G9" s="145" t="s">
        <v>501</v>
      </c>
      <c r="H9" s="144">
        <v>51028.999999999993</v>
      </c>
      <c r="I9" s="145" t="s">
        <v>501</v>
      </c>
    </row>
    <row r="10" spans="1:14" s="146" customFormat="1" ht="12.75" customHeight="1" x14ac:dyDescent="0.25">
      <c r="A10" s="143">
        <v>2011</v>
      </c>
      <c r="B10" s="143"/>
      <c r="C10" s="250"/>
      <c r="D10" s="144">
        <v>41875.999999999942</v>
      </c>
      <c r="E10" s="145" t="s">
        <v>501</v>
      </c>
      <c r="F10" s="144">
        <v>8893.0000000000109</v>
      </c>
      <c r="G10" s="145" t="s">
        <v>501</v>
      </c>
      <c r="H10" s="144">
        <v>32983</v>
      </c>
      <c r="I10" s="145" t="s">
        <v>501</v>
      </c>
    </row>
    <row r="11" spans="1:14" s="146" customFormat="1" ht="12.75" customHeight="1" x14ac:dyDescent="0.25">
      <c r="A11" s="143">
        <v>2012</v>
      </c>
      <c r="B11" s="143"/>
      <c r="C11" s="250"/>
      <c r="D11" s="144">
        <v>31787.000000000011</v>
      </c>
      <c r="E11" s="145" t="s">
        <v>501</v>
      </c>
      <c r="F11" s="144">
        <v>7522.9999999999991</v>
      </c>
      <c r="G11" s="145" t="s">
        <v>501</v>
      </c>
      <c r="H11" s="144">
        <v>24264.000000000011</v>
      </c>
      <c r="I11" s="145" t="s">
        <v>501</v>
      </c>
    </row>
    <row r="12" spans="1:14" s="146" customFormat="1" ht="12.75" customHeight="1" x14ac:dyDescent="0.25">
      <c r="A12" s="143">
        <v>2013</v>
      </c>
      <c r="B12" s="143"/>
      <c r="C12" s="250"/>
      <c r="D12" s="144">
        <v>24570.999999999993</v>
      </c>
      <c r="E12" s="145" t="s">
        <v>501</v>
      </c>
      <c r="F12" s="144">
        <v>5999.00000000001</v>
      </c>
      <c r="G12" s="145" t="s">
        <v>501</v>
      </c>
      <c r="H12" s="144">
        <v>18572</v>
      </c>
      <c r="I12" s="145" t="s">
        <v>501</v>
      </c>
    </row>
    <row r="13" spans="1:14" s="146" customFormat="1" ht="12.75" customHeight="1" x14ac:dyDescent="0.25">
      <c r="A13" s="143">
        <v>2014</v>
      </c>
      <c r="B13" s="143"/>
      <c r="C13" s="250"/>
      <c r="D13" s="144">
        <v>20345</v>
      </c>
      <c r="E13" s="145" t="s">
        <v>501</v>
      </c>
      <c r="F13" s="144">
        <v>4956</v>
      </c>
      <c r="G13" s="145" t="s">
        <v>501</v>
      </c>
      <c r="H13" s="144">
        <v>15388.999999999989</v>
      </c>
      <c r="I13" s="145" t="s">
        <v>501</v>
      </c>
    </row>
    <row r="14" spans="1:14" s="146" customFormat="1" ht="12.75" customHeight="1" x14ac:dyDescent="0.25">
      <c r="A14" s="143">
        <v>2015</v>
      </c>
      <c r="B14" s="143"/>
      <c r="C14" s="250"/>
      <c r="D14" s="144">
        <v>15844.999999999991</v>
      </c>
      <c r="E14" s="145" t="s">
        <v>501</v>
      </c>
      <c r="F14" s="144">
        <v>3903.9999999999964</v>
      </c>
      <c r="G14" s="145" t="s">
        <v>501</v>
      </c>
      <c r="H14" s="144">
        <v>11941</v>
      </c>
      <c r="I14" s="145" t="s">
        <v>501</v>
      </c>
    </row>
    <row r="15" spans="1:14" s="146" customFormat="1" ht="12.75" customHeight="1" x14ac:dyDescent="0.25">
      <c r="A15" s="143">
        <v>2016</v>
      </c>
      <c r="B15" s="143"/>
      <c r="C15" s="250"/>
      <c r="D15" s="144">
        <v>15044</v>
      </c>
      <c r="E15" s="145" t="s">
        <v>501</v>
      </c>
      <c r="F15" s="144">
        <v>3680</v>
      </c>
      <c r="G15" s="145" t="s">
        <v>501</v>
      </c>
      <c r="H15" s="144">
        <v>11364</v>
      </c>
      <c r="I15" s="145" t="s">
        <v>501</v>
      </c>
      <c r="N15" s="147"/>
    </row>
    <row r="16" spans="1:14" s="146" customFormat="1" ht="12.75" customHeight="1" x14ac:dyDescent="0.25">
      <c r="A16" s="143">
        <v>2017</v>
      </c>
      <c r="B16" s="212" t="s">
        <v>196</v>
      </c>
      <c r="C16" s="142"/>
      <c r="D16" s="144">
        <v>15082</v>
      </c>
      <c r="E16" s="145" t="s">
        <v>501</v>
      </c>
      <c r="F16" s="144" t="s">
        <v>67</v>
      </c>
      <c r="G16" s="145" t="s">
        <v>501</v>
      </c>
      <c r="H16" s="144" t="s">
        <v>67</v>
      </c>
      <c r="I16" s="145" t="s">
        <v>501</v>
      </c>
    </row>
    <row r="17" spans="1:9" s="142" customFormat="1" ht="12.75" customHeight="1" x14ac:dyDescent="0.25">
      <c r="A17" s="148"/>
      <c r="B17" s="148"/>
      <c r="C17" s="251"/>
      <c r="D17" s="149"/>
      <c r="E17" s="154"/>
      <c r="F17" s="149"/>
      <c r="G17" s="154"/>
      <c r="H17" s="149"/>
      <c r="I17" s="154"/>
    </row>
    <row r="18" spans="1:9" s="142" customFormat="1" ht="12.75" customHeight="1" x14ac:dyDescent="0.25">
      <c r="A18" s="151">
        <v>2008</v>
      </c>
      <c r="B18" s="152" t="s">
        <v>1</v>
      </c>
      <c r="C18" s="250"/>
      <c r="D18" s="153">
        <v>15482</v>
      </c>
      <c r="E18" s="154" t="s">
        <v>501</v>
      </c>
      <c r="F18" s="153">
        <v>1743.11862817203</v>
      </c>
      <c r="G18" s="154" t="s">
        <v>501</v>
      </c>
      <c r="H18" s="153">
        <v>13568.6862762289</v>
      </c>
      <c r="I18" s="154" t="s">
        <v>501</v>
      </c>
    </row>
    <row r="19" spans="1:9" s="142" customFormat="1" ht="12.75" customHeight="1" x14ac:dyDescent="0.25">
      <c r="A19" s="151"/>
      <c r="B19" s="152" t="s">
        <v>2</v>
      </c>
      <c r="C19" s="250"/>
      <c r="D19" s="153">
        <v>15536</v>
      </c>
      <c r="E19" s="154" t="s">
        <v>501</v>
      </c>
      <c r="F19" s="153">
        <v>1862.32049630809</v>
      </c>
      <c r="G19" s="154" t="s">
        <v>501</v>
      </c>
      <c r="H19" s="153">
        <v>13907.390401757901</v>
      </c>
      <c r="I19" s="154" t="s">
        <v>501</v>
      </c>
    </row>
    <row r="20" spans="1:9" s="142" customFormat="1" ht="12.75" customHeight="1" x14ac:dyDescent="0.25">
      <c r="A20" s="153"/>
      <c r="B20" s="245" t="s">
        <v>3</v>
      </c>
      <c r="C20" s="252"/>
      <c r="D20" s="153">
        <v>17474</v>
      </c>
      <c r="E20" s="150" t="s">
        <v>501</v>
      </c>
      <c r="F20" s="153">
        <v>2187.6414631809798</v>
      </c>
      <c r="G20" s="150" t="s">
        <v>501</v>
      </c>
      <c r="H20" s="153">
        <v>15262.6552645844</v>
      </c>
      <c r="I20" s="154" t="s">
        <v>501</v>
      </c>
    </row>
    <row r="21" spans="1:9" s="142" customFormat="1" ht="12.75" customHeight="1" x14ac:dyDescent="0.25">
      <c r="A21" s="151"/>
      <c r="B21" s="152" t="s">
        <v>4</v>
      </c>
      <c r="C21" s="250"/>
      <c r="D21" s="153">
        <v>18936</v>
      </c>
      <c r="E21" s="154" t="s">
        <v>501</v>
      </c>
      <c r="F21" s="153">
        <v>2389.9194123389102</v>
      </c>
      <c r="G21" s="154" t="s">
        <v>501</v>
      </c>
      <c r="H21" s="153">
        <v>16506.268057428799</v>
      </c>
      <c r="I21" s="154" t="s">
        <v>501</v>
      </c>
    </row>
    <row r="22" spans="1:9" s="142" customFormat="1" ht="12.75" customHeight="1" x14ac:dyDescent="0.25">
      <c r="A22" s="151"/>
      <c r="B22" s="152"/>
      <c r="C22" s="250"/>
      <c r="D22" s="153"/>
      <c r="E22" s="154"/>
      <c r="F22" s="153"/>
      <c r="G22" s="154"/>
      <c r="H22" s="153"/>
      <c r="I22" s="154"/>
    </row>
    <row r="23" spans="1:9" s="142" customFormat="1" ht="12.75" customHeight="1" x14ac:dyDescent="0.25">
      <c r="A23" s="151">
        <v>2009</v>
      </c>
      <c r="B23" s="152" t="s">
        <v>1</v>
      </c>
      <c r="C23" s="250"/>
      <c r="D23" s="153">
        <v>18958</v>
      </c>
      <c r="E23" s="154" t="s">
        <v>501</v>
      </c>
      <c r="F23" s="153">
        <v>2539.9475453517098</v>
      </c>
      <c r="G23" s="154" t="s">
        <v>501</v>
      </c>
      <c r="H23" s="153">
        <v>16405.1106281262</v>
      </c>
      <c r="I23" s="154" t="s">
        <v>501</v>
      </c>
    </row>
    <row r="24" spans="1:9" s="142" customFormat="1" ht="12.75" customHeight="1" x14ac:dyDescent="0.25">
      <c r="A24" s="151"/>
      <c r="B24" s="152" t="s">
        <v>2</v>
      </c>
      <c r="C24" s="250"/>
      <c r="D24" s="153">
        <v>19121</v>
      </c>
      <c r="E24" s="154" t="s">
        <v>501</v>
      </c>
      <c r="F24" s="153">
        <v>2529.83053922614</v>
      </c>
      <c r="G24" s="154" t="s">
        <v>501</v>
      </c>
      <c r="H24" s="153">
        <v>16616.170667015998</v>
      </c>
      <c r="I24" s="154" t="s">
        <v>501</v>
      </c>
    </row>
    <row r="25" spans="1:9" s="142" customFormat="1" ht="12.75" customHeight="1" x14ac:dyDescent="0.25">
      <c r="A25" s="153"/>
      <c r="B25" s="245" t="s">
        <v>3</v>
      </c>
      <c r="C25" s="252"/>
      <c r="D25" s="153">
        <v>18659</v>
      </c>
      <c r="E25" s="150" t="s">
        <v>501</v>
      </c>
      <c r="F25" s="153">
        <v>2404.08100441745</v>
      </c>
      <c r="G25" s="150" t="s">
        <v>501</v>
      </c>
      <c r="H25" s="153">
        <v>16238.313693604499</v>
      </c>
      <c r="I25" s="154" t="s">
        <v>501</v>
      </c>
    </row>
    <row r="26" spans="1:9" s="142" customFormat="1" ht="12.75" customHeight="1" x14ac:dyDescent="0.25">
      <c r="A26" s="151"/>
      <c r="B26" s="152" t="s">
        <v>4</v>
      </c>
      <c r="C26" s="250"/>
      <c r="D26" s="153">
        <v>17933</v>
      </c>
      <c r="E26" s="154" t="s">
        <v>501</v>
      </c>
      <c r="F26" s="153">
        <v>2279.1409110046998</v>
      </c>
      <c r="G26" s="154" t="s">
        <v>501</v>
      </c>
      <c r="H26" s="153">
        <v>15657.4050112533</v>
      </c>
      <c r="I26" s="154" t="s">
        <v>501</v>
      </c>
    </row>
    <row r="27" spans="1:9" s="142" customFormat="1" ht="12.75" customHeight="1" x14ac:dyDescent="0.25">
      <c r="A27" s="151"/>
      <c r="B27" s="152"/>
      <c r="C27" s="250"/>
      <c r="D27" s="153"/>
      <c r="E27" s="154"/>
      <c r="F27" s="153"/>
      <c r="G27" s="154"/>
      <c r="H27" s="153"/>
      <c r="I27" s="154"/>
    </row>
    <row r="28" spans="1:9" s="142" customFormat="1" ht="12.75" customHeight="1" x14ac:dyDescent="0.25">
      <c r="A28" s="151">
        <v>2010</v>
      </c>
      <c r="B28" s="152" t="s">
        <v>1</v>
      </c>
      <c r="C28" s="250"/>
      <c r="D28" s="153">
        <v>17058</v>
      </c>
      <c r="E28" s="154" t="s">
        <v>501</v>
      </c>
      <c r="F28" s="153">
        <v>2101.0681662932998</v>
      </c>
      <c r="G28" s="154" t="s">
        <v>501</v>
      </c>
      <c r="H28" s="153">
        <v>14926.307510762699</v>
      </c>
      <c r="I28" s="154" t="s">
        <v>501</v>
      </c>
    </row>
    <row r="29" spans="1:9" s="142" customFormat="1" ht="12.75" customHeight="1" x14ac:dyDescent="0.25">
      <c r="A29" s="151"/>
      <c r="B29" s="152" t="s">
        <v>2</v>
      </c>
      <c r="C29" s="250"/>
      <c r="D29" s="153">
        <v>15256</v>
      </c>
      <c r="E29" s="154" t="s">
        <v>501</v>
      </c>
      <c r="F29" s="153">
        <v>1951.4594621925501</v>
      </c>
      <c r="G29" s="154" t="s">
        <v>501</v>
      </c>
      <c r="H29" s="153">
        <v>13323.2712371466</v>
      </c>
      <c r="I29" s="154" t="s">
        <v>501</v>
      </c>
    </row>
    <row r="30" spans="1:9" s="142" customFormat="1" ht="12.75" customHeight="1" x14ac:dyDescent="0.25">
      <c r="A30" s="153"/>
      <c r="B30" s="245" t="s">
        <v>3</v>
      </c>
      <c r="C30" s="252"/>
      <c r="D30" s="153">
        <v>14155</v>
      </c>
      <c r="E30" s="150" t="s">
        <v>501</v>
      </c>
      <c r="F30" s="153">
        <v>1749.38099272305</v>
      </c>
      <c r="G30" s="150" t="s">
        <v>501</v>
      </c>
      <c r="H30" s="153">
        <v>12417.2214437517</v>
      </c>
      <c r="I30" s="154" t="s">
        <v>501</v>
      </c>
    </row>
    <row r="31" spans="1:9" s="142" customFormat="1" ht="12.75" customHeight="1" x14ac:dyDescent="0.25">
      <c r="A31" s="151"/>
      <c r="B31" s="152" t="s">
        <v>4</v>
      </c>
      <c r="C31" s="250"/>
      <c r="D31" s="153">
        <v>12704</v>
      </c>
      <c r="E31" s="154" t="s">
        <v>501</v>
      </c>
      <c r="F31" s="153">
        <v>2342.0913787910899</v>
      </c>
      <c r="G31" s="154" t="s">
        <v>501</v>
      </c>
      <c r="H31" s="153">
        <v>10362.199808339001</v>
      </c>
      <c r="I31" s="154" t="s">
        <v>501</v>
      </c>
    </row>
    <row r="32" spans="1:9" s="142" customFormat="1" ht="12.75" customHeight="1" x14ac:dyDescent="0.25">
      <c r="A32" s="151"/>
      <c r="B32" s="152"/>
      <c r="C32" s="250"/>
      <c r="D32" s="153"/>
      <c r="E32" s="154"/>
      <c r="F32" s="153"/>
      <c r="G32" s="154"/>
      <c r="H32" s="153"/>
      <c r="I32" s="154"/>
    </row>
    <row r="33" spans="1:9" s="142" customFormat="1" ht="12.75" customHeight="1" x14ac:dyDescent="0.25">
      <c r="A33" s="151">
        <v>2011</v>
      </c>
      <c r="B33" s="152" t="s">
        <v>1</v>
      </c>
      <c r="C33" s="250"/>
      <c r="D33" s="153">
        <v>11760.3355733227</v>
      </c>
      <c r="E33" s="154" t="s">
        <v>501</v>
      </c>
      <c r="F33" s="153">
        <v>2366.3060541333898</v>
      </c>
      <c r="G33" s="154" t="s">
        <v>501</v>
      </c>
      <c r="H33" s="153">
        <v>9389.1252858273201</v>
      </c>
      <c r="I33" s="154" t="s">
        <v>501</v>
      </c>
    </row>
    <row r="34" spans="1:9" s="142" customFormat="1" ht="12.75" customHeight="1" x14ac:dyDescent="0.25">
      <c r="A34" s="151"/>
      <c r="B34" s="152" t="s">
        <v>2</v>
      </c>
      <c r="C34" s="250"/>
      <c r="D34" s="153">
        <v>11304.9546410033</v>
      </c>
      <c r="E34" s="154" t="s">
        <v>501</v>
      </c>
      <c r="F34" s="153">
        <v>2348.2520090819698</v>
      </c>
      <c r="G34" s="154" t="s">
        <v>501</v>
      </c>
      <c r="H34" s="153">
        <v>8904.6709400159598</v>
      </c>
      <c r="I34" s="154" t="s">
        <v>501</v>
      </c>
    </row>
    <row r="35" spans="1:9" s="142" customFormat="1" ht="12.75" customHeight="1" x14ac:dyDescent="0.25">
      <c r="A35" s="153"/>
      <c r="B35" s="245" t="s">
        <v>3</v>
      </c>
      <c r="C35" s="252"/>
      <c r="D35" s="153">
        <v>9689.7918014033694</v>
      </c>
      <c r="E35" s="150" t="s">
        <v>501</v>
      </c>
      <c r="F35" s="153">
        <v>2143.9005941754599</v>
      </c>
      <c r="G35" s="150" t="s">
        <v>501</v>
      </c>
      <c r="H35" s="153">
        <v>7625.7937052934303</v>
      </c>
      <c r="I35" s="154" t="s">
        <v>501</v>
      </c>
    </row>
    <row r="36" spans="1:9" s="142" customFormat="1" ht="12.75" customHeight="1" x14ac:dyDescent="0.25">
      <c r="A36" s="151"/>
      <c r="B36" s="152" t="s">
        <v>4</v>
      </c>
      <c r="C36" s="250"/>
      <c r="D36" s="153">
        <v>9120.9179842705707</v>
      </c>
      <c r="E36" s="154" t="s">
        <v>501</v>
      </c>
      <c r="F36" s="153">
        <v>2034.54134260919</v>
      </c>
      <c r="G36" s="154" t="s">
        <v>501</v>
      </c>
      <c r="H36" s="153">
        <v>7063.4100688632898</v>
      </c>
      <c r="I36" s="154" t="s">
        <v>501</v>
      </c>
    </row>
    <row r="37" spans="1:9" s="142" customFormat="1" ht="12.75" customHeight="1" x14ac:dyDescent="0.25">
      <c r="A37" s="151"/>
      <c r="B37" s="152"/>
      <c r="C37" s="250"/>
      <c r="D37" s="153"/>
      <c r="E37" s="154"/>
      <c r="F37" s="153"/>
      <c r="G37" s="154"/>
      <c r="H37" s="153"/>
      <c r="I37" s="154"/>
    </row>
    <row r="38" spans="1:9" s="142" customFormat="1" ht="12.75" customHeight="1" x14ac:dyDescent="0.25">
      <c r="A38" s="151">
        <v>2012</v>
      </c>
      <c r="B38" s="152" t="s">
        <v>1</v>
      </c>
      <c r="C38" s="250"/>
      <c r="D38" s="153">
        <v>8649.6575586789295</v>
      </c>
      <c r="E38" s="154" t="s">
        <v>501</v>
      </c>
      <c r="F38" s="153">
        <v>1994.0861658343099</v>
      </c>
      <c r="G38" s="154" t="s">
        <v>501</v>
      </c>
      <c r="H38" s="153">
        <v>6632.4009412865398</v>
      </c>
      <c r="I38" s="154" t="s">
        <v>501</v>
      </c>
    </row>
    <row r="39" spans="1:9" s="142" customFormat="1" ht="12.75" customHeight="1" x14ac:dyDescent="0.25">
      <c r="A39" s="151"/>
      <c r="B39" s="152" t="s">
        <v>2</v>
      </c>
      <c r="C39" s="250"/>
      <c r="D39" s="153">
        <v>8158.4626641561499</v>
      </c>
      <c r="E39" s="154" t="s">
        <v>501</v>
      </c>
      <c r="F39" s="153">
        <v>1886.5042020027299</v>
      </c>
      <c r="G39" s="154" t="s">
        <v>501</v>
      </c>
      <c r="H39" s="153">
        <v>6216.0636039828896</v>
      </c>
      <c r="I39" s="154" t="s">
        <v>501</v>
      </c>
    </row>
    <row r="40" spans="1:9" s="142" customFormat="1" ht="12.75" customHeight="1" x14ac:dyDescent="0.25">
      <c r="A40" s="153"/>
      <c r="B40" s="245" t="s">
        <v>3</v>
      </c>
      <c r="C40" s="252"/>
      <c r="D40" s="153">
        <v>7680.8327716182102</v>
      </c>
      <c r="E40" s="150" t="s">
        <v>501</v>
      </c>
      <c r="F40" s="153">
        <v>1861.2559017883</v>
      </c>
      <c r="G40" s="150" t="s">
        <v>501</v>
      </c>
      <c r="H40" s="153">
        <v>5895.4027935742497</v>
      </c>
      <c r="I40" s="154" t="s">
        <v>501</v>
      </c>
    </row>
    <row r="41" spans="1:9" s="142" customFormat="1" ht="12.75" customHeight="1" x14ac:dyDescent="0.25">
      <c r="A41" s="151"/>
      <c r="B41" s="152" t="s">
        <v>4</v>
      </c>
      <c r="C41" s="250"/>
      <c r="D41" s="153">
        <v>7298.0470055467204</v>
      </c>
      <c r="E41" s="154" t="s">
        <v>501</v>
      </c>
      <c r="F41" s="153">
        <v>1781.15373037466</v>
      </c>
      <c r="G41" s="154" t="s">
        <v>501</v>
      </c>
      <c r="H41" s="153">
        <v>5520.13266115633</v>
      </c>
      <c r="I41" s="154" t="s">
        <v>501</v>
      </c>
    </row>
    <row r="42" spans="1:9" s="142" customFormat="1" ht="12.75" customHeight="1" x14ac:dyDescent="0.25">
      <c r="A42" s="151"/>
      <c r="B42" s="152"/>
      <c r="C42" s="250"/>
      <c r="D42" s="153"/>
      <c r="E42" s="154"/>
      <c r="F42" s="153"/>
      <c r="G42" s="154"/>
      <c r="H42" s="153"/>
      <c r="I42" s="154"/>
    </row>
    <row r="43" spans="1:9" s="142" customFormat="1" ht="12.75" customHeight="1" x14ac:dyDescent="0.25">
      <c r="A43" s="151">
        <v>2013</v>
      </c>
      <c r="B43" s="152" t="s">
        <v>1</v>
      </c>
      <c r="C43" s="250"/>
      <c r="D43" s="153">
        <v>6615.4911052341704</v>
      </c>
      <c r="E43" s="154" t="s">
        <v>501</v>
      </c>
      <c r="F43" s="153">
        <v>1518.3790945211999</v>
      </c>
      <c r="G43" s="154" t="s">
        <v>501</v>
      </c>
      <c r="H43" s="153">
        <v>5026.3385308922698</v>
      </c>
      <c r="I43" s="154" t="s">
        <v>501</v>
      </c>
    </row>
    <row r="44" spans="1:9" s="142" customFormat="1" ht="12.75" customHeight="1" x14ac:dyDescent="0.25">
      <c r="A44" s="151"/>
      <c r="B44" s="152" t="s">
        <v>2</v>
      </c>
      <c r="C44" s="250"/>
      <c r="D44" s="153">
        <v>6224.7030856189003</v>
      </c>
      <c r="E44" s="154" t="s">
        <v>501</v>
      </c>
      <c r="F44" s="153">
        <v>1610.6430114702</v>
      </c>
      <c r="G44" s="154" t="s">
        <v>501</v>
      </c>
      <c r="H44" s="153">
        <v>4669.1922333990997</v>
      </c>
      <c r="I44" s="154" t="s">
        <v>501</v>
      </c>
    </row>
    <row r="45" spans="1:9" s="142" customFormat="1" ht="12.75" customHeight="1" x14ac:dyDescent="0.25">
      <c r="A45" s="153"/>
      <c r="B45" s="245" t="s">
        <v>3</v>
      </c>
      <c r="C45" s="252"/>
      <c r="D45" s="153">
        <v>6017.9559364115403</v>
      </c>
      <c r="E45" s="150" t="s">
        <v>501</v>
      </c>
      <c r="F45" s="153">
        <v>1545.1661325227001</v>
      </c>
      <c r="G45" s="150" t="s">
        <v>501</v>
      </c>
      <c r="H45" s="153">
        <v>4523.5287421817302</v>
      </c>
      <c r="I45" s="154" t="s">
        <v>501</v>
      </c>
    </row>
    <row r="46" spans="1:9" s="142" customFormat="1" ht="12.75" customHeight="1" x14ac:dyDescent="0.25">
      <c r="A46" s="151"/>
      <c r="B46" s="152" t="s">
        <v>4</v>
      </c>
      <c r="C46" s="250"/>
      <c r="D46" s="153">
        <v>5712.8498727353799</v>
      </c>
      <c r="E46" s="154" t="s">
        <v>501</v>
      </c>
      <c r="F46" s="153">
        <v>1324.81176148591</v>
      </c>
      <c r="G46" s="154" t="s">
        <v>501</v>
      </c>
      <c r="H46" s="153">
        <v>4352.9404935269004</v>
      </c>
      <c r="I46" s="154" t="s">
        <v>501</v>
      </c>
    </row>
    <row r="47" spans="1:9" s="142" customFormat="1" ht="12.75" customHeight="1" x14ac:dyDescent="0.25">
      <c r="A47" s="151"/>
      <c r="B47" s="152"/>
      <c r="C47" s="250"/>
      <c r="D47" s="153"/>
      <c r="E47" s="154"/>
      <c r="F47" s="153"/>
      <c r="G47" s="154"/>
      <c r="H47" s="153"/>
      <c r="I47" s="154"/>
    </row>
    <row r="48" spans="1:9" s="142" customFormat="1" ht="12.75" customHeight="1" x14ac:dyDescent="0.25">
      <c r="A48" s="151">
        <v>2014</v>
      </c>
      <c r="B48" s="152" t="s">
        <v>1</v>
      </c>
      <c r="C48" s="250"/>
      <c r="D48" s="153">
        <v>5405.2780227656503</v>
      </c>
      <c r="E48" s="154" t="s">
        <v>501</v>
      </c>
      <c r="F48" s="153">
        <v>1366.4792309074401</v>
      </c>
      <c r="G48" s="154" t="s">
        <v>501</v>
      </c>
      <c r="H48" s="153">
        <v>4041.36195926546</v>
      </c>
      <c r="I48" s="154" t="s">
        <v>501</v>
      </c>
    </row>
    <row r="49" spans="1:9" s="142" customFormat="1" ht="12.75" customHeight="1" x14ac:dyDescent="0.25">
      <c r="A49" s="151"/>
      <c r="B49" s="152" t="s">
        <v>2</v>
      </c>
      <c r="C49" s="250"/>
      <c r="D49" s="153">
        <v>5493.6928785475402</v>
      </c>
      <c r="E49" s="154" t="s">
        <v>501</v>
      </c>
      <c r="F49" s="153">
        <v>1366.0670410099101</v>
      </c>
      <c r="G49" s="154" t="s">
        <v>501</v>
      </c>
      <c r="H49" s="153">
        <v>4128.3518062563398</v>
      </c>
      <c r="I49" s="154" t="s">
        <v>501</v>
      </c>
    </row>
    <row r="50" spans="1:9" s="142" customFormat="1" ht="12.75" customHeight="1" x14ac:dyDescent="0.25">
      <c r="A50" s="153"/>
      <c r="B50" s="245" t="s">
        <v>3</v>
      </c>
      <c r="C50" s="252"/>
      <c r="D50" s="153">
        <v>4910.5003458286001</v>
      </c>
      <c r="E50" s="150" t="s">
        <v>501</v>
      </c>
      <c r="F50" s="153">
        <v>1196.5760857764401</v>
      </c>
      <c r="G50" s="150" t="s">
        <v>501</v>
      </c>
      <c r="H50" s="153">
        <v>3748.4900804501999</v>
      </c>
      <c r="I50" s="154" t="s">
        <v>501</v>
      </c>
    </row>
    <row r="51" spans="1:9" s="142" customFormat="1" ht="12.75" customHeight="1" x14ac:dyDescent="0.25">
      <c r="A51" s="151"/>
      <c r="B51" s="152" t="s">
        <v>4</v>
      </c>
      <c r="C51" s="250"/>
      <c r="D51" s="153">
        <v>4535.5287528582103</v>
      </c>
      <c r="E51" s="154" t="s">
        <v>501</v>
      </c>
      <c r="F51" s="153">
        <v>1026.87764230621</v>
      </c>
      <c r="G51" s="154" t="s">
        <v>501</v>
      </c>
      <c r="H51" s="153">
        <v>3470.7961540279898</v>
      </c>
      <c r="I51" s="154" t="s">
        <v>501</v>
      </c>
    </row>
    <row r="52" spans="1:9" s="142" customFormat="1" ht="12.75" customHeight="1" x14ac:dyDescent="0.25">
      <c r="A52" s="151"/>
      <c r="B52" s="152"/>
      <c r="C52" s="250"/>
      <c r="D52" s="153"/>
      <c r="E52" s="154"/>
      <c r="F52" s="153"/>
      <c r="G52" s="154"/>
      <c r="H52" s="153"/>
      <c r="I52" s="154"/>
    </row>
    <row r="53" spans="1:9" s="142" customFormat="1" ht="12.75" customHeight="1" x14ac:dyDescent="0.25">
      <c r="A53" s="151">
        <v>2015</v>
      </c>
      <c r="B53" s="152" t="s">
        <v>1</v>
      </c>
      <c r="C53" s="250"/>
      <c r="D53" s="153">
        <v>4178.61989964647</v>
      </c>
      <c r="E53" s="154" t="s">
        <v>501</v>
      </c>
      <c r="F53" s="153">
        <v>1051.27716291095</v>
      </c>
      <c r="G53" s="154" t="s">
        <v>501</v>
      </c>
      <c r="H53" s="153">
        <v>3171.73622528547</v>
      </c>
      <c r="I53" s="154" t="s">
        <v>501</v>
      </c>
    </row>
    <row r="54" spans="1:9" s="142" customFormat="1" ht="12.75" customHeight="1" x14ac:dyDescent="0.25">
      <c r="A54" s="151"/>
      <c r="B54" s="152" t="s">
        <v>2</v>
      </c>
      <c r="C54" s="250"/>
      <c r="D54" s="153">
        <v>3982.0681918810401</v>
      </c>
      <c r="E54" s="154" t="s">
        <v>501</v>
      </c>
      <c r="F54" s="153">
        <v>919.99785513833399</v>
      </c>
      <c r="G54" s="154" t="s">
        <v>501</v>
      </c>
      <c r="H54" s="153">
        <v>3037.0996737611399</v>
      </c>
      <c r="I54" s="154" t="s">
        <v>501</v>
      </c>
    </row>
    <row r="55" spans="1:9" s="142" customFormat="1" ht="12.75" customHeight="1" x14ac:dyDescent="0.25">
      <c r="A55" s="153"/>
      <c r="B55" s="245" t="s">
        <v>3</v>
      </c>
      <c r="C55" s="252"/>
      <c r="D55" s="153">
        <v>3902.7725014163898</v>
      </c>
      <c r="E55" s="150" t="s">
        <v>501</v>
      </c>
      <c r="F55" s="153">
        <v>948.76222411348203</v>
      </c>
      <c r="G55" s="150" t="s">
        <v>501</v>
      </c>
      <c r="H55" s="153">
        <v>2951.2684982467999</v>
      </c>
      <c r="I55" s="154" t="s">
        <v>501</v>
      </c>
    </row>
    <row r="56" spans="1:9" s="142" customFormat="1" ht="12.75" customHeight="1" x14ac:dyDescent="0.25">
      <c r="A56" s="151"/>
      <c r="B56" s="152" t="s">
        <v>4</v>
      </c>
      <c r="C56" s="250"/>
      <c r="D56" s="153">
        <v>3781.5394070560901</v>
      </c>
      <c r="E56" s="154" t="s">
        <v>501</v>
      </c>
      <c r="F56" s="153">
        <v>983.96275783723001</v>
      </c>
      <c r="G56" s="154" t="s">
        <v>501</v>
      </c>
      <c r="H56" s="153">
        <v>2780.8956027065901</v>
      </c>
      <c r="I56" s="154" t="s">
        <v>501</v>
      </c>
    </row>
    <row r="57" spans="1:9" s="142" customFormat="1" ht="12.75" customHeight="1" x14ac:dyDescent="0.25">
      <c r="A57" s="151"/>
      <c r="B57" s="152"/>
      <c r="C57" s="250"/>
      <c r="D57" s="153"/>
      <c r="E57" s="154"/>
      <c r="F57" s="153"/>
      <c r="G57" s="154"/>
      <c r="H57" s="153"/>
      <c r="I57" s="154"/>
    </row>
    <row r="58" spans="1:9" s="142" customFormat="1" ht="12.75" customHeight="1" x14ac:dyDescent="0.25">
      <c r="A58" s="151">
        <v>2016</v>
      </c>
      <c r="B58" s="152" t="s">
        <v>1</v>
      </c>
      <c r="C58" s="250"/>
      <c r="D58" s="153">
        <v>3725.85743152947</v>
      </c>
      <c r="E58" s="154" t="s">
        <v>501</v>
      </c>
      <c r="F58" s="153">
        <v>855.51724086290903</v>
      </c>
      <c r="G58" s="154" t="s">
        <v>501</v>
      </c>
      <c r="H58" s="153">
        <v>2833.4411694839901</v>
      </c>
      <c r="I58" s="154" t="s">
        <v>501</v>
      </c>
    </row>
    <row r="59" spans="1:9" s="142" customFormat="1" ht="12.75" customHeight="1" x14ac:dyDescent="0.25">
      <c r="A59" s="151"/>
      <c r="B59" s="152" t="s">
        <v>2</v>
      </c>
      <c r="C59" s="250"/>
      <c r="D59" s="153">
        <v>3607.2402389941499</v>
      </c>
      <c r="E59" s="154" t="s">
        <v>501</v>
      </c>
      <c r="F59" s="153">
        <v>915.49436236484701</v>
      </c>
      <c r="G59" s="154" t="s">
        <v>501</v>
      </c>
      <c r="H59" s="153">
        <v>2720.06508261612</v>
      </c>
      <c r="I59" s="154" t="s">
        <v>501</v>
      </c>
    </row>
    <row r="60" spans="1:9" s="142" customFormat="1" ht="12.75" customHeight="1" x14ac:dyDescent="0.25">
      <c r="A60" s="153"/>
      <c r="B60" s="245" t="s">
        <v>3</v>
      </c>
      <c r="C60" s="252"/>
      <c r="D60" s="153">
        <v>3883.0889419856298</v>
      </c>
      <c r="E60" s="150" t="s">
        <v>501</v>
      </c>
      <c r="F60" s="153">
        <v>960.74807134260902</v>
      </c>
      <c r="G60" s="150" t="s">
        <v>501</v>
      </c>
      <c r="H60" s="153">
        <v>2918.0194202226198</v>
      </c>
      <c r="I60" s="154" t="s">
        <v>501</v>
      </c>
    </row>
    <row r="61" spans="1:9" s="142" customFormat="1" ht="12.75" customHeight="1" x14ac:dyDescent="0.25">
      <c r="A61" s="151"/>
      <c r="B61" s="152" t="s">
        <v>4</v>
      </c>
      <c r="C61" s="250"/>
      <c r="D61" s="153">
        <v>3827.8133874907498</v>
      </c>
      <c r="E61" s="154" t="s">
        <v>501</v>
      </c>
      <c r="F61" s="153">
        <v>948.24032542963505</v>
      </c>
      <c r="G61" s="154" t="s">
        <v>501</v>
      </c>
      <c r="H61" s="153">
        <v>2892.4743276772701</v>
      </c>
      <c r="I61" s="154" t="s">
        <v>501</v>
      </c>
    </row>
    <row r="62" spans="1:9" s="142" customFormat="1" ht="12.75" customHeight="1" x14ac:dyDescent="0.25">
      <c r="A62" s="151"/>
      <c r="B62" s="152"/>
      <c r="C62" s="250"/>
      <c r="D62" s="153"/>
      <c r="E62" s="154"/>
      <c r="F62" s="153"/>
      <c r="G62" s="154"/>
      <c r="H62" s="153"/>
      <c r="I62" s="154"/>
    </row>
    <row r="63" spans="1:9" s="142" customFormat="1" ht="12.75" customHeight="1" x14ac:dyDescent="0.25">
      <c r="A63" s="151">
        <v>2017</v>
      </c>
      <c r="B63" s="152" t="s">
        <v>1</v>
      </c>
      <c r="C63" s="250" t="s">
        <v>196</v>
      </c>
      <c r="D63" s="153">
        <v>3859.54</v>
      </c>
      <c r="E63" s="154" t="s">
        <v>279</v>
      </c>
      <c r="F63" s="153">
        <v>901.35236298200903</v>
      </c>
      <c r="G63" s="154" t="s">
        <v>501</v>
      </c>
      <c r="H63" s="153">
        <v>2970.8853590253302</v>
      </c>
      <c r="I63" s="154" t="s">
        <v>501</v>
      </c>
    </row>
    <row r="64" spans="1:9" s="142" customFormat="1" ht="12.75" customHeight="1" x14ac:dyDescent="0.25">
      <c r="A64" s="151"/>
      <c r="B64" s="152" t="s">
        <v>2</v>
      </c>
      <c r="C64" s="250" t="s">
        <v>196</v>
      </c>
      <c r="D64" s="153">
        <v>3771.64</v>
      </c>
      <c r="E64" s="154" t="s">
        <v>279</v>
      </c>
      <c r="F64" s="153">
        <v>871.78222041869196</v>
      </c>
      <c r="G64" s="154" t="s">
        <v>279</v>
      </c>
      <c r="H64" s="153">
        <v>2888.5112649268699</v>
      </c>
      <c r="I64" s="154" t="s">
        <v>279</v>
      </c>
    </row>
    <row r="65" spans="1:10" s="142" customFormat="1" ht="12.75" customHeight="1" x14ac:dyDescent="0.25">
      <c r="A65" s="153"/>
      <c r="B65" s="245" t="s">
        <v>3</v>
      </c>
      <c r="C65" s="252" t="s">
        <v>196</v>
      </c>
      <c r="D65" s="153">
        <v>3715.09</v>
      </c>
      <c r="E65" s="150" t="s">
        <v>279</v>
      </c>
      <c r="F65" s="153">
        <v>838.35060103311605</v>
      </c>
      <c r="G65" s="150" t="s">
        <v>501</v>
      </c>
      <c r="H65" s="153">
        <v>2844.1885554380601</v>
      </c>
      <c r="I65" s="154" t="s">
        <v>501</v>
      </c>
    </row>
    <row r="66" spans="1:10" s="142" customFormat="1" ht="12.75" customHeight="1" x14ac:dyDescent="0.25">
      <c r="A66" s="151"/>
      <c r="B66" s="152" t="s">
        <v>4</v>
      </c>
      <c r="C66" s="250" t="s">
        <v>501</v>
      </c>
      <c r="D66" s="153">
        <v>3735.73</v>
      </c>
      <c r="E66" s="154" t="s">
        <v>501</v>
      </c>
      <c r="F66" s="153" t="s">
        <v>67</v>
      </c>
      <c r="G66" s="154" t="s">
        <v>501</v>
      </c>
      <c r="H66" s="153" t="s">
        <v>67</v>
      </c>
      <c r="I66" s="154" t="s">
        <v>501</v>
      </c>
    </row>
    <row r="67" spans="1:10" s="142" customFormat="1" ht="12.75" customHeight="1" x14ac:dyDescent="0.25">
      <c r="A67" s="151"/>
      <c r="B67" s="152"/>
      <c r="C67" s="250"/>
      <c r="D67" s="153"/>
      <c r="E67" s="154"/>
      <c r="F67" s="153"/>
      <c r="G67" s="154"/>
      <c r="H67" s="153"/>
      <c r="I67" s="154"/>
    </row>
    <row r="68" spans="1:10" s="142" customFormat="1" ht="12.75" customHeight="1" thickBot="1" x14ac:dyDescent="0.3">
      <c r="A68" s="152"/>
      <c r="B68" s="156"/>
      <c r="C68" s="253"/>
      <c r="D68" s="153"/>
      <c r="E68" s="154"/>
      <c r="F68" s="153"/>
      <c r="G68" s="154"/>
      <c r="H68" s="153"/>
      <c r="I68" s="154"/>
    </row>
    <row r="69" spans="1:10" s="142" customFormat="1" ht="12.75" customHeight="1" x14ac:dyDescent="0.2">
      <c r="A69" s="159" t="s">
        <v>505</v>
      </c>
      <c r="B69" s="159"/>
      <c r="C69" s="159"/>
      <c r="D69" s="159"/>
      <c r="E69" s="220"/>
      <c r="F69" s="159"/>
      <c r="G69" s="220"/>
      <c r="H69" s="159"/>
      <c r="I69" s="220"/>
    </row>
    <row r="70" spans="1:10" s="142" customFormat="1" ht="12.75" customHeight="1" x14ac:dyDescent="0.2">
      <c r="A70" s="160"/>
      <c r="B70" s="160"/>
      <c r="C70" s="160"/>
      <c r="D70" s="160"/>
      <c r="E70" s="161"/>
      <c r="F70" s="160"/>
      <c r="G70" s="161"/>
      <c r="H70" s="160"/>
      <c r="I70" s="161"/>
    </row>
    <row r="71" spans="1:10" s="142" customFormat="1" ht="12.75" customHeight="1" x14ac:dyDescent="0.2">
      <c r="A71" s="162">
        <v>2017</v>
      </c>
      <c r="B71" s="163" t="s">
        <v>2</v>
      </c>
      <c r="C71" s="254"/>
      <c r="D71" s="164">
        <v>-1.4993477638374775</v>
      </c>
      <c r="E71" s="161"/>
      <c r="F71" s="164">
        <v>-3.834859051096462</v>
      </c>
      <c r="G71" s="161"/>
      <c r="H71" s="164">
        <v>-1.5344482130635551</v>
      </c>
      <c r="I71" s="161"/>
    </row>
    <row r="72" spans="1:10" s="142" customFormat="1" ht="12.75" customHeight="1" x14ac:dyDescent="0.2">
      <c r="A72" s="167"/>
      <c r="B72" s="167"/>
      <c r="C72" s="255"/>
      <c r="D72" s="167"/>
      <c r="E72" s="280"/>
      <c r="F72" s="167"/>
      <c r="G72" s="280"/>
      <c r="H72" s="167"/>
      <c r="I72" s="280"/>
    </row>
    <row r="73" spans="1:10" s="142" customFormat="1" ht="12.75" customHeight="1" thickBot="1" x14ac:dyDescent="0.25">
      <c r="A73" s="157">
        <v>2016</v>
      </c>
      <c r="B73" s="158" t="s">
        <v>3</v>
      </c>
      <c r="C73" s="256"/>
      <c r="D73" s="168">
        <v>-4.3264252891339394</v>
      </c>
      <c r="E73" s="281"/>
      <c r="F73" s="168">
        <v>-12.739809109212906</v>
      </c>
      <c r="G73" s="281"/>
      <c r="H73" s="168">
        <v>-2.5301704393361102</v>
      </c>
      <c r="I73" s="281"/>
    </row>
    <row r="74" spans="1:10" s="169" customFormat="1" ht="12.75" customHeight="1" x14ac:dyDescent="0.2">
      <c r="A74" s="343"/>
      <c r="B74" s="343"/>
      <c r="C74" s="343"/>
      <c r="D74" s="343"/>
      <c r="E74" s="343"/>
      <c r="F74" s="343"/>
      <c r="G74" s="343"/>
      <c r="H74" s="343"/>
      <c r="I74" s="343"/>
      <c r="J74" s="142"/>
    </row>
    <row r="75" spans="1:10" s="169" customFormat="1" ht="33" customHeight="1" x14ac:dyDescent="0.2">
      <c r="A75" s="338" t="s">
        <v>248</v>
      </c>
      <c r="B75" s="338"/>
      <c r="C75" s="338"/>
      <c r="D75" s="338"/>
      <c r="E75" s="338"/>
      <c r="F75" s="338"/>
      <c r="G75" s="338"/>
      <c r="H75" s="338"/>
      <c r="I75" s="338"/>
    </row>
    <row r="76" spans="1:10" s="169" customFormat="1" ht="64.5" customHeight="1" x14ac:dyDescent="0.2">
      <c r="A76" s="338" t="s">
        <v>253</v>
      </c>
      <c r="B76" s="338"/>
      <c r="C76" s="338"/>
      <c r="D76" s="338"/>
      <c r="E76" s="338"/>
      <c r="F76" s="338"/>
      <c r="G76" s="338"/>
      <c r="H76" s="338"/>
      <c r="I76" s="338"/>
    </row>
    <row r="77" spans="1:10" s="170" customFormat="1" ht="91.5" customHeight="1" x14ac:dyDescent="0.3">
      <c r="A77" s="338" t="s">
        <v>251</v>
      </c>
      <c r="B77" s="338"/>
      <c r="C77" s="338"/>
      <c r="D77" s="338"/>
      <c r="E77" s="338"/>
      <c r="F77" s="338"/>
      <c r="G77" s="338"/>
      <c r="H77" s="338"/>
      <c r="I77" s="338"/>
    </row>
    <row r="78" spans="1:10" s="171" customFormat="1" ht="15" x14ac:dyDescent="0.3">
      <c r="A78" s="344"/>
      <c r="B78" s="344"/>
      <c r="C78" s="344"/>
      <c r="D78" s="344"/>
      <c r="E78" s="344"/>
      <c r="F78" s="344"/>
      <c r="G78" s="344"/>
      <c r="H78" s="344"/>
      <c r="I78" s="344"/>
    </row>
    <row r="79" spans="1:10" s="171" customFormat="1" ht="27.75" customHeight="1" x14ac:dyDescent="0.3">
      <c r="A79" s="344"/>
      <c r="B79" s="344"/>
      <c r="C79" s="344"/>
      <c r="D79" s="344"/>
      <c r="E79" s="344"/>
      <c r="F79" s="344"/>
      <c r="G79" s="344"/>
      <c r="H79" s="344"/>
      <c r="I79" s="344"/>
    </row>
    <row r="80" spans="1:10" ht="12.75" customHeight="1" x14ac:dyDescent="0.3">
      <c r="A80" s="344"/>
      <c r="B80" s="344"/>
      <c r="C80" s="344"/>
      <c r="D80" s="344"/>
      <c r="E80" s="344"/>
      <c r="F80" s="344"/>
      <c r="G80" s="344"/>
      <c r="H80" s="344"/>
      <c r="I80" s="344"/>
    </row>
    <row r="81" spans="1:9" ht="12.75" customHeight="1" x14ac:dyDescent="0.3">
      <c r="A81" s="344"/>
      <c r="B81" s="344"/>
      <c r="C81" s="344"/>
      <c r="D81" s="344"/>
      <c r="E81" s="344"/>
      <c r="F81" s="344"/>
      <c r="G81" s="344"/>
      <c r="H81" s="344"/>
      <c r="I81" s="344"/>
    </row>
    <row r="82" spans="1:9" ht="12.75" customHeight="1" x14ac:dyDescent="0.3">
      <c r="A82" s="344"/>
      <c r="B82" s="344"/>
      <c r="C82" s="344"/>
      <c r="D82" s="344"/>
      <c r="E82" s="344"/>
      <c r="F82" s="344"/>
      <c r="G82" s="344"/>
      <c r="H82" s="344"/>
      <c r="I82" s="344"/>
    </row>
    <row r="83" spans="1:9" ht="12.75" customHeight="1" x14ac:dyDescent="0.3">
      <c r="A83" s="344"/>
      <c r="B83" s="344"/>
      <c r="C83" s="344"/>
      <c r="D83" s="344"/>
      <c r="E83" s="344"/>
      <c r="F83" s="344"/>
      <c r="G83" s="344"/>
      <c r="H83" s="344"/>
      <c r="I83" s="344"/>
    </row>
    <row r="84" spans="1:9" ht="12.75" customHeight="1" x14ac:dyDescent="0.3">
      <c r="A84" s="344"/>
      <c r="B84" s="344"/>
      <c r="C84" s="344"/>
      <c r="D84" s="344"/>
      <c r="E84" s="344"/>
      <c r="F84" s="344"/>
      <c r="G84" s="344"/>
      <c r="H84" s="344"/>
      <c r="I84" s="344"/>
    </row>
    <row r="85" spans="1:9" ht="12.75" customHeight="1" x14ac:dyDescent="0.3">
      <c r="A85" s="344"/>
      <c r="B85" s="344"/>
      <c r="C85" s="344"/>
      <c r="D85" s="344"/>
      <c r="E85" s="344"/>
      <c r="F85" s="344"/>
      <c r="G85" s="344"/>
      <c r="H85" s="344"/>
      <c r="I85" s="344"/>
    </row>
  </sheetData>
  <dataConsolidate/>
  <mergeCells count="17">
    <mergeCell ref="A81:I81"/>
    <mergeCell ref="A82:I82"/>
    <mergeCell ref="A83:I83"/>
    <mergeCell ref="A84:I84"/>
    <mergeCell ref="A85:I85"/>
    <mergeCell ref="A80:I80"/>
    <mergeCell ref="F4:G4"/>
    <mergeCell ref="D5:E6"/>
    <mergeCell ref="F5:I5"/>
    <mergeCell ref="F6:G6"/>
    <mergeCell ref="H6:I6"/>
    <mergeCell ref="A74:I74"/>
    <mergeCell ref="A75:I75"/>
    <mergeCell ref="A77:I77"/>
    <mergeCell ref="A78:I78"/>
    <mergeCell ref="A79:I79"/>
    <mergeCell ref="A76:I76"/>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cfRule type="expression" dxfId="4" priority="1">
      <formula>AND($A28=2006,$B30="Q3")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85"/>
  <sheetViews>
    <sheetView showGridLines="0" zoomScaleNormal="100" workbookViewId="0">
      <pane xSplit="3" ySplit="7" topLeftCell="D50"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4" customWidth="1"/>
    <col min="6" max="6" width="10" style="172" customWidth="1"/>
    <col min="7" max="7" width="3.85546875" style="174" customWidth="1"/>
    <col min="8" max="8" width="5.42578125" style="172" customWidth="1"/>
    <col min="9" max="9" width="3.85546875" style="174" customWidth="1"/>
    <col min="10" max="10" width="10" style="134" customWidth="1"/>
    <col min="11" max="11" width="3.85546875" style="171" customWidth="1"/>
    <col min="12" max="12" width="5.42578125" style="134" customWidth="1"/>
    <col min="13" max="13" width="7.28515625" style="171" customWidth="1"/>
    <col min="14" max="14" width="3.5703125" style="134" customWidth="1"/>
    <col min="15" max="16384" width="8.85546875" style="134"/>
  </cols>
  <sheetData>
    <row r="1" spans="1:18" ht="12.75" customHeight="1" x14ac:dyDescent="0.3">
      <c r="B1" s="132"/>
      <c r="C1" s="133"/>
      <c r="D1" s="132"/>
      <c r="E1" s="133"/>
      <c r="F1" s="132"/>
      <c r="G1" s="133"/>
      <c r="H1" s="132"/>
      <c r="I1" s="133"/>
    </row>
    <row r="2" spans="1:18" s="136" customFormat="1" ht="31.5" customHeight="1" x14ac:dyDescent="0.3">
      <c r="A2" s="192" t="s">
        <v>184</v>
      </c>
      <c r="B2" s="193"/>
      <c r="C2" s="193"/>
      <c r="D2" s="194" t="s">
        <v>246</v>
      </c>
      <c r="E2" s="133"/>
      <c r="F2" s="132"/>
      <c r="G2" s="133"/>
      <c r="H2" s="132"/>
      <c r="I2" s="133"/>
      <c r="J2" s="132"/>
      <c r="K2" s="133"/>
      <c r="L2" s="132"/>
      <c r="M2" s="133"/>
      <c r="N2" s="132"/>
      <c r="O2" s="132"/>
      <c r="P2" s="132"/>
    </row>
    <row r="3" spans="1:18" s="136" customFormat="1" ht="17.25" x14ac:dyDescent="0.3">
      <c r="A3" s="195" t="s">
        <v>153</v>
      </c>
      <c r="B3" s="196"/>
      <c r="C3" s="213"/>
      <c r="D3" s="197" t="s">
        <v>160</v>
      </c>
      <c r="E3" s="282"/>
      <c r="F3" s="187"/>
      <c r="G3" s="133"/>
      <c r="H3" s="132"/>
      <c r="I3" s="133"/>
      <c r="J3" s="132"/>
      <c r="K3" s="133"/>
      <c r="L3" s="132"/>
      <c r="M3" s="133"/>
      <c r="N3" s="132"/>
      <c r="O3" s="132"/>
      <c r="P3" s="132"/>
    </row>
    <row r="4" spans="1:18" ht="10.5" customHeight="1" thickBot="1" x14ac:dyDescent="0.35">
      <c r="A4" s="137"/>
      <c r="B4" s="137"/>
      <c r="C4" s="214"/>
      <c r="D4" s="137"/>
      <c r="E4" s="214"/>
      <c r="F4" s="339"/>
      <c r="G4" s="339"/>
      <c r="H4" s="339"/>
      <c r="I4" s="339"/>
    </row>
    <row r="5" spans="1:18" ht="30.75" customHeight="1" thickBot="1" x14ac:dyDescent="0.35">
      <c r="A5" s="232"/>
      <c r="B5" s="232"/>
      <c r="C5" s="233"/>
      <c r="D5" s="348" t="s">
        <v>175</v>
      </c>
      <c r="E5" s="348"/>
      <c r="F5" s="347" t="s">
        <v>174</v>
      </c>
      <c r="G5" s="347"/>
      <c r="H5" s="347"/>
      <c r="I5" s="347"/>
      <c r="J5" s="347"/>
      <c r="K5" s="347"/>
      <c r="L5" s="347"/>
      <c r="M5" s="347"/>
    </row>
    <row r="6" spans="1:18" s="141" customFormat="1" ht="19.5" customHeight="1" x14ac:dyDescent="0.3">
      <c r="A6" s="139"/>
      <c r="B6" s="140" t="s">
        <v>140</v>
      </c>
      <c r="C6" s="225"/>
      <c r="D6" s="351"/>
      <c r="E6" s="351"/>
      <c r="F6" s="353" t="s">
        <v>249</v>
      </c>
      <c r="G6" s="353"/>
      <c r="H6" s="353"/>
      <c r="I6" s="353"/>
      <c r="J6" s="353" t="s">
        <v>129</v>
      </c>
      <c r="K6" s="353"/>
      <c r="L6" s="353"/>
      <c r="M6" s="353"/>
    </row>
    <row r="7" spans="1:18" s="142" customFormat="1" ht="16.5" customHeight="1" thickBot="1" x14ac:dyDescent="0.35">
      <c r="A7" s="228" t="s">
        <v>141</v>
      </c>
      <c r="B7" s="229" t="s">
        <v>140</v>
      </c>
      <c r="C7" s="229"/>
      <c r="D7" s="349"/>
      <c r="E7" s="349"/>
      <c r="F7" s="350" t="s">
        <v>176</v>
      </c>
      <c r="G7" s="350"/>
      <c r="H7" s="350" t="s">
        <v>177</v>
      </c>
      <c r="I7" s="350"/>
      <c r="J7" s="350" t="s">
        <v>176</v>
      </c>
      <c r="K7" s="350"/>
      <c r="L7" s="350" t="s">
        <v>177</v>
      </c>
      <c r="M7" s="350"/>
    </row>
    <row r="8" spans="1:18" s="146" customFormat="1" ht="12.75" customHeight="1" x14ac:dyDescent="0.25">
      <c r="A8" s="143">
        <v>2008</v>
      </c>
      <c r="B8" s="143"/>
      <c r="C8" s="212"/>
      <c r="D8" s="144">
        <v>67428</v>
      </c>
      <c r="E8" s="145" t="s">
        <v>501</v>
      </c>
      <c r="F8" s="144">
        <v>8183</v>
      </c>
      <c r="G8" s="145" t="s">
        <v>501</v>
      </c>
      <c r="H8" s="198">
        <v>12.135907931423148</v>
      </c>
      <c r="I8" s="145" t="s">
        <v>501</v>
      </c>
      <c r="J8" s="144">
        <v>59245</v>
      </c>
      <c r="K8" s="145" t="s">
        <v>501</v>
      </c>
      <c r="L8" s="198">
        <v>87.864092068576852</v>
      </c>
      <c r="M8" s="145" t="s">
        <v>501</v>
      </c>
    </row>
    <row r="9" spans="1:18" s="146" customFormat="1" ht="12.75" customHeight="1" x14ac:dyDescent="0.25">
      <c r="A9" s="143">
        <v>2009</v>
      </c>
      <c r="B9" s="143"/>
      <c r="C9" s="212"/>
      <c r="D9" s="144">
        <v>74670</v>
      </c>
      <c r="E9" s="145" t="s">
        <v>501</v>
      </c>
      <c r="F9" s="144">
        <v>9753</v>
      </c>
      <c r="G9" s="145" t="s">
        <v>501</v>
      </c>
      <c r="H9" s="198">
        <v>13.061470470068301</v>
      </c>
      <c r="I9" s="145" t="s">
        <v>501</v>
      </c>
      <c r="J9" s="144">
        <v>64917</v>
      </c>
      <c r="K9" s="145" t="s">
        <v>501</v>
      </c>
      <c r="L9" s="198">
        <v>86.938529529931699</v>
      </c>
      <c r="M9" s="145" t="s">
        <v>501</v>
      </c>
    </row>
    <row r="10" spans="1:18" s="146" customFormat="1" ht="12.75" customHeight="1" x14ac:dyDescent="0.25">
      <c r="A10" s="143">
        <v>2010</v>
      </c>
      <c r="B10" s="143"/>
      <c r="C10" s="212"/>
      <c r="D10" s="144">
        <v>59173</v>
      </c>
      <c r="E10" s="145" t="s">
        <v>501</v>
      </c>
      <c r="F10" s="144">
        <v>8144</v>
      </c>
      <c r="G10" s="145" t="s">
        <v>501</v>
      </c>
      <c r="H10" s="198">
        <v>13.763033816098558</v>
      </c>
      <c r="I10" s="145" t="s">
        <v>501</v>
      </c>
      <c r="J10" s="144">
        <v>51029</v>
      </c>
      <c r="K10" s="145" t="s">
        <v>501</v>
      </c>
      <c r="L10" s="198">
        <v>86.236966183901444</v>
      </c>
      <c r="M10" s="145" t="s">
        <v>501</v>
      </c>
    </row>
    <row r="11" spans="1:18" s="146" customFormat="1" ht="12.75" customHeight="1" x14ac:dyDescent="0.25">
      <c r="A11" s="143">
        <v>2011</v>
      </c>
      <c r="B11" s="143"/>
      <c r="C11" s="212"/>
      <c r="D11" s="144">
        <v>41876</v>
      </c>
      <c r="E11" s="145" t="s">
        <v>501</v>
      </c>
      <c r="F11" s="144">
        <v>8893</v>
      </c>
      <c r="G11" s="145" t="s">
        <v>501</v>
      </c>
      <c r="H11" s="198">
        <v>21.236507784888719</v>
      </c>
      <c r="I11" s="145" t="s">
        <v>501</v>
      </c>
      <c r="J11" s="144">
        <v>32983</v>
      </c>
      <c r="K11" s="145" t="s">
        <v>501</v>
      </c>
      <c r="L11" s="198">
        <v>78.763492215111285</v>
      </c>
      <c r="M11" s="145" t="s">
        <v>501</v>
      </c>
    </row>
    <row r="12" spans="1:18" s="146" customFormat="1" ht="12.75" customHeight="1" x14ac:dyDescent="0.25">
      <c r="A12" s="143">
        <v>2012</v>
      </c>
      <c r="B12" s="143"/>
      <c r="C12" s="212"/>
      <c r="D12" s="144">
        <v>31787</v>
      </c>
      <c r="E12" s="145" t="s">
        <v>501</v>
      </c>
      <c r="F12" s="144">
        <v>7523</v>
      </c>
      <c r="G12" s="145" t="s">
        <v>501</v>
      </c>
      <c r="H12" s="198">
        <v>23.666907855412589</v>
      </c>
      <c r="I12" s="145" t="s">
        <v>501</v>
      </c>
      <c r="J12" s="144">
        <v>24264</v>
      </c>
      <c r="K12" s="145" t="s">
        <v>501</v>
      </c>
      <c r="L12" s="198">
        <v>76.333092144587411</v>
      </c>
      <c r="M12" s="145" t="s">
        <v>501</v>
      </c>
    </row>
    <row r="13" spans="1:18" s="146" customFormat="1" ht="12.75" customHeight="1" x14ac:dyDescent="0.25">
      <c r="A13" s="143">
        <v>2013</v>
      </c>
      <c r="B13" s="143"/>
      <c r="C13" s="212"/>
      <c r="D13" s="144">
        <v>24571</v>
      </c>
      <c r="E13" s="145" t="s">
        <v>501</v>
      </c>
      <c r="F13" s="144">
        <v>5999</v>
      </c>
      <c r="G13" s="145" t="s">
        <v>501</v>
      </c>
      <c r="H13" s="198">
        <v>24.414960726059178</v>
      </c>
      <c r="I13" s="145" t="s">
        <v>501</v>
      </c>
      <c r="J13" s="144">
        <v>18572</v>
      </c>
      <c r="K13" s="145" t="s">
        <v>501</v>
      </c>
      <c r="L13" s="198">
        <v>75.585039273940822</v>
      </c>
      <c r="M13" s="145" t="s">
        <v>501</v>
      </c>
    </row>
    <row r="14" spans="1:18" s="146" customFormat="1" ht="12.75" customHeight="1" x14ac:dyDescent="0.25">
      <c r="A14" s="143">
        <v>2014</v>
      </c>
      <c r="B14" s="143"/>
      <c r="C14" s="212"/>
      <c r="D14" s="144">
        <v>20345</v>
      </c>
      <c r="E14" s="145" t="s">
        <v>501</v>
      </c>
      <c r="F14" s="144">
        <v>4956</v>
      </c>
      <c r="G14" s="145" t="s">
        <v>501</v>
      </c>
      <c r="H14" s="198">
        <v>24.359793561071516</v>
      </c>
      <c r="I14" s="145" t="s">
        <v>501</v>
      </c>
      <c r="J14" s="144">
        <v>15389</v>
      </c>
      <c r="K14" s="145" t="s">
        <v>501</v>
      </c>
      <c r="L14" s="198">
        <v>75.640206438928487</v>
      </c>
      <c r="M14" s="145" t="s">
        <v>501</v>
      </c>
    </row>
    <row r="15" spans="1:18" s="146" customFormat="1" ht="12.75" customHeight="1" x14ac:dyDescent="0.25">
      <c r="A15" s="143">
        <v>2015</v>
      </c>
      <c r="B15" s="143"/>
      <c r="C15" s="212"/>
      <c r="D15" s="144">
        <v>15845</v>
      </c>
      <c r="E15" s="145" t="s">
        <v>501</v>
      </c>
      <c r="F15" s="144">
        <v>3904</v>
      </c>
      <c r="G15" s="145" t="s">
        <v>501</v>
      </c>
      <c r="H15" s="198">
        <v>24.63868728305459</v>
      </c>
      <c r="I15" s="145" t="s">
        <v>501</v>
      </c>
      <c r="J15" s="144">
        <v>11941</v>
      </c>
      <c r="K15" s="145" t="s">
        <v>501</v>
      </c>
      <c r="L15" s="198">
        <v>75.361312716945406</v>
      </c>
      <c r="M15" s="145" t="s">
        <v>501</v>
      </c>
    </row>
    <row r="16" spans="1:18" s="146" customFormat="1" ht="12.75" customHeight="1" x14ac:dyDescent="0.25">
      <c r="A16" s="143">
        <v>2016</v>
      </c>
      <c r="B16" s="143"/>
      <c r="C16" s="212"/>
      <c r="D16" s="144">
        <v>15044</v>
      </c>
      <c r="E16" s="145" t="s">
        <v>501</v>
      </c>
      <c r="F16" s="144">
        <v>3680</v>
      </c>
      <c r="G16" s="145" t="s">
        <v>501</v>
      </c>
      <c r="H16" s="198">
        <v>24.461579367189575</v>
      </c>
      <c r="I16" s="145" t="s">
        <v>501</v>
      </c>
      <c r="J16" s="144">
        <v>11364</v>
      </c>
      <c r="K16" s="145" t="s">
        <v>501</v>
      </c>
      <c r="L16" s="198">
        <v>75.538420632810414</v>
      </c>
      <c r="M16" s="145" t="s">
        <v>501</v>
      </c>
      <c r="R16" s="147"/>
    </row>
    <row r="17" spans="1:13" s="146" customFormat="1" ht="12.75" customHeight="1" x14ac:dyDescent="0.25">
      <c r="A17" s="143">
        <v>2017</v>
      </c>
      <c r="B17" s="212" t="s">
        <v>196</v>
      </c>
      <c r="D17" s="144">
        <v>15082</v>
      </c>
      <c r="E17" s="145" t="s">
        <v>501</v>
      </c>
      <c r="F17" s="144" t="s">
        <v>67</v>
      </c>
      <c r="G17" s="145" t="s">
        <v>501</v>
      </c>
      <c r="H17" s="198" t="s">
        <v>67</v>
      </c>
      <c r="I17" s="145" t="s">
        <v>501</v>
      </c>
      <c r="J17" s="144" t="s">
        <v>67</v>
      </c>
      <c r="K17" s="145" t="s">
        <v>501</v>
      </c>
      <c r="L17" s="198" t="s">
        <v>67</v>
      </c>
      <c r="M17" s="145" t="s">
        <v>501</v>
      </c>
    </row>
    <row r="18" spans="1:13" s="142" customFormat="1" ht="12.75" customHeight="1" x14ac:dyDescent="0.25">
      <c r="A18" s="148"/>
      <c r="B18" s="148"/>
      <c r="C18" s="217"/>
      <c r="D18" s="149"/>
      <c r="E18" s="154"/>
      <c r="F18" s="149"/>
      <c r="G18" s="154"/>
      <c r="H18" s="199"/>
      <c r="I18" s="154"/>
      <c r="J18" s="149"/>
      <c r="K18" s="154"/>
      <c r="L18" s="199"/>
      <c r="M18" s="154"/>
    </row>
    <row r="19" spans="1:13" s="142" customFormat="1" ht="12.75" customHeight="1" x14ac:dyDescent="0.25">
      <c r="A19" s="151">
        <v>2008</v>
      </c>
      <c r="B19" s="152" t="s">
        <v>1</v>
      </c>
      <c r="C19" s="218"/>
      <c r="D19" s="153">
        <v>15814</v>
      </c>
      <c r="E19" s="154" t="s">
        <v>501</v>
      </c>
      <c r="F19" s="153">
        <v>1915</v>
      </c>
      <c r="G19" s="154" t="s">
        <v>501</v>
      </c>
      <c r="H19" s="155">
        <v>12.109523207284685</v>
      </c>
      <c r="I19" s="154" t="s">
        <v>501</v>
      </c>
      <c r="J19" s="153">
        <v>13899</v>
      </c>
      <c r="K19" s="154" t="s">
        <v>501</v>
      </c>
      <c r="L19" s="155">
        <v>87.890476792715305</v>
      </c>
      <c r="M19" s="154" t="s">
        <v>501</v>
      </c>
    </row>
    <row r="20" spans="1:13" s="142" customFormat="1" ht="12.75" customHeight="1" x14ac:dyDescent="0.25">
      <c r="A20" s="151"/>
      <c r="B20" s="152" t="s">
        <v>2</v>
      </c>
      <c r="C20" s="218"/>
      <c r="D20" s="153">
        <v>16373</v>
      </c>
      <c r="E20" s="154" t="s">
        <v>501</v>
      </c>
      <c r="F20" s="153">
        <v>1828</v>
      </c>
      <c r="G20" s="154" t="s">
        <v>501</v>
      </c>
      <c r="H20" s="155">
        <v>11.164722408843829</v>
      </c>
      <c r="I20" s="154" t="s">
        <v>501</v>
      </c>
      <c r="J20" s="153">
        <v>14545</v>
      </c>
      <c r="K20" s="154" t="s">
        <v>501</v>
      </c>
      <c r="L20" s="155">
        <v>88.835277591156171</v>
      </c>
      <c r="M20" s="154" t="s">
        <v>501</v>
      </c>
    </row>
    <row r="21" spans="1:13" s="142" customFormat="1" ht="12.75" customHeight="1" x14ac:dyDescent="0.25">
      <c r="A21" s="151"/>
      <c r="B21" s="152" t="s">
        <v>3</v>
      </c>
      <c r="C21" s="218"/>
      <c r="D21" s="153">
        <v>17237</v>
      </c>
      <c r="E21" s="154" t="s">
        <v>501</v>
      </c>
      <c r="F21" s="153">
        <v>2115</v>
      </c>
      <c r="G21" s="154" t="s">
        <v>501</v>
      </c>
      <c r="H21" s="155">
        <v>12.270116609618844</v>
      </c>
      <c r="I21" s="154" t="s">
        <v>501</v>
      </c>
      <c r="J21" s="153">
        <v>15122</v>
      </c>
      <c r="K21" s="154" t="s">
        <v>501</v>
      </c>
      <c r="L21" s="155">
        <v>87.729883390381161</v>
      </c>
      <c r="M21" s="154" t="s">
        <v>501</v>
      </c>
    </row>
    <row r="22" spans="1:13" s="142" customFormat="1" ht="12.75" customHeight="1" x14ac:dyDescent="0.25">
      <c r="A22" s="151"/>
      <c r="B22" s="152" t="s">
        <v>4</v>
      </c>
      <c r="C22" s="218"/>
      <c r="D22" s="153">
        <v>18004</v>
      </c>
      <c r="E22" s="154" t="s">
        <v>501</v>
      </c>
      <c r="F22" s="153">
        <v>2325</v>
      </c>
      <c r="G22" s="154" t="s">
        <v>501</v>
      </c>
      <c r="H22" s="155">
        <v>12.913796934014663</v>
      </c>
      <c r="I22" s="154" t="s">
        <v>501</v>
      </c>
      <c r="J22" s="153">
        <v>15679</v>
      </c>
      <c r="K22" s="154" t="s">
        <v>501</v>
      </c>
      <c r="L22" s="155">
        <v>87.08620306598533</v>
      </c>
      <c r="M22" s="154" t="s">
        <v>501</v>
      </c>
    </row>
    <row r="23" spans="1:13" s="142" customFormat="1" ht="12.75" customHeight="1" x14ac:dyDescent="0.25">
      <c r="A23" s="151"/>
      <c r="B23" s="152"/>
      <c r="C23" s="218"/>
      <c r="D23" s="153"/>
      <c r="E23" s="154"/>
      <c r="F23" s="153"/>
      <c r="G23" s="154"/>
      <c r="H23" s="155"/>
      <c r="I23" s="154"/>
      <c r="J23" s="153"/>
      <c r="K23" s="154"/>
      <c r="L23" s="155"/>
      <c r="M23" s="154"/>
    </row>
    <row r="24" spans="1:13" s="142" customFormat="1" ht="12.75" customHeight="1" x14ac:dyDescent="0.25">
      <c r="A24" s="151">
        <v>2009</v>
      </c>
      <c r="B24" s="152" t="s">
        <v>1</v>
      </c>
      <c r="C24" s="218"/>
      <c r="D24" s="153">
        <v>20446</v>
      </c>
      <c r="E24" s="154" t="s">
        <v>501</v>
      </c>
      <c r="F24" s="153">
        <v>2798</v>
      </c>
      <c r="G24" s="154" t="s">
        <v>501</v>
      </c>
      <c r="H24" s="155">
        <v>13.684828328279369</v>
      </c>
      <c r="I24" s="154" t="s">
        <v>501</v>
      </c>
      <c r="J24" s="153">
        <v>17648</v>
      </c>
      <c r="K24" s="154" t="s">
        <v>501</v>
      </c>
      <c r="L24" s="155">
        <v>86.31517167172062</v>
      </c>
      <c r="M24" s="154" t="s">
        <v>501</v>
      </c>
    </row>
    <row r="25" spans="1:13" s="142" customFormat="1" ht="12.75" customHeight="1" x14ac:dyDescent="0.25">
      <c r="A25" s="151"/>
      <c r="B25" s="152" t="s">
        <v>2</v>
      </c>
      <c r="C25" s="218"/>
      <c r="D25" s="153">
        <v>18870</v>
      </c>
      <c r="E25" s="154" t="s">
        <v>501</v>
      </c>
      <c r="F25" s="153">
        <v>2470</v>
      </c>
      <c r="G25" s="154" t="s">
        <v>501</v>
      </c>
      <c r="H25" s="155">
        <v>13.089560148383677</v>
      </c>
      <c r="I25" s="154" t="s">
        <v>501</v>
      </c>
      <c r="J25" s="153">
        <v>16400</v>
      </c>
      <c r="K25" s="154" t="s">
        <v>501</v>
      </c>
      <c r="L25" s="155">
        <v>86.910439851616317</v>
      </c>
      <c r="M25" s="154" t="s">
        <v>501</v>
      </c>
    </row>
    <row r="26" spans="1:13" s="142" customFormat="1" ht="12.75" customHeight="1" x14ac:dyDescent="0.25">
      <c r="A26" s="151"/>
      <c r="B26" s="152" t="s">
        <v>3</v>
      </c>
      <c r="C26" s="218"/>
      <c r="D26" s="153">
        <v>18347</v>
      </c>
      <c r="E26" s="154" t="s">
        <v>501</v>
      </c>
      <c r="F26" s="153">
        <v>2280</v>
      </c>
      <c r="G26" s="154" t="s">
        <v>501</v>
      </c>
      <c r="H26" s="155">
        <v>12.427099798332153</v>
      </c>
      <c r="I26" s="154" t="s">
        <v>501</v>
      </c>
      <c r="J26" s="153">
        <v>16067</v>
      </c>
      <c r="K26" s="154" t="s">
        <v>501</v>
      </c>
      <c r="L26" s="155">
        <v>87.572900201667849</v>
      </c>
      <c r="M26" s="154" t="s">
        <v>501</v>
      </c>
    </row>
    <row r="27" spans="1:13" s="142" customFormat="1" ht="12.75" customHeight="1" x14ac:dyDescent="0.25">
      <c r="A27" s="151"/>
      <c r="B27" s="152" t="s">
        <v>4</v>
      </c>
      <c r="C27" s="218"/>
      <c r="D27" s="153">
        <v>17007</v>
      </c>
      <c r="E27" s="154" t="s">
        <v>501</v>
      </c>
      <c r="F27" s="153">
        <v>2205</v>
      </c>
      <c r="G27" s="154" t="s">
        <v>501</v>
      </c>
      <c r="H27" s="155">
        <v>12.965249603104603</v>
      </c>
      <c r="I27" s="154" t="s">
        <v>501</v>
      </c>
      <c r="J27" s="153">
        <v>14802</v>
      </c>
      <c r="K27" s="154" t="s">
        <v>501</v>
      </c>
      <c r="L27" s="155">
        <v>87.034750396895404</v>
      </c>
      <c r="M27" s="154" t="s">
        <v>501</v>
      </c>
    </row>
    <row r="28" spans="1:13" s="142" customFormat="1" ht="12.75" customHeight="1" x14ac:dyDescent="0.25">
      <c r="A28" s="151"/>
      <c r="B28" s="152"/>
      <c r="C28" s="218"/>
      <c r="D28" s="153"/>
      <c r="E28" s="154"/>
      <c r="F28" s="153"/>
      <c r="G28" s="154"/>
      <c r="H28" s="155"/>
      <c r="I28" s="154"/>
      <c r="J28" s="153"/>
      <c r="K28" s="154"/>
      <c r="L28" s="155"/>
      <c r="M28" s="154"/>
    </row>
    <row r="29" spans="1:13" s="142" customFormat="1" ht="12.75" customHeight="1" x14ac:dyDescent="0.25">
      <c r="A29" s="151">
        <v>2010</v>
      </c>
      <c r="B29" s="152" t="s">
        <v>1</v>
      </c>
      <c r="C29" s="218"/>
      <c r="D29" s="153">
        <v>18256</v>
      </c>
      <c r="E29" s="154" t="s">
        <v>501</v>
      </c>
      <c r="F29" s="153">
        <v>2316</v>
      </c>
      <c r="G29" s="154" t="s">
        <v>501</v>
      </c>
      <c r="H29" s="155">
        <v>12.68624014022787</v>
      </c>
      <c r="I29" s="154" t="s">
        <v>501</v>
      </c>
      <c r="J29" s="153">
        <v>15940</v>
      </c>
      <c r="K29" s="154" t="s">
        <v>501</v>
      </c>
      <c r="L29" s="155">
        <v>87.313759859772134</v>
      </c>
      <c r="M29" s="154" t="s">
        <v>501</v>
      </c>
    </row>
    <row r="30" spans="1:13" s="142" customFormat="1" ht="12.75" customHeight="1" x14ac:dyDescent="0.25">
      <c r="A30" s="151"/>
      <c r="B30" s="152" t="s">
        <v>2</v>
      </c>
      <c r="C30" s="218"/>
      <c r="D30" s="153">
        <v>14982</v>
      </c>
      <c r="E30" s="154" t="s">
        <v>501</v>
      </c>
      <c r="F30" s="153">
        <v>1911</v>
      </c>
      <c r="G30" s="154" t="s">
        <v>501</v>
      </c>
      <c r="H30" s="155">
        <v>12.75530636764117</v>
      </c>
      <c r="I30" s="154" t="s">
        <v>501</v>
      </c>
      <c r="J30" s="153">
        <v>13071</v>
      </c>
      <c r="K30" s="154" t="s">
        <v>501</v>
      </c>
      <c r="L30" s="155">
        <v>87.244693632358832</v>
      </c>
      <c r="M30" s="154" t="s">
        <v>501</v>
      </c>
    </row>
    <row r="31" spans="1:13" s="142" customFormat="1" ht="12.75" customHeight="1" x14ac:dyDescent="0.25">
      <c r="A31" s="151"/>
      <c r="B31" s="152" t="s">
        <v>3</v>
      </c>
      <c r="C31" s="218"/>
      <c r="D31" s="153">
        <v>13907</v>
      </c>
      <c r="E31" s="154" t="s">
        <v>501</v>
      </c>
      <c r="F31" s="153">
        <v>1650</v>
      </c>
      <c r="G31" s="154" t="s">
        <v>501</v>
      </c>
      <c r="H31" s="155">
        <v>11.864528654634357</v>
      </c>
      <c r="I31" s="154" t="s">
        <v>501</v>
      </c>
      <c r="J31" s="153">
        <v>12257</v>
      </c>
      <c r="K31" s="154" t="s">
        <v>501</v>
      </c>
      <c r="L31" s="155">
        <v>88.135471345365644</v>
      </c>
      <c r="M31" s="154" t="s">
        <v>501</v>
      </c>
    </row>
    <row r="32" spans="1:13" s="142" customFormat="1" ht="12.75" customHeight="1" x14ac:dyDescent="0.25">
      <c r="A32" s="151"/>
      <c r="B32" s="152" t="s">
        <v>4</v>
      </c>
      <c r="C32" s="218"/>
      <c r="D32" s="153">
        <v>12028</v>
      </c>
      <c r="E32" s="154" t="s">
        <v>501</v>
      </c>
      <c r="F32" s="153">
        <v>2267</v>
      </c>
      <c r="G32" s="154" t="s">
        <v>501</v>
      </c>
      <c r="H32" s="155">
        <v>18.847688726305286</v>
      </c>
      <c r="I32" s="154" t="s">
        <v>501</v>
      </c>
      <c r="J32" s="153">
        <v>9761</v>
      </c>
      <c r="K32" s="154" t="s">
        <v>501</v>
      </c>
      <c r="L32" s="155">
        <v>81.152311273694707</v>
      </c>
      <c r="M32" s="154" t="s">
        <v>501</v>
      </c>
    </row>
    <row r="33" spans="1:13" s="142" customFormat="1" ht="12.75" customHeight="1" x14ac:dyDescent="0.25">
      <c r="A33" s="151"/>
      <c r="B33" s="152"/>
      <c r="C33" s="218"/>
      <c r="D33" s="153"/>
      <c r="E33" s="154"/>
      <c r="F33" s="153"/>
      <c r="G33" s="154"/>
      <c r="H33" s="155"/>
      <c r="I33" s="154"/>
      <c r="J33" s="153"/>
      <c r="K33" s="154"/>
      <c r="L33" s="155"/>
      <c r="M33" s="154"/>
    </row>
    <row r="34" spans="1:13" s="142" customFormat="1" ht="12.75" customHeight="1" x14ac:dyDescent="0.25">
      <c r="A34" s="151">
        <v>2011</v>
      </c>
      <c r="B34" s="152" t="s">
        <v>1</v>
      </c>
      <c r="C34" s="218"/>
      <c r="D34" s="153">
        <v>12539</v>
      </c>
      <c r="E34" s="154" t="s">
        <v>501</v>
      </c>
      <c r="F34" s="153">
        <v>2579</v>
      </c>
      <c r="G34" s="154" t="s">
        <v>501</v>
      </c>
      <c r="H34" s="155">
        <v>20.56782837546854</v>
      </c>
      <c r="I34" s="154" t="s">
        <v>501</v>
      </c>
      <c r="J34" s="153">
        <v>9960</v>
      </c>
      <c r="K34" s="154" t="s">
        <v>501</v>
      </c>
      <c r="L34" s="155">
        <v>79.432171624531463</v>
      </c>
      <c r="M34" s="154" t="s">
        <v>501</v>
      </c>
    </row>
    <row r="35" spans="1:13" s="142" customFormat="1" ht="12.75" customHeight="1" x14ac:dyDescent="0.25">
      <c r="A35" s="151"/>
      <c r="B35" s="152" t="s">
        <v>2</v>
      </c>
      <c r="C35" s="218"/>
      <c r="D35" s="153">
        <v>11101</v>
      </c>
      <c r="E35" s="154" t="s">
        <v>501</v>
      </c>
      <c r="F35" s="153">
        <v>2324</v>
      </c>
      <c r="G35" s="154" t="s">
        <v>501</v>
      </c>
      <c r="H35" s="155">
        <v>20.935050896315648</v>
      </c>
      <c r="I35" s="154" t="s">
        <v>501</v>
      </c>
      <c r="J35" s="153">
        <v>8777</v>
      </c>
      <c r="K35" s="154" t="s">
        <v>501</v>
      </c>
      <c r="L35" s="155">
        <v>79.064949103684356</v>
      </c>
      <c r="M35" s="154" t="s">
        <v>501</v>
      </c>
    </row>
    <row r="36" spans="1:13" s="142" customFormat="1" ht="12.75" customHeight="1" x14ac:dyDescent="0.25">
      <c r="A36" s="151"/>
      <c r="B36" s="152" t="s">
        <v>3</v>
      </c>
      <c r="C36" s="218"/>
      <c r="D36" s="153">
        <v>9578</v>
      </c>
      <c r="E36" s="154" t="s">
        <v>501</v>
      </c>
      <c r="F36" s="153">
        <v>2035</v>
      </c>
      <c r="G36" s="154" t="s">
        <v>501</v>
      </c>
      <c r="H36" s="155">
        <v>21.246606807266652</v>
      </c>
      <c r="I36" s="154" t="s">
        <v>501</v>
      </c>
      <c r="J36" s="153">
        <v>7543</v>
      </c>
      <c r="K36" s="154" t="s">
        <v>501</v>
      </c>
      <c r="L36" s="155">
        <v>78.753393192733341</v>
      </c>
      <c r="M36" s="154" t="s">
        <v>501</v>
      </c>
    </row>
    <row r="37" spans="1:13" s="142" customFormat="1" ht="12.75" customHeight="1" x14ac:dyDescent="0.25">
      <c r="A37" s="151"/>
      <c r="B37" s="152" t="s">
        <v>4</v>
      </c>
      <c r="C37" s="218"/>
      <c r="D37" s="153">
        <v>8658</v>
      </c>
      <c r="E37" s="154" t="s">
        <v>501</v>
      </c>
      <c r="F37" s="153">
        <v>1955</v>
      </c>
      <c r="G37" s="154" t="s">
        <v>501</v>
      </c>
      <c r="H37" s="155">
        <v>22.580272580272581</v>
      </c>
      <c r="I37" s="154" t="s">
        <v>501</v>
      </c>
      <c r="J37" s="153">
        <v>6703</v>
      </c>
      <c r="K37" s="154" t="s">
        <v>501</v>
      </c>
      <c r="L37" s="155">
        <v>77.419727419727423</v>
      </c>
      <c r="M37" s="154" t="s">
        <v>501</v>
      </c>
    </row>
    <row r="38" spans="1:13" s="142" customFormat="1" ht="12.75" customHeight="1" x14ac:dyDescent="0.25">
      <c r="A38" s="151"/>
      <c r="B38" s="152"/>
      <c r="C38" s="218"/>
      <c r="D38" s="153"/>
      <c r="E38" s="154"/>
      <c r="F38" s="153"/>
      <c r="G38" s="154"/>
      <c r="H38" s="155"/>
      <c r="I38" s="154"/>
      <c r="J38" s="153"/>
      <c r="K38" s="154"/>
      <c r="L38" s="155"/>
      <c r="M38" s="154"/>
    </row>
    <row r="39" spans="1:13" s="142" customFormat="1" ht="12.75" customHeight="1" x14ac:dyDescent="0.25">
      <c r="A39" s="151">
        <v>2012</v>
      </c>
      <c r="B39" s="152" t="s">
        <v>1</v>
      </c>
      <c r="C39" s="218"/>
      <c r="D39" s="153">
        <v>9132</v>
      </c>
      <c r="E39" s="154" t="s">
        <v>501</v>
      </c>
      <c r="F39" s="153">
        <v>2161</v>
      </c>
      <c r="G39" s="154" t="s">
        <v>501</v>
      </c>
      <c r="H39" s="155">
        <v>23.664038545773106</v>
      </c>
      <c r="I39" s="154" t="s">
        <v>501</v>
      </c>
      <c r="J39" s="153">
        <v>6971</v>
      </c>
      <c r="K39" s="154" t="s">
        <v>501</v>
      </c>
      <c r="L39" s="155">
        <v>76.33596145422689</v>
      </c>
      <c r="M39" s="154" t="s">
        <v>501</v>
      </c>
    </row>
    <row r="40" spans="1:13" s="142" customFormat="1" ht="12.75" customHeight="1" x14ac:dyDescent="0.25">
      <c r="A40" s="151"/>
      <c r="B40" s="152" t="s">
        <v>2</v>
      </c>
      <c r="C40" s="218"/>
      <c r="D40" s="153">
        <v>8092</v>
      </c>
      <c r="E40" s="154" t="s">
        <v>501</v>
      </c>
      <c r="F40" s="153">
        <v>1903</v>
      </c>
      <c r="G40" s="154" t="s">
        <v>501</v>
      </c>
      <c r="H40" s="155">
        <v>23.517053880375681</v>
      </c>
      <c r="I40" s="154" t="s">
        <v>501</v>
      </c>
      <c r="J40" s="153">
        <v>6189</v>
      </c>
      <c r="K40" s="154" t="s">
        <v>501</v>
      </c>
      <c r="L40" s="155">
        <v>76.482946119624316</v>
      </c>
      <c r="M40" s="154" t="s">
        <v>501</v>
      </c>
    </row>
    <row r="41" spans="1:13" s="142" customFormat="1" ht="12.75" customHeight="1" x14ac:dyDescent="0.25">
      <c r="A41" s="151"/>
      <c r="B41" s="152" t="s">
        <v>3</v>
      </c>
      <c r="C41" s="218"/>
      <c r="D41" s="153">
        <v>7642</v>
      </c>
      <c r="E41" s="154" t="s">
        <v>501</v>
      </c>
      <c r="F41" s="153">
        <v>1770</v>
      </c>
      <c r="G41" s="154" t="s">
        <v>501</v>
      </c>
      <c r="H41" s="155">
        <v>23.161476053389165</v>
      </c>
      <c r="I41" s="154" t="s">
        <v>501</v>
      </c>
      <c r="J41" s="153">
        <v>5872</v>
      </c>
      <c r="K41" s="154" t="s">
        <v>501</v>
      </c>
      <c r="L41" s="155">
        <v>76.838523946610835</v>
      </c>
      <c r="M41" s="154" t="s">
        <v>501</v>
      </c>
    </row>
    <row r="42" spans="1:13" s="142" customFormat="1" ht="12.75" customHeight="1" x14ac:dyDescent="0.25">
      <c r="A42" s="151"/>
      <c r="B42" s="152" t="s">
        <v>4</v>
      </c>
      <c r="C42" s="218"/>
      <c r="D42" s="153">
        <v>6921</v>
      </c>
      <c r="E42" s="154" t="s">
        <v>501</v>
      </c>
      <c r="F42" s="153">
        <v>1689</v>
      </c>
      <c r="G42" s="154" t="s">
        <v>501</v>
      </c>
      <c r="H42" s="155">
        <v>24.403987863025574</v>
      </c>
      <c r="I42" s="154" t="s">
        <v>501</v>
      </c>
      <c r="J42" s="153">
        <v>5232</v>
      </c>
      <c r="K42" s="154" t="s">
        <v>501</v>
      </c>
      <c r="L42" s="155">
        <v>75.596012136974423</v>
      </c>
      <c r="M42" s="154" t="s">
        <v>501</v>
      </c>
    </row>
    <row r="43" spans="1:13" s="142" customFormat="1" ht="12.75" customHeight="1" x14ac:dyDescent="0.25">
      <c r="A43" s="151"/>
      <c r="B43" s="152"/>
      <c r="C43" s="218"/>
      <c r="D43" s="153"/>
      <c r="E43" s="154"/>
      <c r="F43" s="153"/>
      <c r="G43" s="154"/>
      <c r="H43" s="155"/>
      <c r="I43" s="154"/>
      <c r="J43" s="153"/>
      <c r="K43" s="154"/>
      <c r="L43" s="155"/>
      <c r="M43" s="154"/>
    </row>
    <row r="44" spans="1:13" s="142" customFormat="1" ht="12.75" customHeight="1" x14ac:dyDescent="0.25">
      <c r="A44" s="151">
        <v>2013</v>
      </c>
      <c r="B44" s="152" t="s">
        <v>1</v>
      </c>
      <c r="C44" s="218"/>
      <c r="D44" s="153">
        <v>6673</v>
      </c>
      <c r="E44" s="154" t="s">
        <v>501</v>
      </c>
      <c r="F44" s="153">
        <v>1643</v>
      </c>
      <c r="G44" s="154" t="s">
        <v>501</v>
      </c>
      <c r="H44" s="155">
        <v>24.621609471002547</v>
      </c>
      <c r="I44" s="154" t="s">
        <v>501</v>
      </c>
      <c r="J44" s="153">
        <v>5030</v>
      </c>
      <c r="K44" s="154" t="s">
        <v>501</v>
      </c>
      <c r="L44" s="155">
        <v>75.378390528997457</v>
      </c>
      <c r="M44" s="154" t="s">
        <v>501</v>
      </c>
    </row>
    <row r="45" spans="1:13" s="142" customFormat="1" ht="12.75" customHeight="1" x14ac:dyDescent="0.25">
      <c r="A45" s="151"/>
      <c r="B45" s="152" t="s">
        <v>2</v>
      </c>
      <c r="C45" s="218"/>
      <c r="D45" s="153">
        <v>6480</v>
      </c>
      <c r="E45" s="154" t="s">
        <v>501</v>
      </c>
      <c r="F45" s="153">
        <v>1628</v>
      </c>
      <c r="G45" s="154" t="s">
        <v>501</v>
      </c>
      <c r="H45" s="155">
        <v>25.123456790123456</v>
      </c>
      <c r="I45" s="154" t="s">
        <v>501</v>
      </c>
      <c r="J45" s="153">
        <v>4852</v>
      </c>
      <c r="K45" s="154" t="s">
        <v>501</v>
      </c>
      <c r="L45" s="155">
        <v>74.876543209876544</v>
      </c>
      <c r="M45" s="154" t="s">
        <v>501</v>
      </c>
    </row>
    <row r="46" spans="1:13" s="142" customFormat="1" ht="12.75" customHeight="1" x14ac:dyDescent="0.25">
      <c r="A46" s="151"/>
      <c r="B46" s="152" t="s">
        <v>3</v>
      </c>
      <c r="C46" s="218"/>
      <c r="D46" s="153">
        <v>6009</v>
      </c>
      <c r="E46" s="154" t="s">
        <v>501</v>
      </c>
      <c r="F46" s="153">
        <v>1473</v>
      </c>
      <c r="G46" s="154" t="s">
        <v>501</v>
      </c>
      <c r="H46" s="155">
        <v>24.513230154767847</v>
      </c>
      <c r="I46" s="154" t="s">
        <v>501</v>
      </c>
      <c r="J46" s="153">
        <v>4536</v>
      </c>
      <c r="K46" s="154" t="s">
        <v>501</v>
      </c>
      <c r="L46" s="155">
        <v>75.486769845232146</v>
      </c>
      <c r="M46" s="154" t="s">
        <v>501</v>
      </c>
    </row>
    <row r="47" spans="1:13" s="142" customFormat="1" ht="12.75" customHeight="1" x14ac:dyDescent="0.25">
      <c r="A47" s="151"/>
      <c r="B47" s="152" t="s">
        <v>4</v>
      </c>
      <c r="C47" s="218"/>
      <c r="D47" s="153">
        <v>5409</v>
      </c>
      <c r="E47" s="154" t="s">
        <v>501</v>
      </c>
      <c r="F47" s="153">
        <v>1255</v>
      </c>
      <c r="G47" s="154" t="s">
        <v>501</v>
      </c>
      <c r="H47" s="155">
        <v>23.202070623035681</v>
      </c>
      <c r="I47" s="154" t="s">
        <v>501</v>
      </c>
      <c r="J47" s="153">
        <v>4154</v>
      </c>
      <c r="K47" s="154" t="s">
        <v>501</v>
      </c>
      <c r="L47" s="155">
        <v>76.797929376964319</v>
      </c>
      <c r="M47" s="154" t="s">
        <v>501</v>
      </c>
    </row>
    <row r="48" spans="1:13" s="142" customFormat="1" ht="12.75" customHeight="1" x14ac:dyDescent="0.25">
      <c r="A48" s="151"/>
      <c r="B48" s="152"/>
      <c r="C48" s="218"/>
      <c r="D48" s="153"/>
      <c r="E48" s="154"/>
      <c r="F48" s="153"/>
      <c r="G48" s="154"/>
      <c r="H48" s="155"/>
      <c r="I48" s="154"/>
      <c r="J48" s="153"/>
      <c r="K48" s="154"/>
      <c r="L48" s="155"/>
      <c r="M48" s="154"/>
    </row>
    <row r="49" spans="1:13" s="142" customFormat="1" ht="12.75" customHeight="1" x14ac:dyDescent="0.25">
      <c r="A49" s="151">
        <v>2014</v>
      </c>
      <c r="B49" s="152" t="s">
        <v>1</v>
      </c>
      <c r="C49" s="218"/>
      <c r="D49" s="153">
        <v>5681</v>
      </c>
      <c r="E49" s="154" t="s">
        <v>501</v>
      </c>
      <c r="F49" s="153">
        <v>1467</v>
      </c>
      <c r="G49" s="154" t="s">
        <v>501</v>
      </c>
      <c r="H49" s="155">
        <v>25.822918500264038</v>
      </c>
      <c r="I49" s="154" t="s">
        <v>501</v>
      </c>
      <c r="J49" s="153">
        <v>4214</v>
      </c>
      <c r="K49" s="154" t="s">
        <v>501</v>
      </c>
      <c r="L49" s="155">
        <v>74.177081499735962</v>
      </c>
      <c r="M49" s="154" t="s">
        <v>501</v>
      </c>
    </row>
    <row r="50" spans="1:13" s="142" customFormat="1" ht="12.75" customHeight="1" x14ac:dyDescent="0.25">
      <c r="A50" s="151"/>
      <c r="B50" s="152" t="s">
        <v>2</v>
      </c>
      <c r="C50" s="218"/>
      <c r="D50" s="153">
        <v>5475</v>
      </c>
      <c r="E50" s="154" t="s">
        <v>501</v>
      </c>
      <c r="F50" s="153">
        <v>1381</v>
      </c>
      <c r="G50" s="154" t="s">
        <v>501</v>
      </c>
      <c r="H50" s="155">
        <v>25.223744292237445</v>
      </c>
      <c r="I50" s="154" t="s">
        <v>501</v>
      </c>
      <c r="J50" s="153">
        <v>4094</v>
      </c>
      <c r="K50" s="154" t="s">
        <v>501</v>
      </c>
      <c r="L50" s="155">
        <v>74.776255707762559</v>
      </c>
      <c r="M50" s="154" t="s">
        <v>501</v>
      </c>
    </row>
    <row r="51" spans="1:13" s="142" customFormat="1" ht="12.75" customHeight="1" x14ac:dyDescent="0.25">
      <c r="A51" s="151"/>
      <c r="B51" s="152" t="s">
        <v>3</v>
      </c>
      <c r="C51" s="218"/>
      <c r="D51" s="153">
        <v>4907</v>
      </c>
      <c r="E51" s="154" t="s">
        <v>501</v>
      </c>
      <c r="F51" s="153">
        <v>1139</v>
      </c>
      <c r="G51" s="154" t="s">
        <v>501</v>
      </c>
      <c r="H51" s="155">
        <v>23.211738332993683</v>
      </c>
      <c r="I51" s="154" t="s">
        <v>501</v>
      </c>
      <c r="J51" s="153">
        <v>3768</v>
      </c>
      <c r="K51" s="154" t="s">
        <v>501</v>
      </c>
      <c r="L51" s="155">
        <v>76.788261667006324</v>
      </c>
      <c r="M51" s="154" t="s">
        <v>501</v>
      </c>
    </row>
    <row r="52" spans="1:13" s="142" customFormat="1" ht="12.75" customHeight="1" x14ac:dyDescent="0.25">
      <c r="A52" s="151"/>
      <c r="B52" s="152" t="s">
        <v>4</v>
      </c>
      <c r="C52" s="218"/>
      <c r="D52" s="153">
        <v>4282</v>
      </c>
      <c r="E52" s="154" t="s">
        <v>501</v>
      </c>
      <c r="F52" s="153">
        <v>969</v>
      </c>
      <c r="G52" s="154" t="s">
        <v>501</v>
      </c>
      <c r="H52" s="155">
        <v>22.629612330686594</v>
      </c>
      <c r="I52" s="154" t="s">
        <v>501</v>
      </c>
      <c r="J52" s="153">
        <v>3313</v>
      </c>
      <c r="K52" s="154" t="s">
        <v>501</v>
      </c>
      <c r="L52" s="155">
        <v>77.370387669313402</v>
      </c>
      <c r="M52" s="154" t="s">
        <v>501</v>
      </c>
    </row>
    <row r="53" spans="1:13" s="142" customFormat="1" ht="12.75" customHeight="1" x14ac:dyDescent="0.25">
      <c r="A53" s="151"/>
      <c r="B53" s="152"/>
      <c r="C53" s="218"/>
      <c r="D53" s="153"/>
      <c r="E53" s="154"/>
      <c r="F53" s="153"/>
      <c r="G53" s="154"/>
      <c r="H53" s="155"/>
      <c r="I53" s="154"/>
      <c r="J53" s="153"/>
      <c r="K53" s="154"/>
      <c r="L53" s="155"/>
      <c r="M53" s="154"/>
    </row>
    <row r="54" spans="1:13" s="142" customFormat="1" ht="12.75" customHeight="1" x14ac:dyDescent="0.25">
      <c r="A54" s="151">
        <v>2015</v>
      </c>
      <c r="B54" s="152" t="s">
        <v>1</v>
      </c>
      <c r="C54" s="218"/>
      <c r="D54" s="153">
        <v>4404</v>
      </c>
      <c r="E54" s="154" t="s">
        <v>501</v>
      </c>
      <c r="F54" s="153">
        <v>1117</v>
      </c>
      <c r="G54" s="154" t="s">
        <v>501</v>
      </c>
      <c r="H54" s="155">
        <v>25.36330608537693</v>
      </c>
      <c r="I54" s="154" t="s">
        <v>501</v>
      </c>
      <c r="J54" s="153">
        <v>3287</v>
      </c>
      <c r="K54" s="154" t="s">
        <v>501</v>
      </c>
      <c r="L54" s="155">
        <v>74.636693914623066</v>
      </c>
      <c r="M54" s="154" t="s">
        <v>501</v>
      </c>
    </row>
    <row r="55" spans="1:13" s="142" customFormat="1" ht="12.75" customHeight="1" x14ac:dyDescent="0.25">
      <c r="A55" s="151"/>
      <c r="B55" s="152" t="s">
        <v>2</v>
      </c>
      <c r="C55" s="218"/>
      <c r="D55" s="153">
        <v>3975</v>
      </c>
      <c r="E55" s="154" t="s">
        <v>501</v>
      </c>
      <c r="F55" s="153">
        <v>938</v>
      </c>
      <c r="G55" s="154" t="s">
        <v>501</v>
      </c>
      <c r="H55" s="155">
        <v>23.59748427672956</v>
      </c>
      <c r="I55" s="154" t="s">
        <v>501</v>
      </c>
      <c r="J55" s="153">
        <v>3037</v>
      </c>
      <c r="K55" s="154" t="s">
        <v>501</v>
      </c>
      <c r="L55" s="155">
        <v>76.40251572327044</v>
      </c>
      <c r="M55" s="154" t="s">
        <v>501</v>
      </c>
    </row>
    <row r="56" spans="1:13" s="142" customFormat="1" ht="12.75" customHeight="1" x14ac:dyDescent="0.25">
      <c r="A56" s="151"/>
      <c r="B56" s="152" t="s">
        <v>3</v>
      </c>
      <c r="C56" s="218"/>
      <c r="D56" s="153">
        <v>3896</v>
      </c>
      <c r="E56" s="154" t="s">
        <v>501</v>
      </c>
      <c r="F56" s="153">
        <v>918</v>
      </c>
      <c r="G56" s="154" t="s">
        <v>501</v>
      </c>
      <c r="H56" s="155">
        <v>23.562628336755647</v>
      </c>
      <c r="I56" s="154" t="s">
        <v>501</v>
      </c>
      <c r="J56" s="153">
        <v>2978</v>
      </c>
      <c r="K56" s="154" t="s">
        <v>501</v>
      </c>
      <c r="L56" s="155">
        <v>76.437371663244363</v>
      </c>
      <c r="M56" s="154" t="s">
        <v>501</v>
      </c>
    </row>
    <row r="57" spans="1:13" s="142" customFormat="1" ht="12.75" customHeight="1" x14ac:dyDescent="0.25">
      <c r="A57" s="151"/>
      <c r="B57" s="152" t="s">
        <v>4</v>
      </c>
      <c r="C57" s="218"/>
      <c r="D57" s="153">
        <v>3570</v>
      </c>
      <c r="E57" s="154" t="s">
        <v>501</v>
      </c>
      <c r="F57" s="153">
        <v>931</v>
      </c>
      <c r="G57" s="154" t="s">
        <v>501</v>
      </c>
      <c r="H57" s="155">
        <v>26.078431372549023</v>
      </c>
      <c r="I57" s="154" t="s">
        <v>501</v>
      </c>
      <c r="J57" s="153">
        <v>2639</v>
      </c>
      <c r="K57" s="154" t="s">
        <v>501</v>
      </c>
      <c r="L57" s="155">
        <v>73.921568627450981</v>
      </c>
      <c r="M57" s="154" t="s">
        <v>501</v>
      </c>
    </row>
    <row r="58" spans="1:13" s="142" customFormat="1" ht="12.75" customHeight="1" x14ac:dyDescent="0.25">
      <c r="A58" s="151"/>
      <c r="B58" s="152"/>
      <c r="C58" s="218"/>
      <c r="D58" s="153"/>
      <c r="E58" s="154"/>
      <c r="F58" s="153"/>
      <c r="G58" s="154"/>
      <c r="H58" s="155"/>
      <c r="I58" s="154"/>
      <c r="J58" s="153"/>
      <c r="K58" s="154"/>
      <c r="L58" s="155"/>
      <c r="M58" s="154"/>
    </row>
    <row r="59" spans="1:13" s="142" customFormat="1" ht="12.75" customHeight="1" x14ac:dyDescent="0.25">
      <c r="A59" s="151">
        <v>2016</v>
      </c>
      <c r="B59" s="152" t="s">
        <v>1</v>
      </c>
      <c r="C59" s="218"/>
      <c r="D59" s="153">
        <v>3775</v>
      </c>
      <c r="E59" s="154" t="s">
        <v>501</v>
      </c>
      <c r="F59" s="153">
        <v>913</v>
      </c>
      <c r="G59" s="154" t="s">
        <v>501</v>
      </c>
      <c r="H59" s="155">
        <v>24.185430463576161</v>
      </c>
      <c r="I59" s="154" t="s">
        <v>501</v>
      </c>
      <c r="J59" s="153">
        <v>2862</v>
      </c>
      <c r="K59" s="154" t="s">
        <v>501</v>
      </c>
      <c r="L59" s="155">
        <v>75.814569536423832</v>
      </c>
      <c r="M59" s="154" t="s">
        <v>501</v>
      </c>
    </row>
    <row r="60" spans="1:13" s="142" customFormat="1" ht="12.75" customHeight="1" x14ac:dyDescent="0.25">
      <c r="A60" s="151"/>
      <c r="B60" s="152" t="s">
        <v>2</v>
      </c>
      <c r="C60" s="218"/>
      <c r="D60" s="153">
        <v>3709</v>
      </c>
      <c r="E60" s="154" t="s">
        <v>501</v>
      </c>
      <c r="F60" s="153">
        <v>920</v>
      </c>
      <c r="G60" s="154" t="s">
        <v>501</v>
      </c>
      <c r="H60" s="155">
        <v>24.804529522782421</v>
      </c>
      <c r="I60" s="154" t="s">
        <v>501</v>
      </c>
      <c r="J60" s="153">
        <v>2789</v>
      </c>
      <c r="K60" s="154" t="s">
        <v>501</v>
      </c>
      <c r="L60" s="155">
        <v>75.195470477217569</v>
      </c>
      <c r="M60" s="154" t="s">
        <v>501</v>
      </c>
    </row>
    <row r="61" spans="1:13" s="142" customFormat="1" ht="12.75" customHeight="1" x14ac:dyDescent="0.25">
      <c r="A61" s="151"/>
      <c r="B61" s="152" t="s">
        <v>3</v>
      </c>
      <c r="C61" s="218"/>
      <c r="D61" s="153">
        <v>3936</v>
      </c>
      <c r="E61" s="154" t="s">
        <v>501</v>
      </c>
      <c r="F61" s="153">
        <v>940</v>
      </c>
      <c r="G61" s="154" t="s">
        <v>501</v>
      </c>
      <c r="H61" s="155">
        <v>23.882113821138212</v>
      </c>
      <c r="I61" s="154" t="s">
        <v>501</v>
      </c>
      <c r="J61" s="153">
        <v>2996</v>
      </c>
      <c r="K61" s="154" t="s">
        <v>501</v>
      </c>
      <c r="L61" s="155">
        <v>76.117886178861795</v>
      </c>
      <c r="M61" s="154" t="s">
        <v>501</v>
      </c>
    </row>
    <row r="62" spans="1:13" s="142" customFormat="1" ht="12.75" customHeight="1" x14ac:dyDescent="0.25">
      <c r="A62" s="151"/>
      <c r="B62" s="152" t="s">
        <v>4</v>
      </c>
      <c r="C62" s="218"/>
      <c r="D62" s="153">
        <v>3624</v>
      </c>
      <c r="E62" s="154" t="s">
        <v>501</v>
      </c>
      <c r="F62" s="153">
        <v>907</v>
      </c>
      <c r="G62" s="154" t="s">
        <v>501</v>
      </c>
      <c r="H62" s="155">
        <v>25.027593818984545</v>
      </c>
      <c r="I62" s="154" t="s">
        <v>501</v>
      </c>
      <c r="J62" s="153">
        <v>2717</v>
      </c>
      <c r="K62" s="154" t="s">
        <v>501</v>
      </c>
      <c r="L62" s="155">
        <v>74.972406181015444</v>
      </c>
      <c r="M62" s="154" t="s">
        <v>501</v>
      </c>
    </row>
    <row r="63" spans="1:13" s="142" customFormat="1" ht="12.75" customHeight="1" x14ac:dyDescent="0.25">
      <c r="A63" s="151"/>
      <c r="B63" s="152"/>
      <c r="C63" s="218"/>
      <c r="D63" s="153"/>
      <c r="E63" s="154"/>
      <c r="F63" s="153"/>
      <c r="G63" s="154"/>
      <c r="H63" s="155"/>
      <c r="I63" s="154"/>
      <c r="J63" s="153"/>
      <c r="K63" s="154"/>
      <c r="L63" s="155"/>
      <c r="M63" s="154"/>
    </row>
    <row r="64" spans="1:13" s="142" customFormat="1" ht="12.75" customHeight="1" x14ac:dyDescent="0.25">
      <c r="A64" s="151">
        <v>2017</v>
      </c>
      <c r="B64" s="152" t="s">
        <v>1</v>
      </c>
      <c r="C64" s="218" t="s">
        <v>196</v>
      </c>
      <c r="D64" s="153">
        <v>4083</v>
      </c>
      <c r="E64" s="154" t="s">
        <v>501</v>
      </c>
      <c r="F64" s="153">
        <v>958</v>
      </c>
      <c r="G64" s="154" t="s">
        <v>501</v>
      </c>
      <c r="H64" s="155">
        <v>23.463139848150867</v>
      </c>
      <c r="I64" s="154" t="s">
        <v>501</v>
      </c>
      <c r="J64" s="153">
        <v>3125</v>
      </c>
      <c r="K64" s="154" t="s">
        <v>501</v>
      </c>
      <c r="L64" s="155">
        <v>76.536860151849126</v>
      </c>
      <c r="M64" s="154" t="s">
        <v>501</v>
      </c>
    </row>
    <row r="65" spans="1:13" s="142" customFormat="1" ht="12.75" customHeight="1" x14ac:dyDescent="0.25">
      <c r="A65" s="151"/>
      <c r="B65" s="152" t="s">
        <v>2</v>
      </c>
      <c r="C65" s="218" t="s">
        <v>196</v>
      </c>
      <c r="D65" s="153">
        <v>3722</v>
      </c>
      <c r="E65" s="154" t="s">
        <v>279</v>
      </c>
      <c r="F65" s="153">
        <v>872</v>
      </c>
      <c r="G65" s="154" t="s">
        <v>501</v>
      </c>
      <c r="H65" s="155">
        <v>23.428264373992477</v>
      </c>
      <c r="I65" s="154" t="s">
        <v>501</v>
      </c>
      <c r="J65" s="153">
        <v>2850</v>
      </c>
      <c r="K65" s="154" t="s">
        <v>279</v>
      </c>
      <c r="L65" s="155">
        <v>76.571735626007523</v>
      </c>
      <c r="M65" s="154" t="s">
        <v>501</v>
      </c>
    </row>
    <row r="66" spans="1:13" s="142" customFormat="1" ht="12.75" customHeight="1" x14ac:dyDescent="0.25">
      <c r="A66" s="151"/>
      <c r="B66" s="152" t="s">
        <v>3</v>
      </c>
      <c r="C66" s="218" t="s">
        <v>196</v>
      </c>
      <c r="D66" s="153">
        <v>3738</v>
      </c>
      <c r="E66" s="154" t="s">
        <v>279</v>
      </c>
      <c r="F66" s="153">
        <v>818</v>
      </c>
      <c r="G66" s="154" t="s">
        <v>501</v>
      </c>
      <c r="H66" s="155">
        <v>21.883360085607276</v>
      </c>
      <c r="I66" s="154" t="s">
        <v>501</v>
      </c>
      <c r="J66" s="153">
        <v>2920</v>
      </c>
      <c r="K66" s="154" t="s">
        <v>501</v>
      </c>
      <c r="L66" s="155">
        <v>78.116639914392721</v>
      </c>
      <c r="M66" s="154" t="s">
        <v>501</v>
      </c>
    </row>
    <row r="67" spans="1:13" s="142" customFormat="1" ht="12.75" customHeight="1" x14ac:dyDescent="0.25">
      <c r="A67" s="151"/>
      <c r="B67" s="152" t="s">
        <v>4</v>
      </c>
      <c r="C67" s="218" t="s">
        <v>501</v>
      </c>
      <c r="D67" s="153">
        <v>3539</v>
      </c>
      <c r="E67" s="154" t="s">
        <v>501</v>
      </c>
      <c r="F67" s="153" t="s">
        <v>67</v>
      </c>
      <c r="G67" s="154" t="s">
        <v>501</v>
      </c>
      <c r="H67" s="155" t="s">
        <v>67</v>
      </c>
      <c r="I67" s="154" t="s">
        <v>501</v>
      </c>
      <c r="J67" s="153" t="s">
        <v>67</v>
      </c>
      <c r="K67" s="154" t="s">
        <v>501</v>
      </c>
      <c r="L67" s="155" t="s">
        <v>67</v>
      </c>
      <c r="M67" s="154" t="s">
        <v>501</v>
      </c>
    </row>
    <row r="68" spans="1:13" s="142" customFormat="1" ht="12.75" customHeight="1" x14ac:dyDescent="0.25">
      <c r="A68" s="151"/>
      <c r="B68" s="152"/>
      <c r="C68" s="218"/>
      <c r="D68" s="153"/>
      <c r="E68" s="154"/>
      <c r="F68" s="153"/>
      <c r="G68" s="154"/>
      <c r="H68" s="155"/>
      <c r="I68" s="154"/>
      <c r="J68" s="153"/>
      <c r="K68" s="154"/>
      <c r="L68" s="155"/>
      <c r="M68" s="154"/>
    </row>
    <row r="69" spans="1:13" s="142" customFormat="1" ht="12.75" customHeight="1" thickBot="1" x14ac:dyDescent="0.3">
      <c r="A69" s="152"/>
      <c r="B69" s="156"/>
      <c r="C69" s="219"/>
      <c r="D69" s="153"/>
      <c r="E69" s="154"/>
      <c r="F69" s="153"/>
      <c r="G69" s="154"/>
      <c r="H69" s="155"/>
      <c r="I69" s="154"/>
      <c r="J69" s="153"/>
      <c r="K69" s="154"/>
      <c r="L69" s="155"/>
      <c r="M69" s="154"/>
    </row>
    <row r="70" spans="1:13" s="142" customFormat="1" ht="12.75" customHeight="1" x14ac:dyDescent="0.2">
      <c r="A70" s="159" t="s">
        <v>505</v>
      </c>
      <c r="B70" s="159"/>
      <c r="C70" s="220"/>
      <c r="D70" s="159"/>
      <c r="E70" s="220"/>
      <c r="F70" s="159"/>
      <c r="G70" s="220"/>
      <c r="H70" s="200"/>
      <c r="I70" s="220"/>
      <c r="J70" s="159"/>
      <c r="K70" s="220"/>
      <c r="L70" s="200"/>
      <c r="M70" s="220"/>
    </row>
    <row r="71" spans="1:13" s="142" customFormat="1" ht="12.75" customHeight="1" x14ac:dyDescent="0.2">
      <c r="A71" s="160"/>
      <c r="B71" s="160"/>
      <c r="C71" s="161"/>
      <c r="D71" s="323"/>
      <c r="E71" s="161"/>
      <c r="F71" s="160"/>
      <c r="G71" s="161"/>
      <c r="H71" s="201"/>
      <c r="I71" s="161"/>
      <c r="J71" s="160"/>
      <c r="K71" s="161"/>
      <c r="L71" s="201"/>
      <c r="M71" s="161"/>
    </row>
    <row r="72" spans="1:13" s="142" customFormat="1" ht="12.75" hidden="1" customHeight="1" x14ac:dyDescent="0.2">
      <c r="A72" s="162">
        <v>2017</v>
      </c>
      <c r="B72" s="163" t="s">
        <v>2</v>
      </c>
      <c r="C72" s="221"/>
      <c r="D72" s="164" t="s">
        <v>121</v>
      </c>
      <c r="E72" s="161"/>
      <c r="F72" s="164" t="s">
        <v>121</v>
      </c>
      <c r="G72" s="161"/>
      <c r="H72" s="202"/>
      <c r="I72" s="161"/>
      <c r="J72" s="164" t="s">
        <v>121</v>
      </c>
      <c r="K72" s="161"/>
      <c r="L72" s="202"/>
      <c r="M72" s="161"/>
    </row>
    <row r="73" spans="1:13" s="142" customFormat="1" ht="12.75" hidden="1" customHeight="1" x14ac:dyDescent="0.2">
      <c r="A73" s="167"/>
      <c r="B73" s="167"/>
      <c r="C73" s="222"/>
      <c r="D73" s="167"/>
      <c r="E73" s="280"/>
      <c r="F73" s="167"/>
      <c r="G73" s="280"/>
      <c r="H73" s="203"/>
      <c r="I73" s="280"/>
      <c r="J73" s="167"/>
      <c r="K73" s="280"/>
      <c r="L73" s="203"/>
      <c r="M73" s="280"/>
    </row>
    <row r="74" spans="1:13" s="142" customFormat="1" ht="12.75" customHeight="1" thickBot="1" x14ac:dyDescent="0.25">
      <c r="A74" s="157">
        <v>2016</v>
      </c>
      <c r="B74" s="158" t="s">
        <v>3</v>
      </c>
      <c r="C74" s="223"/>
      <c r="D74" s="168">
        <v>-5.0304878048780477</v>
      </c>
      <c r="E74" s="281"/>
      <c r="F74" s="168">
        <v>-12.978723404255321</v>
      </c>
      <c r="G74" s="281"/>
      <c r="H74" s="204"/>
      <c r="I74" s="281"/>
      <c r="J74" s="168">
        <v>-2.5367156208277675</v>
      </c>
      <c r="K74" s="281"/>
      <c r="L74" s="204"/>
      <c r="M74" s="281"/>
    </row>
    <row r="75" spans="1:13" s="169" customFormat="1" ht="12.75" customHeight="1" x14ac:dyDescent="0.2">
      <c r="A75" s="343"/>
      <c r="B75" s="343"/>
      <c r="C75" s="343"/>
      <c r="D75" s="343"/>
      <c r="E75" s="343"/>
      <c r="F75" s="343"/>
      <c r="G75" s="343"/>
      <c r="H75" s="343"/>
      <c r="I75" s="343"/>
      <c r="J75" s="343"/>
      <c r="K75" s="343"/>
      <c r="L75" s="343"/>
      <c r="M75" s="343"/>
    </row>
    <row r="76" spans="1:13" s="169" customFormat="1" ht="28.5" customHeight="1" x14ac:dyDescent="0.2">
      <c r="A76" s="338" t="s">
        <v>247</v>
      </c>
      <c r="B76" s="338"/>
      <c r="C76" s="338"/>
      <c r="D76" s="338"/>
      <c r="E76" s="338"/>
      <c r="F76" s="338"/>
      <c r="G76" s="338"/>
      <c r="H76" s="338"/>
      <c r="I76" s="338"/>
      <c r="J76" s="338"/>
      <c r="K76" s="338"/>
      <c r="L76" s="338"/>
      <c r="M76" s="338"/>
    </row>
    <row r="77" spans="1:13" s="170" customFormat="1" ht="87.75" customHeight="1" x14ac:dyDescent="0.3">
      <c r="A77" s="338" t="s">
        <v>252</v>
      </c>
      <c r="B77" s="338"/>
      <c r="C77" s="338"/>
      <c r="D77" s="338"/>
      <c r="E77" s="338"/>
      <c r="F77" s="338"/>
      <c r="G77" s="338"/>
      <c r="H77" s="338"/>
      <c r="I77" s="338"/>
      <c r="J77" s="338"/>
      <c r="K77" s="338"/>
      <c r="L77" s="338"/>
      <c r="M77" s="338"/>
    </row>
    <row r="78" spans="1:13" s="171" customFormat="1" ht="15" x14ac:dyDescent="0.3">
      <c r="A78" s="344"/>
      <c r="B78" s="344"/>
      <c r="C78" s="344"/>
      <c r="D78" s="344"/>
      <c r="E78" s="344"/>
      <c r="F78" s="344"/>
      <c r="G78" s="344"/>
      <c r="H78" s="344"/>
      <c r="I78" s="344"/>
      <c r="J78" s="344"/>
      <c r="K78" s="344"/>
      <c r="L78" s="344"/>
      <c r="M78" s="344"/>
    </row>
    <row r="79" spans="1:13" s="171" customFormat="1" ht="27.75" customHeight="1" x14ac:dyDescent="0.3">
      <c r="A79" s="344"/>
      <c r="B79" s="344"/>
      <c r="C79" s="344"/>
      <c r="D79" s="344"/>
      <c r="E79" s="344"/>
      <c r="F79" s="344"/>
      <c r="G79" s="344"/>
      <c r="H79" s="344"/>
      <c r="I79" s="344"/>
      <c r="J79" s="344"/>
      <c r="K79" s="344"/>
      <c r="L79" s="344"/>
      <c r="M79" s="344"/>
    </row>
    <row r="80" spans="1:13" ht="12.75" customHeight="1" x14ac:dyDescent="0.3">
      <c r="A80" s="344"/>
      <c r="B80" s="344"/>
      <c r="C80" s="344"/>
      <c r="D80" s="344"/>
      <c r="E80" s="344"/>
      <c r="F80" s="344"/>
      <c r="G80" s="344"/>
      <c r="H80" s="344"/>
      <c r="I80" s="344"/>
      <c r="J80" s="344"/>
      <c r="K80" s="344"/>
      <c r="L80" s="344"/>
      <c r="M80" s="344"/>
    </row>
    <row r="81" spans="1:13" ht="12.75" customHeight="1" x14ac:dyDescent="0.3">
      <c r="A81" s="344"/>
      <c r="B81" s="344"/>
      <c r="C81" s="344"/>
      <c r="D81" s="344"/>
      <c r="E81" s="344"/>
      <c r="F81" s="344"/>
      <c r="G81" s="344"/>
      <c r="H81" s="344"/>
      <c r="I81" s="344"/>
      <c r="J81" s="344"/>
      <c r="K81" s="344"/>
      <c r="L81" s="344"/>
      <c r="M81" s="344"/>
    </row>
    <row r="82" spans="1:13" ht="12.75" customHeight="1" x14ac:dyDescent="0.3">
      <c r="A82" s="344"/>
      <c r="B82" s="344"/>
      <c r="C82" s="344"/>
      <c r="D82" s="344"/>
      <c r="E82" s="344"/>
      <c r="F82" s="344"/>
      <c r="G82" s="344"/>
      <c r="H82" s="344"/>
      <c r="I82" s="344"/>
      <c r="J82" s="344"/>
      <c r="K82" s="344"/>
      <c r="L82" s="344"/>
      <c r="M82" s="344"/>
    </row>
    <row r="83" spans="1:13" ht="12.75" customHeight="1" x14ac:dyDescent="0.3">
      <c r="A83" s="344"/>
      <c r="B83" s="344"/>
      <c r="C83" s="344"/>
      <c r="D83" s="344"/>
      <c r="E83" s="344"/>
      <c r="F83" s="344"/>
      <c r="G83" s="344"/>
      <c r="H83" s="344"/>
      <c r="I83" s="344"/>
      <c r="J83" s="344"/>
      <c r="K83" s="344"/>
      <c r="L83" s="344"/>
      <c r="M83" s="344"/>
    </row>
    <row r="84" spans="1:13" ht="12.75" customHeight="1" x14ac:dyDescent="0.3">
      <c r="A84" s="344"/>
      <c r="B84" s="344"/>
      <c r="C84" s="344"/>
      <c r="D84" s="344"/>
      <c r="E84" s="344"/>
      <c r="F84" s="344"/>
      <c r="G84" s="344"/>
      <c r="H84" s="344"/>
      <c r="I84" s="344"/>
      <c r="J84" s="344"/>
      <c r="K84" s="344"/>
      <c r="L84" s="344"/>
      <c r="M84" s="344"/>
    </row>
    <row r="85" spans="1:13" ht="12.75" customHeight="1" x14ac:dyDescent="0.3">
      <c r="A85" s="344"/>
      <c r="B85" s="344"/>
      <c r="C85" s="344"/>
      <c r="D85" s="344"/>
      <c r="E85" s="344"/>
      <c r="F85" s="344"/>
      <c r="G85" s="344"/>
      <c r="H85" s="344"/>
      <c r="I85" s="344"/>
      <c r="J85" s="344"/>
      <c r="K85" s="344"/>
      <c r="L85" s="344"/>
      <c r="M85" s="344"/>
    </row>
  </sheetData>
  <dataConsolidate/>
  <mergeCells count="20">
    <mergeCell ref="A81:M81"/>
    <mergeCell ref="A82:M82"/>
    <mergeCell ref="A83:M83"/>
    <mergeCell ref="A84:M84"/>
    <mergeCell ref="A85:M85"/>
    <mergeCell ref="A80:M80"/>
    <mergeCell ref="F7:G7"/>
    <mergeCell ref="H7:I7"/>
    <mergeCell ref="J7:K7"/>
    <mergeCell ref="L7:M7"/>
    <mergeCell ref="A75:M75"/>
    <mergeCell ref="A76:M76"/>
    <mergeCell ref="A77:M77"/>
    <mergeCell ref="A78:M78"/>
    <mergeCell ref="A79:M79"/>
    <mergeCell ref="F4:I4"/>
    <mergeCell ref="D5:E7"/>
    <mergeCell ref="F5:M5"/>
    <mergeCell ref="F6:I6"/>
    <mergeCell ref="J6:M6"/>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cfRule type="expression" dxfId="0" priority="1">
      <formula>AND($A34=2006,$B36="Q3")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84"/>
  <sheetViews>
    <sheetView showGridLines="0" zoomScaleNormal="100" workbookViewId="0">
      <pane xSplit="3" ySplit="7" topLeftCell="D53"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9.28515625" style="172" customWidth="1"/>
    <col min="7" max="7" width="3.85546875" style="174" customWidth="1"/>
    <col min="8" max="8" width="8.7109375" style="172" bestFit="1" customWidth="1"/>
    <col min="9" max="9" width="3.85546875" style="174" customWidth="1"/>
    <col min="10" max="10" width="8.85546875" style="134"/>
    <col min="11" max="11" width="9" style="134" customWidth="1"/>
    <col min="12" max="16384" width="8.85546875" style="134"/>
  </cols>
  <sheetData>
    <row r="1" spans="1:14" ht="12.75" customHeight="1" x14ac:dyDescent="0.3">
      <c r="B1" s="132"/>
      <c r="C1" s="133"/>
      <c r="D1" s="132"/>
      <c r="E1" s="133"/>
      <c r="F1" s="132"/>
      <c r="G1" s="133"/>
      <c r="H1" s="132"/>
      <c r="I1" s="133"/>
    </row>
    <row r="2" spans="1:14" s="136" customFormat="1" ht="42" customHeight="1" x14ac:dyDescent="0.3">
      <c r="A2" s="192" t="s">
        <v>201</v>
      </c>
      <c r="B2" s="193"/>
      <c r="C2" s="193"/>
      <c r="D2" s="354" t="s">
        <v>255</v>
      </c>
      <c r="E2" s="354"/>
      <c r="F2" s="354"/>
      <c r="G2" s="354"/>
      <c r="H2" s="354"/>
      <c r="I2" s="354"/>
      <c r="J2" s="354"/>
      <c r="K2" s="354"/>
      <c r="L2" s="132"/>
    </row>
    <row r="3" spans="1:14" s="136" customFormat="1" ht="19.5" x14ac:dyDescent="0.3">
      <c r="A3" s="195" t="s">
        <v>153</v>
      </c>
      <c r="B3" s="196"/>
      <c r="C3" s="213"/>
      <c r="D3" s="197" t="s">
        <v>394</v>
      </c>
      <c r="E3" s="288"/>
      <c r="F3" s="187"/>
      <c r="G3" s="282"/>
      <c r="H3" s="187"/>
      <c r="I3" s="282"/>
      <c r="J3" s="132"/>
      <c r="K3" s="132"/>
      <c r="L3" s="132"/>
    </row>
    <row r="4" spans="1:14" ht="10.5" customHeight="1" thickBot="1" x14ac:dyDescent="0.35">
      <c r="A4" s="137"/>
      <c r="B4" s="137"/>
      <c r="C4" s="214"/>
      <c r="D4" s="137"/>
      <c r="E4" s="214"/>
      <c r="F4" s="137"/>
      <c r="G4" s="214"/>
      <c r="H4" s="137"/>
      <c r="I4" s="214"/>
    </row>
    <row r="5" spans="1:14" ht="30.75" customHeight="1" thickBot="1" x14ac:dyDescent="0.35">
      <c r="A5" s="138"/>
      <c r="B5" s="138"/>
      <c r="C5" s="215"/>
      <c r="D5" s="347" t="s">
        <v>181</v>
      </c>
      <c r="E5" s="347"/>
      <c r="F5" s="347"/>
      <c r="G5" s="347"/>
      <c r="H5" s="347"/>
      <c r="I5" s="347"/>
    </row>
    <row r="6" spans="1:14" s="141" customFormat="1" ht="45" customHeight="1" x14ac:dyDescent="0.3">
      <c r="A6" s="139"/>
      <c r="B6" s="140" t="s">
        <v>140</v>
      </c>
      <c r="C6" s="225"/>
      <c r="D6" s="355" t="s">
        <v>124</v>
      </c>
      <c r="E6" s="355"/>
      <c r="F6" s="353" t="s">
        <v>182</v>
      </c>
      <c r="G6" s="353"/>
      <c r="H6" s="353"/>
      <c r="I6" s="353"/>
    </row>
    <row r="7" spans="1:14" s="142" customFormat="1" ht="19.5" customHeight="1" thickBot="1" x14ac:dyDescent="0.35">
      <c r="A7" s="228" t="s">
        <v>141</v>
      </c>
      <c r="B7" s="229" t="s">
        <v>140</v>
      </c>
      <c r="C7" s="229"/>
      <c r="D7" s="356"/>
      <c r="E7" s="356"/>
      <c r="F7" s="350" t="s">
        <v>183</v>
      </c>
      <c r="G7" s="350"/>
      <c r="H7" s="350" t="s">
        <v>177</v>
      </c>
      <c r="I7" s="350"/>
    </row>
    <row r="8" spans="1:14" s="146" customFormat="1" ht="12.75" customHeight="1" x14ac:dyDescent="0.25">
      <c r="A8" s="143">
        <v>2008</v>
      </c>
      <c r="B8" s="143"/>
      <c r="C8" s="212"/>
      <c r="D8" s="144">
        <v>67428</v>
      </c>
      <c r="E8" s="145" t="s">
        <v>501</v>
      </c>
      <c r="F8" s="144">
        <v>13856</v>
      </c>
      <c r="G8" s="145" t="s">
        <v>501</v>
      </c>
      <c r="H8" s="198">
        <v>20.549326689209231</v>
      </c>
      <c r="I8" s="145" t="s">
        <v>501</v>
      </c>
    </row>
    <row r="9" spans="1:14" s="146" customFormat="1" ht="12.75" customHeight="1" x14ac:dyDescent="0.25">
      <c r="A9" s="143">
        <v>2009</v>
      </c>
      <c r="B9" s="143"/>
      <c r="C9" s="212"/>
      <c r="D9" s="144">
        <v>74671</v>
      </c>
      <c r="E9" s="145" t="s">
        <v>501</v>
      </c>
      <c r="F9" s="144">
        <v>15657</v>
      </c>
      <c r="G9" s="145" t="s">
        <v>501</v>
      </c>
      <c r="H9" s="198">
        <v>20.967979536901876</v>
      </c>
      <c r="I9" s="145" t="s">
        <v>501</v>
      </c>
    </row>
    <row r="10" spans="1:14" s="146" customFormat="1" ht="12.75" customHeight="1" x14ac:dyDescent="0.25">
      <c r="A10" s="143">
        <v>2010</v>
      </c>
      <c r="B10" s="143"/>
      <c r="C10" s="212"/>
      <c r="D10" s="144">
        <v>59173</v>
      </c>
      <c r="E10" s="145" t="s">
        <v>501</v>
      </c>
      <c r="F10" s="144">
        <v>12125</v>
      </c>
      <c r="G10" s="145" t="s">
        <v>501</v>
      </c>
      <c r="H10" s="198">
        <v>20.490764368884456</v>
      </c>
      <c r="I10" s="145" t="s">
        <v>501</v>
      </c>
    </row>
    <row r="11" spans="1:14" s="146" customFormat="1" ht="12.75" customHeight="1" x14ac:dyDescent="0.25">
      <c r="A11" s="143">
        <v>2011</v>
      </c>
      <c r="B11" s="143"/>
      <c r="C11" s="212"/>
      <c r="D11" s="144">
        <v>41875.999999999942</v>
      </c>
      <c r="E11" s="145" t="s">
        <v>501</v>
      </c>
      <c r="F11" s="144">
        <v>9708.0000000000018</v>
      </c>
      <c r="G11" s="145" t="s">
        <v>501</v>
      </c>
      <c r="H11" s="198">
        <v>23.182729964657597</v>
      </c>
      <c r="I11" s="145" t="s">
        <v>501</v>
      </c>
    </row>
    <row r="12" spans="1:14" s="146" customFormat="1" ht="12.75" customHeight="1" x14ac:dyDescent="0.25">
      <c r="A12" s="143">
        <v>2012</v>
      </c>
      <c r="B12" s="143"/>
      <c r="C12" s="212"/>
      <c r="D12" s="144">
        <v>31787.000000000011</v>
      </c>
      <c r="E12" s="145" t="s">
        <v>501</v>
      </c>
      <c r="F12" s="144">
        <v>6416</v>
      </c>
      <c r="G12" s="145" t="s">
        <v>501</v>
      </c>
      <c r="H12" s="198">
        <v>20.184352093623172</v>
      </c>
      <c r="I12" s="145" t="s">
        <v>501</v>
      </c>
    </row>
    <row r="13" spans="1:14" s="146" customFormat="1" ht="12.75" customHeight="1" x14ac:dyDescent="0.25">
      <c r="A13" s="143">
        <v>2013</v>
      </c>
      <c r="B13" s="143"/>
      <c r="C13" s="212"/>
      <c r="D13" s="144">
        <v>24570.999999999993</v>
      </c>
      <c r="E13" s="145" t="s">
        <v>501</v>
      </c>
      <c r="F13" s="144">
        <v>4487.00000000001</v>
      </c>
      <c r="G13" s="145" t="s">
        <v>501</v>
      </c>
      <c r="H13" s="198">
        <v>18.261365023808601</v>
      </c>
      <c r="I13" s="145" t="s">
        <v>501</v>
      </c>
    </row>
    <row r="14" spans="1:14" s="146" customFormat="1" ht="12.75" customHeight="1" x14ac:dyDescent="0.25">
      <c r="A14" s="143">
        <v>2014</v>
      </c>
      <c r="B14" s="143"/>
      <c r="C14" s="212"/>
      <c r="D14" s="144">
        <v>20345</v>
      </c>
      <c r="E14" s="145" t="s">
        <v>501</v>
      </c>
      <c r="F14" s="144">
        <v>3480.0000000000018</v>
      </c>
      <c r="G14" s="145" t="s">
        <v>501</v>
      </c>
      <c r="H14" s="198">
        <v>17.104939788645869</v>
      </c>
      <c r="I14" s="145" t="s">
        <v>501</v>
      </c>
    </row>
    <row r="15" spans="1:14" s="146" customFormat="1" ht="12.75" customHeight="1" x14ac:dyDescent="0.25">
      <c r="A15" s="143">
        <v>2015</v>
      </c>
      <c r="B15" s="143"/>
      <c r="C15" s="212"/>
      <c r="D15" s="144">
        <v>15844.999999999991</v>
      </c>
      <c r="E15" s="145" t="s">
        <v>501</v>
      </c>
      <c r="F15" s="144">
        <v>2479</v>
      </c>
      <c r="G15" s="145" t="s">
        <v>501</v>
      </c>
      <c r="H15" s="198">
        <v>15.645313979173251</v>
      </c>
      <c r="I15" s="145" t="s">
        <v>501</v>
      </c>
    </row>
    <row r="16" spans="1:14" s="146" customFormat="1" ht="12.75" customHeight="1" x14ac:dyDescent="0.25">
      <c r="A16" s="143">
        <v>2016</v>
      </c>
      <c r="B16" s="143"/>
      <c r="C16" s="212"/>
      <c r="D16" s="144">
        <v>15044</v>
      </c>
      <c r="E16" s="145" t="s">
        <v>501</v>
      </c>
      <c r="F16" s="144">
        <v>2620.3281155792038</v>
      </c>
      <c r="G16" s="145" t="s">
        <v>501</v>
      </c>
      <c r="H16" s="198">
        <v>17.417762001988855</v>
      </c>
      <c r="I16" s="145" t="s">
        <v>501</v>
      </c>
      <c r="N16" s="147"/>
    </row>
    <row r="17" spans="1:9" s="146" customFormat="1" ht="12.75" customHeight="1" x14ac:dyDescent="0.25">
      <c r="A17" s="143">
        <v>2017</v>
      </c>
      <c r="B17" s="212" t="s">
        <v>196</v>
      </c>
      <c r="D17" s="144">
        <v>15082</v>
      </c>
      <c r="E17" s="145" t="s">
        <v>501</v>
      </c>
      <c r="F17" s="144" t="s">
        <v>67</v>
      </c>
      <c r="G17" s="145" t="s">
        <v>501</v>
      </c>
      <c r="H17" s="198" t="s">
        <v>67</v>
      </c>
      <c r="I17" s="145" t="s">
        <v>501</v>
      </c>
    </row>
    <row r="18" spans="1:9" s="142" customFormat="1" ht="12.75" customHeight="1" x14ac:dyDescent="0.25">
      <c r="A18" s="148"/>
      <c r="B18" s="148"/>
      <c r="C18" s="217"/>
      <c r="D18" s="149"/>
      <c r="E18" s="154"/>
      <c r="F18" s="149"/>
      <c r="G18" s="154"/>
      <c r="H18" s="199"/>
      <c r="I18" s="154"/>
    </row>
    <row r="19" spans="1:9" s="142" customFormat="1" ht="12.75" customHeight="1" x14ac:dyDescent="0.25">
      <c r="A19" s="151">
        <v>2008</v>
      </c>
      <c r="B19" s="152" t="s">
        <v>1</v>
      </c>
      <c r="C19" s="218"/>
      <c r="D19" s="153">
        <v>15482</v>
      </c>
      <c r="E19" s="154" t="s">
        <v>501</v>
      </c>
      <c r="F19" s="153">
        <v>3229.6674730105201</v>
      </c>
      <c r="G19" s="154" t="s">
        <v>501</v>
      </c>
      <c r="H19" s="155">
        <v>20.86078977529079</v>
      </c>
      <c r="I19" s="154" t="s">
        <v>501</v>
      </c>
    </row>
    <row r="20" spans="1:9" s="142" customFormat="1" ht="12.75" customHeight="1" x14ac:dyDescent="0.25">
      <c r="A20" s="151"/>
      <c r="B20" s="152" t="s">
        <v>2</v>
      </c>
      <c r="C20" s="218"/>
      <c r="D20" s="153">
        <v>15536</v>
      </c>
      <c r="E20" s="154" t="s">
        <v>501</v>
      </c>
      <c r="F20" s="153">
        <v>3186.7569879152702</v>
      </c>
      <c r="G20" s="154" t="s">
        <v>501</v>
      </c>
      <c r="H20" s="155">
        <v>20.512081539104468</v>
      </c>
      <c r="I20" s="154" t="s">
        <v>501</v>
      </c>
    </row>
    <row r="21" spans="1:9" s="142" customFormat="1" ht="12.75" customHeight="1" x14ac:dyDescent="0.25">
      <c r="A21" s="151"/>
      <c r="B21" s="152" t="s">
        <v>3</v>
      </c>
      <c r="C21" s="218"/>
      <c r="D21" s="153">
        <v>17474</v>
      </c>
      <c r="E21" s="154" t="s">
        <v>501</v>
      </c>
      <c r="F21" s="153">
        <v>3698.2514712075799</v>
      </c>
      <c r="G21" s="154" t="s">
        <v>501</v>
      </c>
      <c r="H21" s="155">
        <v>21.164309666977108</v>
      </c>
      <c r="I21" s="154" t="s">
        <v>501</v>
      </c>
    </row>
    <row r="22" spans="1:9" s="142" customFormat="1" ht="12.75" customHeight="1" x14ac:dyDescent="0.25">
      <c r="A22" s="151"/>
      <c r="B22" s="152" t="s">
        <v>4</v>
      </c>
      <c r="C22" s="218"/>
      <c r="D22" s="153">
        <v>18936</v>
      </c>
      <c r="E22" s="154" t="s">
        <v>501</v>
      </c>
      <c r="F22" s="153">
        <v>3741.3240678666298</v>
      </c>
      <c r="G22" s="154" t="s">
        <v>501</v>
      </c>
      <c r="H22" s="155">
        <v>19.757731663849967</v>
      </c>
      <c r="I22" s="154" t="s">
        <v>501</v>
      </c>
    </row>
    <row r="23" spans="1:9" s="142" customFormat="1" ht="12.75" customHeight="1" x14ac:dyDescent="0.25">
      <c r="A23" s="151"/>
      <c r="B23" s="152"/>
      <c r="C23" s="218"/>
      <c r="D23" s="153"/>
      <c r="E23" s="154"/>
      <c r="F23" s="153"/>
      <c r="G23" s="154"/>
      <c r="H23" s="155"/>
      <c r="I23" s="154"/>
    </row>
    <row r="24" spans="1:9" s="142" customFormat="1" ht="12.75" customHeight="1" x14ac:dyDescent="0.25">
      <c r="A24" s="151">
        <v>2009</v>
      </c>
      <c r="B24" s="152" t="s">
        <v>1</v>
      </c>
      <c r="C24" s="218"/>
      <c r="D24" s="153">
        <v>18958</v>
      </c>
      <c r="E24" s="154" t="s">
        <v>501</v>
      </c>
      <c r="F24" s="153">
        <v>3691.8049589393199</v>
      </c>
      <c r="G24" s="154" t="s">
        <v>501</v>
      </c>
      <c r="H24" s="155">
        <v>19.473599319228398</v>
      </c>
      <c r="I24" s="154" t="s">
        <v>501</v>
      </c>
    </row>
    <row r="25" spans="1:9" s="142" customFormat="1" ht="12.75" customHeight="1" x14ac:dyDescent="0.25">
      <c r="A25" s="151"/>
      <c r="B25" s="152" t="s">
        <v>2</v>
      </c>
      <c r="C25" s="218"/>
      <c r="D25" s="153">
        <v>19121</v>
      </c>
      <c r="E25" s="154" t="s">
        <v>501</v>
      </c>
      <c r="F25" s="153">
        <v>4080.8036649232799</v>
      </c>
      <c r="G25" s="154" t="s">
        <v>501</v>
      </c>
      <c r="H25" s="155">
        <v>21.341999188971705</v>
      </c>
      <c r="I25" s="154" t="s">
        <v>501</v>
      </c>
    </row>
    <row r="26" spans="1:9" s="142" customFormat="1" ht="12.75" customHeight="1" x14ac:dyDescent="0.25">
      <c r="A26" s="151"/>
      <c r="B26" s="152" t="s">
        <v>3</v>
      </c>
      <c r="C26" s="218"/>
      <c r="D26" s="153">
        <v>18659</v>
      </c>
      <c r="E26" s="154" t="s">
        <v>501</v>
      </c>
      <c r="F26" s="153">
        <v>4143.5638566929301</v>
      </c>
      <c r="G26" s="154" t="s">
        <v>501</v>
      </c>
      <c r="H26" s="155">
        <v>22.206784161492738</v>
      </c>
      <c r="I26" s="154" t="s">
        <v>501</v>
      </c>
    </row>
    <row r="27" spans="1:9" s="142" customFormat="1" ht="12.75" customHeight="1" x14ac:dyDescent="0.25">
      <c r="A27" s="151"/>
      <c r="B27" s="152" t="s">
        <v>4</v>
      </c>
      <c r="C27" s="218"/>
      <c r="D27" s="153">
        <v>17933</v>
      </c>
      <c r="E27" s="154" t="s">
        <v>501</v>
      </c>
      <c r="F27" s="153">
        <v>3740.82751944447</v>
      </c>
      <c r="G27" s="154" t="s">
        <v>501</v>
      </c>
      <c r="H27" s="155">
        <v>20.86002074078219</v>
      </c>
      <c r="I27" s="154" t="s">
        <v>501</v>
      </c>
    </row>
    <row r="28" spans="1:9" s="142" customFormat="1" ht="12.75" customHeight="1" x14ac:dyDescent="0.25">
      <c r="A28" s="151"/>
      <c r="B28" s="152"/>
      <c r="C28" s="218"/>
      <c r="D28" s="153"/>
      <c r="E28" s="154"/>
      <c r="F28" s="153"/>
      <c r="G28" s="154"/>
      <c r="H28" s="155"/>
      <c r="I28" s="154"/>
    </row>
    <row r="29" spans="1:9" s="142" customFormat="1" ht="12.75" customHeight="1" x14ac:dyDescent="0.25">
      <c r="A29" s="151">
        <v>2010</v>
      </c>
      <c r="B29" s="152" t="s">
        <v>1</v>
      </c>
      <c r="C29" s="218"/>
      <c r="D29" s="153">
        <v>17058</v>
      </c>
      <c r="E29" s="154" t="s">
        <v>501</v>
      </c>
      <c r="F29" s="153">
        <v>3697.14879970223</v>
      </c>
      <c r="G29" s="154" t="s">
        <v>501</v>
      </c>
      <c r="H29" s="155">
        <v>21.673987570068178</v>
      </c>
      <c r="I29" s="154" t="s">
        <v>501</v>
      </c>
    </row>
    <row r="30" spans="1:9" s="142" customFormat="1" ht="12.75" customHeight="1" x14ac:dyDescent="0.25">
      <c r="A30" s="151"/>
      <c r="B30" s="152" t="s">
        <v>2</v>
      </c>
      <c r="C30" s="218"/>
      <c r="D30" s="153">
        <v>15256</v>
      </c>
      <c r="E30" s="154" t="s">
        <v>501</v>
      </c>
      <c r="F30" s="153">
        <v>3395.74984812821</v>
      </c>
      <c r="G30" s="154" t="s">
        <v>501</v>
      </c>
      <c r="H30" s="155">
        <v>22.258454694075837</v>
      </c>
      <c r="I30" s="154" t="s">
        <v>501</v>
      </c>
    </row>
    <row r="31" spans="1:9" s="142" customFormat="1" ht="12.75" customHeight="1" x14ac:dyDescent="0.25">
      <c r="A31" s="151"/>
      <c r="B31" s="152" t="s">
        <v>3</v>
      </c>
      <c r="C31" s="218"/>
      <c r="D31" s="153">
        <v>14155</v>
      </c>
      <c r="E31" s="154" t="s">
        <v>501</v>
      </c>
      <c r="F31" s="153">
        <v>2838.7275177281399</v>
      </c>
      <c r="G31" s="154" t="s">
        <v>501</v>
      </c>
      <c r="H31" s="155">
        <v>20.054592142198089</v>
      </c>
      <c r="I31" s="154" t="s">
        <v>501</v>
      </c>
    </row>
    <row r="32" spans="1:9" s="142" customFormat="1" ht="12.75" customHeight="1" x14ac:dyDescent="0.25">
      <c r="A32" s="151"/>
      <c r="B32" s="152" t="s">
        <v>4</v>
      </c>
      <c r="C32" s="218"/>
      <c r="D32" s="153">
        <v>12704</v>
      </c>
      <c r="E32" s="154" t="s">
        <v>501</v>
      </c>
      <c r="F32" s="153">
        <v>2193.3738344414201</v>
      </c>
      <c r="G32" s="154" t="s">
        <v>501</v>
      </c>
      <c r="H32" s="155">
        <v>17.265222248436871</v>
      </c>
      <c r="I32" s="154" t="s">
        <v>501</v>
      </c>
    </row>
    <row r="33" spans="1:9" s="142" customFormat="1" ht="12.75" customHeight="1" x14ac:dyDescent="0.25">
      <c r="A33" s="151"/>
      <c r="B33" s="152"/>
      <c r="C33" s="218"/>
      <c r="D33" s="153"/>
      <c r="E33" s="154"/>
      <c r="F33" s="153"/>
      <c r="G33" s="154"/>
      <c r="H33" s="155"/>
      <c r="I33" s="154"/>
    </row>
    <row r="34" spans="1:9" s="142" customFormat="1" ht="12.75" customHeight="1" x14ac:dyDescent="0.25">
      <c r="A34" s="151">
        <v>2011</v>
      </c>
      <c r="B34" s="152" t="s">
        <v>1</v>
      </c>
      <c r="C34" s="218"/>
      <c r="D34" s="153">
        <v>11760.3355733227</v>
      </c>
      <c r="E34" s="154" t="s">
        <v>501</v>
      </c>
      <c r="F34" s="153">
        <v>2550.5472966777702</v>
      </c>
      <c r="G34" s="154" t="s">
        <v>501</v>
      </c>
      <c r="H34" s="155">
        <v>21.687708490763352</v>
      </c>
      <c r="I34" s="154" t="s">
        <v>501</v>
      </c>
    </row>
    <row r="35" spans="1:9" s="142" customFormat="1" ht="12.75" customHeight="1" x14ac:dyDescent="0.25">
      <c r="A35" s="151"/>
      <c r="B35" s="152" t="s">
        <v>2</v>
      </c>
      <c r="C35" s="218"/>
      <c r="D35" s="153">
        <v>11304.9546410033</v>
      </c>
      <c r="E35" s="154" t="s">
        <v>501</v>
      </c>
      <c r="F35" s="153">
        <v>2484.1878581020701</v>
      </c>
      <c r="G35" s="154" t="s">
        <v>501</v>
      </c>
      <c r="H35" s="155">
        <v>21.974328398380923</v>
      </c>
      <c r="I35" s="154" t="s">
        <v>501</v>
      </c>
    </row>
    <row r="36" spans="1:9" s="142" customFormat="1" ht="12.75" customHeight="1" x14ac:dyDescent="0.25">
      <c r="A36" s="151"/>
      <c r="B36" s="152" t="s">
        <v>3</v>
      </c>
      <c r="C36" s="218"/>
      <c r="D36" s="153">
        <v>9689.7918014033694</v>
      </c>
      <c r="E36" s="154" t="s">
        <v>501</v>
      </c>
      <c r="F36" s="153">
        <v>2345.88077042961</v>
      </c>
      <c r="G36" s="154" t="s">
        <v>501</v>
      </c>
      <c r="H36" s="155">
        <v>24.209816046716885</v>
      </c>
      <c r="I36" s="154" t="s">
        <v>501</v>
      </c>
    </row>
    <row r="37" spans="1:9" s="142" customFormat="1" ht="12.75" customHeight="1" x14ac:dyDescent="0.25">
      <c r="A37" s="151"/>
      <c r="B37" s="152" t="s">
        <v>4</v>
      </c>
      <c r="C37" s="218"/>
      <c r="D37" s="153">
        <v>9120.9179842705707</v>
      </c>
      <c r="E37" s="154" t="s">
        <v>501</v>
      </c>
      <c r="F37" s="153">
        <v>2327.3840747905501</v>
      </c>
      <c r="G37" s="154" t="s">
        <v>501</v>
      </c>
      <c r="H37" s="155">
        <v>25.516993780716234</v>
      </c>
      <c r="I37" s="154" t="s">
        <v>501</v>
      </c>
    </row>
    <row r="38" spans="1:9" s="142" customFormat="1" ht="12.75" customHeight="1" x14ac:dyDescent="0.25">
      <c r="A38" s="151"/>
      <c r="B38" s="152"/>
      <c r="C38" s="218"/>
      <c r="D38" s="153"/>
      <c r="E38" s="154"/>
      <c r="F38" s="153"/>
      <c r="G38" s="154"/>
      <c r="H38" s="155"/>
      <c r="I38" s="154"/>
    </row>
    <row r="39" spans="1:9" s="142" customFormat="1" ht="12.75" customHeight="1" x14ac:dyDescent="0.25">
      <c r="A39" s="151">
        <v>2012</v>
      </c>
      <c r="B39" s="152" t="s">
        <v>1</v>
      </c>
      <c r="C39" s="218"/>
      <c r="D39" s="153">
        <v>8649.6575586789295</v>
      </c>
      <c r="E39" s="154" t="s">
        <v>501</v>
      </c>
      <c r="F39" s="153">
        <v>1914.4602434213</v>
      </c>
      <c r="G39" s="154" t="s">
        <v>501</v>
      </c>
      <c r="H39" s="155">
        <v>22.133364591993136</v>
      </c>
      <c r="I39" s="154" t="s">
        <v>501</v>
      </c>
    </row>
    <row r="40" spans="1:9" s="142" customFormat="1" ht="12.75" customHeight="1" x14ac:dyDescent="0.25">
      <c r="A40" s="151"/>
      <c r="B40" s="152" t="s">
        <v>2</v>
      </c>
      <c r="C40" s="218"/>
      <c r="D40" s="153">
        <v>8158.4626641561499</v>
      </c>
      <c r="E40" s="154" t="s">
        <v>501</v>
      </c>
      <c r="F40" s="153">
        <v>1560.83983188703</v>
      </c>
      <c r="G40" s="154" t="s">
        <v>501</v>
      </c>
      <c r="H40" s="155">
        <v>19.131543479931725</v>
      </c>
      <c r="I40" s="154" t="s">
        <v>501</v>
      </c>
    </row>
    <row r="41" spans="1:9" s="142" customFormat="1" ht="12.75" customHeight="1" x14ac:dyDescent="0.25">
      <c r="A41" s="151"/>
      <c r="B41" s="152" t="s">
        <v>3</v>
      </c>
      <c r="C41" s="218"/>
      <c r="D41" s="153">
        <v>7680.8327716182102</v>
      </c>
      <c r="E41" s="154" t="s">
        <v>501</v>
      </c>
      <c r="F41" s="153">
        <v>1534.45428401965</v>
      </c>
      <c r="G41" s="154" t="s">
        <v>501</v>
      </c>
      <c r="H41" s="155">
        <v>19.977707231039854</v>
      </c>
      <c r="I41" s="154" t="s">
        <v>501</v>
      </c>
    </row>
    <row r="42" spans="1:9" s="142" customFormat="1" ht="12.75" customHeight="1" x14ac:dyDescent="0.25">
      <c r="A42" s="151"/>
      <c r="B42" s="152" t="s">
        <v>4</v>
      </c>
      <c r="C42" s="218"/>
      <c r="D42" s="153">
        <v>7298.0470055467204</v>
      </c>
      <c r="E42" s="154" t="s">
        <v>501</v>
      </c>
      <c r="F42" s="153">
        <v>1406.24564067202</v>
      </c>
      <c r="G42" s="154" t="s">
        <v>501</v>
      </c>
      <c r="H42" s="155">
        <v>19.268793960949196</v>
      </c>
      <c r="I42" s="154" t="s">
        <v>501</v>
      </c>
    </row>
    <row r="43" spans="1:9" s="142" customFormat="1" ht="12.75" customHeight="1" x14ac:dyDescent="0.25">
      <c r="A43" s="151"/>
      <c r="B43" s="152"/>
      <c r="C43" s="218"/>
      <c r="D43" s="153"/>
      <c r="E43" s="154"/>
      <c r="F43" s="153"/>
      <c r="G43" s="154"/>
      <c r="H43" s="155"/>
      <c r="I43" s="154"/>
    </row>
    <row r="44" spans="1:9" s="142" customFormat="1" ht="12.75" customHeight="1" x14ac:dyDescent="0.25">
      <c r="A44" s="151">
        <v>2013</v>
      </c>
      <c r="B44" s="152" t="s">
        <v>1</v>
      </c>
      <c r="C44" s="218"/>
      <c r="D44" s="153">
        <v>6615.4911052341704</v>
      </c>
      <c r="E44" s="154" t="s">
        <v>501</v>
      </c>
      <c r="F44" s="153">
        <v>1215.4679717829999</v>
      </c>
      <c r="G44" s="154" t="s">
        <v>501</v>
      </c>
      <c r="H44" s="155">
        <v>18.373057305168512</v>
      </c>
      <c r="I44" s="154" t="s">
        <v>501</v>
      </c>
    </row>
    <row r="45" spans="1:9" s="142" customFormat="1" ht="12.75" customHeight="1" x14ac:dyDescent="0.25">
      <c r="A45" s="151"/>
      <c r="B45" s="152" t="s">
        <v>2</v>
      </c>
      <c r="C45" s="218"/>
      <c r="D45" s="153">
        <v>6224.7030856189003</v>
      </c>
      <c r="E45" s="154" t="s">
        <v>501</v>
      </c>
      <c r="F45" s="153">
        <v>1159.2870028105399</v>
      </c>
      <c r="G45" s="154" t="s">
        <v>501</v>
      </c>
      <c r="H45" s="155">
        <v>18.623972691787856</v>
      </c>
      <c r="I45" s="154" t="s">
        <v>501</v>
      </c>
    </row>
    <row r="46" spans="1:9" s="142" customFormat="1" ht="12.75" customHeight="1" x14ac:dyDescent="0.25">
      <c r="A46" s="151"/>
      <c r="B46" s="152" t="s">
        <v>3</v>
      </c>
      <c r="C46" s="218"/>
      <c r="D46" s="153">
        <v>6017.9559364115403</v>
      </c>
      <c r="E46" s="154" t="s">
        <v>501</v>
      </c>
      <c r="F46" s="153">
        <v>1064.17866835717</v>
      </c>
      <c r="G46" s="154" t="s">
        <v>501</v>
      </c>
      <c r="H46" s="155">
        <v>17.683390832398342</v>
      </c>
      <c r="I46" s="154" t="s">
        <v>501</v>
      </c>
    </row>
    <row r="47" spans="1:9" s="142" customFormat="1" ht="12.75" customHeight="1" x14ac:dyDescent="0.25">
      <c r="A47" s="151"/>
      <c r="B47" s="152" t="s">
        <v>4</v>
      </c>
      <c r="C47" s="218"/>
      <c r="D47" s="153">
        <v>5712.8498727353799</v>
      </c>
      <c r="E47" s="154" t="s">
        <v>501</v>
      </c>
      <c r="F47" s="153">
        <v>1048.0663570493</v>
      </c>
      <c r="G47" s="154" t="s">
        <v>501</v>
      </c>
      <c r="H47" s="155">
        <v>18.345771031918844</v>
      </c>
      <c r="I47" s="154" t="s">
        <v>501</v>
      </c>
    </row>
    <row r="48" spans="1:9" s="142" customFormat="1" ht="12.75" customHeight="1" x14ac:dyDescent="0.25">
      <c r="A48" s="151"/>
      <c r="B48" s="152"/>
      <c r="C48" s="218"/>
      <c r="D48" s="153"/>
      <c r="E48" s="154"/>
      <c r="F48" s="153"/>
      <c r="G48" s="154"/>
      <c r="H48" s="155"/>
      <c r="I48" s="154"/>
    </row>
    <row r="49" spans="1:9" s="142" customFormat="1" ht="12.75" customHeight="1" x14ac:dyDescent="0.25">
      <c r="A49" s="151">
        <v>2014</v>
      </c>
      <c r="B49" s="152" t="s">
        <v>1</v>
      </c>
      <c r="C49" s="218"/>
      <c r="D49" s="153">
        <v>5405.2780227656503</v>
      </c>
      <c r="E49" s="154" t="s">
        <v>501</v>
      </c>
      <c r="F49" s="153">
        <v>1068.5722590978301</v>
      </c>
      <c r="G49" s="154" t="s">
        <v>501</v>
      </c>
      <c r="H49" s="155">
        <v>19.769052666620972</v>
      </c>
      <c r="I49" s="154" t="s">
        <v>501</v>
      </c>
    </row>
    <row r="50" spans="1:9" s="142" customFormat="1" ht="12.75" customHeight="1" x14ac:dyDescent="0.25">
      <c r="A50" s="151"/>
      <c r="B50" s="152" t="s">
        <v>2</v>
      </c>
      <c r="C50" s="218"/>
      <c r="D50" s="153">
        <v>5493.6928785475402</v>
      </c>
      <c r="E50" s="154" t="s">
        <v>501</v>
      </c>
      <c r="F50" s="153">
        <v>915.09997378329297</v>
      </c>
      <c r="G50" s="154" t="s">
        <v>501</v>
      </c>
      <c r="H50" s="155">
        <v>16.657283070131022</v>
      </c>
      <c r="I50" s="154" t="s">
        <v>501</v>
      </c>
    </row>
    <row r="51" spans="1:9" s="142" customFormat="1" ht="12.75" customHeight="1" x14ac:dyDescent="0.25">
      <c r="A51" s="151"/>
      <c r="B51" s="152" t="s">
        <v>3</v>
      </c>
      <c r="C51" s="218"/>
      <c r="D51" s="153">
        <v>4910.5003458286001</v>
      </c>
      <c r="E51" s="154" t="s">
        <v>501</v>
      </c>
      <c r="F51" s="153">
        <v>788.65685650215801</v>
      </c>
      <c r="G51" s="154" t="s">
        <v>501</v>
      </c>
      <c r="H51" s="155">
        <v>16.060621137561078</v>
      </c>
      <c r="I51" s="154" t="s">
        <v>501</v>
      </c>
    </row>
    <row r="52" spans="1:9" s="142" customFormat="1" ht="12.75" customHeight="1" x14ac:dyDescent="0.25">
      <c r="A52" s="151"/>
      <c r="B52" s="152" t="s">
        <v>4</v>
      </c>
      <c r="C52" s="218"/>
      <c r="D52" s="153">
        <v>4535.5287528582103</v>
      </c>
      <c r="E52" s="154" t="s">
        <v>501</v>
      </c>
      <c r="F52" s="153">
        <v>707.67091061672102</v>
      </c>
      <c r="G52" s="154" t="s">
        <v>501</v>
      </c>
      <c r="H52" s="155">
        <v>15.602831536913072</v>
      </c>
      <c r="I52" s="154" t="s">
        <v>501</v>
      </c>
    </row>
    <row r="53" spans="1:9" s="142" customFormat="1" ht="12.75" customHeight="1" x14ac:dyDescent="0.25">
      <c r="A53" s="151"/>
      <c r="B53" s="152"/>
      <c r="C53" s="218"/>
      <c r="D53" s="153"/>
      <c r="E53" s="154"/>
      <c r="F53" s="153"/>
      <c r="G53" s="154"/>
      <c r="H53" s="155"/>
      <c r="I53" s="154"/>
    </row>
    <row r="54" spans="1:9" s="142" customFormat="1" ht="12.75" customHeight="1" x14ac:dyDescent="0.25">
      <c r="A54" s="151">
        <v>2015</v>
      </c>
      <c r="B54" s="152" t="s">
        <v>1</v>
      </c>
      <c r="C54" s="218"/>
      <c r="D54" s="153">
        <v>4178.61989964647</v>
      </c>
      <c r="E54" s="154" t="s">
        <v>501</v>
      </c>
      <c r="F54" s="153">
        <v>687.27009603026295</v>
      </c>
      <c r="G54" s="154" t="s">
        <v>501</v>
      </c>
      <c r="H54" s="155">
        <v>16.447298690374041</v>
      </c>
      <c r="I54" s="154" t="s">
        <v>501</v>
      </c>
    </row>
    <row r="55" spans="1:9" s="142" customFormat="1" ht="12.75" customHeight="1" x14ac:dyDescent="0.25">
      <c r="A55" s="151"/>
      <c r="B55" s="152" t="s">
        <v>2</v>
      </c>
      <c r="C55" s="218"/>
      <c r="D55" s="153">
        <v>3982.0681918810401</v>
      </c>
      <c r="E55" s="154" t="s">
        <v>501</v>
      </c>
      <c r="F55" s="153">
        <v>615.96080705364295</v>
      </c>
      <c r="G55" s="154" t="s">
        <v>501</v>
      </c>
      <c r="H55" s="155">
        <v>15.468364110627569</v>
      </c>
      <c r="I55" s="154" t="s">
        <v>501</v>
      </c>
    </row>
    <row r="56" spans="1:9" s="142" customFormat="1" ht="12.75" customHeight="1" x14ac:dyDescent="0.25">
      <c r="A56" s="151"/>
      <c r="B56" s="152" t="s">
        <v>3</v>
      </c>
      <c r="C56" s="218"/>
      <c r="D56" s="153">
        <v>3902.7725014163898</v>
      </c>
      <c r="E56" s="154" t="s">
        <v>501</v>
      </c>
      <c r="F56" s="153">
        <v>629.47078903401098</v>
      </c>
      <c r="G56" s="154" t="s">
        <v>501</v>
      </c>
      <c r="H56" s="155">
        <v>16.128810705865231</v>
      </c>
      <c r="I56" s="154" t="s">
        <v>501</v>
      </c>
    </row>
    <row r="57" spans="1:9" s="142" customFormat="1" ht="12.75" customHeight="1" x14ac:dyDescent="0.25">
      <c r="A57" s="151"/>
      <c r="B57" s="152" t="s">
        <v>4</v>
      </c>
      <c r="C57" s="218"/>
      <c r="D57" s="153">
        <v>3781.5394070560901</v>
      </c>
      <c r="E57" s="154" t="s">
        <v>501</v>
      </c>
      <c r="F57" s="153">
        <v>546.29830788208301</v>
      </c>
      <c r="G57" s="154" t="s">
        <v>501</v>
      </c>
      <c r="H57" s="155">
        <v>14.446452861570828</v>
      </c>
      <c r="I57" s="154" t="s">
        <v>501</v>
      </c>
    </row>
    <row r="58" spans="1:9" s="142" customFormat="1" ht="12.75" customHeight="1" x14ac:dyDescent="0.25">
      <c r="A58" s="151"/>
      <c r="B58" s="152"/>
      <c r="C58" s="218"/>
      <c r="D58" s="153"/>
      <c r="E58" s="154"/>
      <c r="F58" s="153"/>
      <c r="G58" s="154"/>
      <c r="H58" s="155"/>
      <c r="I58" s="154"/>
    </row>
    <row r="59" spans="1:9" s="142" customFormat="1" ht="12.75" customHeight="1" x14ac:dyDescent="0.25">
      <c r="A59" s="151">
        <v>2016</v>
      </c>
      <c r="B59" s="152" t="s">
        <v>1</v>
      </c>
      <c r="C59" s="218"/>
      <c r="D59" s="153">
        <v>3725.85743152947</v>
      </c>
      <c r="E59" s="154" t="s">
        <v>501</v>
      </c>
      <c r="F59" s="153">
        <v>698.90333715822601</v>
      </c>
      <c r="G59" s="154" t="s">
        <v>501</v>
      </c>
      <c r="H59" s="155">
        <v>18.758187880294848</v>
      </c>
      <c r="I59" s="154" t="s">
        <v>501</v>
      </c>
    </row>
    <row r="60" spans="1:9" s="142" customFormat="1" ht="12.75" customHeight="1" x14ac:dyDescent="0.25">
      <c r="A60" s="151"/>
      <c r="B60" s="152" t="s">
        <v>2</v>
      </c>
      <c r="C60" s="218"/>
      <c r="D60" s="153">
        <v>3607.2402389941499</v>
      </c>
      <c r="E60" s="154" t="s">
        <v>501</v>
      </c>
      <c r="F60" s="153">
        <v>626.99243507625295</v>
      </c>
      <c r="G60" s="154" t="s">
        <v>501</v>
      </c>
      <c r="H60" s="155">
        <v>17.381499249716864</v>
      </c>
      <c r="I60" s="154" t="s">
        <v>501</v>
      </c>
    </row>
    <row r="61" spans="1:9" s="142" customFormat="1" ht="12.75" customHeight="1" x14ac:dyDescent="0.25">
      <c r="A61" s="151"/>
      <c r="B61" s="152" t="s">
        <v>3</v>
      </c>
      <c r="C61" s="218"/>
      <c r="D61" s="153">
        <v>3883.0889419856298</v>
      </c>
      <c r="E61" s="154" t="s">
        <v>501</v>
      </c>
      <c r="F61" s="153">
        <v>641.13347766798699</v>
      </c>
      <c r="G61" s="154" t="s">
        <v>501</v>
      </c>
      <c r="H61" s="155">
        <v>16.51091404927082</v>
      </c>
      <c r="I61" s="154" t="s">
        <v>501</v>
      </c>
    </row>
    <row r="62" spans="1:9" s="142" customFormat="1" ht="12.75" customHeight="1" x14ac:dyDescent="0.25">
      <c r="A62" s="151"/>
      <c r="B62" s="152" t="s">
        <v>4</v>
      </c>
      <c r="C62" s="218"/>
      <c r="D62" s="153">
        <v>3827.8133874907498</v>
      </c>
      <c r="E62" s="154" t="s">
        <v>501</v>
      </c>
      <c r="F62" s="153">
        <v>653.29886567673805</v>
      </c>
      <c r="G62" s="154" t="s">
        <v>501</v>
      </c>
      <c r="H62" s="155">
        <v>17.067155567502617</v>
      </c>
      <c r="I62" s="154" t="s">
        <v>501</v>
      </c>
    </row>
    <row r="63" spans="1:9" s="142" customFormat="1" ht="12.75" customHeight="1" x14ac:dyDescent="0.25">
      <c r="A63" s="151"/>
      <c r="B63" s="152"/>
      <c r="C63" s="218"/>
      <c r="D63" s="153"/>
      <c r="E63" s="154"/>
      <c r="F63" s="153"/>
      <c r="G63" s="154"/>
      <c r="H63" s="155"/>
      <c r="I63" s="154"/>
    </row>
    <row r="64" spans="1:9" s="142" customFormat="1" ht="12.75" customHeight="1" x14ac:dyDescent="0.25">
      <c r="A64" s="151">
        <v>2017</v>
      </c>
      <c r="B64" s="152" t="s">
        <v>1</v>
      </c>
      <c r="C64" s="218" t="s">
        <v>196</v>
      </c>
      <c r="D64" s="153">
        <v>3859.54</v>
      </c>
      <c r="E64" s="154" t="s">
        <v>279</v>
      </c>
      <c r="F64" s="153">
        <v>668.78328209768699</v>
      </c>
      <c r="G64" s="154" t="s">
        <v>279</v>
      </c>
      <c r="H64" s="155">
        <v>17.328056765772267</v>
      </c>
      <c r="I64" s="154" t="s">
        <v>279</v>
      </c>
    </row>
    <row r="65" spans="1:11" s="142" customFormat="1" ht="12.75" customHeight="1" x14ac:dyDescent="0.25">
      <c r="A65" s="151"/>
      <c r="B65" s="152" t="s">
        <v>2</v>
      </c>
      <c r="C65" s="218" t="s">
        <v>196</v>
      </c>
      <c r="D65" s="153">
        <v>3771.64</v>
      </c>
      <c r="E65" s="154" t="s">
        <v>279</v>
      </c>
      <c r="F65" s="153">
        <v>621.73906601864701</v>
      </c>
      <c r="G65" s="154" t="s">
        <v>501</v>
      </c>
      <c r="H65" s="155">
        <v>16.484581402749125</v>
      </c>
      <c r="I65" s="154" t="s">
        <v>501</v>
      </c>
    </row>
    <row r="66" spans="1:11" s="142" customFormat="1" ht="12.75" customHeight="1" x14ac:dyDescent="0.25">
      <c r="A66" s="151"/>
      <c r="B66" s="152" t="s">
        <v>3</v>
      </c>
      <c r="C66" s="218" t="s">
        <v>501</v>
      </c>
      <c r="D66" s="153">
        <v>3715.09</v>
      </c>
      <c r="E66" s="154" t="s">
        <v>279</v>
      </c>
      <c r="F66" s="153" t="s">
        <v>67</v>
      </c>
      <c r="G66" s="154" t="s">
        <v>501</v>
      </c>
      <c r="H66" s="155" t="s">
        <v>67</v>
      </c>
      <c r="I66" s="154" t="s">
        <v>501</v>
      </c>
    </row>
    <row r="67" spans="1:11" s="142" customFormat="1" ht="12.75" customHeight="1" x14ac:dyDescent="0.25">
      <c r="A67" s="152"/>
      <c r="B67" s="152" t="s">
        <v>4</v>
      </c>
      <c r="C67" s="218" t="s">
        <v>501</v>
      </c>
      <c r="D67" s="153">
        <v>3735.73</v>
      </c>
      <c r="E67" s="154" t="s">
        <v>501</v>
      </c>
      <c r="F67" s="153" t="s">
        <v>67</v>
      </c>
      <c r="G67" s="154" t="s">
        <v>501</v>
      </c>
      <c r="H67" s="155" t="s">
        <v>67</v>
      </c>
      <c r="I67" s="154" t="s">
        <v>501</v>
      </c>
    </row>
    <row r="68" spans="1:11" s="142" customFormat="1" ht="12.75" customHeight="1" x14ac:dyDescent="0.25">
      <c r="A68" s="151"/>
      <c r="B68" s="152"/>
      <c r="C68" s="218"/>
      <c r="D68" s="153"/>
      <c r="E68" s="154"/>
      <c r="F68" s="153"/>
      <c r="G68" s="154"/>
      <c r="H68" s="153"/>
      <c r="I68" s="154"/>
    </row>
    <row r="69" spans="1:11" s="142" customFormat="1" ht="12.75" customHeight="1" thickBot="1" x14ac:dyDescent="0.3">
      <c r="A69" s="152"/>
      <c r="B69" s="156"/>
      <c r="C69" s="219"/>
      <c r="D69" s="153"/>
      <c r="E69" s="154"/>
      <c r="F69" s="153"/>
      <c r="G69" s="154"/>
      <c r="H69" s="153"/>
      <c r="I69" s="154"/>
    </row>
    <row r="70" spans="1:11" s="142" customFormat="1" ht="12.75" customHeight="1" x14ac:dyDescent="0.2">
      <c r="A70" s="159" t="s">
        <v>506</v>
      </c>
      <c r="B70" s="159"/>
      <c r="C70" s="220"/>
      <c r="D70" s="159"/>
      <c r="E70" s="220"/>
      <c r="F70" s="159"/>
      <c r="G70" s="220"/>
      <c r="H70" s="159"/>
      <c r="I70" s="220"/>
    </row>
    <row r="71" spans="1:11" s="142" customFormat="1" ht="12.75" customHeight="1" x14ac:dyDescent="0.2">
      <c r="A71" s="160"/>
      <c r="B71" s="160"/>
      <c r="C71" s="161"/>
      <c r="D71" s="160"/>
      <c r="E71" s="161"/>
      <c r="F71" s="160"/>
      <c r="G71" s="161"/>
      <c r="H71" s="160"/>
      <c r="I71" s="161"/>
    </row>
    <row r="72" spans="1:11" s="142" customFormat="1" ht="12.75" customHeight="1" x14ac:dyDescent="0.2">
      <c r="A72" s="162">
        <v>2017</v>
      </c>
      <c r="B72" s="163" t="s">
        <v>1</v>
      </c>
      <c r="C72" s="221"/>
      <c r="D72" s="164">
        <v>-2.2774734812956998</v>
      </c>
      <c r="E72" s="161"/>
      <c r="F72" s="164">
        <v>-7.0342990529730915</v>
      </c>
      <c r="G72" s="161"/>
      <c r="H72" s="164"/>
      <c r="I72" s="161"/>
    </row>
    <row r="73" spans="1:11" s="142" customFormat="1" ht="12.75" customHeight="1" x14ac:dyDescent="0.2">
      <c r="A73" s="165"/>
      <c r="B73" s="166"/>
      <c r="C73" s="222"/>
      <c r="D73" s="167"/>
      <c r="E73" s="280"/>
      <c r="F73" s="167"/>
      <c r="G73" s="280"/>
      <c r="H73" s="167"/>
      <c r="I73" s="280"/>
    </row>
    <row r="74" spans="1:11" s="142" customFormat="1" ht="12.75" customHeight="1" thickBot="1" x14ac:dyDescent="0.25">
      <c r="A74" s="162">
        <v>2016</v>
      </c>
      <c r="B74" s="163" t="s">
        <v>2</v>
      </c>
      <c r="C74" s="223"/>
      <c r="D74" s="168">
        <v>4.5574940983606815</v>
      </c>
      <c r="E74" s="281"/>
      <c r="F74" s="168">
        <v>-0.83786801302746516</v>
      </c>
      <c r="G74" s="281"/>
      <c r="H74" s="168"/>
      <c r="I74" s="281"/>
    </row>
    <row r="75" spans="1:11" s="169" customFormat="1" ht="12.75" customHeight="1" x14ac:dyDescent="0.2">
      <c r="A75" s="343"/>
      <c r="B75" s="343"/>
      <c r="C75" s="343"/>
      <c r="D75" s="343"/>
      <c r="E75" s="343"/>
      <c r="F75" s="343"/>
      <c r="G75" s="343"/>
      <c r="H75" s="343"/>
      <c r="I75" s="343"/>
    </row>
    <row r="76" spans="1:11" s="171" customFormat="1" ht="58.5" customHeight="1" x14ac:dyDescent="0.3">
      <c r="A76" s="338" t="s">
        <v>257</v>
      </c>
      <c r="B76" s="338"/>
      <c r="C76" s="338"/>
      <c r="D76" s="338"/>
      <c r="E76" s="338"/>
      <c r="F76" s="338"/>
      <c r="G76" s="338"/>
      <c r="H76" s="338"/>
      <c r="I76" s="338"/>
      <c r="J76" s="338"/>
      <c r="K76" s="338"/>
    </row>
    <row r="77" spans="1:11" s="171" customFormat="1" ht="79.5" customHeight="1" x14ac:dyDescent="0.3">
      <c r="A77" s="338" t="s">
        <v>258</v>
      </c>
      <c r="B77" s="338"/>
      <c r="C77" s="338"/>
      <c r="D77" s="338"/>
      <c r="E77" s="338"/>
      <c r="F77" s="338"/>
      <c r="G77" s="338"/>
      <c r="H77" s="338"/>
      <c r="I77" s="338"/>
      <c r="J77" s="338"/>
      <c r="K77" s="338"/>
    </row>
    <row r="78" spans="1:11" s="169" customFormat="1" ht="63.75" customHeight="1" x14ac:dyDescent="0.2">
      <c r="A78" s="338" t="s">
        <v>259</v>
      </c>
      <c r="B78" s="338"/>
      <c r="C78" s="338"/>
      <c r="D78" s="338"/>
      <c r="E78" s="338"/>
      <c r="F78" s="338"/>
      <c r="G78" s="338"/>
      <c r="H78" s="338"/>
      <c r="I78" s="338"/>
      <c r="J78" s="338"/>
      <c r="K78" s="338"/>
    </row>
    <row r="79" spans="1:11" ht="31.5" customHeight="1" x14ac:dyDescent="0.3">
      <c r="A79" s="338" t="s">
        <v>256</v>
      </c>
      <c r="B79" s="338"/>
      <c r="C79" s="338"/>
      <c r="D79" s="338"/>
      <c r="E79" s="338"/>
      <c r="F79" s="338"/>
      <c r="G79" s="338"/>
      <c r="H79" s="338"/>
      <c r="I79" s="338"/>
      <c r="J79" s="338"/>
      <c r="K79" s="338"/>
    </row>
    <row r="80" spans="1:11" ht="12.75" customHeight="1" x14ac:dyDescent="0.3">
      <c r="A80" s="338"/>
      <c r="B80" s="338"/>
      <c r="C80" s="338"/>
      <c r="D80" s="338"/>
      <c r="E80" s="338"/>
      <c r="F80" s="338"/>
      <c r="G80" s="338"/>
      <c r="H80" s="338"/>
      <c r="I80" s="338"/>
    </row>
    <row r="81" spans="1:9" ht="12.75" customHeight="1" x14ac:dyDescent="0.3">
      <c r="A81" s="344"/>
      <c r="B81" s="344"/>
      <c r="C81" s="344"/>
      <c r="D81" s="344"/>
      <c r="E81" s="344"/>
      <c r="F81" s="344"/>
      <c r="G81" s="344"/>
      <c r="H81" s="344"/>
      <c r="I81" s="344"/>
    </row>
    <row r="82" spans="1:9" ht="12.75" customHeight="1" x14ac:dyDescent="0.3">
      <c r="A82" s="344"/>
      <c r="B82" s="344"/>
      <c r="C82" s="344"/>
      <c r="D82" s="344"/>
      <c r="E82" s="344"/>
      <c r="F82" s="344"/>
      <c r="G82" s="344"/>
      <c r="H82" s="344"/>
      <c r="I82" s="344"/>
    </row>
    <row r="83" spans="1:9" ht="12.75" customHeight="1" x14ac:dyDescent="0.3">
      <c r="A83" s="344"/>
      <c r="B83" s="344"/>
      <c r="C83" s="344"/>
      <c r="D83" s="344"/>
      <c r="E83" s="344"/>
      <c r="F83" s="344"/>
      <c r="G83" s="344"/>
      <c r="H83" s="344"/>
      <c r="I83" s="344"/>
    </row>
    <row r="84" spans="1:9" ht="12.75" customHeight="1" x14ac:dyDescent="0.3">
      <c r="A84" s="344"/>
      <c r="B84" s="344"/>
      <c r="C84" s="344"/>
      <c r="D84" s="344"/>
      <c r="E84" s="344"/>
      <c r="F84" s="344"/>
      <c r="G84" s="344"/>
      <c r="H84" s="344"/>
      <c r="I84" s="344"/>
    </row>
  </sheetData>
  <dataConsolidate/>
  <mergeCells count="16">
    <mergeCell ref="A84:I84"/>
    <mergeCell ref="D5:I5"/>
    <mergeCell ref="F6:I6"/>
    <mergeCell ref="F7:G7"/>
    <mergeCell ref="H7:I7"/>
    <mergeCell ref="A80:I80"/>
    <mergeCell ref="A81:I81"/>
    <mergeCell ref="A82:I82"/>
    <mergeCell ref="A83:I83"/>
    <mergeCell ref="D6:E7"/>
    <mergeCell ref="A75:I75"/>
    <mergeCell ref="D2:K2"/>
    <mergeCell ref="A76:K76"/>
    <mergeCell ref="A77:K77"/>
    <mergeCell ref="A78:K78"/>
    <mergeCell ref="A79:K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59" orientation="portrait" horizontalDpi="300"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Z85"/>
  <sheetViews>
    <sheetView showGridLines="0" zoomScaleNormal="100" workbookViewId="0">
      <pane xSplit="3" ySplit="7" topLeftCell="D53" activePane="bottomRight" state="frozen"/>
      <selection activeCell="CS201" sqref="CS201"/>
      <selection pane="topRight" activeCell="CS201" sqref="CS201"/>
      <selection pane="bottomLeft" activeCell="CS201" sqref="CS201"/>
      <selection pane="bottomRight" activeCell="J71" sqref="J71"/>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6.140625" style="172" customWidth="1"/>
    <col min="9" max="9" width="3.85546875" style="174" customWidth="1"/>
    <col min="10" max="10" width="8.85546875" style="173" customWidth="1"/>
    <col min="11" max="11" width="3.85546875" style="174" customWidth="1"/>
    <col min="12" max="12" width="9.28515625" style="173" customWidth="1"/>
    <col min="13" max="13" width="3.85546875" style="174" customWidth="1"/>
    <col min="14" max="14" width="7.85546875" style="174" customWidth="1"/>
    <col min="15" max="15" width="3.5703125" style="174" customWidth="1"/>
    <col min="16" max="16" width="9.28515625" style="172" customWidth="1"/>
    <col min="17" max="17" width="3.85546875" style="174" customWidth="1"/>
    <col min="18" max="18" width="9.28515625" style="172" customWidth="1"/>
    <col min="19" max="19" width="3.85546875" style="174" customWidth="1"/>
    <col min="20" max="20" width="8.85546875" style="134"/>
    <col min="21" max="21" width="3.85546875" style="171" customWidth="1"/>
    <col min="22" max="22" width="16" style="134" customWidth="1"/>
    <col min="23" max="16384" width="8.85546875" style="134"/>
  </cols>
  <sheetData>
    <row r="1" spans="1:26" ht="12.75" customHeight="1" x14ac:dyDescent="0.3">
      <c r="B1" s="132"/>
      <c r="C1" s="133"/>
      <c r="D1" s="132"/>
      <c r="E1" s="133"/>
      <c r="F1" s="132"/>
      <c r="G1" s="133"/>
      <c r="H1" s="132"/>
      <c r="I1" s="133"/>
      <c r="J1" s="132"/>
      <c r="K1" s="133"/>
      <c r="L1" s="132"/>
      <c r="M1" s="133"/>
      <c r="N1" s="133"/>
      <c r="O1" s="133"/>
      <c r="P1" s="132"/>
      <c r="Q1" s="133"/>
      <c r="R1" s="132"/>
      <c r="S1" s="133"/>
    </row>
    <row r="2" spans="1:26" s="136" customFormat="1" ht="31.5" customHeight="1" x14ac:dyDescent="0.3">
      <c r="A2" s="192" t="s">
        <v>202</v>
      </c>
      <c r="B2" s="190"/>
      <c r="C2" s="190"/>
      <c r="D2" s="194" t="s">
        <v>260</v>
      </c>
      <c r="E2" s="133"/>
      <c r="F2" s="132"/>
      <c r="G2" s="133"/>
      <c r="H2" s="132"/>
      <c r="I2" s="133"/>
      <c r="J2" s="132"/>
      <c r="K2" s="133"/>
      <c r="L2" s="132"/>
      <c r="M2" s="133"/>
      <c r="N2" s="132"/>
      <c r="O2" s="133"/>
      <c r="P2" s="132"/>
      <c r="Q2" s="133"/>
      <c r="R2" s="132"/>
      <c r="S2" s="133"/>
      <c r="T2" s="132"/>
      <c r="U2" s="133"/>
      <c r="V2" s="132"/>
      <c r="W2" s="132"/>
      <c r="X2" s="132"/>
    </row>
    <row r="3" spans="1:26" s="136" customFormat="1" ht="17.25" x14ac:dyDescent="0.3">
      <c r="A3" s="189" t="s">
        <v>153</v>
      </c>
      <c r="B3" s="186"/>
      <c r="C3" s="224"/>
      <c r="D3" s="197" t="s">
        <v>160</v>
      </c>
      <c r="E3" s="282"/>
      <c r="F3" s="187"/>
      <c r="G3" s="282"/>
      <c r="H3" s="187"/>
      <c r="I3" s="282"/>
      <c r="J3" s="187"/>
      <c r="K3" s="282"/>
      <c r="L3" s="187"/>
      <c r="M3" s="282"/>
      <c r="N3" s="187"/>
      <c r="O3" s="282"/>
      <c r="P3" s="187"/>
      <c r="Q3" s="133"/>
      <c r="R3" s="132"/>
      <c r="S3" s="133"/>
      <c r="T3" s="132"/>
      <c r="U3" s="133"/>
      <c r="V3" s="132"/>
      <c r="W3" s="132"/>
      <c r="X3" s="132"/>
    </row>
    <row r="4" spans="1:26" ht="10.5" customHeight="1" thickBot="1" x14ac:dyDescent="0.35">
      <c r="A4" s="137"/>
      <c r="B4" s="137"/>
      <c r="C4" s="214"/>
      <c r="D4" s="137"/>
      <c r="E4" s="214"/>
      <c r="F4" s="137"/>
      <c r="G4" s="214"/>
      <c r="H4" s="137"/>
      <c r="I4" s="214"/>
      <c r="J4" s="339"/>
      <c r="K4" s="339"/>
      <c r="L4" s="339"/>
      <c r="M4" s="339"/>
      <c r="N4" s="339"/>
      <c r="O4" s="339"/>
      <c r="P4" s="339"/>
      <c r="Q4" s="339"/>
      <c r="R4" s="339"/>
      <c r="S4" s="339"/>
    </row>
    <row r="5" spans="1:26" ht="30.75" customHeight="1" thickBot="1" x14ac:dyDescent="0.35">
      <c r="A5" s="138"/>
      <c r="B5" s="138"/>
      <c r="C5" s="215"/>
      <c r="D5" s="347" t="s">
        <v>261</v>
      </c>
      <c r="E5" s="347"/>
      <c r="F5" s="347"/>
      <c r="G5" s="347"/>
      <c r="H5" s="347"/>
      <c r="I5" s="347"/>
      <c r="J5" s="347"/>
      <c r="K5" s="347"/>
      <c r="L5" s="347"/>
      <c r="M5" s="347"/>
      <c r="N5" s="236"/>
      <c r="O5" s="290"/>
      <c r="P5" s="346" t="s">
        <v>262</v>
      </c>
      <c r="Q5" s="346"/>
      <c r="R5" s="346"/>
      <c r="S5" s="346"/>
      <c r="T5" s="346"/>
      <c r="U5" s="346"/>
    </row>
    <row r="6" spans="1:26" s="141" customFormat="1" ht="45" customHeight="1" x14ac:dyDescent="0.3">
      <c r="A6" s="139"/>
      <c r="B6" s="140" t="s">
        <v>140</v>
      </c>
      <c r="C6" s="225"/>
      <c r="D6" s="355" t="s">
        <v>124</v>
      </c>
      <c r="E6" s="355"/>
      <c r="F6" s="353" t="s">
        <v>182</v>
      </c>
      <c r="G6" s="353"/>
      <c r="H6" s="353"/>
      <c r="I6" s="353"/>
      <c r="J6" s="357" t="s">
        <v>119</v>
      </c>
      <c r="K6" s="357"/>
      <c r="L6" s="357" t="s">
        <v>120</v>
      </c>
      <c r="M6" s="357"/>
      <c r="N6" s="235"/>
      <c r="O6" s="290"/>
      <c r="P6" s="357" t="s">
        <v>185</v>
      </c>
      <c r="Q6" s="357"/>
      <c r="R6" s="359" t="s">
        <v>17</v>
      </c>
      <c r="S6" s="359"/>
      <c r="T6" s="357" t="s">
        <v>18</v>
      </c>
      <c r="U6" s="357"/>
    </row>
    <row r="7" spans="1:26" s="142" customFormat="1" ht="16.5" customHeight="1" thickBot="1" x14ac:dyDescent="0.35">
      <c r="A7" s="228" t="s">
        <v>141</v>
      </c>
      <c r="B7" s="229" t="s">
        <v>140</v>
      </c>
      <c r="C7" s="229"/>
      <c r="D7" s="356"/>
      <c r="E7" s="356"/>
      <c r="F7" s="237" t="s">
        <v>183</v>
      </c>
      <c r="G7" s="289"/>
      <c r="H7" s="237" t="s">
        <v>177</v>
      </c>
      <c r="I7" s="289"/>
      <c r="J7" s="358"/>
      <c r="K7" s="358"/>
      <c r="L7" s="358"/>
      <c r="M7" s="358"/>
      <c r="N7" s="238"/>
      <c r="O7" s="291"/>
      <c r="P7" s="358"/>
      <c r="Q7" s="358"/>
      <c r="R7" s="360"/>
      <c r="S7" s="360"/>
      <c r="T7" s="358"/>
      <c r="U7" s="358"/>
    </row>
    <row r="8" spans="1:26" s="146" customFormat="1" ht="12.75" customHeight="1" x14ac:dyDescent="0.25">
      <c r="A8" s="143">
        <v>2008</v>
      </c>
      <c r="B8" s="143"/>
      <c r="C8" s="212"/>
      <c r="D8" s="144">
        <v>67428</v>
      </c>
      <c r="E8" s="145" t="s">
        <v>501</v>
      </c>
      <c r="F8" s="144">
        <v>13856</v>
      </c>
      <c r="G8" s="145" t="s">
        <v>501</v>
      </c>
      <c r="H8" s="239">
        <v>20.549326689209231</v>
      </c>
      <c r="I8" s="145" t="s">
        <v>501</v>
      </c>
      <c r="J8" s="144">
        <v>66</v>
      </c>
      <c r="K8" s="145" t="s">
        <v>501</v>
      </c>
      <c r="L8" s="144">
        <v>13790</v>
      </c>
      <c r="M8" s="145" t="s">
        <v>501</v>
      </c>
      <c r="N8" s="145"/>
      <c r="O8" s="292"/>
      <c r="P8" s="144">
        <v>13265</v>
      </c>
      <c r="Q8" s="145" t="s">
        <v>501</v>
      </c>
      <c r="R8" s="144">
        <v>67</v>
      </c>
      <c r="S8" s="145" t="s">
        <v>501</v>
      </c>
      <c r="T8" s="144">
        <v>13198</v>
      </c>
      <c r="U8" s="145" t="s">
        <v>501</v>
      </c>
    </row>
    <row r="9" spans="1:26" s="146" customFormat="1" ht="12.75" customHeight="1" x14ac:dyDescent="0.25">
      <c r="A9" s="143">
        <v>2009</v>
      </c>
      <c r="B9" s="143"/>
      <c r="C9" s="212"/>
      <c r="D9" s="144">
        <v>74670</v>
      </c>
      <c r="E9" s="145" t="s">
        <v>501</v>
      </c>
      <c r="F9" s="144">
        <v>15657</v>
      </c>
      <c r="G9" s="145" t="s">
        <v>501</v>
      </c>
      <c r="H9" s="239">
        <v>20.968260345520289</v>
      </c>
      <c r="I9" s="145" t="s">
        <v>501</v>
      </c>
      <c r="J9" s="144">
        <v>50</v>
      </c>
      <c r="K9" s="145" t="s">
        <v>501</v>
      </c>
      <c r="L9" s="144">
        <v>15607</v>
      </c>
      <c r="M9" s="145" t="s">
        <v>501</v>
      </c>
      <c r="N9" s="145"/>
      <c r="O9" s="292"/>
      <c r="P9" s="144">
        <v>15401</v>
      </c>
      <c r="Q9" s="145" t="s">
        <v>501</v>
      </c>
      <c r="R9" s="144">
        <v>64</v>
      </c>
      <c r="S9" s="145" t="s">
        <v>501</v>
      </c>
      <c r="T9" s="144">
        <v>15337</v>
      </c>
      <c r="U9" s="145" t="s">
        <v>501</v>
      </c>
    </row>
    <row r="10" spans="1:26" s="146" customFormat="1" ht="12.75" customHeight="1" x14ac:dyDescent="0.25">
      <c r="A10" s="143">
        <v>2010</v>
      </c>
      <c r="B10" s="143"/>
      <c r="C10" s="212"/>
      <c r="D10" s="144">
        <v>59173</v>
      </c>
      <c r="E10" s="145" t="s">
        <v>501</v>
      </c>
      <c r="F10" s="144">
        <v>12125</v>
      </c>
      <c r="G10" s="145" t="s">
        <v>501</v>
      </c>
      <c r="H10" s="239">
        <v>20.490764368884456</v>
      </c>
      <c r="I10" s="145" t="s">
        <v>501</v>
      </c>
      <c r="J10" s="144">
        <v>97</v>
      </c>
      <c r="K10" s="145" t="s">
        <v>501</v>
      </c>
      <c r="L10" s="144">
        <v>12028</v>
      </c>
      <c r="M10" s="145" t="s">
        <v>501</v>
      </c>
      <c r="N10" s="145"/>
      <c r="O10" s="292"/>
      <c r="P10" s="144">
        <v>12891</v>
      </c>
      <c r="Q10" s="145" t="s">
        <v>501</v>
      </c>
      <c r="R10" s="144">
        <v>14</v>
      </c>
      <c r="S10" s="145" t="s">
        <v>501</v>
      </c>
      <c r="T10" s="144">
        <v>2736</v>
      </c>
      <c r="U10" s="145" t="s">
        <v>501</v>
      </c>
    </row>
    <row r="11" spans="1:26" s="146" customFormat="1" ht="12.75" customHeight="1" x14ac:dyDescent="0.25">
      <c r="A11" s="143">
        <v>2011</v>
      </c>
      <c r="B11" s="143"/>
      <c r="C11" s="212"/>
      <c r="D11" s="144">
        <v>41876</v>
      </c>
      <c r="E11" s="145" t="s">
        <v>501</v>
      </c>
      <c r="F11" s="144">
        <v>9708</v>
      </c>
      <c r="G11" s="145" t="s">
        <v>501</v>
      </c>
      <c r="H11" s="239">
        <v>23.182729964657561</v>
      </c>
      <c r="I11" s="145" t="s">
        <v>501</v>
      </c>
      <c r="J11" s="144">
        <v>93</v>
      </c>
      <c r="K11" s="145" t="s">
        <v>501</v>
      </c>
      <c r="L11" s="144">
        <v>9615</v>
      </c>
      <c r="M11" s="145" t="s">
        <v>501</v>
      </c>
      <c r="N11" s="145"/>
      <c r="O11" s="292"/>
      <c r="P11" s="144">
        <v>10643</v>
      </c>
      <c r="Q11" s="145" t="s">
        <v>501</v>
      </c>
      <c r="R11" s="144">
        <v>90</v>
      </c>
      <c r="S11" s="145" t="s">
        <v>501</v>
      </c>
      <c r="T11" s="144">
        <v>8303</v>
      </c>
      <c r="U11" s="145" t="s">
        <v>501</v>
      </c>
    </row>
    <row r="12" spans="1:26" s="146" customFormat="1" ht="12.75" customHeight="1" x14ac:dyDescent="0.25">
      <c r="A12" s="143">
        <v>2012</v>
      </c>
      <c r="B12" s="143"/>
      <c r="C12" s="212"/>
      <c r="D12" s="144">
        <v>31787</v>
      </c>
      <c r="E12" s="145" t="s">
        <v>501</v>
      </c>
      <c r="F12" s="144">
        <v>6416</v>
      </c>
      <c r="G12" s="145" t="s">
        <v>501</v>
      </c>
      <c r="H12" s="239">
        <v>20.184352093623179</v>
      </c>
      <c r="I12" s="145" t="s">
        <v>501</v>
      </c>
      <c r="J12" s="144">
        <v>49</v>
      </c>
      <c r="K12" s="145" t="s">
        <v>501</v>
      </c>
      <c r="L12" s="144">
        <v>6367</v>
      </c>
      <c r="M12" s="145" t="s">
        <v>501</v>
      </c>
      <c r="N12" s="145"/>
      <c r="O12" s="292"/>
      <c r="P12" s="144">
        <v>7019</v>
      </c>
      <c r="Q12" s="145" t="s">
        <v>501</v>
      </c>
      <c r="R12" s="144">
        <v>88</v>
      </c>
      <c r="S12" s="145" t="s">
        <v>501</v>
      </c>
      <c r="T12" s="144">
        <v>6931</v>
      </c>
      <c r="U12" s="145" t="s">
        <v>501</v>
      </c>
    </row>
    <row r="13" spans="1:26" s="146" customFormat="1" ht="12.75" customHeight="1" x14ac:dyDescent="0.25">
      <c r="A13" s="143">
        <v>2013</v>
      </c>
      <c r="B13" s="143"/>
      <c r="C13" s="212"/>
      <c r="D13" s="144">
        <v>24571</v>
      </c>
      <c r="E13" s="145" t="s">
        <v>501</v>
      </c>
      <c r="F13" s="144">
        <v>4487</v>
      </c>
      <c r="G13" s="145" t="s">
        <v>501</v>
      </c>
      <c r="H13" s="239">
        <v>18.261365023808555</v>
      </c>
      <c r="I13" s="145" t="s">
        <v>501</v>
      </c>
      <c r="J13" s="144">
        <v>53</v>
      </c>
      <c r="K13" s="145" t="s">
        <v>501</v>
      </c>
      <c r="L13" s="144">
        <v>4434</v>
      </c>
      <c r="M13" s="145" t="s">
        <v>501</v>
      </c>
      <c r="N13" s="145"/>
      <c r="O13" s="292"/>
      <c r="P13" s="144">
        <v>4804</v>
      </c>
      <c r="Q13" s="145" t="s">
        <v>501</v>
      </c>
      <c r="R13" s="144">
        <v>58</v>
      </c>
      <c r="S13" s="145" t="s">
        <v>501</v>
      </c>
      <c r="T13" s="144">
        <v>4746</v>
      </c>
      <c r="U13" s="145" t="s">
        <v>501</v>
      </c>
    </row>
    <row r="14" spans="1:26" s="146" customFormat="1" ht="12.75" customHeight="1" x14ac:dyDescent="0.25">
      <c r="A14" s="143">
        <v>2014</v>
      </c>
      <c r="B14" s="143"/>
      <c r="C14" s="212"/>
      <c r="D14" s="144">
        <v>20345</v>
      </c>
      <c r="E14" s="145" t="s">
        <v>501</v>
      </c>
      <c r="F14" s="144">
        <v>3480</v>
      </c>
      <c r="G14" s="145" t="s">
        <v>501</v>
      </c>
      <c r="H14" s="239">
        <v>17.104939788645858</v>
      </c>
      <c r="I14" s="145" t="s">
        <v>501</v>
      </c>
      <c r="J14" s="144">
        <v>37</v>
      </c>
      <c r="K14" s="145" t="s">
        <v>501</v>
      </c>
      <c r="L14" s="144">
        <v>3443</v>
      </c>
      <c r="M14" s="145" t="s">
        <v>501</v>
      </c>
      <c r="N14" s="145"/>
      <c r="O14" s="292"/>
      <c r="P14" s="144">
        <v>3807</v>
      </c>
      <c r="Q14" s="145" t="s">
        <v>501</v>
      </c>
      <c r="R14" s="144">
        <v>39</v>
      </c>
      <c r="S14" s="145" t="s">
        <v>501</v>
      </c>
      <c r="T14" s="144">
        <v>3768</v>
      </c>
      <c r="U14" s="145" t="s">
        <v>501</v>
      </c>
    </row>
    <row r="15" spans="1:26" s="146" customFormat="1" ht="12.75" customHeight="1" x14ac:dyDescent="0.25">
      <c r="A15" s="143">
        <v>2015</v>
      </c>
      <c r="B15" s="143"/>
      <c r="C15" s="212"/>
      <c r="D15" s="144">
        <v>15845</v>
      </c>
      <c r="E15" s="145" t="s">
        <v>501</v>
      </c>
      <c r="F15" s="144">
        <v>2479</v>
      </c>
      <c r="G15" s="145" t="s">
        <v>501</v>
      </c>
      <c r="H15" s="239">
        <v>15.645313979173242</v>
      </c>
      <c r="I15" s="145" t="s">
        <v>501</v>
      </c>
      <c r="J15" s="144">
        <v>13</v>
      </c>
      <c r="K15" s="145" t="s">
        <v>501</v>
      </c>
      <c r="L15" s="144">
        <v>2466</v>
      </c>
      <c r="M15" s="145" t="s">
        <v>501</v>
      </c>
      <c r="N15" s="145"/>
      <c r="O15" s="292"/>
      <c r="P15" s="144">
        <v>2672</v>
      </c>
      <c r="Q15" s="145" t="s">
        <v>501</v>
      </c>
      <c r="R15" s="144">
        <v>53</v>
      </c>
      <c r="S15" s="145" t="s">
        <v>501</v>
      </c>
      <c r="T15" s="144">
        <v>2619</v>
      </c>
      <c r="U15" s="145" t="s">
        <v>501</v>
      </c>
    </row>
    <row r="16" spans="1:26" s="146" customFormat="1" ht="12.75" customHeight="1" x14ac:dyDescent="0.25">
      <c r="A16" s="143">
        <v>2016</v>
      </c>
      <c r="B16" s="143"/>
      <c r="C16" s="212"/>
      <c r="D16" s="144">
        <v>15044</v>
      </c>
      <c r="E16" s="145" t="s">
        <v>501</v>
      </c>
      <c r="F16" s="144">
        <v>2388</v>
      </c>
      <c r="G16" s="145" t="s">
        <v>501</v>
      </c>
      <c r="H16" s="239">
        <v>15.873437915448019</v>
      </c>
      <c r="I16" s="145" t="s">
        <v>501</v>
      </c>
      <c r="J16" s="144">
        <v>3</v>
      </c>
      <c r="K16" s="145" t="s">
        <v>501</v>
      </c>
      <c r="L16" s="144">
        <v>2385</v>
      </c>
      <c r="M16" s="145" t="s">
        <v>501</v>
      </c>
      <c r="N16" s="145"/>
      <c r="O16" s="292"/>
      <c r="P16" s="144">
        <v>2652</v>
      </c>
      <c r="Q16" s="145" t="s">
        <v>501</v>
      </c>
      <c r="R16" s="144">
        <v>23</v>
      </c>
      <c r="S16" s="145" t="s">
        <v>501</v>
      </c>
      <c r="T16" s="144">
        <v>2629</v>
      </c>
      <c r="U16" s="145" t="s">
        <v>501</v>
      </c>
      <c r="Z16" s="147"/>
    </row>
    <row r="17" spans="1:21" s="146" customFormat="1" ht="12.75" customHeight="1" x14ac:dyDescent="0.25">
      <c r="A17" s="143">
        <v>2017</v>
      </c>
      <c r="B17" s="212" t="s">
        <v>196</v>
      </c>
      <c r="D17" s="144">
        <v>15082</v>
      </c>
      <c r="E17" s="145" t="s">
        <v>501</v>
      </c>
      <c r="F17" s="144" t="s">
        <v>67</v>
      </c>
      <c r="G17" s="145" t="s">
        <v>501</v>
      </c>
      <c r="H17" s="239" t="s">
        <v>67</v>
      </c>
      <c r="I17" s="145" t="s">
        <v>501</v>
      </c>
      <c r="J17" s="144" t="s">
        <v>67</v>
      </c>
      <c r="K17" s="145" t="s">
        <v>501</v>
      </c>
      <c r="L17" s="144" t="s">
        <v>67</v>
      </c>
      <c r="M17" s="145" t="s">
        <v>501</v>
      </c>
      <c r="N17" s="145"/>
      <c r="O17" s="292"/>
      <c r="P17" s="144">
        <v>2997</v>
      </c>
      <c r="Q17" s="145" t="s">
        <v>501</v>
      </c>
      <c r="R17" s="144">
        <v>31</v>
      </c>
      <c r="S17" s="145" t="s">
        <v>501</v>
      </c>
      <c r="T17" s="144">
        <v>2966</v>
      </c>
      <c r="U17" s="145" t="s">
        <v>501</v>
      </c>
    </row>
    <row r="18" spans="1:21" s="142" customFormat="1" ht="12.75" customHeight="1" x14ac:dyDescent="0.25">
      <c r="A18" s="148"/>
      <c r="B18" s="148"/>
      <c r="C18" s="217"/>
      <c r="D18" s="149"/>
      <c r="E18" s="154"/>
      <c r="F18" s="149"/>
      <c r="G18" s="154"/>
      <c r="H18" s="240"/>
      <c r="I18" s="154"/>
      <c r="J18" s="149"/>
      <c r="K18" s="154"/>
      <c r="L18" s="149"/>
      <c r="M18" s="154"/>
      <c r="N18" s="154"/>
      <c r="O18" s="293"/>
      <c r="P18" s="149"/>
      <c r="Q18" s="154"/>
      <c r="R18" s="149"/>
      <c r="S18" s="154"/>
      <c r="T18" s="149"/>
      <c r="U18" s="154"/>
    </row>
    <row r="19" spans="1:21" s="142" customFormat="1" ht="12.75" customHeight="1" x14ac:dyDescent="0.25">
      <c r="A19" s="151">
        <v>2008</v>
      </c>
      <c r="B19" s="152" t="s">
        <v>1</v>
      </c>
      <c r="C19" s="218"/>
      <c r="D19" s="153">
        <v>15814</v>
      </c>
      <c r="E19" s="154" t="s">
        <v>501</v>
      </c>
      <c r="F19" s="153">
        <v>1980</v>
      </c>
      <c r="G19" s="154" t="s">
        <v>501</v>
      </c>
      <c r="H19" s="241">
        <v>12.520551410142911</v>
      </c>
      <c r="I19" s="154" t="s">
        <v>501</v>
      </c>
      <c r="J19" s="153">
        <v>16</v>
      </c>
      <c r="K19" s="154" t="s">
        <v>501</v>
      </c>
      <c r="L19" s="153">
        <v>1964</v>
      </c>
      <c r="M19" s="154" t="s">
        <v>501</v>
      </c>
      <c r="N19" s="154"/>
      <c r="O19" s="150"/>
      <c r="P19" s="153">
        <v>2169</v>
      </c>
      <c r="Q19" s="154" t="s">
        <v>501</v>
      </c>
      <c r="R19" s="153">
        <v>18</v>
      </c>
      <c r="S19" s="154" t="s">
        <v>501</v>
      </c>
      <c r="T19" s="153">
        <v>2151</v>
      </c>
      <c r="U19" s="154" t="s">
        <v>501</v>
      </c>
    </row>
    <row r="20" spans="1:21" s="142" customFormat="1" ht="12.75" customHeight="1" x14ac:dyDescent="0.25">
      <c r="A20" s="151"/>
      <c r="B20" s="152" t="s">
        <v>2</v>
      </c>
      <c r="C20" s="218"/>
      <c r="D20" s="153">
        <v>16373</v>
      </c>
      <c r="E20" s="154" t="s">
        <v>501</v>
      </c>
      <c r="F20" s="153">
        <v>4262</v>
      </c>
      <c r="G20" s="154" t="s">
        <v>501</v>
      </c>
      <c r="H20" s="241">
        <v>26.030660233310936</v>
      </c>
      <c r="I20" s="154" t="s">
        <v>501</v>
      </c>
      <c r="J20" s="153">
        <v>21</v>
      </c>
      <c r="K20" s="154" t="s">
        <v>501</v>
      </c>
      <c r="L20" s="153">
        <v>4241</v>
      </c>
      <c r="M20" s="154" t="s">
        <v>501</v>
      </c>
      <c r="N20" s="154"/>
      <c r="O20" s="150"/>
      <c r="P20" s="153">
        <v>2656</v>
      </c>
      <c r="Q20" s="154" t="s">
        <v>501</v>
      </c>
      <c r="R20" s="153">
        <v>12</v>
      </c>
      <c r="S20" s="154" t="s">
        <v>501</v>
      </c>
      <c r="T20" s="153">
        <v>2644</v>
      </c>
      <c r="U20" s="154" t="s">
        <v>501</v>
      </c>
    </row>
    <row r="21" spans="1:21" s="142" customFormat="1" ht="12.75" customHeight="1" x14ac:dyDescent="0.25">
      <c r="A21" s="151"/>
      <c r="B21" s="152" t="s">
        <v>3</v>
      </c>
      <c r="C21" s="218"/>
      <c r="D21" s="153">
        <v>17237</v>
      </c>
      <c r="E21" s="154" t="s">
        <v>501</v>
      </c>
      <c r="F21" s="153">
        <v>4419</v>
      </c>
      <c r="G21" s="154" t="s">
        <v>501</v>
      </c>
      <c r="H21" s="241">
        <v>25.636711724778095</v>
      </c>
      <c r="I21" s="154" t="s">
        <v>501</v>
      </c>
      <c r="J21" s="153">
        <v>13</v>
      </c>
      <c r="K21" s="154" t="s">
        <v>501</v>
      </c>
      <c r="L21" s="153">
        <v>4406</v>
      </c>
      <c r="M21" s="154" t="s">
        <v>501</v>
      </c>
      <c r="N21" s="154"/>
      <c r="O21" s="150"/>
      <c r="P21" s="153">
        <v>3923</v>
      </c>
      <c r="Q21" s="154" t="s">
        <v>501</v>
      </c>
      <c r="R21" s="153">
        <v>15</v>
      </c>
      <c r="S21" s="154" t="s">
        <v>501</v>
      </c>
      <c r="T21" s="153">
        <v>3908</v>
      </c>
      <c r="U21" s="154" t="s">
        <v>501</v>
      </c>
    </row>
    <row r="22" spans="1:21" s="142" customFormat="1" ht="12.75" customHeight="1" x14ac:dyDescent="0.25">
      <c r="A22" s="151"/>
      <c r="B22" s="152" t="s">
        <v>4</v>
      </c>
      <c r="C22" s="218"/>
      <c r="D22" s="153">
        <v>18004</v>
      </c>
      <c r="E22" s="154" t="s">
        <v>501</v>
      </c>
      <c r="F22" s="153">
        <v>3195</v>
      </c>
      <c r="G22" s="154" t="s">
        <v>501</v>
      </c>
      <c r="H22" s="241">
        <v>17.746056431904023</v>
      </c>
      <c r="I22" s="154" t="s">
        <v>501</v>
      </c>
      <c r="J22" s="153">
        <v>16</v>
      </c>
      <c r="K22" s="154" t="s">
        <v>501</v>
      </c>
      <c r="L22" s="153">
        <v>3179</v>
      </c>
      <c r="M22" s="154" t="s">
        <v>501</v>
      </c>
      <c r="N22" s="154"/>
      <c r="O22" s="150"/>
      <c r="P22" s="153">
        <v>4517</v>
      </c>
      <c r="Q22" s="154" t="s">
        <v>501</v>
      </c>
      <c r="R22" s="153">
        <v>22</v>
      </c>
      <c r="S22" s="154" t="s">
        <v>501</v>
      </c>
      <c r="T22" s="153">
        <v>4495</v>
      </c>
      <c r="U22" s="154" t="s">
        <v>501</v>
      </c>
    </row>
    <row r="23" spans="1:21" s="142" customFormat="1" ht="12.75" customHeight="1" x14ac:dyDescent="0.25">
      <c r="A23" s="151"/>
      <c r="B23" s="152"/>
      <c r="C23" s="218"/>
      <c r="D23" s="153"/>
      <c r="E23" s="154"/>
      <c r="F23" s="153"/>
      <c r="G23" s="154"/>
      <c r="H23" s="241"/>
      <c r="I23" s="154"/>
      <c r="J23" s="153"/>
      <c r="K23" s="154"/>
      <c r="L23" s="153"/>
      <c r="M23" s="154"/>
      <c r="N23" s="154"/>
      <c r="O23" s="150"/>
      <c r="P23" s="153"/>
      <c r="Q23" s="154"/>
      <c r="R23" s="153"/>
      <c r="S23" s="154"/>
      <c r="T23" s="153"/>
      <c r="U23" s="154"/>
    </row>
    <row r="24" spans="1:21" s="142" customFormat="1" ht="12.75" customHeight="1" x14ac:dyDescent="0.25">
      <c r="A24" s="151">
        <v>2009</v>
      </c>
      <c r="B24" s="152" t="s">
        <v>1</v>
      </c>
      <c r="C24" s="218"/>
      <c r="D24" s="153">
        <v>20446</v>
      </c>
      <c r="E24" s="154" t="s">
        <v>501</v>
      </c>
      <c r="F24" s="153">
        <v>2439</v>
      </c>
      <c r="G24" s="154" t="s">
        <v>501</v>
      </c>
      <c r="H24" s="241">
        <v>11.928983664286413</v>
      </c>
      <c r="I24" s="154" t="s">
        <v>501</v>
      </c>
      <c r="J24" s="153">
        <v>19</v>
      </c>
      <c r="K24" s="154" t="s">
        <v>501</v>
      </c>
      <c r="L24" s="153">
        <v>2420</v>
      </c>
      <c r="M24" s="154" t="s">
        <v>501</v>
      </c>
      <c r="N24" s="154"/>
      <c r="O24" s="150"/>
      <c r="P24" s="153">
        <v>2351</v>
      </c>
      <c r="Q24" s="154" t="s">
        <v>501</v>
      </c>
      <c r="R24" s="153">
        <v>19</v>
      </c>
      <c r="S24" s="154" t="s">
        <v>501</v>
      </c>
      <c r="T24" s="153">
        <v>2332</v>
      </c>
      <c r="U24" s="154" t="s">
        <v>501</v>
      </c>
    </row>
    <row r="25" spans="1:21" s="142" customFormat="1" ht="12.75" customHeight="1" x14ac:dyDescent="0.25">
      <c r="A25" s="151"/>
      <c r="B25" s="152" t="s">
        <v>2</v>
      </c>
      <c r="C25" s="218"/>
      <c r="D25" s="153">
        <v>18870</v>
      </c>
      <c r="E25" s="154" t="s">
        <v>501</v>
      </c>
      <c r="F25" s="153">
        <v>5008</v>
      </c>
      <c r="G25" s="154" t="s">
        <v>501</v>
      </c>
      <c r="H25" s="241">
        <v>26.539480657127719</v>
      </c>
      <c r="I25" s="154" t="s">
        <v>501</v>
      </c>
      <c r="J25" s="153">
        <v>13</v>
      </c>
      <c r="K25" s="154" t="s">
        <v>501</v>
      </c>
      <c r="L25" s="153">
        <v>4995</v>
      </c>
      <c r="M25" s="154" t="s">
        <v>501</v>
      </c>
      <c r="N25" s="154"/>
      <c r="O25" s="150"/>
      <c r="P25" s="153">
        <v>3121</v>
      </c>
      <c r="Q25" s="154" t="s">
        <v>501</v>
      </c>
      <c r="R25" s="153">
        <v>13</v>
      </c>
      <c r="S25" s="154" t="s">
        <v>501</v>
      </c>
      <c r="T25" s="153">
        <v>3108</v>
      </c>
      <c r="U25" s="154" t="s">
        <v>501</v>
      </c>
    </row>
    <row r="26" spans="1:21" s="142" customFormat="1" ht="12.75" customHeight="1" x14ac:dyDescent="0.25">
      <c r="A26" s="151"/>
      <c r="B26" s="152" t="s">
        <v>3</v>
      </c>
      <c r="C26" s="218"/>
      <c r="D26" s="153">
        <v>18347</v>
      </c>
      <c r="E26" s="154" t="s">
        <v>501</v>
      </c>
      <c r="F26" s="153">
        <v>4947</v>
      </c>
      <c r="G26" s="154" t="s">
        <v>501</v>
      </c>
      <c r="H26" s="241">
        <v>26.963536272960159</v>
      </c>
      <c r="I26" s="154" t="s">
        <v>501</v>
      </c>
      <c r="J26" s="153">
        <v>11</v>
      </c>
      <c r="K26" s="154" t="s">
        <v>501</v>
      </c>
      <c r="L26" s="153">
        <v>4936</v>
      </c>
      <c r="M26" s="154" t="s">
        <v>501</v>
      </c>
      <c r="N26" s="154"/>
      <c r="O26" s="150"/>
      <c r="P26" s="153">
        <v>4989</v>
      </c>
      <c r="Q26" s="154" t="s">
        <v>501</v>
      </c>
      <c r="R26" s="153">
        <v>21</v>
      </c>
      <c r="S26" s="154" t="s">
        <v>501</v>
      </c>
      <c r="T26" s="153">
        <v>4968</v>
      </c>
      <c r="U26" s="154" t="s">
        <v>501</v>
      </c>
    </row>
    <row r="27" spans="1:21" s="142" customFormat="1" ht="12.75" customHeight="1" x14ac:dyDescent="0.25">
      <c r="A27" s="151"/>
      <c r="B27" s="152" t="s">
        <v>4</v>
      </c>
      <c r="C27" s="218"/>
      <c r="D27" s="153">
        <v>17007</v>
      </c>
      <c r="E27" s="154" t="s">
        <v>501</v>
      </c>
      <c r="F27" s="153">
        <v>3263</v>
      </c>
      <c r="G27" s="154" t="s">
        <v>501</v>
      </c>
      <c r="H27" s="241">
        <v>19.186217439877698</v>
      </c>
      <c r="I27" s="154" t="s">
        <v>501</v>
      </c>
      <c r="J27" s="153">
        <v>7</v>
      </c>
      <c r="K27" s="154" t="s">
        <v>501</v>
      </c>
      <c r="L27" s="153">
        <v>3256</v>
      </c>
      <c r="M27" s="154" t="s">
        <v>501</v>
      </c>
      <c r="N27" s="154"/>
      <c r="O27" s="150"/>
      <c r="P27" s="153">
        <v>4940</v>
      </c>
      <c r="Q27" s="154" t="s">
        <v>501</v>
      </c>
      <c r="R27" s="153">
        <v>11</v>
      </c>
      <c r="S27" s="154" t="s">
        <v>501</v>
      </c>
      <c r="T27" s="153">
        <v>4929</v>
      </c>
      <c r="U27" s="154" t="s">
        <v>501</v>
      </c>
    </row>
    <row r="28" spans="1:21" s="142" customFormat="1" ht="12.75" customHeight="1" x14ac:dyDescent="0.25">
      <c r="A28" s="151"/>
      <c r="B28" s="152"/>
      <c r="C28" s="218"/>
      <c r="D28" s="153"/>
      <c r="E28" s="154"/>
      <c r="F28" s="153"/>
      <c r="G28" s="154"/>
      <c r="H28" s="241"/>
      <c r="I28" s="154"/>
      <c r="J28" s="153"/>
      <c r="K28" s="154"/>
      <c r="L28" s="153"/>
      <c r="M28" s="154"/>
      <c r="N28" s="154"/>
      <c r="O28" s="150"/>
      <c r="P28" s="153"/>
      <c r="Q28" s="154"/>
      <c r="R28" s="153"/>
      <c r="S28" s="154"/>
      <c r="T28" s="153"/>
      <c r="U28" s="154"/>
    </row>
    <row r="29" spans="1:21" s="142" customFormat="1" ht="12.75" customHeight="1" x14ac:dyDescent="0.25">
      <c r="A29" s="151">
        <v>2010</v>
      </c>
      <c r="B29" s="152" t="s">
        <v>1</v>
      </c>
      <c r="C29" s="218"/>
      <c r="D29" s="153">
        <v>18256</v>
      </c>
      <c r="E29" s="154" t="s">
        <v>501</v>
      </c>
      <c r="F29" s="153">
        <v>2459</v>
      </c>
      <c r="G29" s="154" t="s">
        <v>501</v>
      </c>
      <c r="H29" s="241">
        <v>13.469544259421559</v>
      </c>
      <c r="I29" s="154" t="s">
        <v>501</v>
      </c>
      <c r="J29" s="153">
        <v>20</v>
      </c>
      <c r="K29" s="154" t="s">
        <v>501</v>
      </c>
      <c r="L29" s="153">
        <v>2439</v>
      </c>
      <c r="M29" s="154" t="s">
        <v>501</v>
      </c>
      <c r="N29" s="154"/>
      <c r="O29" s="150"/>
      <c r="P29" s="153">
        <v>2750</v>
      </c>
      <c r="Q29" s="154" t="s">
        <v>501</v>
      </c>
      <c r="R29" s="153">
        <v>14</v>
      </c>
      <c r="S29" s="154" t="s">
        <v>501</v>
      </c>
      <c r="T29" s="153">
        <v>2736</v>
      </c>
      <c r="U29" s="154" t="s">
        <v>501</v>
      </c>
    </row>
    <row r="30" spans="1:21" s="142" customFormat="1" ht="12.75" customHeight="1" x14ac:dyDescent="0.25">
      <c r="A30" s="151"/>
      <c r="B30" s="152" t="s">
        <v>2</v>
      </c>
      <c r="C30" s="218"/>
      <c r="D30" s="153">
        <v>14982</v>
      </c>
      <c r="E30" s="154" t="s">
        <v>501</v>
      </c>
      <c r="F30" s="153">
        <v>4254</v>
      </c>
      <c r="G30" s="154" t="s">
        <v>501</v>
      </c>
      <c r="H30" s="241">
        <v>28.394072887464961</v>
      </c>
      <c r="I30" s="154" t="s">
        <v>501</v>
      </c>
      <c r="J30" s="153">
        <v>25</v>
      </c>
      <c r="K30" s="154" t="s">
        <v>501</v>
      </c>
      <c r="L30" s="153">
        <v>4229</v>
      </c>
      <c r="M30" s="154" t="s">
        <v>501</v>
      </c>
      <c r="N30" s="154"/>
      <c r="O30" s="150"/>
      <c r="P30" s="153">
        <v>3103</v>
      </c>
      <c r="Q30" s="154" t="s">
        <v>501</v>
      </c>
      <c r="R30" s="153" t="s">
        <v>67</v>
      </c>
      <c r="S30" s="154" t="s">
        <v>501</v>
      </c>
      <c r="T30" s="153" t="s">
        <v>67</v>
      </c>
      <c r="U30" s="154" t="s">
        <v>501</v>
      </c>
    </row>
    <row r="31" spans="1:21" s="142" customFormat="1" ht="12.75" customHeight="1" x14ac:dyDescent="0.25">
      <c r="A31" s="151"/>
      <c r="B31" s="152" t="s">
        <v>3</v>
      </c>
      <c r="C31" s="218"/>
      <c r="D31" s="153">
        <v>13907</v>
      </c>
      <c r="E31" s="154" t="s">
        <v>501</v>
      </c>
      <c r="F31" s="153">
        <v>3433</v>
      </c>
      <c r="G31" s="154" t="s">
        <v>501</v>
      </c>
      <c r="H31" s="241">
        <v>24.685410225066512</v>
      </c>
      <c r="I31" s="154" t="s">
        <v>501</v>
      </c>
      <c r="J31" s="153">
        <v>19</v>
      </c>
      <c r="K31" s="154" t="s">
        <v>501</v>
      </c>
      <c r="L31" s="153">
        <v>3414</v>
      </c>
      <c r="M31" s="154" t="s">
        <v>501</v>
      </c>
      <c r="N31" s="154"/>
      <c r="O31" s="150"/>
      <c r="P31" s="153">
        <v>4401</v>
      </c>
      <c r="Q31" s="154" t="s">
        <v>501</v>
      </c>
      <c r="R31" s="153" t="s">
        <v>67</v>
      </c>
      <c r="S31" s="154" t="s">
        <v>501</v>
      </c>
      <c r="T31" s="153" t="s">
        <v>67</v>
      </c>
      <c r="U31" s="154" t="s">
        <v>501</v>
      </c>
    </row>
    <row r="32" spans="1:21" s="142" customFormat="1" ht="12.75" customHeight="1" x14ac:dyDescent="0.25">
      <c r="A32" s="151"/>
      <c r="B32" s="152" t="s">
        <v>4</v>
      </c>
      <c r="C32" s="218"/>
      <c r="D32" s="153">
        <v>12028</v>
      </c>
      <c r="E32" s="154" t="s">
        <v>501</v>
      </c>
      <c r="F32" s="153">
        <v>1979</v>
      </c>
      <c r="G32" s="154" t="s">
        <v>501</v>
      </c>
      <c r="H32" s="241">
        <v>16.453275690056536</v>
      </c>
      <c r="I32" s="154" t="s">
        <v>501</v>
      </c>
      <c r="J32" s="153">
        <v>33</v>
      </c>
      <c r="K32" s="154" t="s">
        <v>501</v>
      </c>
      <c r="L32" s="153">
        <v>1946</v>
      </c>
      <c r="M32" s="154" t="s">
        <v>501</v>
      </c>
      <c r="N32" s="154"/>
      <c r="O32" s="150"/>
      <c r="P32" s="153">
        <v>2637</v>
      </c>
      <c r="Q32" s="154" t="s">
        <v>501</v>
      </c>
      <c r="R32" s="153" t="s">
        <v>67</v>
      </c>
      <c r="S32" s="154" t="s">
        <v>501</v>
      </c>
      <c r="T32" s="153" t="s">
        <v>67</v>
      </c>
      <c r="U32" s="154" t="s">
        <v>501</v>
      </c>
    </row>
    <row r="33" spans="1:21" s="142" customFormat="1" ht="12.75" customHeight="1" x14ac:dyDescent="0.25">
      <c r="A33" s="151"/>
      <c r="B33" s="152"/>
      <c r="C33" s="218"/>
      <c r="D33" s="153"/>
      <c r="E33" s="154"/>
      <c r="F33" s="153"/>
      <c r="G33" s="154"/>
      <c r="H33" s="241"/>
      <c r="I33" s="154"/>
      <c r="J33" s="153"/>
      <c r="K33" s="154"/>
      <c r="L33" s="153"/>
      <c r="M33" s="154"/>
      <c r="N33" s="154"/>
      <c r="O33" s="150"/>
      <c r="P33" s="153"/>
      <c r="Q33" s="154"/>
      <c r="R33" s="153"/>
      <c r="S33" s="154"/>
      <c r="T33" s="153"/>
      <c r="U33" s="154"/>
    </row>
    <row r="34" spans="1:21" s="142" customFormat="1" ht="12.75" customHeight="1" x14ac:dyDescent="0.25">
      <c r="A34" s="151">
        <v>2011</v>
      </c>
      <c r="B34" s="152" t="s">
        <v>1</v>
      </c>
      <c r="C34" s="218"/>
      <c r="D34" s="153">
        <v>12539</v>
      </c>
      <c r="E34" s="154" t="s">
        <v>501</v>
      </c>
      <c r="F34" s="153">
        <v>1691</v>
      </c>
      <c r="G34" s="154" t="s">
        <v>501</v>
      </c>
      <c r="H34" s="241">
        <v>13.485923917377782</v>
      </c>
      <c r="I34" s="154" t="s">
        <v>501</v>
      </c>
      <c r="J34" s="153">
        <v>24</v>
      </c>
      <c r="K34" s="154" t="s">
        <v>501</v>
      </c>
      <c r="L34" s="153">
        <v>1667</v>
      </c>
      <c r="M34" s="154" t="s">
        <v>501</v>
      </c>
      <c r="N34" s="154"/>
      <c r="O34" s="150"/>
      <c r="P34" s="153">
        <v>2250</v>
      </c>
      <c r="Q34" s="154" t="s">
        <v>501</v>
      </c>
      <c r="R34" s="153" t="s">
        <v>67</v>
      </c>
      <c r="S34" s="154" t="s">
        <v>501</v>
      </c>
      <c r="T34" s="153" t="s">
        <v>67</v>
      </c>
      <c r="U34" s="154" t="s">
        <v>501</v>
      </c>
    </row>
    <row r="35" spans="1:21" s="142" customFormat="1" ht="12.75" customHeight="1" x14ac:dyDescent="0.25">
      <c r="A35" s="151"/>
      <c r="B35" s="152" t="s">
        <v>2</v>
      </c>
      <c r="C35" s="218"/>
      <c r="D35" s="153">
        <v>11101</v>
      </c>
      <c r="E35" s="154" t="s">
        <v>501</v>
      </c>
      <c r="F35" s="153">
        <v>3099</v>
      </c>
      <c r="G35" s="154" t="s">
        <v>501</v>
      </c>
      <c r="H35" s="241">
        <v>27.916403927574091</v>
      </c>
      <c r="I35" s="154" t="s">
        <v>501</v>
      </c>
      <c r="J35" s="153">
        <v>26</v>
      </c>
      <c r="K35" s="154" t="s">
        <v>501</v>
      </c>
      <c r="L35" s="153">
        <v>3073</v>
      </c>
      <c r="M35" s="154" t="s">
        <v>501</v>
      </c>
      <c r="N35" s="154"/>
      <c r="O35" s="150"/>
      <c r="P35" s="153">
        <v>2206</v>
      </c>
      <c r="Q35" s="154" t="s">
        <v>501</v>
      </c>
      <c r="R35" s="153">
        <v>23</v>
      </c>
      <c r="S35" s="154" t="s">
        <v>501</v>
      </c>
      <c r="T35" s="153">
        <v>2183</v>
      </c>
      <c r="U35" s="154" t="s">
        <v>501</v>
      </c>
    </row>
    <row r="36" spans="1:21" s="142" customFormat="1" ht="12.75" customHeight="1" x14ac:dyDescent="0.25">
      <c r="A36" s="151"/>
      <c r="B36" s="152" t="s">
        <v>3</v>
      </c>
      <c r="C36" s="218"/>
      <c r="D36" s="153">
        <v>9578</v>
      </c>
      <c r="E36" s="154" t="s">
        <v>501</v>
      </c>
      <c r="F36" s="153">
        <v>2791</v>
      </c>
      <c r="G36" s="154" t="s">
        <v>501</v>
      </c>
      <c r="H36" s="241">
        <v>29.139695134683652</v>
      </c>
      <c r="I36" s="154" t="s">
        <v>501</v>
      </c>
      <c r="J36" s="153">
        <v>32</v>
      </c>
      <c r="K36" s="154" t="s">
        <v>501</v>
      </c>
      <c r="L36" s="153">
        <v>2759</v>
      </c>
      <c r="M36" s="154" t="s">
        <v>501</v>
      </c>
      <c r="N36" s="154"/>
      <c r="O36" s="150"/>
      <c r="P36" s="153">
        <v>3350</v>
      </c>
      <c r="Q36" s="154" t="s">
        <v>501</v>
      </c>
      <c r="R36" s="153">
        <v>35</v>
      </c>
      <c r="S36" s="154" t="s">
        <v>501</v>
      </c>
      <c r="T36" s="153">
        <v>3315</v>
      </c>
      <c r="U36" s="154" t="s">
        <v>501</v>
      </c>
    </row>
    <row r="37" spans="1:21" s="142" customFormat="1" ht="12.75" customHeight="1" x14ac:dyDescent="0.25">
      <c r="A37" s="151"/>
      <c r="B37" s="152" t="s">
        <v>4</v>
      </c>
      <c r="C37" s="218"/>
      <c r="D37" s="153">
        <v>8658</v>
      </c>
      <c r="E37" s="154" t="s">
        <v>501</v>
      </c>
      <c r="F37" s="153">
        <v>2127</v>
      </c>
      <c r="G37" s="154" t="s">
        <v>501</v>
      </c>
      <c r="H37" s="241">
        <v>24.566874566874567</v>
      </c>
      <c r="I37" s="154" t="s">
        <v>501</v>
      </c>
      <c r="J37" s="153">
        <v>11</v>
      </c>
      <c r="K37" s="154" t="s">
        <v>501</v>
      </c>
      <c r="L37" s="153">
        <v>2116</v>
      </c>
      <c r="M37" s="154" t="s">
        <v>501</v>
      </c>
      <c r="N37" s="154"/>
      <c r="O37" s="150"/>
      <c r="P37" s="153">
        <v>2837</v>
      </c>
      <c r="Q37" s="154" t="s">
        <v>501</v>
      </c>
      <c r="R37" s="153">
        <v>32</v>
      </c>
      <c r="S37" s="154" t="s">
        <v>501</v>
      </c>
      <c r="T37" s="153">
        <v>2805</v>
      </c>
      <c r="U37" s="154" t="s">
        <v>501</v>
      </c>
    </row>
    <row r="38" spans="1:21" s="142" customFormat="1" ht="12.75" customHeight="1" x14ac:dyDescent="0.25">
      <c r="A38" s="151"/>
      <c r="B38" s="152"/>
      <c r="C38" s="218"/>
      <c r="D38" s="153"/>
      <c r="E38" s="154"/>
      <c r="F38" s="153"/>
      <c r="G38" s="154"/>
      <c r="H38" s="241"/>
      <c r="I38" s="154"/>
      <c r="J38" s="153"/>
      <c r="K38" s="154"/>
      <c r="L38" s="153"/>
      <c r="M38" s="154"/>
      <c r="N38" s="154"/>
      <c r="O38" s="150"/>
      <c r="P38" s="153"/>
      <c r="Q38" s="154"/>
      <c r="R38" s="153"/>
      <c r="S38" s="154"/>
      <c r="T38" s="153"/>
      <c r="U38" s="154"/>
    </row>
    <row r="39" spans="1:21" s="142" customFormat="1" ht="12.75" customHeight="1" x14ac:dyDescent="0.25">
      <c r="A39" s="151">
        <v>2012</v>
      </c>
      <c r="B39" s="152" t="s">
        <v>1</v>
      </c>
      <c r="C39" s="218"/>
      <c r="D39" s="153">
        <v>9132</v>
      </c>
      <c r="E39" s="154" t="s">
        <v>501</v>
      </c>
      <c r="F39" s="153">
        <v>1273</v>
      </c>
      <c r="G39" s="154" t="s">
        <v>501</v>
      </c>
      <c r="H39" s="241">
        <v>13.939991239597022</v>
      </c>
      <c r="I39" s="154" t="s">
        <v>501</v>
      </c>
      <c r="J39" s="153">
        <v>14</v>
      </c>
      <c r="K39" s="154" t="s">
        <v>501</v>
      </c>
      <c r="L39" s="153">
        <v>1259</v>
      </c>
      <c r="M39" s="154" t="s">
        <v>501</v>
      </c>
      <c r="N39" s="154"/>
      <c r="O39" s="150"/>
      <c r="P39" s="153">
        <v>1765</v>
      </c>
      <c r="Q39" s="154" t="s">
        <v>501</v>
      </c>
      <c r="R39" s="153">
        <v>29</v>
      </c>
      <c r="S39" s="154" t="s">
        <v>501</v>
      </c>
      <c r="T39" s="153">
        <v>1736</v>
      </c>
      <c r="U39" s="154" t="s">
        <v>501</v>
      </c>
    </row>
    <row r="40" spans="1:21" s="142" customFormat="1" ht="12.75" customHeight="1" x14ac:dyDescent="0.25">
      <c r="A40" s="151"/>
      <c r="B40" s="152" t="s">
        <v>2</v>
      </c>
      <c r="C40" s="218"/>
      <c r="D40" s="153">
        <v>8092</v>
      </c>
      <c r="E40" s="154" t="s">
        <v>501</v>
      </c>
      <c r="F40" s="153">
        <v>1986</v>
      </c>
      <c r="G40" s="154" t="s">
        <v>501</v>
      </c>
      <c r="H40" s="241">
        <v>24.5427582797825</v>
      </c>
      <c r="I40" s="154" t="s">
        <v>501</v>
      </c>
      <c r="J40" s="153">
        <v>15</v>
      </c>
      <c r="K40" s="154" t="s">
        <v>501</v>
      </c>
      <c r="L40" s="153">
        <v>1971</v>
      </c>
      <c r="M40" s="154" t="s">
        <v>501</v>
      </c>
      <c r="N40" s="154"/>
      <c r="O40" s="150"/>
      <c r="P40" s="153">
        <v>1451</v>
      </c>
      <c r="Q40" s="154" t="s">
        <v>501</v>
      </c>
      <c r="R40" s="153">
        <v>19</v>
      </c>
      <c r="S40" s="154" t="s">
        <v>501</v>
      </c>
      <c r="T40" s="153">
        <v>1432</v>
      </c>
      <c r="U40" s="154" t="s">
        <v>501</v>
      </c>
    </row>
    <row r="41" spans="1:21" s="142" customFormat="1" ht="12.75" customHeight="1" x14ac:dyDescent="0.25">
      <c r="A41" s="151"/>
      <c r="B41" s="152" t="s">
        <v>3</v>
      </c>
      <c r="C41" s="218"/>
      <c r="D41" s="153">
        <v>7642</v>
      </c>
      <c r="E41" s="154" t="s">
        <v>501</v>
      </c>
      <c r="F41" s="153">
        <v>1839</v>
      </c>
      <c r="G41" s="154" t="s">
        <v>501</v>
      </c>
      <c r="H41" s="241">
        <v>24.064381052080609</v>
      </c>
      <c r="I41" s="154" t="s">
        <v>501</v>
      </c>
      <c r="J41" s="153">
        <v>18</v>
      </c>
      <c r="K41" s="154" t="s">
        <v>501</v>
      </c>
      <c r="L41" s="153">
        <v>1821</v>
      </c>
      <c r="M41" s="154" t="s">
        <v>501</v>
      </c>
      <c r="N41" s="154"/>
      <c r="O41" s="150"/>
      <c r="P41" s="153">
        <v>2048</v>
      </c>
      <c r="Q41" s="154" t="s">
        <v>501</v>
      </c>
      <c r="R41" s="153">
        <v>22</v>
      </c>
      <c r="S41" s="154" t="s">
        <v>501</v>
      </c>
      <c r="T41" s="153">
        <v>2026</v>
      </c>
      <c r="U41" s="154" t="s">
        <v>501</v>
      </c>
    </row>
    <row r="42" spans="1:21" s="142" customFormat="1" ht="12.75" customHeight="1" x14ac:dyDescent="0.25">
      <c r="A42" s="151"/>
      <c r="B42" s="152" t="s">
        <v>4</v>
      </c>
      <c r="C42" s="218"/>
      <c r="D42" s="153">
        <v>6921</v>
      </c>
      <c r="E42" s="154" t="s">
        <v>501</v>
      </c>
      <c r="F42" s="153">
        <v>1318</v>
      </c>
      <c r="G42" s="154" t="s">
        <v>501</v>
      </c>
      <c r="H42" s="241">
        <v>19.043490825025287</v>
      </c>
      <c r="I42" s="154" t="s">
        <v>501</v>
      </c>
      <c r="J42" s="153">
        <v>2</v>
      </c>
      <c r="K42" s="154" t="s">
        <v>501</v>
      </c>
      <c r="L42" s="153">
        <v>1316</v>
      </c>
      <c r="M42" s="154" t="s">
        <v>501</v>
      </c>
      <c r="N42" s="154"/>
      <c r="O42" s="150"/>
      <c r="P42" s="153">
        <v>1755</v>
      </c>
      <c r="Q42" s="154" t="s">
        <v>501</v>
      </c>
      <c r="R42" s="153">
        <v>18</v>
      </c>
      <c r="S42" s="154" t="s">
        <v>501</v>
      </c>
      <c r="T42" s="153">
        <v>1737</v>
      </c>
      <c r="U42" s="154" t="s">
        <v>501</v>
      </c>
    </row>
    <row r="43" spans="1:21" s="142" customFormat="1" ht="12.75" customHeight="1" x14ac:dyDescent="0.25">
      <c r="A43" s="151"/>
      <c r="B43" s="152"/>
      <c r="C43" s="218"/>
      <c r="D43" s="153"/>
      <c r="E43" s="154"/>
      <c r="F43" s="153"/>
      <c r="G43" s="154"/>
      <c r="H43" s="241"/>
      <c r="I43" s="154"/>
      <c r="J43" s="153"/>
      <c r="K43" s="154"/>
      <c r="L43" s="153"/>
      <c r="M43" s="154"/>
      <c r="N43" s="154"/>
      <c r="O43" s="150"/>
      <c r="P43" s="153"/>
      <c r="Q43" s="154"/>
      <c r="R43" s="153"/>
      <c r="S43" s="154"/>
      <c r="T43" s="153"/>
      <c r="U43" s="154"/>
    </row>
    <row r="44" spans="1:21" s="142" customFormat="1" ht="12.75" customHeight="1" x14ac:dyDescent="0.25">
      <c r="A44" s="151">
        <v>2013</v>
      </c>
      <c r="B44" s="152" t="s">
        <v>1</v>
      </c>
      <c r="C44" s="218"/>
      <c r="D44" s="153">
        <v>6673</v>
      </c>
      <c r="E44" s="154" t="s">
        <v>501</v>
      </c>
      <c r="F44" s="153">
        <v>745</v>
      </c>
      <c r="G44" s="154" t="s">
        <v>501</v>
      </c>
      <c r="H44" s="241">
        <v>11.164393825865428</v>
      </c>
      <c r="I44" s="154" t="s">
        <v>501</v>
      </c>
      <c r="J44" s="153">
        <v>12</v>
      </c>
      <c r="K44" s="154" t="s">
        <v>501</v>
      </c>
      <c r="L44" s="153">
        <v>733</v>
      </c>
      <c r="M44" s="154" t="s">
        <v>501</v>
      </c>
      <c r="N44" s="154"/>
      <c r="O44" s="150"/>
      <c r="P44" s="153">
        <v>1219</v>
      </c>
      <c r="Q44" s="154" t="s">
        <v>501</v>
      </c>
      <c r="R44" s="153">
        <v>12</v>
      </c>
      <c r="S44" s="154" t="s">
        <v>501</v>
      </c>
      <c r="T44" s="153">
        <v>1207</v>
      </c>
      <c r="U44" s="154" t="s">
        <v>501</v>
      </c>
    </row>
    <row r="45" spans="1:21" s="142" customFormat="1" ht="12.75" customHeight="1" x14ac:dyDescent="0.25">
      <c r="A45" s="151"/>
      <c r="B45" s="152" t="s">
        <v>2</v>
      </c>
      <c r="C45" s="218"/>
      <c r="D45" s="153">
        <v>6480</v>
      </c>
      <c r="E45" s="154" t="s">
        <v>501</v>
      </c>
      <c r="F45" s="153">
        <v>1518</v>
      </c>
      <c r="G45" s="154" t="s">
        <v>501</v>
      </c>
      <c r="H45" s="241">
        <v>23.425925925925924</v>
      </c>
      <c r="I45" s="154" t="s">
        <v>501</v>
      </c>
      <c r="J45" s="153">
        <v>9</v>
      </c>
      <c r="K45" s="154" t="s">
        <v>501</v>
      </c>
      <c r="L45" s="153">
        <v>1509</v>
      </c>
      <c r="M45" s="154" t="s">
        <v>501</v>
      </c>
      <c r="N45" s="154"/>
      <c r="O45" s="150"/>
      <c r="P45" s="153">
        <v>1039</v>
      </c>
      <c r="Q45" s="154" t="s">
        <v>501</v>
      </c>
      <c r="R45" s="153">
        <v>13</v>
      </c>
      <c r="S45" s="154" t="s">
        <v>501</v>
      </c>
      <c r="T45" s="153">
        <v>1026</v>
      </c>
      <c r="U45" s="154" t="s">
        <v>501</v>
      </c>
    </row>
    <row r="46" spans="1:21" s="142" customFormat="1" ht="12.75" customHeight="1" x14ac:dyDescent="0.25">
      <c r="A46" s="151"/>
      <c r="B46" s="152" t="s">
        <v>3</v>
      </c>
      <c r="C46" s="218"/>
      <c r="D46" s="153">
        <v>6009</v>
      </c>
      <c r="E46" s="154" t="s">
        <v>501</v>
      </c>
      <c r="F46" s="153">
        <v>1244</v>
      </c>
      <c r="G46" s="154" t="s">
        <v>501</v>
      </c>
      <c r="H46" s="241">
        <v>20.702279913463141</v>
      </c>
      <c r="I46" s="154" t="s">
        <v>501</v>
      </c>
      <c r="J46" s="153">
        <v>15</v>
      </c>
      <c r="K46" s="154" t="s">
        <v>501</v>
      </c>
      <c r="L46" s="153">
        <v>1229</v>
      </c>
      <c r="M46" s="154" t="s">
        <v>501</v>
      </c>
      <c r="N46" s="154"/>
      <c r="O46" s="150"/>
      <c r="P46" s="153">
        <v>1342</v>
      </c>
      <c r="Q46" s="154" t="s">
        <v>501</v>
      </c>
      <c r="R46" s="153">
        <v>22</v>
      </c>
      <c r="S46" s="154" t="s">
        <v>501</v>
      </c>
      <c r="T46" s="153">
        <v>1320</v>
      </c>
      <c r="U46" s="154" t="s">
        <v>501</v>
      </c>
    </row>
    <row r="47" spans="1:21" s="142" customFormat="1" ht="12.75" customHeight="1" x14ac:dyDescent="0.25">
      <c r="A47" s="151"/>
      <c r="B47" s="152" t="s">
        <v>4</v>
      </c>
      <c r="C47" s="218"/>
      <c r="D47" s="153">
        <v>5409</v>
      </c>
      <c r="E47" s="154" t="s">
        <v>501</v>
      </c>
      <c r="F47" s="153">
        <v>980</v>
      </c>
      <c r="G47" s="154" t="s">
        <v>501</v>
      </c>
      <c r="H47" s="241">
        <v>18.117951562211129</v>
      </c>
      <c r="I47" s="154" t="s">
        <v>501</v>
      </c>
      <c r="J47" s="153">
        <v>17</v>
      </c>
      <c r="K47" s="154" t="s">
        <v>501</v>
      </c>
      <c r="L47" s="153">
        <v>963</v>
      </c>
      <c r="M47" s="154" t="s">
        <v>501</v>
      </c>
      <c r="N47" s="154"/>
      <c r="O47" s="150"/>
      <c r="P47" s="153">
        <v>1204</v>
      </c>
      <c r="Q47" s="154" t="s">
        <v>501</v>
      </c>
      <c r="R47" s="153">
        <v>11</v>
      </c>
      <c r="S47" s="154" t="s">
        <v>501</v>
      </c>
      <c r="T47" s="153">
        <v>1193</v>
      </c>
      <c r="U47" s="154" t="s">
        <v>501</v>
      </c>
    </row>
    <row r="48" spans="1:21" s="142" customFormat="1" ht="12.75" customHeight="1" x14ac:dyDescent="0.25">
      <c r="A48" s="151"/>
      <c r="B48" s="152"/>
      <c r="C48" s="218"/>
      <c r="D48" s="153"/>
      <c r="E48" s="154"/>
      <c r="F48" s="153"/>
      <c r="G48" s="154"/>
      <c r="H48" s="241"/>
      <c r="I48" s="154"/>
      <c r="J48" s="153"/>
      <c r="K48" s="154"/>
      <c r="L48" s="153"/>
      <c r="M48" s="154"/>
      <c r="N48" s="154"/>
      <c r="O48" s="150"/>
      <c r="P48" s="153"/>
      <c r="Q48" s="154"/>
      <c r="R48" s="153"/>
      <c r="S48" s="154"/>
      <c r="T48" s="153"/>
      <c r="U48" s="154"/>
    </row>
    <row r="49" spans="1:21" s="142" customFormat="1" ht="12.75" customHeight="1" x14ac:dyDescent="0.25">
      <c r="A49" s="151">
        <v>2014</v>
      </c>
      <c r="B49" s="152" t="s">
        <v>1</v>
      </c>
      <c r="C49" s="218"/>
      <c r="D49" s="153">
        <v>5681</v>
      </c>
      <c r="E49" s="154" t="s">
        <v>501</v>
      </c>
      <c r="F49" s="153">
        <v>705</v>
      </c>
      <c r="G49" s="154" t="s">
        <v>501</v>
      </c>
      <c r="H49" s="241">
        <v>12.409787009329342</v>
      </c>
      <c r="I49" s="154" t="s">
        <v>501</v>
      </c>
      <c r="J49" s="153">
        <v>17</v>
      </c>
      <c r="K49" s="154" t="s">
        <v>501</v>
      </c>
      <c r="L49" s="153">
        <v>688</v>
      </c>
      <c r="M49" s="154" t="s">
        <v>501</v>
      </c>
      <c r="N49" s="154"/>
      <c r="O49" s="150"/>
      <c r="P49" s="153">
        <v>954</v>
      </c>
      <c r="Q49" s="154" t="s">
        <v>501</v>
      </c>
      <c r="R49" s="153">
        <v>6</v>
      </c>
      <c r="S49" s="154" t="s">
        <v>501</v>
      </c>
      <c r="T49" s="153">
        <v>948</v>
      </c>
      <c r="U49" s="154" t="s">
        <v>501</v>
      </c>
    </row>
    <row r="50" spans="1:21" s="142" customFormat="1" ht="12.75" customHeight="1" x14ac:dyDescent="0.25">
      <c r="A50" s="151"/>
      <c r="B50" s="152" t="s">
        <v>2</v>
      </c>
      <c r="C50" s="218"/>
      <c r="D50" s="153">
        <v>5475</v>
      </c>
      <c r="E50" s="154" t="s">
        <v>501</v>
      </c>
      <c r="F50" s="153">
        <v>1136</v>
      </c>
      <c r="G50" s="154" t="s">
        <v>501</v>
      </c>
      <c r="H50" s="241">
        <v>20.748858447488587</v>
      </c>
      <c r="I50" s="154" t="s">
        <v>501</v>
      </c>
      <c r="J50" s="153">
        <v>10</v>
      </c>
      <c r="K50" s="154" t="s">
        <v>501</v>
      </c>
      <c r="L50" s="153">
        <v>1126</v>
      </c>
      <c r="M50" s="154" t="s">
        <v>501</v>
      </c>
      <c r="N50" s="154"/>
      <c r="O50" s="150"/>
      <c r="P50" s="153">
        <v>797</v>
      </c>
      <c r="Q50" s="154" t="s">
        <v>501</v>
      </c>
      <c r="R50" s="153">
        <v>11</v>
      </c>
      <c r="S50" s="154" t="s">
        <v>501</v>
      </c>
      <c r="T50" s="153">
        <v>786</v>
      </c>
      <c r="U50" s="154" t="s">
        <v>501</v>
      </c>
    </row>
    <row r="51" spans="1:21" s="142" customFormat="1" ht="12.75" customHeight="1" x14ac:dyDescent="0.25">
      <c r="A51" s="151"/>
      <c r="B51" s="152" t="s">
        <v>3</v>
      </c>
      <c r="C51" s="218"/>
      <c r="D51" s="153">
        <v>4907</v>
      </c>
      <c r="E51" s="154" t="s">
        <v>501</v>
      </c>
      <c r="F51" s="153">
        <v>955</v>
      </c>
      <c r="G51" s="154" t="s">
        <v>501</v>
      </c>
      <c r="H51" s="241">
        <v>19.461993071122883</v>
      </c>
      <c r="I51" s="154" t="s">
        <v>501</v>
      </c>
      <c r="J51" s="153">
        <v>7</v>
      </c>
      <c r="K51" s="154" t="s">
        <v>501</v>
      </c>
      <c r="L51" s="153">
        <v>948</v>
      </c>
      <c r="M51" s="154" t="s">
        <v>501</v>
      </c>
      <c r="N51" s="154"/>
      <c r="O51" s="150"/>
      <c r="P51" s="153">
        <v>1085</v>
      </c>
      <c r="Q51" s="154" t="s">
        <v>501</v>
      </c>
      <c r="R51" s="153">
        <v>13</v>
      </c>
      <c r="S51" s="154" t="s">
        <v>501</v>
      </c>
      <c r="T51" s="153">
        <v>1072</v>
      </c>
      <c r="U51" s="154" t="s">
        <v>501</v>
      </c>
    </row>
    <row r="52" spans="1:21" s="142" customFormat="1" ht="12.75" customHeight="1" x14ac:dyDescent="0.25">
      <c r="A52" s="151"/>
      <c r="B52" s="152" t="s">
        <v>4</v>
      </c>
      <c r="C52" s="218"/>
      <c r="D52" s="153">
        <v>4282</v>
      </c>
      <c r="E52" s="154" t="s">
        <v>501</v>
      </c>
      <c r="F52" s="153">
        <v>684</v>
      </c>
      <c r="G52" s="154" t="s">
        <v>501</v>
      </c>
      <c r="H52" s="241">
        <v>15.973843998131715</v>
      </c>
      <c r="I52" s="154" t="s">
        <v>501</v>
      </c>
      <c r="J52" s="153">
        <v>3</v>
      </c>
      <c r="K52" s="154" t="s">
        <v>501</v>
      </c>
      <c r="L52" s="153">
        <v>681</v>
      </c>
      <c r="M52" s="154" t="s">
        <v>501</v>
      </c>
      <c r="N52" s="154"/>
      <c r="O52" s="150"/>
      <c r="P52" s="153">
        <v>971</v>
      </c>
      <c r="Q52" s="154" t="s">
        <v>501</v>
      </c>
      <c r="R52" s="153">
        <v>9</v>
      </c>
      <c r="S52" s="154" t="s">
        <v>501</v>
      </c>
      <c r="T52" s="153">
        <v>962</v>
      </c>
      <c r="U52" s="154" t="s">
        <v>501</v>
      </c>
    </row>
    <row r="53" spans="1:21" s="142" customFormat="1" ht="12.75" customHeight="1" x14ac:dyDescent="0.25">
      <c r="A53" s="151"/>
      <c r="B53" s="152"/>
      <c r="C53" s="218"/>
      <c r="D53" s="153"/>
      <c r="E53" s="154"/>
      <c r="F53" s="153"/>
      <c r="G53" s="154"/>
      <c r="H53" s="241"/>
      <c r="I53" s="154"/>
      <c r="J53" s="153"/>
      <c r="K53" s="154"/>
      <c r="L53" s="153"/>
      <c r="M53" s="154"/>
      <c r="N53" s="154"/>
      <c r="O53" s="150"/>
      <c r="P53" s="153"/>
      <c r="Q53" s="154"/>
      <c r="R53" s="153"/>
      <c r="S53" s="154"/>
      <c r="T53" s="153"/>
      <c r="U53" s="154"/>
    </row>
    <row r="54" spans="1:21" s="142" customFormat="1" ht="12.75" customHeight="1" x14ac:dyDescent="0.25">
      <c r="A54" s="151">
        <v>2015</v>
      </c>
      <c r="B54" s="152" t="s">
        <v>1</v>
      </c>
      <c r="C54" s="218"/>
      <c r="D54" s="153">
        <v>4404</v>
      </c>
      <c r="E54" s="154" t="s">
        <v>501</v>
      </c>
      <c r="F54" s="153">
        <v>478</v>
      </c>
      <c r="G54" s="154" t="s">
        <v>501</v>
      </c>
      <c r="H54" s="241">
        <v>10.853769300635786</v>
      </c>
      <c r="I54" s="154" t="s">
        <v>501</v>
      </c>
      <c r="J54" s="153">
        <v>6</v>
      </c>
      <c r="K54" s="154" t="s">
        <v>501</v>
      </c>
      <c r="L54" s="153">
        <v>472</v>
      </c>
      <c r="M54" s="154" t="s">
        <v>501</v>
      </c>
      <c r="N54" s="154"/>
      <c r="O54" s="150"/>
      <c r="P54" s="153">
        <v>631</v>
      </c>
      <c r="Q54" s="154" t="s">
        <v>501</v>
      </c>
      <c r="R54" s="153">
        <v>15</v>
      </c>
      <c r="S54" s="154" t="s">
        <v>501</v>
      </c>
      <c r="T54" s="153">
        <v>616</v>
      </c>
      <c r="U54" s="154" t="s">
        <v>501</v>
      </c>
    </row>
    <row r="55" spans="1:21" s="142" customFormat="1" ht="12.75" customHeight="1" x14ac:dyDescent="0.25">
      <c r="A55" s="151"/>
      <c r="B55" s="152" t="s">
        <v>2</v>
      </c>
      <c r="C55" s="218"/>
      <c r="D55" s="153">
        <v>3975</v>
      </c>
      <c r="E55" s="154" t="s">
        <v>501</v>
      </c>
      <c r="F55" s="153">
        <v>762</v>
      </c>
      <c r="G55" s="154" t="s">
        <v>501</v>
      </c>
      <c r="H55" s="241">
        <v>19.169811320754718</v>
      </c>
      <c r="I55" s="154" t="s">
        <v>501</v>
      </c>
      <c r="J55" s="153">
        <v>4</v>
      </c>
      <c r="K55" s="154" t="s">
        <v>501</v>
      </c>
      <c r="L55" s="153">
        <v>758</v>
      </c>
      <c r="M55" s="154" t="s">
        <v>501</v>
      </c>
      <c r="N55" s="154"/>
      <c r="O55" s="150"/>
      <c r="P55" s="153">
        <v>558</v>
      </c>
      <c r="Q55" s="154" t="s">
        <v>501</v>
      </c>
      <c r="R55" s="153">
        <v>14</v>
      </c>
      <c r="S55" s="154" t="s">
        <v>501</v>
      </c>
      <c r="T55" s="153">
        <v>544</v>
      </c>
      <c r="U55" s="154" t="s">
        <v>501</v>
      </c>
    </row>
    <row r="56" spans="1:21" s="142" customFormat="1" ht="12.75" customHeight="1" x14ac:dyDescent="0.25">
      <c r="A56" s="151"/>
      <c r="B56" s="152" t="s">
        <v>3</v>
      </c>
      <c r="C56" s="218"/>
      <c r="D56" s="153">
        <v>3896</v>
      </c>
      <c r="E56" s="154" t="s">
        <v>501</v>
      </c>
      <c r="F56" s="153">
        <v>742</v>
      </c>
      <c r="G56" s="154" t="s">
        <v>501</v>
      </c>
      <c r="H56" s="241">
        <v>19.04517453798768</v>
      </c>
      <c r="I56" s="154" t="s">
        <v>501</v>
      </c>
      <c r="J56" s="153">
        <v>2</v>
      </c>
      <c r="K56" s="154" t="s">
        <v>501</v>
      </c>
      <c r="L56" s="153">
        <v>740</v>
      </c>
      <c r="M56" s="154" t="s">
        <v>501</v>
      </c>
      <c r="N56" s="154"/>
      <c r="O56" s="150"/>
      <c r="P56" s="153">
        <v>757</v>
      </c>
      <c r="Q56" s="154" t="s">
        <v>501</v>
      </c>
      <c r="R56" s="153">
        <v>12</v>
      </c>
      <c r="S56" s="154" t="s">
        <v>501</v>
      </c>
      <c r="T56" s="153">
        <v>745</v>
      </c>
      <c r="U56" s="154" t="s">
        <v>501</v>
      </c>
    </row>
    <row r="57" spans="1:21" s="142" customFormat="1" ht="12.75" customHeight="1" x14ac:dyDescent="0.25">
      <c r="A57" s="151"/>
      <c r="B57" s="152" t="s">
        <v>4</v>
      </c>
      <c r="C57" s="218"/>
      <c r="D57" s="153">
        <v>3570</v>
      </c>
      <c r="E57" s="154" t="s">
        <v>501</v>
      </c>
      <c r="F57" s="153">
        <v>497</v>
      </c>
      <c r="G57" s="154" t="s">
        <v>501</v>
      </c>
      <c r="H57" s="241">
        <v>13.921568627450981</v>
      </c>
      <c r="I57" s="154" t="s">
        <v>501</v>
      </c>
      <c r="J57" s="153">
        <v>1</v>
      </c>
      <c r="K57" s="154" t="s">
        <v>501</v>
      </c>
      <c r="L57" s="153">
        <v>496</v>
      </c>
      <c r="M57" s="154" t="s">
        <v>501</v>
      </c>
      <c r="N57" s="154"/>
      <c r="O57" s="150"/>
      <c r="P57" s="153">
        <v>726</v>
      </c>
      <c r="Q57" s="154" t="s">
        <v>501</v>
      </c>
      <c r="R57" s="153">
        <v>12</v>
      </c>
      <c r="S57" s="154" t="s">
        <v>501</v>
      </c>
      <c r="T57" s="153">
        <v>714</v>
      </c>
      <c r="U57" s="154" t="s">
        <v>501</v>
      </c>
    </row>
    <row r="58" spans="1:21" s="142" customFormat="1" ht="12.75" customHeight="1" x14ac:dyDescent="0.25">
      <c r="A58" s="151"/>
      <c r="B58" s="152"/>
      <c r="C58" s="218"/>
      <c r="D58" s="153"/>
      <c r="E58" s="154"/>
      <c r="F58" s="153"/>
      <c r="G58" s="154"/>
      <c r="H58" s="241"/>
      <c r="I58" s="154"/>
      <c r="J58" s="153"/>
      <c r="K58" s="154"/>
      <c r="L58" s="153"/>
      <c r="M58" s="154"/>
      <c r="N58" s="154"/>
      <c r="O58" s="150"/>
      <c r="P58" s="153"/>
      <c r="Q58" s="154"/>
      <c r="R58" s="153"/>
      <c r="S58" s="154"/>
      <c r="T58" s="153"/>
      <c r="U58" s="154"/>
    </row>
    <row r="59" spans="1:21" s="142" customFormat="1" ht="12.75" customHeight="1" x14ac:dyDescent="0.25">
      <c r="A59" s="151">
        <v>2016</v>
      </c>
      <c r="B59" s="152" t="s">
        <v>1</v>
      </c>
      <c r="C59" s="218"/>
      <c r="D59" s="153">
        <v>3775</v>
      </c>
      <c r="E59" s="154" t="s">
        <v>501</v>
      </c>
      <c r="F59" s="153">
        <v>327</v>
      </c>
      <c r="G59" s="154" t="s">
        <v>501</v>
      </c>
      <c r="H59" s="241">
        <v>8.662251655629138</v>
      </c>
      <c r="I59" s="154" t="s">
        <v>501</v>
      </c>
      <c r="J59" s="153">
        <v>2</v>
      </c>
      <c r="K59" s="154" t="s">
        <v>501</v>
      </c>
      <c r="L59" s="153">
        <v>325</v>
      </c>
      <c r="M59" s="154" t="s">
        <v>501</v>
      </c>
      <c r="N59" s="154"/>
      <c r="O59" s="150"/>
      <c r="P59" s="153">
        <v>538</v>
      </c>
      <c r="Q59" s="154" t="s">
        <v>501</v>
      </c>
      <c r="R59" s="153">
        <v>4</v>
      </c>
      <c r="S59" s="154" t="s">
        <v>501</v>
      </c>
      <c r="T59" s="153">
        <v>534</v>
      </c>
      <c r="U59" s="154" t="s">
        <v>501</v>
      </c>
    </row>
    <row r="60" spans="1:21" s="142" customFormat="1" ht="12.75" customHeight="1" x14ac:dyDescent="0.25">
      <c r="A60" s="151"/>
      <c r="B60" s="152" t="s">
        <v>2</v>
      </c>
      <c r="C60" s="218"/>
      <c r="D60" s="153">
        <v>3709</v>
      </c>
      <c r="E60" s="154" t="s">
        <v>501</v>
      </c>
      <c r="F60" s="153">
        <v>713</v>
      </c>
      <c r="G60" s="154" t="s">
        <v>501</v>
      </c>
      <c r="H60" s="241">
        <v>19.223510380156377</v>
      </c>
      <c r="I60" s="154" t="s">
        <v>501</v>
      </c>
      <c r="J60" s="153">
        <v>0</v>
      </c>
      <c r="K60" s="154" t="s">
        <v>501</v>
      </c>
      <c r="L60" s="153">
        <v>713</v>
      </c>
      <c r="M60" s="154" t="s">
        <v>501</v>
      </c>
      <c r="N60" s="154"/>
      <c r="O60" s="150"/>
      <c r="P60" s="153">
        <v>516</v>
      </c>
      <c r="Q60" s="154" t="s">
        <v>501</v>
      </c>
      <c r="R60" s="153">
        <v>7</v>
      </c>
      <c r="S60" s="154" t="s">
        <v>501</v>
      </c>
      <c r="T60" s="153">
        <v>509</v>
      </c>
      <c r="U60" s="154" t="s">
        <v>501</v>
      </c>
    </row>
    <row r="61" spans="1:21" s="142" customFormat="1" ht="12.75" customHeight="1" x14ac:dyDescent="0.25">
      <c r="A61" s="151"/>
      <c r="B61" s="152" t="s">
        <v>3</v>
      </c>
      <c r="C61" s="218"/>
      <c r="D61" s="153">
        <v>3936</v>
      </c>
      <c r="E61" s="154" t="s">
        <v>501</v>
      </c>
      <c r="F61" s="153">
        <v>759</v>
      </c>
      <c r="G61" s="154" t="s">
        <v>501</v>
      </c>
      <c r="H61" s="241">
        <v>19.283536585365855</v>
      </c>
      <c r="I61" s="154" t="s">
        <v>501</v>
      </c>
      <c r="J61" s="153">
        <v>0</v>
      </c>
      <c r="K61" s="154" t="s">
        <v>501</v>
      </c>
      <c r="L61" s="153">
        <v>759</v>
      </c>
      <c r="M61" s="154" t="s">
        <v>501</v>
      </c>
      <c r="N61" s="154"/>
      <c r="O61" s="150"/>
      <c r="P61" s="153">
        <v>814</v>
      </c>
      <c r="Q61" s="154" t="s">
        <v>501</v>
      </c>
      <c r="R61" s="153">
        <v>6</v>
      </c>
      <c r="S61" s="154" t="s">
        <v>501</v>
      </c>
      <c r="T61" s="153">
        <v>808</v>
      </c>
      <c r="U61" s="154" t="s">
        <v>501</v>
      </c>
    </row>
    <row r="62" spans="1:21" s="142" customFormat="1" ht="12.75" customHeight="1" x14ac:dyDescent="0.25">
      <c r="A62" s="151"/>
      <c r="B62" s="152" t="s">
        <v>4</v>
      </c>
      <c r="C62" s="218"/>
      <c r="D62" s="153">
        <v>3624</v>
      </c>
      <c r="E62" s="154" t="s">
        <v>501</v>
      </c>
      <c r="F62" s="153">
        <v>589</v>
      </c>
      <c r="G62" s="154" t="s">
        <v>501</v>
      </c>
      <c r="H62" s="241">
        <v>16.252759381898453</v>
      </c>
      <c r="I62" s="154" t="s">
        <v>501</v>
      </c>
      <c r="J62" s="153">
        <v>1</v>
      </c>
      <c r="K62" s="154" t="s">
        <v>501</v>
      </c>
      <c r="L62" s="153">
        <v>588</v>
      </c>
      <c r="M62" s="154" t="s">
        <v>501</v>
      </c>
      <c r="N62" s="154"/>
      <c r="O62" s="150"/>
      <c r="P62" s="153">
        <v>784</v>
      </c>
      <c r="Q62" s="154" t="s">
        <v>501</v>
      </c>
      <c r="R62" s="153">
        <v>6</v>
      </c>
      <c r="S62" s="154" t="s">
        <v>501</v>
      </c>
      <c r="T62" s="153">
        <v>778</v>
      </c>
      <c r="U62" s="154" t="s">
        <v>501</v>
      </c>
    </row>
    <row r="63" spans="1:21" s="142" customFormat="1" ht="12.75" customHeight="1" x14ac:dyDescent="0.25">
      <c r="A63" s="151"/>
      <c r="B63" s="152"/>
      <c r="C63" s="218"/>
      <c r="D63" s="153"/>
      <c r="E63" s="154"/>
      <c r="F63" s="153"/>
      <c r="G63" s="154"/>
      <c r="H63" s="241"/>
      <c r="I63" s="154"/>
      <c r="J63" s="153"/>
      <c r="K63" s="154"/>
      <c r="L63" s="153"/>
      <c r="M63" s="154"/>
      <c r="N63" s="154"/>
      <c r="O63" s="150"/>
      <c r="P63" s="153"/>
      <c r="Q63" s="154"/>
      <c r="R63" s="153"/>
      <c r="S63" s="154"/>
      <c r="T63" s="153"/>
      <c r="U63" s="154"/>
    </row>
    <row r="64" spans="1:21" s="142" customFormat="1" ht="12.75" customHeight="1" x14ac:dyDescent="0.25">
      <c r="A64" s="151">
        <v>2017</v>
      </c>
      <c r="B64" s="152" t="s">
        <v>1</v>
      </c>
      <c r="C64" s="218" t="s">
        <v>196</v>
      </c>
      <c r="D64" s="153">
        <v>4083</v>
      </c>
      <c r="E64" s="154" t="s">
        <v>501</v>
      </c>
      <c r="F64" s="153">
        <v>458</v>
      </c>
      <c r="G64" s="154" t="s">
        <v>279</v>
      </c>
      <c r="H64" s="241">
        <v>11.21724222385501</v>
      </c>
      <c r="I64" s="154" t="s">
        <v>279</v>
      </c>
      <c r="J64" s="153">
        <v>2</v>
      </c>
      <c r="K64" s="154" t="s">
        <v>279</v>
      </c>
      <c r="L64" s="153">
        <v>456</v>
      </c>
      <c r="M64" s="154" t="s">
        <v>279</v>
      </c>
      <c r="N64" s="154"/>
      <c r="O64" s="150"/>
      <c r="P64" s="153">
        <v>649</v>
      </c>
      <c r="Q64" s="154" t="s">
        <v>501</v>
      </c>
      <c r="R64" s="153">
        <v>5</v>
      </c>
      <c r="S64" s="154" t="s">
        <v>501</v>
      </c>
      <c r="T64" s="153">
        <v>644</v>
      </c>
      <c r="U64" s="154" t="s">
        <v>501</v>
      </c>
    </row>
    <row r="65" spans="1:21" s="142" customFormat="1" ht="12.75" customHeight="1" x14ac:dyDescent="0.25">
      <c r="A65" s="151"/>
      <c r="B65" s="152" t="s">
        <v>2</v>
      </c>
      <c r="C65" s="218" t="s">
        <v>196</v>
      </c>
      <c r="D65" s="153">
        <v>3722</v>
      </c>
      <c r="E65" s="154" t="s">
        <v>279</v>
      </c>
      <c r="F65" s="153">
        <v>743</v>
      </c>
      <c r="G65" s="154" t="s">
        <v>501</v>
      </c>
      <c r="H65" s="241">
        <v>19.962385814078452</v>
      </c>
      <c r="I65" s="154" t="s">
        <v>501</v>
      </c>
      <c r="J65" s="153">
        <v>1</v>
      </c>
      <c r="K65" s="154" t="s">
        <v>501</v>
      </c>
      <c r="L65" s="153">
        <v>742</v>
      </c>
      <c r="M65" s="154" t="s">
        <v>501</v>
      </c>
      <c r="N65" s="154"/>
      <c r="O65" s="150"/>
      <c r="P65" s="153">
        <v>641</v>
      </c>
      <c r="Q65" s="154" t="s">
        <v>279</v>
      </c>
      <c r="R65" s="153">
        <v>6</v>
      </c>
      <c r="S65" s="154" t="s">
        <v>501</v>
      </c>
      <c r="T65" s="153">
        <v>635</v>
      </c>
      <c r="U65" s="154" t="s">
        <v>279</v>
      </c>
    </row>
    <row r="66" spans="1:21" s="142" customFormat="1" ht="12.75" customHeight="1" x14ac:dyDescent="0.25">
      <c r="A66" s="151"/>
      <c r="B66" s="152" t="s">
        <v>3</v>
      </c>
      <c r="C66" s="218" t="s">
        <v>501</v>
      </c>
      <c r="D66" s="153">
        <v>3738</v>
      </c>
      <c r="E66" s="154" t="s">
        <v>279</v>
      </c>
      <c r="F66" s="153" t="s">
        <v>67</v>
      </c>
      <c r="G66" s="154" t="s">
        <v>501</v>
      </c>
      <c r="H66" s="241" t="s">
        <v>67</v>
      </c>
      <c r="I66" s="154" t="s">
        <v>501</v>
      </c>
      <c r="J66" s="153" t="s">
        <v>67</v>
      </c>
      <c r="K66" s="154" t="s">
        <v>501</v>
      </c>
      <c r="L66" s="153" t="s">
        <v>67</v>
      </c>
      <c r="M66" s="154" t="s">
        <v>501</v>
      </c>
      <c r="N66" s="154"/>
      <c r="O66" s="150"/>
      <c r="P66" s="153">
        <v>857</v>
      </c>
      <c r="Q66" s="154" t="s">
        <v>279</v>
      </c>
      <c r="R66" s="153">
        <v>14</v>
      </c>
      <c r="S66" s="154" t="s">
        <v>279</v>
      </c>
      <c r="T66" s="153">
        <v>843</v>
      </c>
      <c r="U66" s="154" t="s">
        <v>279</v>
      </c>
    </row>
    <row r="67" spans="1:21" s="142" customFormat="1" ht="12.75" customHeight="1" x14ac:dyDescent="0.25">
      <c r="A67" s="152"/>
      <c r="B67" s="152" t="s">
        <v>4</v>
      </c>
      <c r="C67" s="218" t="s">
        <v>501</v>
      </c>
      <c r="D67" s="153">
        <v>3539</v>
      </c>
      <c r="E67" s="154" t="s">
        <v>501</v>
      </c>
      <c r="F67" s="153" t="s">
        <v>67</v>
      </c>
      <c r="G67" s="154" t="s">
        <v>501</v>
      </c>
      <c r="H67" s="241" t="s">
        <v>67</v>
      </c>
      <c r="I67" s="154" t="s">
        <v>501</v>
      </c>
      <c r="J67" s="153" t="s">
        <v>67</v>
      </c>
      <c r="K67" s="154" t="s">
        <v>501</v>
      </c>
      <c r="L67" s="153" t="s">
        <v>67</v>
      </c>
      <c r="M67" s="154" t="s">
        <v>501</v>
      </c>
      <c r="N67" s="154"/>
      <c r="O67" s="150"/>
      <c r="P67" s="153">
        <v>850</v>
      </c>
      <c r="Q67" s="154" t="s">
        <v>501</v>
      </c>
      <c r="R67" s="153">
        <v>6</v>
      </c>
      <c r="S67" s="154" t="s">
        <v>501</v>
      </c>
      <c r="T67" s="153">
        <v>844</v>
      </c>
      <c r="U67" s="154" t="s">
        <v>501</v>
      </c>
    </row>
    <row r="68" spans="1:21" s="142" customFormat="1" ht="12.75" customHeight="1" x14ac:dyDescent="0.25">
      <c r="A68" s="151"/>
      <c r="B68" s="152"/>
      <c r="C68" s="218"/>
      <c r="D68" s="153"/>
      <c r="E68" s="154"/>
      <c r="F68" s="153"/>
      <c r="G68" s="154"/>
      <c r="H68" s="241"/>
      <c r="I68" s="154"/>
      <c r="J68" s="153"/>
      <c r="K68" s="154"/>
      <c r="L68" s="153"/>
      <c r="M68" s="154"/>
      <c r="N68" s="154"/>
      <c r="O68" s="150"/>
      <c r="P68" s="153"/>
      <c r="Q68" s="154"/>
      <c r="R68" s="153"/>
      <c r="S68" s="154"/>
      <c r="T68" s="153"/>
      <c r="U68" s="154"/>
    </row>
    <row r="69" spans="1:21" s="142" customFormat="1" ht="12.75" customHeight="1" thickBot="1" x14ac:dyDescent="0.3">
      <c r="A69" s="152"/>
      <c r="B69" s="156"/>
      <c r="C69" s="219"/>
      <c r="D69" s="153"/>
      <c r="E69" s="154"/>
      <c r="F69" s="153"/>
      <c r="G69" s="154"/>
      <c r="H69" s="241"/>
      <c r="I69" s="154"/>
      <c r="J69" s="153"/>
      <c r="K69" s="154"/>
      <c r="L69" s="153"/>
      <c r="M69" s="154"/>
      <c r="N69" s="154"/>
      <c r="O69" s="150"/>
      <c r="P69" s="153"/>
      <c r="Q69" s="154"/>
      <c r="R69" s="153"/>
      <c r="S69" s="154"/>
      <c r="T69" s="153"/>
      <c r="U69" s="154"/>
    </row>
    <row r="70" spans="1:21" s="142" customFormat="1" ht="12.75" customHeight="1" x14ac:dyDescent="0.2">
      <c r="A70" s="159" t="s">
        <v>506</v>
      </c>
      <c r="B70" s="159"/>
      <c r="C70" s="220"/>
      <c r="D70" s="159"/>
      <c r="E70" s="220"/>
      <c r="F70" s="159"/>
      <c r="G70" s="220"/>
      <c r="H70" s="242"/>
      <c r="I70" s="220"/>
      <c r="J70" s="159"/>
      <c r="K70" s="220"/>
      <c r="L70" s="159"/>
      <c r="M70" s="220"/>
      <c r="N70" s="159" t="s">
        <v>502</v>
      </c>
      <c r="O70" s="220"/>
      <c r="P70" s="159"/>
      <c r="Q70" s="220"/>
      <c r="R70" s="159"/>
      <c r="S70" s="220"/>
      <c r="T70" s="159"/>
      <c r="U70" s="220"/>
    </row>
    <row r="71" spans="1:21" s="142" customFormat="1" ht="12.75" customHeight="1" x14ac:dyDescent="0.2">
      <c r="A71" s="160"/>
      <c r="B71" s="160"/>
      <c r="C71" s="161"/>
      <c r="D71" s="160"/>
      <c r="E71" s="161"/>
      <c r="F71" s="160"/>
      <c r="G71" s="161"/>
      <c r="H71" s="243"/>
      <c r="I71" s="161"/>
      <c r="J71" s="160"/>
      <c r="K71" s="161"/>
      <c r="L71" s="160"/>
      <c r="M71" s="161"/>
      <c r="N71" s="160"/>
      <c r="O71" s="161"/>
      <c r="P71" s="160"/>
      <c r="Q71" s="161"/>
      <c r="R71" s="160"/>
      <c r="S71" s="161"/>
      <c r="T71" s="160"/>
      <c r="U71" s="161"/>
    </row>
    <row r="72" spans="1:21" s="142" customFormat="1" ht="12.75" hidden="1" customHeight="1" x14ac:dyDescent="0.2">
      <c r="A72" s="162">
        <v>2017</v>
      </c>
      <c r="B72" s="163" t="s">
        <v>1</v>
      </c>
      <c r="C72" s="221"/>
      <c r="D72" s="164" t="s">
        <v>121</v>
      </c>
      <c r="E72" s="161"/>
      <c r="F72" s="164" t="s">
        <v>121</v>
      </c>
      <c r="G72" s="161"/>
      <c r="H72" s="164" t="s">
        <v>121</v>
      </c>
      <c r="I72" s="161"/>
      <c r="J72" s="164" t="s">
        <v>121</v>
      </c>
      <c r="K72" s="161"/>
      <c r="L72" s="164" t="s">
        <v>121</v>
      </c>
      <c r="M72" s="161"/>
      <c r="N72" s="162">
        <v>2017</v>
      </c>
      <c r="O72" s="221" t="s">
        <v>3</v>
      </c>
      <c r="P72" s="164" t="s">
        <v>121</v>
      </c>
      <c r="Q72" s="161"/>
      <c r="R72" s="164" t="s">
        <v>121</v>
      </c>
      <c r="S72" s="161"/>
      <c r="T72" s="164" t="s">
        <v>121</v>
      </c>
      <c r="U72" s="161"/>
    </row>
    <row r="73" spans="1:21" s="142" customFormat="1" ht="12.75" hidden="1" customHeight="1" x14ac:dyDescent="0.2">
      <c r="A73" s="165"/>
      <c r="B73" s="166"/>
      <c r="C73" s="222"/>
      <c r="D73" s="167"/>
      <c r="E73" s="280"/>
      <c r="F73" s="167"/>
      <c r="G73" s="280"/>
      <c r="H73" s="244"/>
      <c r="I73" s="280"/>
      <c r="J73" s="167"/>
      <c r="K73" s="280"/>
      <c r="L73" s="167"/>
      <c r="M73" s="280"/>
      <c r="N73" s="165"/>
      <c r="O73" s="222"/>
      <c r="P73" s="167"/>
      <c r="Q73" s="280"/>
      <c r="R73" s="167"/>
      <c r="S73" s="280"/>
      <c r="T73" s="167"/>
      <c r="U73" s="280"/>
    </row>
    <row r="74" spans="1:21" s="142" customFormat="1" ht="12.75" customHeight="1" thickBot="1" x14ac:dyDescent="0.25">
      <c r="A74" s="162">
        <v>2016</v>
      </c>
      <c r="B74" s="163" t="s">
        <v>2</v>
      </c>
      <c r="C74" s="223"/>
      <c r="D74" s="168">
        <v>0.35049878673496515</v>
      </c>
      <c r="E74" s="281"/>
      <c r="F74" s="168">
        <v>4.2075736325385638</v>
      </c>
      <c r="G74" s="281"/>
      <c r="H74" s="168">
        <v>3.8436030636984198</v>
      </c>
      <c r="I74" s="281"/>
      <c r="J74" s="168" t="s">
        <v>121</v>
      </c>
      <c r="K74" s="281"/>
      <c r="L74" s="168">
        <v>4.0673211781206087</v>
      </c>
      <c r="M74" s="281"/>
      <c r="N74" s="162">
        <v>2016</v>
      </c>
      <c r="O74" s="221" t="s">
        <v>4</v>
      </c>
      <c r="P74" s="168">
        <v>8.418367346938771</v>
      </c>
      <c r="Q74" s="281"/>
      <c r="R74" s="168">
        <v>0</v>
      </c>
      <c r="S74" s="281"/>
      <c r="T74" s="168">
        <v>8.4832904884318836</v>
      </c>
      <c r="U74" s="281"/>
    </row>
    <row r="75" spans="1:21" s="169" customFormat="1" ht="12.75" customHeight="1" x14ac:dyDescent="0.2">
      <c r="A75" s="343"/>
      <c r="B75" s="343"/>
      <c r="C75" s="343"/>
      <c r="D75" s="343"/>
      <c r="E75" s="343"/>
      <c r="F75" s="343"/>
      <c r="G75" s="343"/>
      <c r="H75" s="343"/>
      <c r="I75" s="343"/>
      <c r="J75" s="343"/>
      <c r="K75" s="343"/>
      <c r="L75" s="343"/>
      <c r="M75" s="343"/>
      <c r="N75" s="343"/>
      <c r="O75" s="343"/>
      <c r="P75" s="343"/>
      <c r="Q75" s="343"/>
      <c r="R75" s="343"/>
      <c r="S75" s="343"/>
      <c r="T75" s="343"/>
      <c r="U75" s="343"/>
    </row>
    <row r="76" spans="1:21" s="171" customFormat="1" ht="36" customHeight="1" x14ac:dyDescent="0.3">
      <c r="A76" s="338" t="s">
        <v>257</v>
      </c>
      <c r="B76" s="338"/>
      <c r="C76" s="338"/>
      <c r="D76" s="338"/>
      <c r="E76" s="338"/>
      <c r="F76" s="338"/>
      <c r="G76" s="338"/>
      <c r="H76" s="338"/>
      <c r="I76" s="338"/>
      <c r="J76" s="338"/>
      <c r="K76" s="338"/>
      <c r="L76" s="338"/>
      <c r="M76" s="338"/>
      <c r="N76" s="338"/>
      <c r="O76" s="338"/>
      <c r="P76" s="338"/>
      <c r="Q76" s="338"/>
      <c r="R76" s="338"/>
      <c r="S76" s="338"/>
      <c r="T76" s="338"/>
      <c r="U76" s="338"/>
    </row>
    <row r="77" spans="1:21" s="171" customFormat="1" ht="45" customHeight="1" x14ac:dyDescent="0.3">
      <c r="A77" s="338" t="s">
        <v>258</v>
      </c>
      <c r="B77" s="338"/>
      <c r="C77" s="338"/>
      <c r="D77" s="338"/>
      <c r="E77" s="338"/>
      <c r="F77" s="338"/>
      <c r="G77" s="338"/>
      <c r="H77" s="338"/>
      <c r="I77" s="338"/>
      <c r="J77" s="338"/>
      <c r="K77" s="338"/>
      <c r="L77" s="338"/>
      <c r="M77" s="338"/>
      <c r="N77" s="338"/>
      <c r="O77" s="338"/>
      <c r="P77" s="338"/>
      <c r="Q77" s="338"/>
      <c r="R77" s="338"/>
      <c r="S77" s="338"/>
      <c r="T77" s="338"/>
      <c r="U77" s="338"/>
    </row>
    <row r="78" spans="1:21" s="169" customFormat="1" ht="42" customHeight="1" x14ac:dyDescent="0.2">
      <c r="A78" s="338" t="s">
        <v>259</v>
      </c>
      <c r="B78" s="338"/>
      <c r="C78" s="338"/>
      <c r="D78" s="338"/>
      <c r="E78" s="338"/>
      <c r="F78" s="338"/>
      <c r="G78" s="338"/>
      <c r="H78" s="338"/>
      <c r="I78" s="338"/>
      <c r="J78" s="338"/>
      <c r="K78" s="338"/>
      <c r="L78" s="338"/>
      <c r="M78" s="338"/>
      <c r="N78" s="338"/>
      <c r="O78" s="338"/>
      <c r="P78" s="338"/>
      <c r="Q78" s="338"/>
      <c r="R78" s="338"/>
      <c r="S78" s="338"/>
      <c r="T78" s="338"/>
      <c r="U78" s="338"/>
    </row>
    <row r="79" spans="1:21" s="171" customFormat="1" ht="29.25" customHeight="1" x14ac:dyDescent="0.3">
      <c r="A79" s="338" t="s">
        <v>263</v>
      </c>
      <c r="B79" s="338"/>
      <c r="C79" s="338"/>
      <c r="D79" s="338"/>
      <c r="E79" s="338"/>
      <c r="F79" s="338"/>
      <c r="G79" s="338"/>
      <c r="H79" s="338"/>
      <c r="I79" s="338"/>
      <c r="J79" s="338"/>
      <c r="K79" s="338"/>
      <c r="L79" s="338"/>
      <c r="M79" s="338"/>
      <c r="N79" s="338"/>
      <c r="O79" s="338"/>
      <c r="P79" s="338"/>
      <c r="Q79" s="338"/>
      <c r="R79" s="338"/>
      <c r="S79" s="338"/>
      <c r="T79" s="338"/>
      <c r="U79" s="338"/>
    </row>
    <row r="80" spans="1:21" ht="12.75" customHeight="1" x14ac:dyDescent="0.3">
      <c r="A80" s="344"/>
      <c r="B80" s="344"/>
      <c r="C80" s="344"/>
      <c r="D80" s="344"/>
      <c r="E80" s="344"/>
      <c r="F80" s="344"/>
      <c r="G80" s="344"/>
      <c r="H80" s="344"/>
      <c r="I80" s="344"/>
      <c r="J80" s="344"/>
      <c r="K80" s="344"/>
      <c r="L80" s="344"/>
      <c r="M80" s="344"/>
      <c r="N80" s="344"/>
      <c r="O80" s="344"/>
      <c r="P80" s="344"/>
      <c r="Q80" s="344"/>
      <c r="R80" s="344"/>
      <c r="S80" s="344"/>
      <c r="T80" s="344"/>
      <c r="U80" s="344"/>
    </row>
    <row r="81" spans="1:21" ht="12.75" customHeight="1" x14ac:dyDescent="0.3">
      <c r="A81" s="344"/>
      <c r="B81" s="344"/>
      <c r="C81" s="344"/>
      <c r="D81" s="344"/>
      <c r="E81" s="344"/>
      <c r="F81" s="344"/>
      <c r="G81" s="344"/>
      <c r="H81" s="344"/>
      <c r="I81" s="344"/>
      <c r="J81" s="344"/>
      <c r="K81" s="344"/>
      <c r="L81" s="344"/>
      <c r="M81" s="344"/>
      <c r="N81" s="344"/>
      <c r="O81" s="344"/>
      <c r="P81" s="344"/>
      <c r="Q81" s="344"/>
      <c r="R81" s="344"/>
      <c r="S81" s="344"/>
      <c r="T81" s="344"/>
      <c r="U81" s="344"/>
    </row>
    <row r="82" spans="1:21" ht="12.75" customHeight="1" x14ac:dyDescent="0.3">
      <c r="A82" s="344"/>
      <c r="B82" s="344"/>
      <c r="C82" s="344"/>
      <c r="D82" s="344"/>
      <c r="E82" s="344"/>
      <c r="F82" s="344"/>
      <c r="G82" s="344"/>
      <c r="H82" s="344"/>
      <c r="I82" s="344"/>
      <c r="J82" s="344"/>
      <c r="K82" s="344"/>
      <c r="L82" s="344"/>
      <c r="M82" s="344"/>
      <c r="N82" s="344"/>
      <c r="O82" s="344"/>
      <c r="P82" s="344"/>
      <c r="Q82" s="344"/>
      <c r="R82" s="344"/>
      <c r="S82" s="344"/>
      <c r="T82" s="344"/>
      <c r="U82" s="344"/>
    </row>
    <row r="83" spans="1:21" ht="12.75" customHeight="1" x14ac:dyDescent="0.3">
      <c r="A83" s="344"/>
      <c r="B83" s="344"/>
      <c r="C83" s="344"/>
      <c r="D83" s="344"/>
      <c r="E83" s="344"/>
      <c r="F83" s="344"/>
      <c r="G83" s="344"/>
      <c r="H83" s="344"/>
      <c r="I83" s="344"/>
      <c r="J83" s="344"/>
      <c r="K83" s="344"/>
      <c r="L83" s="344"/>
      <c r="M83" s="344"/>
      <c r="N83" s="344"/>
      <c r="O83" s="344"/>
      <c r="P83" s="344"/>
      <c r="Q83" s="344"/>
      <c r="R83" s="344"/>
      <c r="S83" s="344"/>
      <c r="T83" s="344"/>
      <c r="U83" s="344"/>
    </row>
    <row r="84" spans="1:21" ht="12.75" customHeight="1" x14ac:dyDescent="0.3">
      <c r="A84" s="344"/>
      <c r="B84" s="344"/>
      <c r="C84" s="344"/>
      <c r="D84" s="344"/>
      <c r="E84" s="344"/>
      <c r="F84" s="344"/>
      <c r="G84" s="344"/>
      <c r="H84" s="344"/>
      <c r="I84" s="344"/>
      <c r="J84" s="344"/>
      <c r="K84" s="344"/>
      <c r="L84" s="344"/>
      <c r="M84" s="344"/>
      <c r="N84" s="344"/>
      <c r="O84" s="344"/>
      <c r="P84" s="344"/>
      <c r="Q84" s="344"/>
      <c r="R84" s="344"/>
      <c r="S84" s="344"/>
      <c r="T84" s="344"/>
      <c r="U84" s="344"/>
    </row>
    <row r="85" spans="1:21" ht="12.75" customHeight="1" x14ac:dyDescent="0.3">
      <c r="A85" s="344"/>
      <c r="B85" s="344"/>
      <c r="C85" s="344"/>
      <c r="D85" s="344"/>
      <c r="E85" s="344"/>
      <c r="F85" s="344"/>
      <c r="G85" s="344"/>
      <c r="H85" s="344"/>
      <c r="I85" s="344"/>
      <c r="J85" s="344"/>
      <c r="K85" s="344"/>
      <c r="L85" s="344"/>
      <c r="M85" s="344"/>
      <c r="N85" s="344"/>
      <c r="O85" s="344"/>
      <c r="P85" s="344"/>
      <c r="Q85" s="344"/>
      <c r="R85" s="344"/>
      <c r="S85" s="344"/>
      <c r="T85" s="344"/>
      <c r="U85" s="344"/>
    </row>
  </sheetData>
  <dataConsolidate/>
  <mergeCells count="21">
    <mergeCell ref="A85:U85"/>
    <mergeCell ref="F6:I6"/>
    <mergeCell ref="D5:M5"/>
    <mergeCell ref="P6:Q7"/>
    <mergeCell ref="R6:S7"/>
    <mergeCell ref="T6:U7"/>
    <mergeCell ref="A79:U79"/>
    <mergeCell ref="A80:U80"/>
    <mergeCell ref="A81:U81"/>
    <mergeCell ref="A82:U82"/>
    <mergeCell ref="A83:U83"/>
    <mergeCell ref="A84:U84"/>
    <mergeCell ref="A78:U78"/>
    <mergeCell ref="J4:S4"/>
    <mergeCell ref="D6:E7"/>
    <mergeCell ref="A75:U75"/>
    <mergeCell ref="A76:U76"/>
    <mergeCell ref="A77:U77"/>
    <mergeCell ref="J6:K7"/>
    <mergeCell ref="L6:M7"/>
    <mergeCell ref="P5:U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79"/>
  <sheetViews>
    <sheetView showGridLines="0" topLeftCell="A3" zoomScaleNormal="100" workbookViewId="0">
      <pane xSplit="3" ySplit="5" topLeftCell="D8" activePane="bottomRight" state="frozen"/>
      <selection activeCell="CS201" sqref="CS201"/>
      <selection pane="topRight" activeCell="CS201" sqref="CS201"/>
      <selection pane="bottomLeft" activeCell="CS201" sqref="CS201"/>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187</v>
      </c>
      <c r="B4" s="190"/>
      <c r="C4" s="190"/>
      <c r="D4" s="135" t="s">
        <v>475</v>
      </c>
      <c r="E4" s="133"/>
      <c r="F4" s="132"/>
      <c r="G4" s="133"/>
      <c r="H4" s="132"/>
      <c r="I4" s="133"/>
      <c r="J4" s="132"/>
      <c r="K4" s="133"/>
      <c r="L4" s="132"/>
      <c r="M4" s="133"/>
      <c r="N4" s="132"/>
      <c r="O4" s="133"/>
    </row>
    <row r="5" spans="1:15" s="136" customFormat="1" ht="17.25" x14ac:dyDescent="0.3">
      <c r="A5" s="189" t="s">
        <v>153</v>
      </c>
      <c r="B5" s="186"/>
      <c r="C5" s="186"/>
      <c r="D5" s="187" t="s">
        <v>186</v>
      </c>
      <c r="E5" s="282"/>
      <c r="F5" s="187"/>
      <c r="G5" s="282"/>
      <c r="H5" s="187"/>
      <c r="I5" s="282"/>
      <c r="J5" s="187"/>
      <c r="K5" s="282"/>
      <c r="L5" s="187"/>
      <c r="M5" s="282"/>
      <c r="N5" s="187"/>
      <c r="O5" s="133"/>
    </row>
    <row r="6" spans="1:15" ht="10.5" customHeight="1" thickBot="1" x14ac:dyDescent="0.35">
      <c r="A6" s="137"/>
      <c r="B6" s="137"/>
      <c r="C6" s="137"/>
      <c r="D6" s="137"/>
      <c r="E6" s="214"/>
      <c r="F6" s="137"/>
      <c r="G6" s="214"/>
      <c r="H6" s="137"/>
      <c r="I6" s="214"/>
      <c r="J6" s="339"/>
      <c r="K6" s="339"/>
      <c r="L6" s="339"/>
      <c r="M6" s="339"/>
      <c r="N6" s="339"/>
      <c r="O6" s="339"/>
    </row>
    <row r="7" spans="1:15" s="141" customFormat="1" ht="60" customHeight="1" thickBot="1" x14ac:dyDescent="0.35">
      <c r="A7" s="226"/>
      <c r="B7" s="227" t="s">
        <v>140</v>
      </c>
      <c r="C7" s="227"/>
      <c r="D7" s="340" t="s">
        <v>476</v>
      </c>
      <c r="E7" s="340"/>
      <c r="F7" s="342" t="s">
        <v>417</v>
      </c>
      <c r="G7" s="342"/>
      <c r="H7" s="342" t="s">
        <v>470</v>
      </c>
      <c r="I7" s="342"/>
      <c r="J7" s="342" t="s">
        <v>93</v>
      </c>
      <c r="K7" s="342"/>
      <c r="L7" s="342" t="s">
        <v>0</v>
      </c>
      <c r="M7" s="342"/>
      <c r="N7" s="342" t="s">
        <v>157</v>
      </c>
      <c r="O7" s="342"/>
    </row>
    <row r="8" spans="1:15" s="146" customFormat="1" ht="15" x14ac:dyDescent="0.25">
      <c r="A8" s="143">
        <v>2008</v>
      </c>
      <c r="B8" s="143"/>
      <c r="C8" s="212"/>
      <c r="D8" s="144">
        <v>893</v>
      </c>
      <c r="E8" s="145" t="s">
        <v>501</v>
      </c>
      <c r="F8" s="144">
        <v>561</v>
      </c>
      <c r="G8" s="145" t="s">
        <v>501</v>
      </c>
      <c r="H8" s="144">
        <v>104</v>
      </c>
      <c r="I8" s="145" t="s">
        <v>501</v>
      </c>
      <c r="J8" s="144">
        <v>190</v>
      </c>
      <c r="K8" s="145" t="s">
        <v>501</v>
      </c>
      <c r="L8" s="144">
        <v>4</v>
      </c>
      <c r="M8" s="145" t="s">
        <v>501</v>
      </c>
      <c r="N8" s="144">
        <v>34</v>
      </c>
      <c r="O8" s="145" t="s">
        <v>501</v>
      </c>
    </row>
    <row r="9" spans="1:15" s="146" customFormat="1" ht="12.75" customHeight="1" x14ac:dyDescent="0.25">
      <c r="A9" s="143">
        <v>2009</v>
      </c>
      <c r="B9" s="143"/>
      <c r="C9" s="212"/>
      <c r="D9" s="144">
        <v>1027</v>
      </c>
      <c r="E9" s="145" t="s">
        <v>501</v>
      </c>
      <c r="F9" s="144">
        <v>556</v>
      </c>
      <c r="G9" s="145" t="s">
        <v>501</v>
      </c>
      <c r="H9" s="144">
        <v>171</v>
      </c>
      <c r="I9" s="145" t="s">
        <v>501</v>
      </c>
      <c r="J9" s="144">
        <v>259</v>
      </c>
      <c r="K9" s="145" t="s">
        <v>501</v>
      </c>
      <c r="L9" s="144">
        <v>8</v>
      </c>
      <c r="M9" s="145" t="s">
        <v>501</v>
      </c>
      <c r="N9" s="144">
        <v>33</v>
      </c>
      <c r="O9" s="145" t="s">
        <v>501</v>
      </c>
    </row>
    <row r="10" spans="1:15" s="146" customFormat="1" ht="12.75" customHeight="1" x14ac:dyDescent="0.25">
      <c r="A10" s="143">
        <v>2010</v>
      </c>
      <c r="B10" s="143"/>
      <c r="C10" s="212"/>
      <c r="D10" s="144">
        <v>1301</v>
      </c>
      <c r="E10" s="145" t="s">
        <v>279</v>
      </c>
      <c r="F10" s="144">
        <v>779</v>
      </c>
      <c r="G10" s="145" t="s">
        <v>279</v>
      </c>
      <c r="H10" s="144">
        <v>252</v>
      </c>
      <c r="I10" s="145" t="s">
        <v>501</v>
      </c>
      <c r="J10" s="144">
        <v>212</v>
      </c>
      <c r="K10" s="145" t="s">
        <v>501</v>
      </c>
      <c r="L10" s="144">
        <v>7</v>
      </c>
      <c r="M10" s="145" t="s">
        <v>501</v>
      </c>
      <c r="N10" s="144">
        <v>51</v>
      </c>
      <c r="O10" s="145" t="s">
        <v>501</v>
      </c>
    </row>
    <row r="11" spans="1:15" s="146" customFormat="1" ht="12.75" customHeight="1" x14ac:dyDescent="0.25">
      <c r="A11" s="143">
        <v>2011</v>
      </c>
      <c r="B11" s="143"/>
      <c r="C11" s="212"/>
      <c r="D11" s="144">
        <v>1451</v>
      </c>
      <c r="E11" s="145" t="s">
        <v>501</v>
      </c>
      <c r="F11" s="144">
        <v>921</v>
      </c>
      <c r="G11" s="145" t="s">
        <v>501</v>
      </c>
      <c r="H11" s="144">
        <v>269</v>
      </c>
      <c r="I11" s="145" t="s">
        <v>501</v>
      </c>
      <c r="J11" s="144">
        <v>211</v>
      </c>
      <c r="K11" s="145" t="s">
        <v>501</v>
      </c>
      <c r="L11" s="144">
        <v>13</v>
      </c>
      <c r="M11" s="145" t="s">
        <v>501</v>
      </c>
      <c r="N11" s="144">
        <v>37</v>
      </c>
      <c r="O11" s="145" t="s">
        <v>501</v>
      </c>
    </row>
    <row r="12" spans="1:15" s="146" customFormat="1" ht="12.75" customHeight="1" x14ac:dyDescent="0.25">
      <c r="A12" s="143">
        <v>2012</v>
      </c>
      <c r="B12" s="143"/>
      <c r="C12" s="212"/>
      <c r="D12" s="144">
        <v>1377</v>
      </c>
      <c r="E12" s="145" t="s">
        <v>501</v>
      </c>
      <c r="F12" s="144">
        <v>920</v>
      </c>
      <c r="G12" s="145" t="s">
        <v>501</v>
      </c>
      <c r="H12" s="144">
        <v>233</v>
      </c>
      <c r="I12" s="145" t="s">
        <v>501</v>
      </c>
      <c r="J12" s="144">
        <v>169</v>
      </c>
      <c r="K12" s="145" t="s">
        <v>501</v>
      </c>
      <c r="L12" s="144">
        <v>24</v>
      </c>
      <c r="M12" s="145" t="s">
        <v>501</v>
      </c>
      <c r="N12" s="144">
        <v>31</v>
      </c>
      <c r="O12" s="145" t="s">
        <v>501</v>
      </c>
    </row>
    <row r="13" spans="1:15" s="146" customFormat="1" ht="12.75" customHeight="1" x14ac:dyDescent="0.25">
      <c r="A13" s="143">
        <v>2013</v>
      </c>
      <c r="B13" s="143"/>
      <c r="C13" s="212"/>
      <c r="D13" s="144">
        <v>896</v>
      </c>
      <c r="E13" s="145" t="s">
        <v>501</v>
      </c>
      <c r="F13" s="144">
        <v>483</v>
      </c>
      <c r="G13" s="145" t="s">
        <v>501</v>
      </c>
      <c r="H13" s="144">
        <v>258</v>
      </c>
      <c r="I13" s="145" t="s">
        <v>501</v>
      </c>
      <c r="J13" s="144">
        <v>122</v>
      </c>
      <c r="K13" s="145" t="s">
        <v>501</v>
      </c>
      <c r="L13" s="144">
        <v>16</v>
      </c>
      <c r="M13" s="145" t="s">
        <v>501</v>
      </c>
      <c r="N13" s="144">
        <v>17</v>
      </c>
      <c r="O13" s="145" t="s">
        <v>501</v>
      </c>
    </row>
    <row r="14" spans="1:15" s="146" customFormat="1" ht="12.75" customHeight="1" x14ac:dyDescent="0.25">
      <c r="A14" s="143">
        <v>2014</v>
      </c>
      <c r="B14" s="143"/>
      <c r="C14" s="212"/>
      <c r="D14" s="144">
        <v>963</v>
      </c>
      <c r="E14" s="145" t="s">
        <v>501</v>
      </c>
      <c r="F14" s="144">
        <v>650</v>
      </c>
      <c r="G14" s="145" t="s">
        <v>501</v>
      </c>
      <c r="H14" s="144">
        <v>207</v>
      </c>
      <c r="I14" s="145" t="s">
        <v>501</v>
      </c>
      <c r="J14" s="144">
        <v>87</v>
      </c>
      <c r="K14" s="145" t="s">
        <v>501</v>
      </c>
      <c r="L14" s="144">
        <v>14</v>
      </c>
      <c r="M14" s="145" t="s">
        <v>501</v>
      </c>
      <c r="N14" s="144">
        <v>5</v>
      </c>
      <c r="O14" s="145" t="s">
        <v>501</v>
      </c>
    </row>
    <row r="15" spans="1:15" s="146" customFormat="1" ht="12.75" customHeight="1" x14ac:dyDescent="0.25">
      <c r="A15" s="143">
        <v>2015</v>
      </c>
      <c r="B15" s="143"/>
      <c r="C15" s="212"/>
      <c r="D15" s="144">
        <v>947</v>
      </c>
      <c r="E15" s="145" t="s">
        <v>279</v>
      </c>
      <c r="F15" s="144">
        <v>575</v>
      </c>
      <c r="G15" s="145" t="s">
        <v>279</v>
      </c>
      <c r="H15" s="144">
        <v>253</v>
      </c>
      <c r="I15" s="145" t="s">
        <v>501</v>
      </c>
      <c r="J15" s="144">
        <v>109</v>
      </c>
      <c r="K15" s="145" t="s">
        <v>501</v>
      </c>
      <c r="L15" s="144">
        <v>4</v>
      </c>
      <c r="M15" s="145" t="s">
        <v>501</v>
      </c>
      <c r="N15" s="144">
        <v>6</v>
      </c>
      <c r="O15" s="145" t="s">
        <v>501</v>
      </c>
    </row>
    <row r="16" spans="1:15" s="146" customFormat="1" ht="12.75" customHeight="1" x14ac:dyDescent="0.25">
      <c r="A16" s="143">
        <v>2016</v>
      </c>
      <c r="B16" s="143"/>
      <c r="C16" s="212"/>
      <c r="D16" s="144">
        <v>1036</v>
      </c>
      <c r="E16" s="145" t="s">
        <v>501</v>
      </c>
      <c r="F16" s="144">
        <v>591</v>
      </c>
      <c r="G16" s="145" t="s">
        <v>501</v>
      </c>
      <c r="H16" s="144">
        <v>284</v>
      </c>
      <c r="I16" s="145" t="s">
        <v>501</v>
      </c>
      <c r="J16" s="144">
        <v>145</v>
      </c>
      <c r="K16" s="145" t="s">
        <v>501</v>
      </c>
      <c r="L16" s="144">
        <v>13</v>
      </c>
      <c r="M16" s="145" t="s">
        <v>501</v>
      </c>
      <c r="N16" s="144">
        <v>3</v>
      </c>
      <c r="O16" s="145" t="s">
        <v>501</v>
      </c>
    </row>
    <row r="17" spans="1:15" s="146" customFormat="1" ht="12.75" customHeight="1" x14ac:dyDescent="0.25">
      <c r="A17" s="143">
        <v>2017</v>
      </c>
      <c r="B17" s="212" t="s">
        <v>196</v>
      </c>
      <c r="D17" s="144">
        <v>856</v>
      </c>
      <c r="E17" s="145" t="s">
        <v>501</v>
      </c>
      <c r="F17" s="144">
        <v>481</v>
      </c>
      <c r="G17" s="145" t="s">
        <v>501</v>
      </c>
      <c r="H17" s="144">
        <v>284</v>
      </c>
      <c r="I17" s="145" t="s">
        <v>501</v>
      </c>
      <c r="J17" s="144">
        <v>83</v>
      </c>
      <c r="K17" s="145" t="s">
        <v>501</v>
      </c>
      <c r="L17" s="144">
        <v>3</v>
      </c>
      <c r="M17" s="145" t="s">
        <v>501</v>
      </c>
      <c r="N17" s="144">
        <v>5</v>
      </c>
      <c r="O17" s="145" t="s">
        <v>501</v>
      </c>
    </row>
    <row r="18" spans="1:15" s="142" customFormat="1" ht="12.75" customHeight="1" x14ac:dyDescent="0.25">
      <c r="A18" s="148"/>
      <c r="B18" s="148"/>
      <c r="C18" s="217"/>
      <c r="D18" s="319"/>
      <c r="E18" s="154"/>
      <c r="F18" s="319"/>
      <c r="G18" s="154"/>
      <c r="H18" s="319"/>
      <c r="I18" s="154"/>
      <c r="J18" s="319"/>
      <c r="K18" s="154"/>
      <c r="L18" s="319"/>
      <c r="M18" s="154"/>
      <c r="N18" s="319"/>
      <c r="O18" s="154"/>
    </row>
    <row r="19" spans="1:15" s="142" customFormat="1" ht="12.75" customHeight="1" x14ac:dyDescent="0.25">
      <c r="A19" s="151">
        <v>2008</v>
      </c>
      <c r="B19" s="152" t="s">
        <v>1</v>
      </c>
      <c r="C19" s="218"/>
      <c r="D19" s="153">
        <v>155</v>
      </c>
      <c r="E19" s="154" t="s">
        <v>501</v>
      </c>
      <c r="F19" s="153">
        <v>114</v>
      </c>
      <c r="G19" s="154" t="s">
        <v>501</v>
      </c>
      <c r="H19" s="153">
        <v>16</v>
      </c>
      <c r="I19" s="154" t="s">
        <v>501</v>
      </c>
      <c r="J19" s="153">
        <v>21</v>
      </c>
      <c r="K19" s="154" t="s">
        <v>501</v>
      </c>
      <c r="L19" s="153">
        <v>0</v>
      </c>
      <c r="M19" s="154" t="s">
        <v>501</v>
      </c>
      <c r="N19" s="153">
        <v>4</v>
      </c>
      <c r="O19" s="154" t="s">
        <v>501</v>
      </c>
    </row>
    <row r="20" spans="1:15" s="142" customFormat="1" ht="12.75" customHeight="1" x14ac:dyDescent="0.25">
      <c r="A20" s="151"/>
      <c r="B20" s="152" t="s">
        <v>2</v>
      </c>
      <c r="C20" s="218"/>
      <c r="D20" s="153">
        <v>205</v>
      </c>
      <c r="E20" s="154" t="s">
        <v>501</v>
      </c>
      <c r="F20" s="153">
        <v>142</v>
      </c>
      <c r="G20" s="154" t="s">
        <v>501</v>
      </c>
      <c r="H20" s="153">
        <v>15</v>
      </c>
      <c r="I20" s="154" t="s">
        <v>501</v>
      </c>
      <c r="J20" s="153">
        <v>39</v>
      </c>
      <c r="K20" s="154" t="s">
        <v>501</v>
      </c>
      <c r="L20" s="153">
        <v>2</v>
      </c>
      <c r="M20" s="154" t="s">
        <v>501</v>
      </c>
      <c r="N20" s="153">
        <v>7</v>
      </c>
      <c r="O20" s="154" t="s">
        <v>501</v>
      </c>
    </row>
    <row r="21" spans="1:15" s="142" customFormat="1" ht="12.75" customHeight="1" x14ac:dyDescent="0.25">
      <c r="A21" s="151"/>
      <c r="B21" s="152" t="s">
        <v>3</v>
      </c>
      <c r="C21" s="218"/>
      <c r="D21" s="153">
        <v>243</v>
      </c>
      <c r="E21" s="154" t="s">
        <v>501</v>
      </c>
      <c r="F21" s="153">
        <v>152</v>
      </c>
      <c r="G21" s="154" t="s">
        <v>501</v>
      </c>
      <c r="H21" s="153">
        <v>28</v>
      </c>
      <c r="I21" s="154" t="s">
        <v>501</v>
      </c>
      <c r="J21" s="153">
        <v>50</v>
      </c>
      <c r="K21" s="154" t="s">
        <v>501</v>
      </c>
      <c r="L21" s="153">
        <v>1</v>
      </c>
      <c r="M21" s="154" t="s">
        <v>501</v>
      </c>
      <c r="N21" s="153">
        <v>12</v>
      </c>
      <c r="O21" s="154" t="s">
        <v>501</v>
      </c>
    </row>
    <row r="22" spans="1:15" s="142" customFormat="1" ht="12.75" customHeight="1" x14ac:dyDescent="0.25">
      <c r="A22" s="151"/>
      <c r="B22" s="152" t="s">
        <v>4</v>
      </c>
      <c r="C22" s="218"/>
      <c r="D22" s="153">
        <v>290</v>
      </c>
      <c r="E22" s="154" t="s">
        <v>501</v>
      </c>
      <c r="F22" s="153">
        <v>153</v>
      </c>
      <c r="G22" s="154" t="s">
        <v>501</v>
      </c>
      <c r="H22" s="153">
        <v>45</v>
      </c>
      <c r="I22" s="154" t="s">
        <v>501</v>
      </c>
      <c r="J22" s="153">
        <v>80</v>
      </c>
      <c r="K22" s="154" t="s">
        <v>501</v>
      </c>
      <c r="L22" s="153">
        <v>1</v>
      </c>
      <c r="M22" s="154" t="s">
        <v>501</v>
      </c>
      <c r="N22" s="153">
        <v>11</v>
      </c>
      <c r="O22" s="154" t="s">
        <v>501</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2009</v>
      </c>
      <c r="B24" s="152" t="s">
        <v>1</v>
      </c>
      <c r="C24" s="218"/>
      <c r="D24" s="153">
        <v>260</v>
      </c>
      <c r="E24" s="154" t="s">
        <v>501</v>
      </c>
      <c r="F24" s="153">
        <v>136</v>
      </c>
      <c r="G24" s="154" t="s">
        <v>501</v>
      </c>
      <c r="H24" s="153">
        <v>50</v>
      </c>
      <c r="I24" s="154" t="s">
        <v>501</v>
      </c>
      <c r="J24" s="153">
        <v>68</v>
      </c>
      <c r="K24" s="154" t="s">
        <v>501</v>
      </c>
      <c r="L24" s="153">
        <v>2</v>
      </c>
      <c r="M24" s="154" t="s">
        <v>501</v>
      </c>
      <c r="N24" s="153">
        <v>4</v>
      </c>
      <c r="O24" s="154" t="s">
        <v>501</v>
      </c>
    </row>
    <row r="25" spans="1:15" s="142" customFormat="1" ht="12.75" customHeight="1" x14ac:dyDescent="0.25">
      <c r="A25" s="151"/>
      <c r="B25" s="152" t="s">
        <v>2</v>
      </c>
      <c r="C25" s="218"/>
      <c r="D25" s="153">
        <v>268</v>
      </c>
      <c r="E25" s="154" t="s">
        <v>501</v>
      </c>
      <c r="F25" s="153">
        <v>141</v>
      </c>
      <c r="G25" s="154" t="s">
        <v>501</v>
      </c>
      <c r="H25" s="153">
        <v>38</v>
      </c>
      <c r="I25" s="154" t="s">
        <v>501</v>
      </c>
      <c r="J25" s="153">
        <v>77</v>
      </c>
      <c r="K25" s="154" t="s">
        <v>501</v>
      </c>
      <c r="L25" s="153">
        <v>3</v>
      </c>
      <c r="M25" s="154" t="s">
        <v>501</v>
      </c>
      <c r="N25" s="153">
        <v>9</v>
      </c>
      <c r="O25" s="154" t="s">
        <v>501</v>
      </c>
    </row>
    <row r="26" spans="1:15" s="142" customFormat="1" ht="12.75" customHeight="1" x14ac:dyDescent="0.25">
      <c r="A26" s="151"/>
      <c r="B26" s="152" t="s">
        <v>3</v>
      </c>
      <c r="C26" s="218"/>
      <c r="D26" s="153">
        <v>225</v>
      </c>
      <c r="E26" s="154" t="s">
        <v>501</v>
      </c>
      <c r="F26" s="153">
        <v>130</v>
      </c>
      <c r="G26" s="154" t="s">
        <v>501</v>
      </c>
      <c r="H26" s="153">
        <v>36</v>
      </c>
      <c r="I26" s="154" t="s">
        <v>501</v>
      </c>
      <c r="J26" s="153">
        <v>43</v>
      </c>
      <c r="K26" s="154" t="s">
        <v>501</v>
      </c>
      <c r="L26" s="153">
        <v>0</v>
      </c>
      <c r="M26" s="154" t="s">
        <v>501</v>
      </c>
      <c r="N26" s="153">
        <v>16</v>
      </c>
      <c r="O26" s="154" t="s">
        <v>501</v>
      </c>
    </row>
    <row r="27" spans="1:15" s="142" customFormat="1" ht="12.75" customHeight="1" x14ac:dyDescent="0.25">
      <c r="A27" s="151"/>
      <c r="B27" s="152" t="s">
        <v>4</v>
      </c>
      <c r="C27" s="218"/>
      <c r="D27" s="153">
        <v>274</v>
      </c>
      <c r="E27" s="154" t="s">
        <v>501</v>
      </c>
      <c r="F27" s="153">
        <v>149</v>
      </c>
      <c r="G27" s="154" t="s">
        <v>501</v>
      </c>
      <c r="H27" s="153">
        <v>47</v>
      </c>
      <c r="I27" s="154" t="s">
        <v>501</v>
      </c>
      <c r="J27" s="153">
        <v>71</v>
      </c>
      <c r="K27" s="154" t="s">
        <v>501</v>
      </c>
      <c r="L27" s="153">
        <v>3</v>
      </c>
      <c r="M27" s="154" t="s">
        <v>501</v>
      </c>
      <c r="N27" s="153">
        <v>4</v>
      </c>
      <c r="O27" s="154" t="s">
        <v>501</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2010</v>
      </c>
      <c r="B29" s="152" t="s">
        <v>1</v>
      </c>
      <c r="C29" s="218"/>
      <c r="D29" s="153">
        <v>376</v>
      </c>
      <c r="E29" s="154" t="s">
        <v>501</v>
      </c>
      <c r="F29" s="153">
        <v>221</v>
      </c>
      <c r="G29" s="154" t="s">
        <v>501</v>
      </c>
      <c r="H29" s="153">
        <v>72</v>
      </c>
      <c r="I29" s="154" t="s">
        <v>501</v>
      </c>
      <c r="J29" s="153">
        <v>74</v>
      </c>
      <c r="K29" s="154" t="s">
        <v>501</v>
      </c>
      <c r="L29" s="153">
        <v>2</v>
      </c>
      <c r="M29" s="154" t="s">
        <v>501</v>
      </c>
      <c r="N29" s="153">
        <v>7</v>
      </c>
      <c r="O29" s="154" t="s">
        <v>501</v>
      </c>
    </row>
    <row r="30" spans="1:15" s="142" customFormat="1" ht="12.75" customHeight="1" x14ac:dyDescent="0.25">
      <c r="A30" s="151"/>
      <c r="B30" s="152" t="s">
        <v>2</v>
      </c>
      <c r="C30" s="218"/>
      <c r="D30" s="153">
        <v>333</v>
      </c>
      <c r="E30" s="154" t="s">
        <v>279</v>
      </c>
      <c r="F30" s="153">
        <v>211</v>
      </c>
      <c r="G30" s="154" t="s">
        <v>279</v>
      </c>
      <c r="H30" s="153">
        <v>57</v>
      </c>
      <c r="I30" s="154" t="s">
        <v>501</v>
      </c>
      <c r="J30" s="153">
        <v>41</v>
      </c>
      <c r="K30" s="154" t="s">
        <v>501</v>
      </c>
      <c r="L30" s="153">
        <v>1</v>
      </c>
      <c r="M30" s="154" t="s">
        <v>501</v>
      </c>
      <c r="N30" s="153">
        <v>23</v>
      </c>
      <c r="O30" s="154" t="s">
        <v>501</v>
      </c>
    </row>
    <row r="31" spans="1:15" s="142" customFormat="1" ht="12.75" customHeight="1" x14ac:dyDescent="0.25">
      <c r="A31" s="151"/>
      <c r="B31" s="152" t="s">
        <v>3</v>
      </c>
      <c r="C31" s="218"/>
      <c r="D31" s="153">
        <v>278</v>
      </c>
      <c r="E31" s="154" t="s">
        <v>501</v>
      </c>
      <c r="F31" s="153">
        <v>154</v>
      </c>
      <c r="G31" s="154" t="s">
        <v>501</v>
      </c>
      <c r="H31" s="153">
        <v>59</v>
      </c>
      <c r="I31" s="154" t="s">
        <v>501</v>
      </c>
      <c r="J31" s="153">
        <v>51</v>
      </c>
      <c r="K31" s="154" t="s">
        <v>501</v>
      </c>
      <c r="L31" s="153">
        <v>0</v>
      </c>
      <c r="M31" s="154" t="s">
        <v>501</v>
      </c>
      <c r="N31" s="153">
        <v>14</v>
      </c>
      <c r="O31" s="154" t="s">
        <v>501</v>
      </c>
    </row>
    <row r="32" spans="1:15" s="142" customFormat="1" ht="12.75" customHeight="1" x14ac:dyDescent="0.25">
      <c r="A32" s="151"/>
      <c r="B32" s="152" t="s">
        <v>4</v>
      </c>
      <c r="C32" s="218"/>
      <c r="D32" s="153">
        <v>314</v>
      </c>
      <c r="E32" s="154" t="s">
        <v>501</v>
      </c>
      <c r="F32" s="153">
        <v>193</v>
      </c>
      <c r="G32" s="154" t="s">
        <v>501</v>
      </c>
      <c r="H32" s="153">
        <v>64</v>
      </c>
      <c r="I32" s="154" t="s">
        <v>501</v>
      </c>
      <c r="J32" s="153">
        <v>46</v>
      </c>
      <c r="K32" s="154" t="s">
        <v>501</v>
      </c>
      <c r="L32" s="153">
        <v>4</v>
      </c>
      <c r="M32" s="154" t="s">
        <v>501</v>
      </c>
      <c r="N32" s="153">
        <v>7</v>
      </c>
      <c r="O32" s="154" t="s">
        <v>501</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2011</v>
      </c>
      <c r="B34" s="152" t="s">
        <v>1</v>
      </c>
      <c r="C34" s="218"/>
      <c r="D34" s="153">
        <v>338</v>
      </c>
      <c r="E34" s="154" t="s">
        <v>501</v>
      </c>
      <c r="F34" s="153">
        <v>195</v>
      </c>
      <c r="G34" s="154" t="s">
        <v>501</v>
      </c>
      <c r="H34" s="153">
        <v>74</v>
      </c>
      <c r="I34" s="154" t="s">
        <v>501</v>
      </c>
      <c r="J34" s="153">
        <v>55</v>
      </c>
      <c r="K34" s="154" t="s">
        <v>501</v>
      </c>
      <c r="L34" s="153">
        <v>3</v>
      </c>
      <c r="M34" s="154" t="s">
        <v>501</v>
      </c>
      <c r="N34" s="153">
        <v>11</v>
      </c>
      <c r="O34" s="154" t="s">
        <v>501</v>
      </c>
    </row>
    <row r="35" spans="1:15" s="142" customFormat="1" ht="12.75" customHeight="1" x14ac:dyDescent="0.25">
      <c r="A35" s="151"/>
      <c r="B35" s="152" t="s">
        <v>2</v>
      </c>
      <c r="C35" s="218"/>
      <c r="D35" s="153">
        <v>376</v>
      </c>
      <c r="E35" s="154" t="s">
        <v>501</v>
      </c>
      <c r="F35" s="153">
        <v>259</v>
      </c>
      <c r="G35" s="154" t="s">
        <v>501</v>
      </c>
      <c r="H35" s="153">
        <v>60</v>
      </c>
      <c r="I35" s="154" t="s">
        <v>501</v>
      </c>
      <c r="J35" s="153">
        <v>50</v>
      </c>
      <c r="K35" s="154" t="s">
        <v>501</v>
      </c>
      <c r="L35" s="153">
        <v>3</v>
      </c>
      <c r="M35" s="154" t="s">
        <v>501</v>
      </c>
      <c r="N35" s="153">
        <v>4</v>
      </c>
      <c r="O35" s="154" t="s">
        <v>501</v>
      </c>
    </row>
    <row r="36" spans="1:15" s="142" customFormat="1" ht="12.75" customHeight="1" x14ac:dyDescent="0.25">
      <c r="A36" s="151"/>
      <c r="B36" s="152" t="s">
        <v>3</v>
      </c>
      <c r="C36" s="218"/>
      <c r="D36" s="153">
        <v>405</v>
      </c>
      <c r="E36" s="154" t="s">
        <v>501</v>
      </c>
      <c r="F36" s="153">
        <v>256</v>
      </c>
      <c r="G36" s="154" t="s">
        <v>501</v>
      </c>
      <c r="H36" s="153">
        <v>79</v>
      </c>
      <c r="I36" s="154" t="s">
        <v>501</v>
      </c>
      <c r="J36" s="153">
        <v>54</v>
      </c>
      <c r="K36" s="154" t="s">
        <v>501</v>
      </c>
      <c r="L36" s="153">
        <v>2</v>
      </c>
      <c r="M36" s="154" t="s">
        <v>501</v>
      </c>
      <c r="N36" s="153">
        <v>14</v>
      </c>
      <c r="O36" s="154" t="s">
        <v>501</v>
      </c>
    </row>
    <row r="37" spans="1:15" s="142" customFormat="1" ht="12.75" customHeight="1" x14ac:dyDescent="0.25">
      <c r="A37" s="151"/>
      <c r="B37" s="152" t="s">
        <v>4</v>
      </c>
      <c r="C37" s="218"/>
      <c r="D37" s="153">
        <v>332</v>
      </c>
      <c r="E37" s="154" t="s">
        <v>501</v>
      </c>
      <c r="F37" s="153">
        <v>211</v>
      </c>
      <c r="G37" s="154" t="s">
        <v>501</v>
      </c>
      <c r="H37" s="153">
        <v>56</v>
      </c>
      <c r="I37" s="154" t="s">
        <v>501</v>
      </c>
      <c r="J37" s="153">
        <v>52</v>
      </c>
      <c r="K37" s="154" t="s">
        <v>501</v>
      </c>
      <c r="L37" s="153">
        <v>5</v>
      </c>
      <c r="M37" s="154" t="s">
        <v>501</v>
      </c>
      <c r="N37" s="153">
        <v>8</v>
      </c>
      <c r="O37" s="154" t="s">
        <v>501</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2012</v>
      </c>
      <c r="B39" s="152" t="s">
        <v>1</v>
      </c>
      <c r="C39" s="218"/>
      <c r="D39" s="153">
        <v>434</v>
      </c>
      <c r="E39" s="154" t="s">
        <v>501</v>
      </c>
      <c r="F39" s="153">
        <v>322</v>
      </c>
      <c r="G39" s="154" t="s">
        <v>501</v>
      </c>
      <c r="H39" s="153">
        <v>57</v>
      </c>
      <c r="I39" s="154" t="s">
        <v>501</v>
      </c>
      <c r="J39" s="153">
        <v>44</v>
      </c>
      <c r="K39" s="154" t="s">
        <v>501</v>
      </c>
      <c r="L39" s="153">
        <v>2</v>
      </c>
      <c r="M39" s="154" t="s">
        <v>501</v>
      </c>
      <c r="N39" s="153">
        <v>9</v>
      </c>
      <c r="O39" s="154" t="s">
        <v>501</v>
      </c>
    </row>
    <row r="40" spans="1:15" s="142" customFormat="1" ht="12.75" customHeight="1" x14ac:dyDescent="0.25">
      <c r="A40" s="151"/>
      <c r="B40" s="152" t="s">
        <v>2</v>
      </c>
      <c r="C40" s="218"/>
      <c r="D40" s="153">
        <v>451</v>
      </c>
      <c r="E40" s="154" t="s">
        <v>501</v>
      </c>
      <c r="F40" s="153">
        <v>319</v>
      </c>
      <c r="G40" s="154" t="s">
        <v>501</v>
      </c>
      <c r="H40" s="153">
        <v>53</v>
      </c>
      <c r="I40" s="154" t="s">
        <v>501</v>
      </c>
      <c r="J40" s="153">
        <v>53</v>
      </c>
      <c r="K40" s="154" t="s">
        <v>501</v>
      </c>
      <c r="L40" s="153">
        <v>17</v>
      </c>
      <c r="M40" s="154" t="s">
        <v>501</v>
      </c>
      <c r="N40" s="153">
        <v>9</v>
      </c>
      <c r="O40" s="154" t="s">
        <v>501</v>
      </c>
    </row>
    <row r="41" spans="1:15" s="142" customFormat="1" ht="12.75" customHeight="1" x14ac:dyDescent="0.25">
      <c r="A41" s="151"/>
      <c r="B41" s="152" t="s">
        <v>3</v>
      </c>
      <c r="C41" s="218"/>
      <c r="D41" s="153">
        <v>285</v>
      </c>
      <c r="E41" s="154" t="s">
        <v>501</v>
      </c>
      <c r="F41" s="153">
        <v>186</v>
      </c>
      <c r="G41" s="154" t="s">
        <v>501</v>
      </c>
      <c r="H41" s="153">
        <v>60</v>
      </c>
      <c r="I41" s="154" t="s">
        <v>501</v>
      </c>
      <c r="J41" s="153">
        <v>33</v>
      </c>
      <c r="K41" s="154" t="s">
        <v>501</v>
      </c>
      <c r="L41" s="153">
        <v>1</v>
      </c>
      <c r="M41" s="154" t="s">
        <v>501</v>
      </c>
      <c r="N41" s="153">
        <v>5</v>
      </c>
      <c r="O41" s="154" t="s">
        <v>501</v>
      </c>
    </row>
    <row r="42" spans="1:15" s="142" customFormat="1" ht="12.75" customHeight="1" x14ac:dyDescent="0.25">
      <c r="A42" s="151"/>
      <c r="B42" s="152" t="s">
        <v>4</v>
      </c>
      <c r="C42" s="218"/>
      <c r="D42" s="153">
        <v>207</v>
      </c>
      <c r="E42" s="154" t="s">
        <v>501</v>
      </c>
      <c r="F42" s="153">
        <v>93</v>
      </c>
      <c r="G42" s="154" t="s">
        <v>501</v>
      </c>
      <c r="H42" s="153">
        <v>63</v>
      </c>
      <c r="I42" s="154" t="s">
        <v>501</v>
      </c>
      <c r="J42" s="153">
        <v>39</v>
      </c>
      <c r="K42" s="154" t="s">
        <v>501</v>
      </c>
      <c r="L42" s="153">
        <v>4</v>
      </c>
      <c r="M42" s="154" t="s">
        <v>501</v>
      </c>
      <c r="N42" s="153">
        <v>8</v>
      </c>
      <c r="O42" s="154" t="s">
        <v>501</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2013</v>
      </c>
      <c r="B44" s="152" t="s">
        <v>1</v>
      </c>
      <c r="C44" s="218"/>
      <c r="D44" s="153">
        <v>176</v>
      </c>
      <c r="E44" s="154" t="s">
        <v>501</v>
      </c>
      <c r="F44" s="153">
        <v>68</v>
      </c>
      <c r="G44" s="154" t="s">
        <v>501</v>
      </c>
      <c r="H44" s="153">
        <v>60</v>
      </c>
      <c r="I44" s="154" t="s">
        <v>501</v>
      </c>
      <c r="J44" s="153">
        <v>39</v>
      </c>
      <c r="K44" s="154" t="s">
        <v>501</v>
      </c>
      <c r="L44" s="153">
        <v>2</v>
      </c>
      <c r="M44" s="154" t="s">
        <v>501</v>
      </c>
      <c r="N44" s="153">
        <v>7</v>
      </c>
      <c r="O44" s="154" t="s">
        <v>501</v>
      </c>
    </row>
    <row r="45" spans="1:15" s="142" customFormat="1" ht="12.75" customHeight="1" x14ac:dyDescent="0.25">
      <c r="A45" s="151"/>
      <c r="B45" s="152" t="s">
        <v>2</v>
      </c>
      <c r="C45" s="218"/>
      <c r="D45" s="153">
        <v>205</v>
      </c>
      <c r="E45" s="154" t="s">
        <v>501</v>
      </c>
      <c r="F45" s="153">
        <v>93</v>
      </c>
      <c r="G45" s="154" t="s">
        <v>501</v>
      </c>
      <c r="H45" s="153">
        <v>76</v>
      </c>
      <c r="I45" s="154" t="s">
        <v>501</v>
      </c>
      <c r="J45" s="153">
        <v>30</v>
      </c>
      <c r="K45" s="154" t="s">
        <v>501</v>
      </c>
      <c r="L45" s="153">
        <v>4</v>
      </c>
      <c r="M45" s="154" t="s">
        <v>501</v>
      </c>
      <c r="N45" s="153">
        <v>2</v>
      </c>
      <c r="O45" s="154" t="s">
        <v>501</v>
      </c>
    </row>
    <row r="46" spans="1:15" s="142" customFormat="1" ht="12.75" customHeight="1" x14ac:dyDescent="0.25">
      <c r="A46" s="151"/>
      <c r="B46" s="152" t="s">
        <v>3</v>
      </c>
      <c r="C46" s="218"/>
      <c r="D46" s="153">
        <v>280</v>
      </c>
      <c r="E46" s="154" t="s">
        <v>501</v>
      </c>
      <c r="F46" s="153">
        <v>167</v>
      </c>
      <c r="G46" s="154" t="s">
        <v>501</v>
      </c>
      <c r="H46" s="153">
        <v>75</v>
      </c>
      <c r="I46" s="154" t="s">
        <v>501</v>
      </c>
      <c r="J46" s="153">
        <v>25</v>
      </c>
      <c r="K46" s="154" t="s">
        <v>501</v>
      </c>
      <c r="L46" s="153">
        <v>6</v>
      </c>
      <c r="M46" s="154" t="s">
        <v>501</v>
      </c>
      <c r="N46" s="153">
        <v>7</v>
      </c>
      <c r="O46" s="154" t="s">
        <v>501</v>
      </c>
    </row>
    <row r="47" spans="1:15" s="142" customFormat="1" ht="12.75" customHeight="1" x14ac:dyDescent="0.25">
      <c r="A47" s="151"/>
      <c r="B47" s="152" t="s">
        <v>4</v>
      </c>
      <c r="C47" s="218"/>
      <c r="D47" s="153">
        <v>235</v>
      </c>
      <c r="E47" s="154" t="s">
        <v>501</v>
      </c>
      <c r="F47" s="153">
        <v>155</v>
      </c>
      <c r="G47" s="154" t="s">
        <v>501</v>
      </c>
      <c r="H47" s="153">
        <v>47</v>
      </c>
      <c r="I47" s="154" t="s">
        <v>501</v>
      </c>
      <c r="J47" s="153">
        <v>28</v>
      </c>
      <c r="K47" s="154" t="s">
        <v>501</v>
      </c>
      <c r="L47" s="153">
        <v>4</v>
      </c>
      <c r="M47" s="154" t="s">
        <v>501</v>
      </c>
      <c r="N47" s="153">
        <v>1</v>
      </c>
      <c r="O47" s="154" t="s">
        <v>501</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2014</v>
      </c>
      <c r="B49" s="152" t="s">
        <v>1</v>
      </c>
      <c r="C49" s="218"/>
      <c r="D49" s="153">
        <v>267</v>
      </c>
      <c r="E49" s="154" t="s">
        <v>501</v>
      </c>
      <c r="F49" s="153">
        <v>181</v>
      </c>
      <c r="G49" s="154" t="s">
        <v>501</v>
      </c>
      <c r="H49" s="153">
        <v>51</v>
      </c>
      <c r="I49" s="154" t="s">
        <v>501</v>
      </c>
      <c r="J49" s="153">
        <v>25</v>
      </c>
      <c r="K49" s="154" t="s">
        <v>501</v>
      </c>
      <c r="L49" s="153">
        <v>9</v>
      </c>
      <c r="M49" s="154" t="s">
        <v>501</v>
      </c>
      <c r="N49" s="153">
        <v>1</v>
      </c>
      <c r="O49" s="154" t="s">
        <v>501</v>
      </c>
    </row>
    <row r="50" spans="1:15" s="142" customFormat="1" ht="12.75" customHeight="1" x14ac:dyDescent="0.25">
      <c r="A50" s="151"/>
      <c r="B50" s="152" t="s">
        <v>2</v>
      </c>
      <c r="C50" s="218"/>
      <c r="D50" s="153">
        <v>260</v>
      </c>
      <c r="E50" s="154" t="s">
        <v>501</v>
      </c>
      <c r="F50" s="153">
        <v>183</v>
      </c>
      <c r="G50" s="154" t="s">
        <v>501</v>
      </c>
      <c r="H50" s="153">
        <v>55</v>
      </c>
      <c r="I50" s="154" t="s">
        <v>501</v>
      </c>
      <c r="J50" s="153">
        <v>19</v>
      </c>
      <c r="K50" s="154" t="s">
        <v>501</v>
      </c>
      <c r="L50" s="153">
        <v>2</v>
      </c>
      <c r="M50" s="154" t="s">
        <v>501</v>
      </c>
      <c r="N50" s="153">
        <v>1</v>
      </c>
      <c r="O50" s="154" t="s">
        <v>501</v>
      </c>
    </row>
    <row r="51" spans="1:15" s="142" customFormat="1" ht="12.75" customHeight="1" x14ac:dyDescent="0.25">
      <c r="A51" s="151"/>
      <c r="B51" s="152" t="s">
        <v>3</v>
      </c>
      <c r="C51" s="218"/>
      <c r="D51" s="153">
        <v>220</v>
      </c>
      <c r="E51" s="154" t="s">
        <v>501</v>
      </c>
      <c r="F51" s="153">
        <v>151</v>
      </c>
      <c r="G51" s="154" t="s">
        <v>501</v>
      </c>
      <c r="H51" s="153">
        <v>48</v>
      </c>
      <c r="I51" s="154" t="s">
        <v>501</v>
      </c>
      <c r="J51" s="153">
        <v>19</v>
      </c>
      <c r="K51" s="154" t="s">
        <v>501</v>
      </c>
      <c r="L51" s="153">
        <v>2</v>
      </c>
      <c r="M51" s="154" t="s">
        <v>501</v>
      </c>
      <c r="N51" s="153">
        <v>0</v>
      </c>
      <c r="O51" s="154" t="s">
        <v>501</v>
      </c>
    </row>
    <row r="52" spans="1:15" s="142" customFormat="1" ht="12.75" customHeight="1" x14ac:dyDescent="0.25">
      <c r="A52" s="151"/>
      <c r="B52" s="152" t="s">
        <v>4</v>
      </c>
      <c r="C52" s="218"/>
      <c r="D52" s="153">
        <v>216</v>
      </c>
      <c r="E52" s="154" t="s">
        <v>501</v>
      </c>
      <c r="F52" s="153">
        <v>135</v>
      </c>
      <c r="G52" s="154" t="s">
        <v>501</v>
      </c>
      <c r="H52" s="153">
        <v>53</v>
      </c>
      <c r="I52" s="154" t="s">
        <v>501</v>
      </c>
      <c r="J52" s="153">
        <v>24</v>
      </c>
      <c r="K52" s="154" t="s">
        <v>501</v>
      </c>
      <c r="L52" s="153">
        <v>1</v>
      </c>
      <c r="M52" s="154" t="s">
        <v>501</v>
      </c>
      <c r="N52" s="153">
        <v>3</v>
      </c>
      <c r="O52" s="154" t="s">
        <v>501</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2015</v>
      </c>
      <c r="B54" s="152" t="s">
        <v>1</v>
      </c>
      <c r="C54" s="218"/>
      <c r="D54" s="153">
        <v>220</v>
      </c>
      <c r="E54" s="154" t="s">
        <v>501</v>
      </c>
      <c r="F54" s="153">
        <v>141</v>
      </c>
      <c r="G54" s="154" t="s">
        <v>501</v>
      </c>
      <c r="H54" s="153">
        <v>53</v>
      </c>
      <c r="I54" s="154" t="s">
        <v>501</v>
      </c>
      <c r="J54" s="153">
        <v>24</v>
      </c>
      <c r="K54" s="154" t="s">
        <v>501</v>
      </c>
      <c r="L54" s="153">
        <v>0</v>
      </c>
      <c r="M54" s="154" t="s">
        <v>501</v>
      </c>
      <c r="N54" s="153">
        <v>2</v>
      </c>
      <c r="O54" s="154" t="s">
        <v>501</v>
      </c>
    </row>
    <row r="55" spans="1:15" s="142" customFormat="1" ht="12.75" customHeight="1" x14ac:dyDescent="0.25">
      <c r="A55" s="151"/>
      <c r="B55" s="152" t="s">
        <v>2</v>
      </c>
      <c r="C55" s="218"/>
      <c r="D55" s="153">
        <v>223</v>
      </c>
      <c r="E55" s="154" t="s">
        <v>501</v>
      </c>
      <c r="F55" s="153">
        <v>120</v>
      </c>
      <c r="G55" s="154" t="s">
        <v>501</v>
      </c>
      <c r="H55" s="153">
        <v>72</v>
      </c>
      <c r="I55" s="154" t="s">
        <v>501</v>
      </c>
      <c r="J55" s="153">
        <v>29</v>
      </c>
      <c r="K55" s="154" t="s">
        <v>501</v>
      </c>
      <c r="L55" s="153">
        <v>2</v>
      </c>
      <c r="M55" s="154" t="s">
        <v>501</v>
      </c>
      <c r="N55" s="153">
        <v>0</v>
      </c>
      <c r="O55" s="154" t="s">
        <v>501</v>
      </c>
    </row>
    <row r="56" spans="1:15" s="142" customFormat="1" ht="12.75" customHeight="1" x14ac:dyDescent="0.25">
      <c r="A56" s="151"/>
      <c r="B56" s="152" t="s">
        <v>3</v>
      </c>
      <c r="C56" s="218"/>
      <c r="D56" s="153">
        <v>251</v>
      </c>
      <c r="E56" s="154" t="s">
        <v>501</v>
      </c>
      <c r="F56" s="153">
        <v>168</v>
      </c>
      <c r="G56" s="154" t="s">
        <v>501</v>
      </c>
      <c r="H56" s="153">
        <v>53</v>
      </c>
      <c r="I56" s="154" t="s">
        <v>501</v>
      </c>
      <c r="J56" s="153">
        <v>30</v>
      </c>
      <c r="K56" s="154" t="s">
        <v>501</v>
      </c>
      <c r="L56" s="153">
        <v>0</v>
      </c>
      <c r="M56" s="154" t="s">
        <v>501</v>
      </c>
      <c r="N56" s="153">
        <v>0</v>
      </c>
      <c r="O56" s="154" t="s">
        <v>501</v>
      </c>
    </row>
    <row r="57" spans="1:15" s="142" customFormat="1" ht="12.75" customHeight="1" x14ac:dyDescent="0.25">
      <c r="A57" s="151"/>
      <c r="B57" s="152" t="s">
        <v>4</v>
      </c>
      <c r="C57" s="218"/>
      <c r="D57" s="153">
        <v>253</v>
      </c>
      <c r="E57" s="154" t="s">
        <v>279</v>
      </c>
      <c r="F57" s="153">
        <v>146</v>
      </c>
      <c r="G57" s="154" t="s">
        <v>279</v>
      </c>
      <c r="H57" s="153">
        <v>75</v>
      </c>
      <c r="I57" s="154" t="s">
        <v>501</v>
      </c>
      <c r="J57" s="153">
        <v>26</v>
      </c>
      <c r="K57" s="154" t="s">
        <v>501</v>
      </c>
      <c r="L57" s="153">
        <v>2</v>
      </c>
      <c r="M57" s="154" t="s">
        <v>501</v>
      </c>
      <c r="N57" s="153">
        <v>4</v>
      </c>
      <c r="O57" s="154" t="s">
        <v>501</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2016</v>
      </c>
      <c r="B59" s="152" t="s">
        <v>1</v>
      </c>
      <c r="C59" s="218"/>
      <c r="D59" s="153">
        <v>259</v>
      </c>
      <c r="E59" s="154" t="s">
        <v>501</v>
      </c>
      <c r="F59" s="153">
        <v>143</v>
      </c>
      <c r="G59" s="154" t="s">
        <v>501</v>
      </c>
      <c r="H59" s="153">
        <v>82</v>
      </c>
      <c r="I59" s="154" t="s">
        <v>501</v>
      </c>
      <c r="J59" s="153">
        <v>30</v>
      </c>
      <c r="K59" s="154" t="s">
        <v>501</v>
      </c>
      <c r="L59" s="153">
        <v>4</v>
      </c>
      <c r="M59" s="154" t="s">
        <v>501</v>
      </c>
      <c r="N59" s="153">
        <v>0</v>
      </c>
      <c r="O59" s="154" t="s">
        <v>501</v>
      </c>
    </row>
    <row r="60" spans="1:15" s="142" customFormat="1" ht="12.75" customHeight="1" x14ac:dyDescent="0.25">
      <c r="A60" s="151"/>
      <c r="B60" s="152" t="s">
        <v>2</v>
      </c>
      <c r="C60" s="218"/>
      <c r="D60" s="153">
        <v>290</v>
      </c>
      <c r="E60" s="154" t="s">
        <v>501</v>
      </c>
      <c r="F60" s="153">
        <v>169</v>
      </c>
      <c r="G60" s="154" t="s">
        <v>501</v>
      </c>
      <c r="H60" s="153">
        <v>79</v>
      </c>
      <c r="I60" s="154" t="s">
        <v>501</v>
      </c>
      <c r="J60" s="153">
        <v>33</v>
      </c>
      <c r="K60" s="154" t="s">
        <v>501</v>
      </c>
      <c r="L60" s="153">
        <v>6</v>
      </c>
      <c r="M60" s="154" t="s">
        <v>501</v>
      </c>
      <c r="N60" s="153">
        <v>3</v>
      </c>
      <c r="O60" s="154" t="s">
        <v>501</v>
      </c>
    </row>
    <row r="61" spans="1:15" s="142" customFormat="1" ht="12.75" customHeight="1" x14ac:dyDescent="0.25">
      <c r="A61" s="151"/>
      <c r="B61" s="152" t="s">
        <v>3</v>
      </c>
      <c r="C61" s="218"/>
      <c r="D61" s="153">
        <v>258</v>
      </c>
      <c r="E61" s="154" t="s">
        <v>501</v>
      </c>
      <c r="F61" s="153">
        <v>147</v>
      </c>
      <c r="G61" s="154" t="s">
        <v>501</v>
      </c>
      <c r="H61" s="153">
        <v>57</v>
      </c>
      <c r="I61" s="154" t="s">
        <v>501</v>
      </c>
      <c r="J61" s="153">
        <v>53</v>
      </c>
      <c r="K61" s="154" t="s">
        <v>501</v>
      </c>
      <c r="L61" s="153">
        <v>1</v>
      </c>
      <c r="M61" s="154" t="s">
        <v>501</v>
      </c>
      <c r="N61" s="153">
        <v>0</v>
      </c>
      <c r="O61" s="154" t="s">
        <v>501</v>
      </c>
    </row>
    <row r="62" spans="1:15" s="142" customFormat="1" ht="12.75" customHeight="1" x14ac:dyDescent="0.25">
      <c r="A62" s="151"/>
      <c r="B62" s="152" t="s">
        <v>4</v>
      </c>
      <c r="C62" s="218"/>
      <c r="D62" s="153">
        <v>229</v>
      </c>
      <c r="E62" s="154" t="s">
        <v>501</v>
      </c>
      <c r="F62" s="153">
        <v>132</v>
      </c>
      <c r="G62" s="154" t="s">
        <v>501</v>
      </c>
      <c r="H62" s="153">
        <v>66</v>
      </c>
      <c r="I62" s="154" t="s">
        <v>501</v>
      </c>
      <c r="J62" s="153">
        <v>29</v>
      </c>
      <c r="K62" s="154" t="s">
        <v>501</v>
      </c>
      <c r="L62" s="153">
        <v>2</v>
      </c>
      <c r="M62" s="154" t="s">
        <v>501</v>
      </c>
      <c r="N62" s="153">
        <v>0</v>
      </c>
      <c r="O62" s="154" t="s">
        <v>501</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2017</v>
      </c>
      <c r="B64" s="152" t="s">
        <v>1</v>
      </c>
      <c r="C64" s="218"/>
      <c r="D64" s="153">
        <v>181</v>
      </c>
      <c r="E64" s="154" t="s">
        <v>501</v>
      </c>
      <c r="F64" s="153">
        <v>91</v>
      </c>
      <c r="G64" s="154" t="s">
        <v>501</v>
      </c>
      <c r="H64" s="153">
        <v>67</v>
      </c>
      <c r="I64" s="154" t="s">
        <v>501</v>
      </c>
      <c r="J64" s="153">
        <v>22</v>
      </c>
      <c r="K64" s="154" t="s">
        <v>501</v>
      </c>
      <c r="L64" s="153">
        <v>1</v>
      </c>
      <c r="M64" s="154" t="s">
        <v>501</v>
      </c>
      <c r="N64" s="153">
        <v>0</v>
      </c>
      <c r="O64" s="154" t="s">
        <v>501</v>
      </c>
    </row>
    <row r="65" spans="1:17" s="142" customFormat="1" ht="12.75" customHeight="1" x14ac:dyDescent="0.25">
      <c r="A65" s="151"/>
      <c r="B65" s="152" t="s">
        <v>2</v>
      </c>
      <c r="C65" s="218"/>
      <c r="D65" s="153">
        <v>222</v>
      </c>
      <c r="E65" s="154" t="s">
        <v>279</v>
      </c>
      <c r="F65" s="153">
        <v>118</v>
      </c>
      <c r="G65" s="154" t="s">
        <v>501</v>
      </c>
      <c r="H65" s="153">
        <v>75</v>
      </c>
      <c r="I65" s="154" t="s">
        <v>279</v>
      </c>
      <c r="J65" s="153">
        <v>24</v>
      </c>
      <c r="K65" s="154" t="s">
        <v>501</v>
      </c>
      <c r="L65" s="153">
        <v>0</v>
      </c>
      <c r="M65" s="154" t="s">
        <v>501</v>
      </c>
      <c r="N65" s="153">
        <v>5</v>
      </c>
      <c r="O65" s="154" t="s">
        <v>501</v>
      </c>
    </row>
    <row r="66" spans="1:17" s="142" customFormat="1" ht="12.75" customHeight="1" x14ac:dyDescent="0.25">
      <c r="A66" s="151"/>
      <c r="B66" s="152" t="s">
        <v>3</v>
      </c>
      <c r="C66" s="218"/>
      <c r="D66" s="153">
        <v>230</v>
      </c>
      <c r="E66" s="154" t="s">
        <v>279</v>
      </c>
      <c r="F66" s="153">
        <v>154</v>
      </c>
      <c r="G66" s="154" t="s">
        <v>279</v>
      </c>
      <c r="H66" s="153">
        <v>53</v>
      </c>
      <c r="I66" s="154" t="s">
        <v>501</v>
      </c>
      <c r="J66" s="153">
        <v>23</v>
      </c>
      <c r="K66" s="154" t="s">
        <v>279</v>
      </c>
      <c r="L66" s="153">
        <v>0</v>
      </c>
      <c r="M66" s="154" t="s">
        <v>501</v>
      </c>
      <c r="N66" s="153">
        <v>0</v>
      </c>
      <c r="O66" s="154" t="s">
        <v>501</v>
      </c>
    </row>
    <row r="67" spans="1:17" s="142" customFormat="1" ht="12.75" customHeight="1" x14ac:dyDescent="0.25">
      <c r="A67" s="152"/>
      <c r="B67" s="152" t="s">
        <v>4</v>
      </c>
      <c r="C67" s="218" t="s">
        <v>406</v>
      </c>
      <c r="D67" s="153">
        <v>223</v>
      </c>
      <c r="E67" s="154" t="s">
        <v>501</v>
      </c>
      <c r="F67" s="153">
        <v>118</v>
      </c>
      <c r="G67" s="154" t="s">
        <v>501</v>
      </c>
      <c r="H67" s="153">
        <v>89</v>
      </c>
      <c r="I67" s="154" t="s">
        <v>501</v>
      </c>
      <c r="J67" s="153">
        <v>14</v>
      </c>
      <c r="K67" s="154" t="s">
        <v>501</v>
      </c>
      <c r="L67" s="153">
        <v>2</v>
      </c>
      <c r="M67" s="154" t="s">
        <v>501</v>
      </c>
      <c r="N67" s="153">
        <v>0</v>
      </c>
      <c r="O67" s="154" t="s">
        <v>501</v>
      </c>
    </row>
    <row r="68" spans="1:17" s="142" customFormat="1" ht="12.75" customHeight="1" x14ac:dyDescent="0.25">
      <c r="A68" s="151"/>
      <c r="B68" s="152"/>
      <c r="C68" s="218"/>
      <c r="D68" s="153"/>
      <c r="E68" s="154"/>
      <c r="F68" s="153"/>
      <c r="G68" s="154"/>
      <c r="H68" s="153"/>
      <c r="I68" s="154"/>
      <c r="J68" s="153"/>
      <c r="K68" s="154"/>
      <c r="L68" s="153"/>
      <c r="M68" s="154"/>
      <c r="N68" s="153"/>
      <c r="O68" s="154"/>
    </row>
    <row r="69" spans="1:17" s="142" customFormat="1" ht="12.75" customHeight="1" thickBot="1" x14ac:dyDescent="0.3">
      <c r="A69" s="152"/>
      <c r="B69" s="156"/>
      <c r="C69" s="156"/>
      <c r="D69" s="153"/>
      <c r="E69" s="154"/>
      <c r="F69" s="153"/>
      <c r="G69" s="154"/>
      <c r="H69" s="153"/>
      <c r="I69" s="154"/>
      <c r="J69" s="153"/>
      <c r="K69" s="154"/>
      <c r="L69" s="153"/>
      <c r="M69" s="154"/>
      <c r="N69" s="153"/>
      <c r="O69" s="154"/>
    </row>
    <row r="70" spans="1:17" s="142" customFormat="1" ht="12.75" customHeight="1" x14ac:dyDescent="0.2">
      <c r="A70" s="159" t="s">
        <v>502</v>
      </c>
      <c r="B70" s="159"/>
      <c r="C70" s="159"/>
      <c r="D70" s="159"/>
      <c r="E70" s="220"/>
      <c r="F70" s="159"/>
      <c r="G70" s="220"/>
      <c r="H70" s="159"/>
      <c r="I70" s="220"/>
      <c r="J70" s="159"/>
      <c r="K70" s="220"/>
      <c r="L70" s="159"/>
      <c r="M70" s="220"/>
      <c r="N70" s="159"/>
      <c r="O70" s="220"/>
    </row>
    <row r="71" spans="1:17" s="142" customFormat="1" ht="12.75" customHeight="1" x14ac:dyDescent="0.2">
      <c r="A71" s="160"/>
      <c r="B71" s="160"/>
      <c r="C71" s="160"/>
      <c r="D71" s="160"/>
      <c r="E71" s="161"/>
      <c r="F71" s="160"/>
      <c r="G71" s="161"/>
      <c r="H71" s="160"/>
      <c r="I71" s="161"/>
      <c r="J71" s="160"/>
      <c r="K71" s="161"/>
      <c r="L71" s="160"/>
      <c r="M71" s="161"/>
      <c r="N71" s="160"/>
      <c r="O71" s="161"/>
    </row>
    <row r="72" spans="1:17" s="142" customFormat="1" ht="12.75" hidden="1" customHeight="1" x14ac:dyDescent="0.2">
      <c r="A72" s="162">
        <v>2017</v>
      </c>
      <c r="B72" s="163" t="s">
        <v>3</v>
      </c>
      <c r="C72" s="163"/>
      <c r="D72" s="164" t="s">
        <v>121</v>
      </c>
      <c r="E72" s="161"/>
      <c r="F72" s="164" t="s">
        <v>121</v>
      </c>
      <c r="G72" s="161"/>
      <c r="H72" s="164" t="s">
        <v>121</v>
      </c>
      <c r="I72" s="161"/>
      <c r="J72" s="164" t="s">
        <v>121</v>
      </c>
      <c r="K72" s="161"/>
      <c r="L72" s="164" t="s">
        <v>121</v>
      </c>
      <c r="M72" s="161"/>
      <c r="N72" s="164" t="s">
        <v>121</v>
      </c>
      <c r="O72" s="161"/>
    </row>
    <row r="73" spans="1:17" s="142" customFormat="1" ht="12.75" hidden="1" customHeight="1" x14ac:dyDescent="0.2">
      <c r="A73" s="165"/>
      <c r="B73" s="166"/>
      <c r="C73" s="166"/>
      <c r="D73" s="167"/>
      <c r="E73" s="280"/>
      <c r="F73" s="167"/>
      <c r="G73" s="280"/>
      <c r="H73" s="167"/>
      <c r="I73" s="280"/>
      <c r="J73" s="167"/>
      <c r="K73" s="280"/>
      <c r="L73" s="167"/>
      <c r="M73" s="280"/>
      <c r="N73" s="167"/>
      <c r="O73" s="280"/>
    </row>
    <row r="74" spans="1:17" s="142" customFormat="1" ht="12.75" customHeight="1" thickBot="1" x14ac:dyDescent="0.25">
      <c r="A74" s="157">
        <v>2016</v>
      </c>
      <c r="B74" s="158" t="s">
        <v>4</v>
      </c>
      <c r="C74" s="158"/>
      <c r="D74" s="168">
        <v>-2.6200873362445365</v>
      </c>
      <c r="E74" s="281"/>
      <c r="F74" s="168">
        <v>-10.606060606060607</v>
      </c>
      <c r="G74" s="281"/>
      <c r="H74" s="168">
        <v>34.848484848484837</v>
      </c>
      <c r="I74" s="281"/>
      <c r="J74" s="168">
        <v>-51.724137931034477</v>
      </c>
      <c r="K74" s="281"/>
      <c r="L74" s="168">
        <v>0</v>
      </c>
      <c r="M74" s="281"/>
      <c r="N74" s="168" t="s">
        <v>496</v>
      </c>
      <c r="O74" s="281"/>
      <c r="Q74" s="312"/>
    </row>
    <row r="75" spans="1:17" s="169" customFormat="1" ht="12.75" customHeight="1" x14ac:dyDescent="0.2">
      <c r="A75" s="361"/>
      <c r="B75" s="361"/>
      <c r="C75" s="361"/>
      <c r="D75" s="361"/>
      <c r="E75" s="361"/>
      <c r="F75" s="361"/>
      <c r="G75" s="361"/>
      <c r="H75" s="361"/>
      <c r="I75" s="361"/>
      <c r="J75" s="361"/>
      <c r="K75" s="361"/>
      <c r="L75" s="361"/>
      <c r="M75" s="361"/>
      <c r="N75" s="361"/>
      <c r="O75" s="361"/>
    </row>
    <row r="76" spans="1:17" s="169" customFormat="1" ht="12.75" customHeight="1" x14ac:dyDescent="0.2">
      <c r="A76" s="338" t="s">
        <v>265</v>
      </c>
      <c r="B76" s="338"/>
      <c r="C76" s="338"/>
      <c r="D76" s="338"/>
      <c r="E76" s="338"/>
      <c r="F76" s="338"/>
      <c r="G76" s="338"/>
      <c r="H76" s="338"/>
      <c r="I76" s="338"/>
      <c r="J76" s="338"/>
      <c r="K76" s="338"/>
      <c r="L76" s="338"/>
      <c r="M76" s="338"/>
      <c r="N76" s="338"/>
      <c r="O76" s="338"/>
    </row>
    <row r="77" spans="1:17" s="170" customFormat="1" ht="15" x14ac:dyDescent="0.3">
      <c r="A77" s="338" t="s">
        <v>473</v>
      </c>
      <c r="B77" s="338"/>
      <c r="C77" s="338"/>
      <c r="D77" s="338"/>
      <c r="E77" s="338"/>
      <c r="F77" s="338"/>
      <c r="G77" s="338"/>
      <c r="H77" s="338"/>
      <c r="I77" s="338"/>
      <c r="J77" s="338"/>
      <c r="K77" s="338"/>
      <c r="L77" s="338"/>
      <c r="M77" s="338"/>
      <c r="N77" s="338"/>
      <c r="O77" s="338"/>
    </row>
    <row r="78" spans="1:17" s="171" customFormat="1" ht="30" customHeight="1" x14ac:dyDescent="0.3">
      <c r="A78" s="338" t="s">
        <v>478</v>
      </c>
      <c r="B78" s="338"/>
      <c r="C78" s="338"/>
      <c r="D78" s="338"/>
      <c r="E78" s="338"/>
      <c r="F78" s="338"/>
      <c r="G78" s="338"/>
      <c r="H78" s="338"/>
      <c r="I78" s="338"/>
      <c r="J78" s="338"/>
      <c r="K78" s="338"/>
      <c r="L78" s="338"/>
      <c r="M78" s="338"/>
      <c r="N78" s="338"/>
      <c r="O78" s="338"/>
    </row>
    <row r="79" spans="1:17" s="171" customFormat="1" ht="15" x14ac:dyDescent="0.3">
      <c r="A79" s="338" t="s">
        <v>474</v>
      </c>
      <c r="B79" s="338"/>
      <c r="C79" s="338"/>
      <c r="D79" s="338"/>
      <c r="E79" s="338"/>
      <c r="F79" s="338"/>
      <c r="G79" s="338"/>
      <c r="H79" s="338"/>
      <c r="I79" s="338"/>
      <c r="J79" s="338"/>
      <c r="K79" s="338"/>
      <c r="L79" s="338"/>
      <c r="M79" s="338"/>
      <c r="N79" s="338"/>
      <c r="O79" s="338"/>
    </row>
  </sheetData>
  <dataConsolidate/>
  <mergeCells count="12">
    <mergeCell ref="J6:O6"/>
    <mergeCell ref="D7:E7"/>
    <mergeCell ref="F7:G7"/>
    <mergeCell ref="H7:I7"/>
    <mergeCell ref="J7:K7"/>
    <mergeCell ref="L7:M7"/>
    <mergeCell ref="N7:O7"/>
    <mergeCell ref="A75:O75"/>
    <mergeCell ref="A76:O76"/>
    <mergeCell ref="A79:O79"/>
    <mergeCell ref="A78:O78"/>
    <mergeCell ref="A77:O7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EJ78"/>
  <sheetViews>
    <sheetView zoomScale="115" workbookViewId="0">
      <pane xSplit="7" ySplit="3" topLeftCell="H55" activePane="bottomRight" state="frozen"/>
      <selection activeCell="C3" sqref="C3"/>
      <selection pane="topRight" activeCell="C3" sqref="C3"/>
      <selection pane="bottomLeft" activeCell="C3" sqref="C3"/>
      <selection pane="bottomRight" activeCell="I60" sqref="I60"/>
    </sheetView>
  </sheetViews>
  <sheetFormatPr defaultColWidth="8.7109375" defaultRowHeight="8.25" x14ac:dyDescent="0.15"/>
  <cols>
    <col min="1" max="4" width="8.7109375" style="1" customWidth="1"/>
    <col min="5" max="5" width="5.28515625" style="1" customWidth="1"/>
    <col min="6" max="6" width="8.7109375" style="1" customWidth="1"/>
    <col min="7" max="7" width="3.85546875" style="1" customWidth="1"/>
    <col min="8" max="13" width="8.7109375" style="1" customWidth="1"/>
    <col min="14" max="14" width="3.42578125" style="1" customWidth="1"/>
    <col min="15" max="15" width="8.7109375" style="119" customWidth="1"/>
    <col min="16" max="16" width="3.7109375" style="1" customWidth="1"/>
    <col min="17" max="23" width="8.7109375" style="1" customWidth="1"/>
    <col min="24" max="24" width="4.140625" style="1" customWidth="1"/>
    <col min="25" max="35" width="8.7109375" style="1" customWidth="1"/>
    <col min="36" max="38" width="8.7109375" style="124" customWidth="1"/>
    <col min="39" max="39" width="4" style="1" customWidth="1"/>
    <col min="40" max="43" width="8.7109375" style="119" customWidth="1"/>
    <col min="44" max="44" width="4.42578125" style="1" customWidth="1"/>
    <col min="45" max="47" width="8.7109375" style="119" customWidth="1"/>
    <col min="48" max="48" width="4.42578125" style="1" customWidth="1"/>
    <col min="49" max="79" width="8.7109375" style="1" customWidth="1"/>
    <col min="80" max="83" width="8.7109375" style="119" customWidth="1"/>
    <col min="84" max="85" width="8.7109375" style="1" customWidth="1"/>
    <col min="86" max="86" width="8.7109375" style="119" customWidth="1"/>
    <col min="87" max="88" width="8.7109375" style="1" customWidth="1"/>
    <col min="89" max="16384" width="8.7109375" style="3"/>
  </cols>
  <sheetData>
    <row r="1" spans="1:140" x14ac:dyDescent="0.15">
      <c r="H1" s="334" t="s">
        <v>49</v>
      </c>
      <c r="I1" s="334"/>
      <c r="J1" s="334"/>
      <c r="K1" s="334"/>
      <c r="L1" s="334"/>
      <c r="M1" s="334"/>
      <c r="N1" s="9"/>
      <c r="O1" s="123" t="s">
        <v>104</v>
      </c>
      <c r="P1" s="9"/>
      <c r="Q1" s="334" t="s">
        <v>50</v>
      </c>
      <c r="R1" s="334"/>
      <c r="S1" s="334"/>
      <c r="T1" s="334"/>
      <c r="U1" s="334"/>
      <c r="V1" s="334"/>
      <c r="W1" s="334"/>
      <c r="X1" s="9"/>
      <c r="Y1" s="334" t="s">
        <v>78</v>
      </c>
      <c r="Z1" s="334"/>
      <c r="AA1" s="334"/>
      <c r="AB1" s="334"/>
      <c r="AC1" s="334"/>
      <c r="AD1" s="334"/>
      <c r="AE1" s="334"/>
      <c r="AF1" s="334"/>
      <c r="AG1" s="334"/>
      <c r="AH1" s="334"/>
      <c r="AI1" s="9"/>
      <c r="AJ1" s="335" t="s">
        <v>51</v>
      </c>
      <c r="AK1" s="335"/>
      <c r="AL1" s="335"/>
      <c r="AM1" s="9"/>
      <c r="AN1" s="332" t="s">
        <v>51</v>
      </c>
      <c r="AO1" s="332"/>
      <c r="AP1" s="332"/>
      <c r="AQ1" s="332"/>
      <c r="AS1" s="332" t="s">
        <v>105</v>
      </c>
      <c r="AT1" s="332"/>
      <c r="AU1" s="332"/>
      <c r="AW1" s="334" t="s">
        <v>107</v>
      </c>
      <c r="AX1" s="334"/>
      <c r="AY1" s="334"/>
      <c r="AZ1" s="334"/>
      <c r="BB1" s="334" t="s">
        <v>79</v>
      </c>
      <c r="BC1" s="334"/>
      <c r="BD1" s="334"/>
      <c r="BE1" s="334"/>
      <c r="BF1" s="334"/>
      <c r="BG1" s="334"/>
      <c r="BH1" s="334"/>
      <c r="BJ1" s="334" t="s">
        <v>80</v>
      </c>
      <c r="BK1" s="334"/>
      <c r="BL1" s="334"/>
      <c r="BM1" s="334"/>
      <c r="BO1" s="334" t="s">
        <v>55</v>
      </c>
      <c r="BP1" s="334"/>
      <c r="BQ1" s="334"/>
      <c r="BR1" s="334"/>
      <c r="BS1" s="334"/>
      <c r="BT1" s="334"/>
      <c r="BU1" s="334"/>
      <c r="BW1" s="334" t="s">
        <v>56</v>
      </c>
      <c r="BX1" s="334"/>
      <c r="BY1" s="334"/>
      <c r="BZ1" s="334"/>
      <c r="CB1" s="332" t="s">
        <v>108</v>
      </c>
      <c r="CC1" s="332"/>
      <c r="CD1" s="332"/>
      <c r="CE1" s="332"/>
      <c r="EC1" s="3" t="s">
        <v>84</v>
      </c>
    </row>
    <row r="2" spans="1:140" ht="12.75" customHeight="1" x14ac:dyDescent="0.15">
      <c r="A2" s="2" t="s">
        <v>25</v>
      </c>
      <c r="H2" s="334" t="s">
        <v>47</v>
      </c>
      <c r="I2" s="334"/>
      <c r="J2" s="334"/>
      <c r="K2" s="334" t="s">
        <v>48</v>
      </c>
      <c r="L2" s="334"/>
      <c r="M2" s="334"/>
      <c r="N2" s="9"/>
      <c r="P2" s="9"/>
      <c r="Q2" s="334" t="s">
        <v>47</v>
      </c>
      <c r="R2" s="334"/>
      <c r="S2" s="334"/>
      <c r="T2" s="334"/>
      <c r="U2" s="334" t="s">
        <v>48</v>
      </c>
      <c r="V2" s="334"/>
      <c r="W2" s="334"/>
      <c r="X2" s="9"/>
      <c r="Y2" s="9"/>
      <c r="Z2" s="9"/>
      <c r="AA2" s="9"/>
      <c r="AB2" s="9"/>
      <c r="AC2" s="9"/>
      <c r="AD2" s="9"/>
      <c r="AE2" s="9"/>
      <c r="AF2" s="9"/>
      <c r="AG2" s="9"/>
      <c r="CG2" s="2" t="s">
        <v>24</v>
      </c>
      <c r="CH2" s="120"/>
      <c r="CM2" s="334" t="s">
        <v>29</v>
      </c>
      <c r="CN2" s="334"/>
      <c r="CO2" s="334"/>
      <c r="CP2" s="9"/>
      <c r="CQ2" s="334" t="s">
        <v>30</v>
      </c>
      <c r="CR2" s="334"/>
      <c r="CS2" s="334"/>
      <c r="CT2" s="9"/>
      <c r="CU2" s="334" t="s">
        <v>68</v>
      </c>
      <c r="CV2" s="334"/>
      <c r="CW2" s="334"/>
      <c r="CX2" s="334"/>
      <c r="CY2" s="9"/>
      <c r="CZ2" s="334" t="s">
        <v>72</v>
      </c>
      <c r="DA2" s="334"/>
      <c r="DB2" s="334"/>
      <c r="DD2" s="333" t="s">
        <v>73</v>
      </c>
      <c r="DE2" s="333"/>
      <c r="DF2" s="333"/>
      <c r="DG2" s="65"/>
      <c r="DH2" s="334" t="s">
        <v>74</v>
      </c>
      <c r="DI2" s="334"/>
      <c r="DJ2" s="334"/>
      <c r="DK2" s="334"/>
      <c r="DM2" s="334" t="s">
        <v>75</v>
      </c>
      <c r="DN2" s="334"/>
      <c r="DO2" s="334"/>
      <c r="DQ2" s="333" t="s">
        <v>76</v>
      </c>
      <c r="DR2" s="333"/>
      <c r="DS2" s="333"/>
      <c r="DU2" s="9"/>
      <c r="DV2" s="9"/>
      <c r="DW2" s="9"/>
      <c r="DX2" s="9"/>
      <c r="DY2" s="333" t="s">
        <v>77</v>
      </c>
      <c r="DZ2" s="333"/>
      <c r="EA2" s="333"/>
      <c r="ED2" s="333" t="s">
        <v>83</v>
      </c>
      <c r="EE2" s="333"/>
      <c r="EF2" s="333"/>
      <c r="EH2" s="333" t="s">
        <v>82</v>
      </c>
      <c r="EI2" s="333"/>
      <c r="EJ2" s="333"/>
    </row>
    <row r="3" spans="1:140" s="6" customFormat="1" ht="49.5" x14ac:dyDescent="0.15">
      <c r="A3" s="4" t="s">
        <v>1</v>
      </c>
      <c r="B3" s="4" t="s">
        <v>2</v>
      </c>
      <c r="C3" s="4" t="s">
        <v>3</v>
      </c>
      <c r="D3" s="4" t="s">
        <v>4</v>
      </c>
      <c r="E3" s="4"/>
      <c r="F3" s="4"/>
      <c r="G3" s="4"/>
      <c r="H3" s="5" t="s">
        <v>6</v>
      </c>
      <c r="I3" s="5" t="s">
        <v>7</v>
      </c>
      <c r="J3" s="5" t="s">
        <v>8</v>
      </c>
      <c r="K3" s="5" t="s">
        <v>6</v>
      </c>
      <c r="L3" s="5" t="s">
        <v>7</v>
      </c>
      <c r="M3" s="5" t="s">
        <v>8</v>
      </c>
      <c r="N3" s="5"/>
      <c r="O3" s="121" t="s">
        <v>70</v>
      </c>
      <c r="P3" s="5"/>
      <c r="Q3" s="5" t="s">
        <v>14</v>
      </c>
      <c r="R3" s="5" t="s">
        <v>10</v>
      </c>
      <c r="S3" s="5" t="s">
        <v>86</v>
      </c>
      <c r="T3" s="5" t="s">
        <v>32</v>
      </c>
      <c r="U3" s="5" t="s">
        <v>14</v>
      </c>
      <c r="V3" s="5" t="s">
        <v>10</v>
      </c>
      <c r="W3" s="5" t="s">
        <v>32</v>
      </c>
      <c r="X3" s="5"/>
      <c r="Y3" s="5" t="s">
        <v>10</v>
      </c>
      <c r="Z3" s="5" t="s">
        <v>43</v>
      </c>
      <c r="AA3" s="5" t="s">
        <v>52</v>
      </c>
      <c r="AB3" s="5" t="s">
        <v>13</v>
      </c>
      <c r="AC3" s="5" t="s">
        <v>28</v>
      </c>
      <c r="AD3" s="5" t="s">
        <v>10</v>
      </c>
      <c r="AE3" s="5" t="s">
        <v>45</v>
      </c>
      <c r="AF3" s="5" t="s">
        <v>53</v>
      </c>
      <c r="AG3" s="5" t="s">
        <v>46</v>
      </c>
      <c r="AH3" s="5" t="s">
        <v>54</v>
      </c>
      <c r="AI3" s="5"/>
      <c r="AJ3" s="125" t="s">
        <v>44</v>
      </c>
      <c r="AK3" s="125" t="s">
        <v>17</v>
      </c>
      <c r="AL3" s="125" t="s">
        <v>18</v>
      </c>
      <c r="AM3" s="5"/>
      <c r="AN3" s="121" t="s">
        <v>99</v>
      </c>
      <c r="AO3" s="121" t="s">
        <v>100</v>
      </c>
      <c r="AP3" s="121" t="s">
        <v>101</v>
      </c>
      <c r="AQ3" s="121" t="s">
        <v>102</v>
      </c>
      <c r="AR3" s="5"/>
      <c r="AS3" s="121" t="s">
        <v>106</v>
      </c>
      <c r="AT3" s="121" t="s">
        <v>26</v>
      </c>
      <c r="AU3" s="121" t="s">
        <v>27</v>
      </c>
      <c r="AV3" s="5"/>
      <c r="AW3" s="5" t="s">
        <v>40</v>
      </c>
      <c r="AX3" s="5" t="s">
        <v>41</v>
      </c>
      <c r="AY3" s="5" t="s">
        <v>39</v>
      </c>
      <c r="AZ3" s="5" t="s">
        <v>34</v>
      </c>
      <c r="BA3" s="5"/>
      <c r="BB3" s="5" t="s">
        <v>14</v>
      </c>
      <c r="BC3" s="5" t="s">
        <v>15</v>
      </c>
      <c r="BD3" s="5" t="s">
        <v>71</v>
      </c>
      <c r="BE3" s="5" t="s">
        <v>16</v>
      </c>
      <c r="BF3" s="5" t="s">
        <v>6</v>
      </c>
      <c r="BG3" s="5" t="s">
        <v>7</v>
      </c>
      <c r="BH3" s="5" t="s">
        <v>33</v>
      </c>
      <c r="BI3" s="5"/>
      <c r="BJ3" s="5" t="s">
        <v>40</v>
      </c>
      <c r="BK3" s="5" t="s">
        <v>41</v>
      </c>
      <c r="BL3" s="5" t="s">
        <v>39</v>
      </c>
      <c r="BM3" s="5" t="s">
        <v>34</v>
      </c>
      <c r="BN3" s="5"/>
      <c r="BO3" s="5" t="s">
        <v>14</v>
      </c>
      <c r="BP3" s="5" t="s">
        <v>10</v>
      </c>
      <c r="BQ3" s="5" t="s">
        <v>88</v>
      </c>
      <c r="BR3" s="5" t="s">
        <v>32</v>
      </c>
      <c r="BS3" s="5" t="s">
        <v>6</v>
      </c>
      <c r="BT3" s="5" t="s">
        <v>7</v>
      </c>
      <c r="BU3" s="5" t="s">
        <v>33</v>
      </c>
      <c r="BV3" s="5"/>
      <c r="BW3" s="5" t="s">
        <v>61</v>
      </c>
      <c r="BX3" s="5" t="s">
        <v>62</v>
      </c>
      <c r="BY3" s="5" t="s">
        <v>63</v>
      </c>
      <c r="BZ3" s="5" t="s">
        <v>64</v>
      </c>
      <c r="CA3" s="5"/>
      <c r="CB3" s="121" t="s">
        <v>5</v>
      </c>
      <c r="CC3" s="121" t="s">
        <v>9</v>
      </c>
      <c r="CD3" s="121" t="s">
        <v>103</v>
      </c>
      <c r="CE3" s="121" t="s">
        <v>11</v>
      </c>
      <c r="CF3" s="5"/>
      <c r="CG3" s="5"/>
      <c r="CH3" s="121"/>
      <c r="CI3" s="5"/>
      <c r="CM3" s="66" t="s">
        <v>9</v>
      </c>
      <c r="CN3" s="66" t="s">
        <v>11</v>
      </c>
      <c r="CO3" s="66" t="s">
        <v>14</v>
      </c>
      <c r="CP3" s="66"/>
      <c r="CQ3" s="66" t="s">
        <v>7</v>
      </c>
      <c r="CR3" s="66" t="s">
        <v>92</v>
      </c>
      <c r="CS3" s="66" t="s">
        <v>6</v>
      </c>
      <c r="CT3" s="66"/>
      <c r="CU3" s="66" t="s">
        <v>40</v>
      </c>
      <c r="CV3" s="66" t="s">
        <v>41</v>
      </c>
      <c r="CW3" s="66" t="s">
        <v>39</v>
      </c>
      <c r="CX3" s="5" t="s">
        <v>34</v>
      </c>
      <c r="CY3" s="5"/>
      <c r="CZ3" s="66" t="s">
        <v>15</v>
      </c>
      <c r="DA3" s="66" t="s">
        <v>16</v>
      </c>
      <c r="DB3" s="66" t="s">
        <v>14</v>
      </c>
      <c r="DD3" s="5" t="s">
        <v>7</v>
      </c>
      <c r="DE3" s="66" t="s">
        <v>8</v>
      </c>
      <c r="DF3" s="5" t="s">
        <v>6</v>
      </c>
      <c r="DG3" s="66"/>
      <c r="DH3" s="66" t="s">
        <v>40</v>
      </c>
      <c r="DI3" s="66" t="s">
        <v>41</v>
      </c>
      <c r="DJ3" s="66" t="s">
        <v>39</v>
      </c>
      <c r="DK3" s="5" t="s">
        <v>34</v>
      </c>
      <c r="DM3" s="66" t="s">
        <v>10</v>
      </c>
      <c r="DN3" s="66" t="s">
        <v>11</v>
      </c>
      <c r="DO3" s="66" t="s">
        <v>14</v>
      </c>
      <c r="DP3" s="5"/>
      <c r="DQ3" s="5" t="s">
        <v>7</v>
      </c>
      <c r="DR3" s="66" t="s">
        <v>8</v>
      </c>
      <c r="DS3" s="5" t="s">
        <v>6</v>
      </c>
      <c r="DT3" s="5"/>
      <c r="DU3" s="5"/>
      <c r="DV3" s="5"/>
      <c r="DW3" s="5"/>
      <c r="DX3" s="5"/>
      <c r="DY3" s="66" t="s">
        <v>45</v>
      </c>
      <c r="DZ3" s="66" t="s">
        <v>46</v>
      </c>
      <c r="EA3" s="66" t="s">
        <v>69</v>
      </c>
      <c r="ED3" s="66" t="s">
        <v>9</v>
      </c>
      <c r="EE3" s="66" t="s">
        <v>11</v>
      </c>
      <c r="EF3" s="66" t="s">
        <v>14</v>
      </c>
      <c r="EH3" s="6" t="s">
        <v>7</v>
      </c>
      <c r="EI3" s="6" t="s">
        <v>8</v>
      </c>
      <c r="EJ3" s="6" t="s">
        <v>81</v>
      </c>
    </row>
    <row r="4" spans="1:140" x14ac:dyDescent="0.15">
      <c r="A4" s="1">
        <v>40</v>
      </c>
      <c r="B4" s="1">
        <v>41</v>
      </c>
      <c r="C4" s="1">
        <v>42</v>
      </c>
      <c r="D4" s="1">
        <v>39</v>
      </c>
      <c r="F4" s="1">
        <f>IF('Input data (2)'!C2=4,'Input data (2)'!C1-9,'Input data (2)'!C1-10)</f>
        <v>2003</v>
      </c>
      <c r="H4" s="1">
        <f t="shared" ref="H4:J13" si="0">SUMIF($F$15:$F$68,$F4,H$15:H$68)</f>
        <v>14184</v>
      </c>
      <c r="I4" s="1">
        <f t="shared" si="0"/>
        <v>5234</v>
      </c>
      <c r="J4" s="1">
        <f t="shared" si="0"/>
        <v>8950</v>
      </c>
      <c r="O4" s="119">
        <f t="shared" ref="O4:O13" ca="1" si="1">SUMIF($F$15:$F$68,$F4,O$15:O$68)</f>
        <v>0</v>
      </c>
      <c r="Q4" s="1">
        <f t="shared" ref="Q4:T13" ca="1" si="2">SUMIF($F$15:$F$68,$F4,Q$15:Q$68)</f>
        <v>35604</v>
      </c>
      <c r="R4" s="1">
        <f t="shared" ca="1" si="2"/>
        <v>28021</v>
      </c>
      <c r="S4" s="1">
        <f t="shared" ca="1" si="2"/>
        <v>0</v>
      </c>
      <c r="T4" s="1">
        <f t="shared" ca="1" si="2"/>
        <v>7583</v>
      </c>
      <c r="Y4" s="1">
        <f t="shared" ref="Y4:Z13" ca="1" si="3">SUMIF($F$15:$F$68,$F4,Y$15:Y$68)</f>
        <v>28021</v>
      </c>
      <c r="Z4" s="1">
        <f t="shared" ca="1" si="3"/>
        <v>19882</v>
      </c>
      <c r="AB4" s="1">
        <f t="shared" ref="AB4:AB13" ca="1" si="4">SUMIF($F$15:$F$68,$F4,AB$15:AB$68)</f>
        <v>8139</v>
      </c>
      <c r="AD4" s="1">
        <f t="shared" ref="AD4:AE13" ca="1" si="5">SUMIF($F$15:$F$68,$F4,AD$15:AD$68)</f>
        <v>28021</v>
      </c>
      <c r="AE4" s="1">
        <f t="shared" ca="1" si="5"/>
        <v>9139</v>
      </c>
      <c r="AG4" s="1">
        <f t="shared" ref="AG4:AG13" ca="1" si="6">SUMIF($F$15:$F$68,$F4,AG$15:AG$68)</f>
        <v>18882</v>
      </c>
      <c r="AJ4" s="124">
        <f t="shared" ref="AJ4:AL13" ca="1" si="7">SUMIF($F$15:$F$68,$F4,AJ$15:AJ$68)</f>
        <v>2812</v>
      </c>
      <c r="AK4" s="124">
        <f t="shared" ca="1" si="7"/>
        <v>2720</v>
      </c>
      <c r="AL4" s="124">
        <f t="shared" ca="1" si="7"/>
        <v>92</v>
      </c>
      <c r="AW4" s="1">
        <f t="shared" ref="AW4:AZ13" ca="1" si="8">SUMIF($F$15:$F$68,$F4,AW$15:AW$68)</f>
        <v>1261</v>
      </c>
      <c r="AX4" s="1">
        <f t="shared" ca="1" si="8"/>
        <v>497</v>
      </c>
      <c r="AY4" s="1">
        <f t="shared" ca="1" si="8"/>
        <v>247</v>
      </c>
      <c r="AZ4" s="1">
        <f t="shared" ca="1" si="8"/>
        <v>726</v>
      </c>
      <c r="BB4" s="1">
        <f t="shared" ref="BB4:BH13" ca="1" si="9">SUMIF($F$15:$F$68,$F4,BB$15:BB$68)</f>
        <v>8780</v>
      </c>
      <c r="BC4" s="1">
        <f t="shared" ca="1" si="9"/>
        <v>3328</v>
      </c>
      <c r="BD4" s="1">
        <f t="shared" ca="1" si="9"/>
        <v>0</v>
      </c>
      <c r="BE4" s="1">
        <f t="shared" ca="1" si="9"/>
        <v>5452</v>
      </c>
      <c r="BF4" s="1">
        <f t="shared" ca="1" si="9"/>
        <v>631</v>
      </c>
      <c r="BG4" s="1">
        <f t="shared" ca="1" si="9"/>
        <v>436</v>
      </c>
      <c r="BH4" s="1">
        <f t="shared" ca="1" si="9"/>
        <v>195</v>
      </c>
      <c r="BJ4" s="1">
        <f t="shared" ref="BJ4:BM13" ca="1" si="10">SUMIF($F$15:$F$68,$F4,BJ$15:BJ$68)</f>
        <v>118</v>
      </c>
      <c r="BK4" s="1">
        <f t="shared" ca="1" si="10"/>
        <v>6</v>
      </c>
      <c r="BL4" s="1">
        <f t="shared" ca="1" si="10"/>
        <v>3</v>
      </c>
      <c r="BM4" s="1">
        <f t="shared" ca="1" si="10"/>
        <v>7</v>
      </c>
      <c r="BO4" s="1">
        <f t="shared" ref="BO4:BU13" ca="1" si="11">SUMIF($F$15:$F$68,$F4,BO$15:BO$68)</f>
        <v>835</v>
      </c>
      <c r="BP4" s="1">
        <f t="shared" ca="1" si="11"/>
        <v>517</v>
      </c>
      <c r="BQ4" s="1">
        <f t="shared" ca="1" si="11"/>
        <v>0</v>
      </c>
      <c r="BR4" s="1">
        <f t="shared" ca="1" si="11"/>
        <v>318</v>
      </c>
      <c r="BS4" s="1">
        <f t="shared" ca="1" si="11"/>
        <v>142</v>
      </c>
      <c r="BT4" s="1">
        <f t="shared" ca="1" si="11"/>
        <v>95</v>
      </c>
      <c r="BU4" s="1">
        <f t="shared" ca="1" si="11"/>
        <v>47</v>
      </c>
      <c r="CG4" s="1">
        <v>40</v>
      </c>
      <c r="CI4" s="1">
        <f>LEFT('Input data (2)'!C3,4)-10</f>
        <v>2003</v>
      </c>
      <c r="CJ4" s="1" t="str">
        <f>"Q"&amp;'Input data (2)'!C2</f>
        <v>Q2</v>
      </c>
      <c r="CK4" s="1" t="str">
        <f t="shared" ref="CK4:CK44" si="12">RIGHT(CI4,2)</f>
        <v>03</v>
      </c>
      <c r="CL4" s="1" t="str">
        <f t="shared" ref="CL4:CL44" si="13">CONCATENATE(CJ4," ",CK4)</f>
        <v>Q2 03</v>
      </c>
      <c r="CM4" s="1">
        <f ca="1">OFFSET('Input data (2)'!AJ$126,'Input data (2)'!$BL$1-'Output data - DO NOT TOUCH (2)'!$CG4,0)/1000</f>
        <v>6.7480000000000002</v>
      </c>
      <c r="CN4" s="1">
        <f ca="1">OFFSET('Input data (2)'!AK$126,'Input data (2)'!$BL$1-'Output data - DO NOT TOUCH (2)'!$CG4,0)/1000</f>
        <v>1.8959999999999999</v>
      </c>
      <c r="CO4" s="1">
        <f ca="1">OFFSET('Input data (2)'!AL$126,'Input data (2)'!$BL$1-'Output data - DO NOT TOUCH (2)'!$CG4,0)/1000</f>
        <v>8.6440000000000001</v>
      </c>
      <c r="CP4" s="1"/>
      <c r="CQ4" s="1">
        <f ca="1">OFFSET('Input data (2)'!AG$126,'Input data (2)'!$BL$1-'Output data - DO NOT TOUCH (2)'!$CG4,0)/1000</f>
        <v>1.44</v>
      </c>
      <c r="CR4" s="1">
        <f ca="1">OFFSET('Input data (2)'!AH$126,'Input data (2)'!$BL$1-'Output data - DO NOT TOUCH (2)'!$CG4,0)/1000</f>
        <v>2.258</v>
      </c>
      <c r="CS4" s="1">
        <f ca="1">OFFSET('Input data (2)'!AI$126,'Input data (2)'!$BL$1-'Output data - DO NOT TOUCH (2)'!$CG4,0)/1000</f>
        <v>3.698</v>
      </c>
      <c r="CT4" s="1"/>
      <c r="CU4" s="1">
        <f ca="1">OFFSET('Input data (2)'!L$126,'Input data (2)'!$BL$1-'Output data - DO NOT TOUCH (2)'!$CG4,0)</f>
        <v>298</v>
      </c>
      <c r="CV4" s="1">
        <f ca="1">OFFSET('Input data (2)'!M$126,'Input data (2)'!$BL$1-'Output data - DO NOT TOUCH (2)'!$CG4,0)</f>
        <v>167</v>
      </c>
      <c r="CW4" s="67">
        <v>0</v>
      </c>
      <c r="CX4" s="1">
        <f ca="1">OFFSET('Input data (2)'!P$126,'Input data (2)'!$BL$1-'Output data - DO NOT TOUCH (2)'!$CG4,0)</f>
        <v>165</v>
      </c>
      <c r="CY4" s="1"/>
      <c r="CZ4" s="1">
        <f ca="1">OFFSET('Input data (2)'!AY$126,'Input data (2)'!$BL$1-'Output data - DO NOT TOUCH (2)'!$CG4,0)/1000</f>
        <v>0.85799999999999998</v>
      </c>
      <c r="DA4" s="1">
        <f ca="1">OFFSET('Input data (2)'!BA$126,'Input data (2)'!$BL$1-'Output data - DO NOT TOUCH (2)'!$CG4,0)/1000</f>
        <v>1.331</v>
      </c>
      <c r="DB4" s="1">
        <f ca="1">OFFSET('Input data (2)'!BB$126,'Input data (2)'!$BL$1-'Output data - DO NOT TOUCH (2)'!$CG4,0)/1000</f>
        <v>2.1890000000000001</v>
      </c>
      <c r="DD4" s="1">
        <f ca="1">OFFSET('Input data (2)'!AN$126,'Input data (2)'!$BL$1-'Output data - DO NOT TOUCH (2)'!$CG4,0)</f>
        <v>118</v>
      </c>
      <c r="DE4" s="1">
        <f ca="1">OFFSET('Input data (2)'!AO$126,'Input data (2)'!$BL$1-'Output data - DO NOT TOUCH (2)'!$CG4,0)</f>
        <v>50</v>
      </c>
      <c r="DF4" s="1">
        <f ca="1">OFFSET('Input data (2)'!AP$126,'Input data (2)'!$BL$1-'Output data - DO NOT TOUCH (2)'!$CG4,0)</f>
        <v>168</v>
      </c>
      <c r="DG4" s="1"/>
      <c r="DH4" s="1">
        <f ca="1">OFFSET('Input data (2)'!AU$126,'Input data (2)'!$BL$1-'Output data - DO NOT TOUCH (2)'!$CG4,0)</f>
        <v>21</v>
      </c>
      <c r="DI4" s="1">
        <f ca="1">OFFSET('Input data (2)'!AV$126,'Input data (2)'!$BL$1-'Output data - DO NOT TOUCH (2)'!$CG4,0)</f>
        <v>1</v>
      </c>
      <c r="DJ4" s="1" t="str">
        <f ca="1">OFFSET('Input data (2)'!AW$126,'Input data (2)'!$BL$1-'Output data - DO NOT TOUCH (2)'!$CG4,0)</f>
        <v>:</v>
      </c>
      <c r="DK4" s="1">
        <f ca="1">OFFSET('Input data (2)'!AX$126,'Input data (2)'!$BL$1-'Output data - DO NOT TOUCH (2)'!$CG4,0)</f>
        <v>3</v>
      </c>
      <c r="DM4" s="1">
        <f ca="1">OFFSET('Input data (2)'!BI$126,'Input data (2)'!$BL$1-'Output data - DO NOT TOUCH (2)'!$CG4,0)</f>
        <v>141</v>
      </c>
      <c r="DN4" s="1">
        <f ca="1">OFFSET('Input data (2)'!BJ$126,'Input data (2)'!$BL$1-'Output data - DO NOT TOUCH (2)'!$CG4,0)</f>
        <v>78</v>
      </c>
      <c r="DO4" s="1">
        <f ca="1">OFFSET('Input data (2)'!BL$126,'Input data (2)'!$BL$1-'Output data - DO NOT TOUCH (2)'!$CG4,0)</f>
        <v>219</v>
      </c>
      <c r="DQ4" s="1">
        <f ca="1">OFFSET('Input data (2)'!BD$126,'Input data (2)'!$BL$1-'Output data - DO NOT TOUCH (2)'!$CG4,0)</f>
        <v>25</v>
      </c>
      <c r="DR4" s="1">
        <f ca="1">OFFSET('Input data (2)'!BE$126,'Input data (2)'!$BL$1-'Output data - DO NOT TOUCH (2)'!$CG4,0)</f>
        <v>17</v>
      </c>
      <c r="DS4" s="1">
        <f ca="1">OFFSET('Input data (2)'!BF$126,'Input data (2)'!$BL$1-'Output data - DO NOT TOUCH (2)'!$CG4,0)</f>
        <v>42</v>
      </c>
      <c r="DU4" s="1">
        <f ca="1">OFFSET('Input data (2)'!B$126,'Input data (2)'!$BL$1-'Output data - DO NOT TOUCH (2)'!$CG4-1,0)</f>
        <v>2003</v>
      </c>
      <c r="DV4" s="1" t="str">
        <f ca="1">OFFSET('Input data (2)'!C$126,'Input data (2)'!$BL$1-'Output data - DO NOT TOUCH (2)'!$CG4-1,0)</f>
        <v>Q1</v>
      </c>
      <c r="DW4" s="1" t="str">
        <f t="shared" ref="DW4:DW44" ca="1" si="14">RIGHT(DU4,2)</f>
        <v>03</v>
      </c>
      <c r="DX4" s="1" t="str">
        <f t="shared" ref="DX4:DX44" ca="1" si="15">CONCATENATE(DV4," ",DW4)</f>
        <v>Q1 03</v>
      </c>
      <c r="DY4" s="1">
        <f ca="1">OFFSET('Input data (2)'!W$126,'Input data (2)'!$BL$1-'Output data - DO NOT TOUCH (2)'!$CG4-1,0)/1000</f>
        <v>2.468</v>
      </c>
      <c r="DZ4" s="1">
        <f ca="1">OFFSET('Input data (2)'!Y$126,'Input data (2)'!$BL$1-'Output data - DO NOT TOUCH (2)'!$CG4-1,0)/1000</f>
        <v>4.444</v>
      </c>
      <c r="EA4" s="1">
        <f ca="1">OFFSET('Input data (2)'!Q$126,'Input data (2)'!$BL$1-'Output data - DO NOT TOUCH (2)'!$CG4-1,0)/1000</f>
        <v>6.9119999999999999</v>
      </c>
      <c r="EC4" s="3" t="str">
        <f t="shared" ref="EC4:EC12" si="16">CL36</f>
        <v>Q2 11</v>
      </c>
      <c r="ED4" s="68" t="e">
        <f t="shared" ref="ED4:ED12" ca="1" si="17">(CM36/CM35-1)*(CM35/$CO35)*100</f>
        <v>#VALUE!</v>
      </c>
      <c r="EE4" s="68" t="e">
        <f t="shared" ref="EE4:EE12" ca="1" si="18">(CN36/CN35-1)*(CN35/$CO35)*100</f>
        <v>#VALUE!</v>
      </c>
      <c r="EF4" s="68" t="e">
        <f t="shared" ref="EF4:EF12" ca="1" si="19">SUM(ED4:EE4)</f>
        <v>#VALUE!</v>
      </c>
      <c r="EH4" s="68">
        <f t="shared" ref="EH4:EH12" ca="1" si="20">(CQ36/CQ35-1)*(CQ35/$CS35)*100</f>
        <v>5.6218057921635403</v>
      </c>
      <c r="EI4" s="68">
        <f t="shared" ref="EI4:EI12" ca="1" si="21">(CR36/CR35-1)*(CR35/$CS35)*100</f>
        <v>-2.6770503772207443</v>
      </c>
      <c r="EJ4" s="68">
        <f t="shared" ref="EJ4:EJ12" ca="1" si="22">EH4+EI4</f>
        <v>2.9447554149427959</v>
      </c>
    </row>
    <row r="5" spans="1:140" x14ac:dyDescent="0.15">
      <c r="A5" s="1">
        <v>39</v>
      </c>
      <c r="B5" s="1">
        <v>40</v>
      </c>
      <c r="C5" s="1">
        <v>41</v>
      </c>
      <c r="D5" s="1">
        <v>38</v>
      </c>
      <c r="F5" s="1">
        <f t="shared" ref="F5:F13" si="23">F4+1</f>
        <v>2004</v>
      </c>
      <c r="H5" s="1">
        <f t="shared" si="0"/>
        <v>12192</v>
      </c>
      <c r="I5" s="1">
        <f t="shared" si="0"/>
        <v>4584</v>
      </c>
      <c r="J5" s="1">
        <f t="shared" si="0"/>
        <v>7608</v>
      </c>
      <c r="O5" s="119">
        <f t="shared" ca="1" si="1"/>
        <v>165</v>
      </c>
      <c r="Q5" s="1">
        <f t="shared" ca="1" si="2"/>
        <v>46652</v>
      </c>
      <c r="R5" s="1">
        <f t="shared" ca="1" si="2"/>
        <v>35898</v>
      </c>
      <c r="S5" s="1">
        <f t="shared" ca="1" si="2"/>
        <v>0</v>
      </c>
      <c r="T5" s="1">
        <f t="shared" ca="1" si="2"/>
        <v>10753</v>
      </c>
      <c r="Y5" s="1">
        <f t="shared" ca="1" si="3"/>
        <v>35898</v>
      </c>
      <c r="Z5" s="1">
        <f t="shared" ca="1" si="3"/>
        <v>27872</v>
      </c>
      <c r="AB5" s="1">
        <f t="shared" ca="1" si="4"/>
        <v>8026</v>
      </c>
      <c r="AD5" s="1">
        <f t="shared" ca="1" si="5"/>
        <v>35898</v>
      </c>
      <c r="AE5" s="1">
        <f t="shared" ca="1" si="5"/>
        <v>9564</v>
      </c>
      <c r="AG5" s="1">
        <f t="shared" ca="1" si="6"/>
        <v>26334</v>
      </c>
      <c r="AJ5" s="124">
        <f t="shared" ca="1" si="7"/>
        <v>6238</v>
      </c>
      <c r="AK5" s="124">
        <f t="shared" ca="1" si="7"/>
        <v>1238</v>
      </c>
      <c r="AL5" s="124">
        <f t="shared" ca="1" si="7"/>
        <v>5000</v>
      </c>
      <c r="AW5" s="1">
        <f t="shared" ca="1" si="8"/>
        <v>864</v>
      </c>
      <c r="AX5" s="1">
        <f t="shared" ca="1" si="8"/>
        <v>1</v>
      </c>
      <c r="AY5" s="1">
        <f t="shared" ca="1" si="8"/>
        <v>1601</v>
      </c>
      <c r="AZ5" s="1">
        <f t="shared" ca="1" si="8"/>
        <v>597</v>
      </c>
      <c r="BB5" s="1">
        <f t="shared" ca="1" si="9"/>
        <v>9321</v>
      </c>
      <c r="BC5" s="1">
        <f t="shared" ca="1" si="9"/>
        <v>3297</v>
      </c>
      <c r="BD5" s="1">
        <f t="shared" ca="1" si="9"/>
        <v>0</v>
      </c>
      <c r="BE5" s="1">
        <f t="shared" ca="1" si="9"/>
        <v>6024</v>
      </c>
      <c r="BF5" s="1">
        <f t="shared" ca="1" si="9"/>
        <v>621</v>
      </c>
      <c r="BG5" s="1">
        <f t="shared" ca="1" si="9"/>
        <v>431</v>
      </c>
      <c r="BH5" s="1">
        <f t="shared" ca="1" si="9"/>
        <v>190</v>
      </c>
      <c r="BJ5" s="1">
        <f t="shared" ca="1" si="10"/>
        <v>82</v>
      </c>
      <c r="BK5" s="1">
        <f t="shared" ca="1" si="10"/>
        <v>0</v>
      </c>
      <c r="BL5" s="1">
        <f t="shared" ca="1" si="10"/>
        <v>31</v>
      </c>
      <c r="BM5" s="1">
        <f t="shared" ca="1" si="10"/>
        <v>6</v>
      </c>
      <c r="BO5" s="1">
        <f t="shared" ca="1" si="11"/>
        <v>1115</v>
      </c>
      <c r="BP5" s="1">
        <f t="shared" ca="1" si="11"/>
        <v>666</v>
      </c>
      <c r="BQ5" s="1">
        <f t="shared" ca="1" si="11"/>
        <v>0</v>
      </c>
      <c r="BR5" s="1">
        <f t="shared" ca="1" si="11"/>
        <v>449</v>
      </c>
      <c r="BS5" s="1">
        <f t="shared" ca="1" si="11"/>
        <v>121</v>
      </c>
      <c r="BT5" s="1">
        <f t="shared" ca="1" si="11"/>
        <v>76</v>
      </c>
      <c r="BU5" s="1">
        <f t="shared" ca="1" si="11"/>
        <v>45</v>
      </c>
      <c r="CG5" s="1">
        <v>39</v>
      </c>
      <c r="CI5" s="1">
        <f ca="1">OFFSET('Input data (2)'!B$126,'Input data (2)'!$BL$1-'Output data - DO NOT TOUCH (2)'!$CG5,0)</f>
        <v>2003</v>
      </c>
      <c r="CJ5" s="1" t="str">
        <f>"Q"&amp;IF(RIGHT(CJ4)*1&lt;&gt;4,RIGHT(CJ4)+1,1)</f>
        <v>Q3</v>
      </c>
      <c r="CK5" s="1" t="str">
        <f t="shared" ca="1" si="12"/>
        <v>03</v>
      </c>
      <c r="CL5" s="1" t="str">
        <f t="shared" ca="1" si="13"/>
        <v>Q3 03</v>
      </c>
      <c r="CM5" s="1">
        <f ca="1">OFFSET('Input data (2)'!AJ$126,'Input data (2)'!$BL$1-'Output data - DO NOT TOUCH (2)'!$CG5,0)/1000</f>
        <v>7.2450000000000001</v>
      </c>
      <c r="CN5" s="1">
        <f ca="1">OFFSET('Input data (2)'!AK$126,'Input data (2)'!$BL$1-'Output data - DO NOT TOUCH (2)'!$CG5,0)/1000</f>
        <v>1.9570000000000001</v>
      </c>
      <c r="CO5" s="1">
        <f ca="1">OFFSET('Input data (2)'!AL$126,'Input data (2)'!$BL$1-'Output data - DO NOT TOUCH (2)'!$CG5,0)/1000</f>
        <v>9.202</v>
      </c>
      <c r="CP5" s="1"/>
      <c r="CQ5" s="1">
        <f ca="1">OFFSET('Input data (2)'!AG$126,'Input data (2)'!$BL$1-'Output data - DO NOT TOUCH (2)'!$CG5,0)/1000</f>
        <v>1.137</v>
      </c>
      <c r="CR5" s="1">
        <f ca="1">OFFSET('Input data (2)'!AH$126,'Input data (2)'!$BL$1-'Output data - DO NOT TOUCH (2)'!$CG5,0)/1000</f>
        <v>2.282</v>
      </c>
      <c r="CS5" s="1">
        <f ca="1">OFFSET('Input data (2)'!AI$126,'Input data (2)'!$BL$1-'Output data - DO NOT TOUCH (2)'!$CG5,0)/1000</f>
        <v>3.419</v>
      </c>
      <c r="CT5" s="1"/>
      <c r="CU5" s="1">
        <f ca="1">OFFSET('Input data (2)'!L$126,'Input data (2)'!$BL$1-'Output data - DO NOT TOUCH (2)'!$CG5,0)</f>
        <v>334</v>
      </c>
      <c r="CV5" s="1">
        <f ca="1">OFFSET('Input data (2)'!M$126,'Input data (2)'!$BL$1-'Output data - DO NOT TOUCH (2)'!$CG5,0)</f>
        <v>154</v>
      </c>
      <c r="CW5" s="67">
        <f ca="1">OFFSET('Input data (2)'!N$126,'Input data (2)'!$BL$1-'Output data - DO NOT TOUCH (2)'!$CG5,0)</f>
        <v>14</v>
      </c>
      <c r="CX5" s="1">
        <f ca="1">OFFSET('Input data (2)'!P$126,'Input data (2)'!$BL$1-'Output data - DO NOT TOUCH (2)'!$CG5,0)</f>
        <v>171</v>
      </c>
      <c r="CY5" s="1"/>
      <c r="CZ5" s="1">
        <f ca="1">OFFSET('Input data (2)'!AY$126,'Input data (2)'!$BL$1-'Output data - DO NOT TOUCH (2)'!$CG5,0)/1000</f>
        <v>0.84499999999999997</v>
      </c>
      <c r="DA5" s="1">
        <f ca="1">OFFSET('Input data (2)'!BA$126,'Input data (2)'!$BL$1-'Output data - DO NOT TOUCH (2)'!$CG5,0)/1000</f>
        <v>1.522</v>
      </c>
      <c r="DB5" s="1">
        <f ca="1">OFFSET('Input data (2)'!BB$126,'Input data (2)'!$BL$1-'Output data - DO NOT TOUCH (2)'!$CG5,0)/1000</f>
        <v>2.367</v>
      </c>
      <c r="DD5" s="1">
        <f ca="1">OFFSET('Input data (2)'!AN$126,'Input data (2)'!$BL$1-'Output data - DO NOT TOUCH (2)'!$CG5,0)</f>
        <v>109</v>
      </c>
      <c r="DE5" s="1">
        <f ca="1">OFFSET('Input data (2)'!AO$126,'Input data (2)'!$BL$1-'Output data - DO NOT TOUCH (2)'!$CG5,0)</f>
        <v>45</v>
      </c>
      <c r="DF5" s="1">
        <f ca="1">OFFSET('Input data (2)'!AP$126,'Input data (2)'!$BL$1-'Output data - DO NOT TOUCH (2)'!$CG5,0)</f>
        <v>154</v>
      </c>
      <c r="DG5" s="1"/>
      <c r="DH5" s="1">
        <f ca="1">OFFSET('Input data (2)'!AU$126,'Input data (2)'!$BL$1-'Output data - DO NOT TOUCH (2)'!$CG5,0)</f>
        <v>36</v>
      </c>
      <c r="DI5" s="1">
        <f ca="1">OFFSET('Input data (2)'!AV$126,'Input data (2)'!$BL$1-'Output data - DO NOT TOUCH (2)'!$CG5,0)</f>
        <v>1</v>
      </c>
      <c r="DJ5" s="1">
        <f ca="1">OFFSET('Input data (2)'!AW$126,'Input data (2)'!$BL$1-'Output data - DO NOT TOUCH (2)'!$CG5,0)</f>
        <v>1</v>
      </c>
      <c r="DK5" s="1">
        <f ca="1">OFFSET('Input data (2)'!AX$126,'Input data (2)'!$BL$1-'Output data - DO NOT TOUCH (2)'!$CG5,0)</f>
        <v>1</v>
      </c>
      <c r="DM5" s="1">
        <f ca="1">OFFSET('Input data (2)'!BI$126,'Input data (2)'!$BL$1-'Output data - DO NOT TOUCH (2)'!$CG5,0)</f>
        <v>109</v>
      </c>
      <c r="DN5" s="1">
        <f ca="1">OFFSET('Input data (2)'!BJ$126,'Input data (2)'!$BL$1-'Output data - DO NOT TOUCH (2)'!$CG5,0)</f>
        <v>96</v>
      </c>
      <c r="DO5" s="1">
        <f ca="1">OFFSET('Input data (2)'!BL$126,'Input data (2)'!$BL$1-'Output data - DO NOT TOUCH (2)'!$CG5,0)</f>
        <v>205</v>
      </c>
      <c r="DQ5" s="1">
        <f ca="1">OFFSET('Input data (2)'!BD$126,'Input data (2)'!$BL$1-'Output data - DO NOT TOUCH (2)'!$CG5,0)</f>
        <v>19</v>
      </c>
      <c r="DR5" s="1">
        <f ca="1">OFFSET('Input data (2)'!BE$126,'Input data (2)'!$BL$1-'Output data - DO NOT TOUCH (2)'!$CG5,0)</f>
        <v>10</v>
      </c>
      <c r="DS5" s="1">
        <f ca="1">OFFSET('Input data (2)'!BF$126,'Input data (2)'!$BL$1-'Output data - DO NOT TOUCH (2)'!$CG5,0)</f>
        <v>29</v>
      </c>
      <c r="DU5" s="1">
        <f ca="1">OFFSET('Input data (2)'!B$126,'Input data (2)'!$BL$1-'Output data - DO NOT TOUCH (2)'!$CG5-1,0)</f>
        <v>2003</v>
      </c>
      <c r="DV5" s="1" t="str">
        <f ca="1">OFFSET('Input data (2)'!C$126,'Input data (2)'!$BL$1-'Output data - DO NOT TOUCH (2)'!$CG5-1,0)</f>
        <v>Q2</v>
      </c>
      <c r="DW5" s="1" t="str">
        <f t="shared" ca="1" si="14"/>
        <v>03</v>
      </c>
      <c r="DX5" s="1" t="str">
        <f t="shared" ca="1" si="15"/>
        <v>Q2 03</v>
      </c>
      <c r="DY5" s="1">
        <f ca="1">OFFSET('Input data (2)'!W$126,'Input data (2)'!$BL$1-'Output data - DO NOT TOUCH (2)'!$CG5-1,0)/1000</f>
        <v>2.2669999999999999</v>
      </c>
      <c r="DZ5" s="1">
        <f ca="1">OFFSET('Input data (2)'!Y$126,'Input data (2)'!$BL$1-'Output data - DO NOT TOUCH (2)'!$CG5-1,0)/1000</f>
        <v>4.681</v>
      </c>
      <c r="EA5" s="1">
        <f ca="1">OFFSET('Input data (2)'!Q$126,'Input data (2)'!$BL$1-'Output data - DO NOT TOUCH (2)'!$CG5-1,0)/1000</f>
        <v>6.9480000000000004</v>
      </c>
      <c r="EC5" s="3" t="str">
        <f t="shared" ca="1" si="16"/>
        <v>Q3 11</v>
      </c>
      <c r="ED5" s="68" t="e">
        <f t="shared" ca="1" si="17"/>
        <v>#VALUE!</v>
      </c>
      <c r="EE5" s="68" t="e">
        <f t="shared" ca="1" si="18"/>
        <v>#VALUE!</v>
      </c>
      <c r="EF5" s="68" t="e">
        <f t="shared" ca="1" si="19"/>
        <v>#VALUE!</v>
      </c>
      <c r="EH5" s="68">
        <f t="shared" ca="1" si="20"/>
        <v>-2.8368794326241105</v>
      </c>
      <c r="EI5" s="68">
        <f t="shared" ca="1" si="21"/>
        <v>3.4042553191489389</v>
      </c>
      <c r="EJ5" s="68">
        <f t="shared" ca="1" si="22"/>
        <v>0.5673758865248284</v>
      </c>
    </row>
    <row r="6" spans="1:140" x14ac:dyDescent="0.15">
      <c r="A6" s="1">
        <v>38</v>
      </c>
      <c r="B6" s="1">
        <v>39</v>
      </c>
      <c r="C6" s="1">
        <v>40</v>
      </c>
      <c r="D6" s="1">
        <v>37</v>
      </c>
      <c r="F6" s="1">
        <f t="shared" si="23"/>
        <v>2005</v>
      </c>
      <c r="H6" s="1">
        <f t="shared" si="0"/>
        <v>12893</v>
      </c>
      <c r="I6" s="1">
        <f t="shared" si="0"/>
        <v>5233</v>
      </c>
      <c r="J6" s="1">
        <f t="shared" si="0"/>
        <v>7660</v>
      </c>
      <c r="O6" s="119">
        <f t="shared" ca="1" si="1"/>
        <v>681</v>
      </c>
      <c r="Q6" s="1">
        <f t="shared" ca="1" si="2"/>
        <v>67584</v>
      </c>
      <c r="R6" s="1">
        <f t="shared" ca="1" si="2"/>
        <v>47291</v>
      </c>
      <c r="S6" s="1">
        <f t="shared" ca="1" si="2"/>
        <v>0</v>
      </c>
      <c r="T6" s="1">
        <f t="shared" ca="1" si="2"/>
        <v>20293</v>
      </c>
      <c r="Y6" s="1">
        <f t="shared" ca="1" si="3"/>
        <v>47291</v>
      </c>
      <c r="Z6" s="1">
        <f t="shared" ca="1" si="3"/>
        <v>38131</v>
      </c>
      <c r="AB6" s="1">
        <f t="shared" ca="1" si="4"/>
        <v>9160</v>
      </c>
      <c r="AD6" s="1">
        <f t="shared" ca="1" si="5"/>
        <v>47291</v>
      </c>
      <c r="AE6" s="1">
        <f t="shared" ca="1" si="5"/>
        <v>10839</v>
      </c>
      <c r="AG6" s="1">
        <f t="shared" ca="1" si="6"/>
        <v>36452</v>
      </c>
      <c r="AJ6" s="124">
        <f t="shared" ca="1" si="7"/>
        <v>9102</v>
      </c>
      <c r="AK6" s="124">
        <f t="shared" ca="1" si="7"/>
        <v>69</v>
      </c>
      <c r="AL6" s="124">
        <f t="shared" ca="1" si="7"/>
        <v>9033</v>
      </c>
      <c r="AW6" s="1">
        <f t="shared" ca="1" si="8"/>
        <v>590</v>
      </c>
      <c r="AX6" s="1">
        <f t="shared" ca="1" si="8"/>
        <v>4</v>
      </c>
      <c r="AY6" s="1">
        <f t="shared" ca="1" si="8"/>
        <v>2257</v>
      </c>
      <c r="AZ6" s="1">
        <f t="shared" ca="1" si="8"/>
        <v>604</v>
      </c>
      <c r="BB6" s="1">
        <f t="shared" ca="1" si="9"/>
        <v>11897</v>
      </c>
      <c r="BC6" s="1">
        <f t="shared" ca="1" si="9"/>
        <v>5033</v>
      </c>
      <c r="BD6" s="1">
        <f t="shared" ca="1" si="9"/>
        <v>0</v>
      </c>
      <c r="BE6" s="1">
        <f t="shared" ca="1" si="9"/>
        <v>6864</v>
      </c>
      <c r="BF6" s="1">
        <f t="shared" ca="1" si="9"/>
        <v>569</v>
      </c>
      <c r="BG6" s="1">
        <f t="shared" ca="1" si="9"/>
        <v>420</v>
      </c>
      <c r="BH6" s="1">
        <f t="shared" ca="1" si="9"/>
        <v>149</v>
      </c>
      <c r="BJ6" s="1">
        <f t="shared" ca="1" si="10"/>
        <v>56</v>
      </c>
      <c r="BK6" s="1">
        <f t="shared" ca="1" si="10"/>
        <v>0</v>
      </c>
      <c r="BL6" s="1">
        <f t="shared" ca="1" si="10"/>
        <v>55</v>
      </c>
      <c r="BM6" s="1">
        <f t="shared" ca="1" si="10"/>
        <v>8</v>
      </c>
      <c r="BO6" s="1">
        <f t="shared" ca="1" si="11"/>
        <v>1454</v>
      </c>
      <c r="BP6" s="1">
        <f t="shared" ca="1" si="11"/>
        <v>821</v>
      </c>
      <c r="BQ6" s="1">
        <f t="shared" ca="1" si="11"/>
        <v>0</v>
      </c>
      <c r="BR6" s="1">
        <f t="shared" ca="1" si="11"/>
        <v>633</v>
      </c>
      <c r="BS6" s="1">
        <f t="shared" ca="1" si="11"/>
        <v>138</v>
      </c>
      <c r="BT6" s="1">
        <f t="shared" ca="1" si="11"/>
        <v>85</v>
      </c>
      <c r="BU6" s="1">
        <f t="shared" ca="1" si="11"/>
        <v>53</v>
      </c>
      <c r="CG6" s="1">
        <v>38</v>
      </c>
      <c r="CI6" s="1">
        <f ca="1">OFFSET('Input data (2)'!B$126,'Input data (2)'!$BL$1-'Output data - DO NOT TOUCH (2)'!$CG6,0)</f>
        <v>2003</v>
      </c>
      <c r="CJ6" s="1" t="str">
        <f>"Q"&amp;IF(RIGHT(CJ5)*1&lt;&gt;4,RIGHT(CJ5)+1,1)</f>
        <v>Q4</v>
      </c>
      <c r="CK6" s="1" t="str">
        <f t="shared" ca="1" si="12"/>
        <v>03</v>
      </c>
      <c r="CL6" s="1" t="str">
        <f t="shared" ca="1" si="13"/>
        <v>Q4 03</v>
      </c>
      <c r="CM6" s="1">
        <f ca="1">OFFSET('Input data (2)'!AJ$126,'Input data (2)'!$BL$1-'Output data - DO NOT TOUCH (2)'!$CG6,0)/1000</f>
        <v>7.4960000000000004</v>
      </c>
      <c r="CN6" s="1">
        <f ca="1">OFFSET('Input data (2)'!AK$126,'Input data (2)'!$BL$1-'Output data - DO NOT TOUCH (2)'!$CG6,0)/1000</f>
        <v>2.0299999999999998</v>
      </c>
      <c r="CO6" s="1">
        <f ca="1">OFFSET('Input data (2)'!AL$126,'Input data (2)'!$BL$1-'Output data - DO NOT TOUCH (2)'!$CG6,0)/1000</f>
        <v>9.5259999999999998</v>
      </c>
      <c r="CP6" s="1"/>
      <c r="CQ6" s="1">
        <f ca="1">OFFSET('Input data (2)'!AG$126,'Input data (2)'!$BL$1-'Output data - DO NOT TOUCH (2)'!$CG6,0)/1000</f>
        <v>1.107</v>
      </c>
      <c r="CR6" s="1">
        <f ca="1">OFFSET('Input data (2)'!AH$126,'Input data (2)'!$BL$1-'Output data - DO NOT TOUCH (2)'!$CG6,0)/1000</f>
        <v>2.2360000000000002</v>
      </c>
      <c r="CS6" s="1">
        <f ca="1">OFFSET('Input data (2)'!AI$126,'Input data (2)'!$BL$1-'Output data - DO NOT TOUCH (2)'!$CG6,0)/1000</f>
        <v>3.343</v>
      </c>
      <c r="CT6" s="1"/>
      <c r="CU6" s="1">
        <f ca="1">OFFSET('Input data (2)'!L$126,'Input data (2)'!$BL$1-'Output data - DO NOT TOUCH (2)'!$CG6,0)</f>
        <v>314</v>
      </c>
      <c r="CV6" s="1">
        <f ca="1">OFFSET('Input data (2)'!M$126,'Input data (2)'!$BL$1-'Output data - DO NOT TOUCH (2)'!$CG6,0)</f>
        <v>16</v>
      </c>
      <c r="CW6" s="67">
        <f ca="1">OFFSET('Input data (2)'!N$126,'Input data (2)'!$BL$1-'Output data - DO NOT TOUCH (2)'!$CG6,0)</f>
        <v>233</v>
      </c>
      <c r="CX6" s="1">
        <f ca="1">OFFSET('Input data (2)'!P$126,'Input data (2)'!$BL$1-'Output data - DO NOT TOUCH (2)'!$CG6,0)</f>
        <v>212</v>
      </c>
      <c r="CY6" s="1"/>
      <c r="CZ6" s="1">
        <f ca="1">OFFSET('Input data (2)'!AY$126,'Input data (2)'!$BL$1-'Output data - DO NOT TOUCH (2)'!$CG6,0)/1000</f>
        <v>0.82599999999999996</v>
      </c>
      <c r="DA6" s="1">
        <f ca="1">OFFSET('Input data (2)'!BA$126,'Input data (2)'!$BL$1-'Output data - DO NOT TOUCH (2)'!$CG6,0)/1000</f>
        <v>1.383</v>
      </c>
      <c r="DB6" s="1">
        <f ca="1">OFFSET('Input data (2)'!BB$126,'Input data (2)'!$BL$1-'Output data - DO NOT TOUCH (2)'!$CG6,0)/1000</f>
        <v>2.2090000000000001</v>
      </c>
      <c r="DD6" s="1">
        <f ca="1">OFFSET('Input data (2)'!AN$126,'Input data (2)'!$BL$1-'Output data - DO NOT TOUCH (2)'!$CG6,0)</f>
        <v>76</v>
      </c>
      <c r="DE6" s="1">
        <f ca="1">OFFSET('Input data (2)'!AO$126,'Input data (2)'!$BL$1-'Output data - DO NOT TOUCH (2)'!$CG6,0)</f>
        <v>50</v>
      </c>
      <c r="DF6" s="1">
        <f ca="1">OFFSET('Input data (2)'!AP$126,'Input data (2)'!$BL$1-'Output data - DO NOT TOUCH (2)'!$CG6,0)</f>
        <v>126</v>
      </c>
      <c r="DG6" s="1"/>
      <c r="DH6" s="1">
        <f ca="1">OFFSET('Input data (2)'!AU$126,'Input data (2)'!$BL$1-'Output data - DO NOT TOUCH (2)'!$CG6,0)</f>
        <v>20</v>
      </c>
      <c r="DI6" s="1">
        <f ca="1">OFFSET('Input data (2)'!AV$126,'Input data (2)'!$BL$1-'Output data - DO NOT TOUCH (2)'!$CG6,0)</f>
        <v>0</v>
      </c>
      <c r="DJ6" s="1">
        <f ca="1">OFFSET('Input data (2)'!AW$126,'Input data (2)'!$BL$1-'Output data - DO NOT TOUCH (2)'!$CG6,0)</f>
        <v>2</v>
      </c>
      <c r="DK6" s="1">
        <f ca="1">OFFSET('Input data (2)'!AX$126,'Input data (2)'!$BL$1-'Output data - DO NOT TOUCH (2)'!$CG6,0)</f>
        <v>3</v>
      </c>
      <c r="DM6" s="1">
        <f ca="1">OFFSET('Input data (2)'!BI$126,'Input data (2)'!$BL$1-'Output data - DO NOT TOUCH (2)'!$CG6,0)</f>
        <v>177</v>
      </c>
      <c r="DN6" s="1">
        <f ca="1">OFFSET('Input data (2)'!BJ$126,'Input data (2)'!$BL$1-'Output data - DO NOT TOUCH (2)'!$CG6,0)</f>
        <v>88</v>
      </c>
      <c r="DO6" s="1">
        <f ca="1">OFFSET('Input data (2)'!BL$126,'Input data (2)'!$BL$1-'Output data - DO NOT TOUCH (2)'!$CG6,0)</f>
        <v>265</v>
      </c>
      <c r="DQ6" s="1">
        <f ca="1">OFFSET('Input data (2)'!BD$126,'Input data (2)'!$BL$1-'Output data - DO NOT TOUCH (2)'!$CG6,0)</f>
        <v>21</v>
      </c>
      <c r="DR6" s="1">
        <f ca="1">OFFSET('Input data (2)'!BE$126,'Input data (2)'!$BL$1-'Output data - DO NOT TOUCH (2)'!$CG6,0)</f>
        <v>13</v>
      </c>
      <c r="DS6" s="1">
        <f ca="1">OFFSET('Input data (2)'!BF$126,'Input data (2)'!$BL$1-'Output data - DO NOT TOUCH (2)'!$CG6,0)</f>
        <v>34</v>
      </c>
      <c r="DU6" s="1">
        <f ca="1">OFFSET('Input data (2)'!B$126,'Input data (2)'!$BL$1-'Output data - DO NOT TOUCH (2)'!$CG6-1,0)</f>
        <v>2003</v>
      </c>
      <c r="DV6" s="1" t="str">
        <f ca="1">OFFSET('Input data (2)'!C$126,'Input data (2)'!$BL$1-'Output data - DO NOT TOUCH (2)'!$CG6-1,0)</f>
        <v>Q3</v>
      </c>
      <c r="DW6" s="1" t="str">
        <f t="shared" ca="1" si="14"/>
        <v>03</v>
      </c>
      <c r="DX6" s="1" t="str">
        <f t="shared" ca="1" si="15"/>
        <v>Q3 03</v>
      </c>
      <c r="DY6" s="1">
        <f ca="1">OFFSET('Input data (2)'!W$126,'Input data (2)'!$BL$1-'Output data - DO NOT TOUCH (2)'!$CG6-1,0)/1000</f>
        <v>2.2959999999999998</v>
      </c>
      <c r="DZ6" s="1">
        <f ca="1">OFFSET('Input data (2)'!Y$126,'Input data (2)'!$BL$1-'Output data - DO NOT TOUCH (2)'!$CG6-1,0)/1000</f>
        <v>4.9249999999999998</v>
      </c>
      <c r="EA6" s="1">
        <f ca="1">OFFSET('Input data (2)'!Q$126,'Input data (2)'!$BL$1-'Output data - DO NOT TOUCH (2)'!$CG6-1,0)/1000</f>
        <v>7.2210000000000001</v>
      </c>
      <c r="EC6" s="3" t="str">
        <f t="shared" ca="1" si="16"/>
        <v>Q4 11</v>
      </c>
      <c r="ED6" s="68" t="e">
        <f t="shared" ca="1" si="17"/>
        <v>#VALUE!</v>
      </c>
      <c r="EE6" s="68" t="e">
        <f t="shared" ca="1" si="18"/>
        <v>#VALUE!</v>
      </c>
      <c r="EF6" s="68" t="e">
        <f t="shared" ca="1" si="19"/>
        <v>#VALUE!</v>
      </c>
      <c r="EH6" s="68">
        <f t="shared" ca="1" si="20"/>
        <v>4.8425011753643608</v>
      </c>
      <c r="EI6" s="68">
        <f t="shared" ca="1" si="21"/>
        <v>-3.9022096850023495</v>
      </c>
      <c r="EJ6" s="68">
        <f t="shared" ca="1" si="22"/>
        <v>0.94029149036201121</v>
      </c>
    </row>
    <row r="7" spans="1:140" x14ac:dyDescent="0.15">
      <c r="A7" s="1">
        <v>37</v>
      </c>
      <c r="B7" s="1">
        <v>38</v>
      </c>
      <c r="C7" s="1">
        <v>39</v>
      </c>
      <c r="D7" s="1">
        <v>36</v>
      </c>
      <c r="F7" s="1">
        <f t="shared" si="23"/>
        <v>2006</v>
      </c>
      <c r="H7" s="1">
        <f t="shared" si="0"/>
        <v>13137</v>
      </c>
      <c r="I7" s="1">
        <f t="shared" si="0"/>
        <v>5418</v>
      </c>
      <c r="J7" s="1">
        <f t="shared" si="0"/>
        <v>7719</v>
      </c>
      <c r="O7" s="119">
        <f t="shared" ca="1" si="1"/>
        <v>914</v>
      </c>
      <c r="Q7" s="1">
        <f t="shared" ca="1" si="2"/>
        <v>107288</v>
      </c>
      <c r="R7" s="1">
        <f t="shared" ca="1" si="2"/>
        <v>62956</v>
      </c>
      <c r="S7" s="1">
        <f t="shared" ca="1" si="2"/>
        <v>0</v>
      </c>
      <c r="T7" s="1">
        <f t="shared" ca="1" si="2"/>
        <v>44332</v>
      </c>
      <c r="Y7" s="1">
        <f t="shared" ca="1" si="3"/>
        <v>62956</v>
      </c>
      <c r="Z7" s="1">
        <f t="shared" ca="1" si="3"/>
        <v>53038</v>
      </c>
      <c r="AB7" s="1">
        <f t="shared" ca="1" si="4"/>
        <v>9918</v>
      </c>
      <c r="AD7" s="1">
        <f t="shared" ca="1" si="5"/>
        <v>62956</v>
      </c>
      <c r="AE7" s="1">
        <f t="shared" ca="1" si="5"/>
        <v>10894</v>
      </c>
      <c r="AG7" s="1">
        <f t="shared" ca="1" si="6"/>
        <v>52062</v>
      </c>
      <c r="AJ7" s="124">
        <f t="shared" ca="1" si="7"/>
        <v>11990</v>
      </c>
      <c r="AK7" s="124">
        <f t="shared" ca="1" si="7"/>
        <v>86</v>
      </c>
      <c r="AL7" s="124">
        <f t="shared" ca="1" si="7"/>
        <v>11904</v>
      </c>
      <c r="AW7" s="1">
        <f t="shared" ca="1" si="8"/>
        <v>588</v>
      </c>
      <c r="AX7" s="1">
        <f t="shared" ca="1" si="8"/>
        <v>0</v>
      </c>
      <c r="AY7" s="1">
        <f t="shared" ca="1" si="8"/>
        <v>3560</v>
      </c>
      <c r="AZ7" s="1">
        <f t="shared" ca="1" si="8"/>
        <v>534</v>
      </c>
      <c r="BB7" s="1">
        <f t="shared" ca="1" si="9"/>
        <v>13789</v>
      </c>
      <c r="BC7" s="1">
        <f t="shared" ca="1" si="9"/>
        <v>5566</v>
      </c>
      <c r="BD7" s="1">
        <f t="shared" ca="1" si="9"/>
        <v>0</v>
      </c>
      <c r="BE7" s="1">
        <f t="shared" ca="1" si="9"/>
        <v>8223</v>
      </c>
      <c r="BF7" s="1">
        <f t="shared" ca="1" si="9"/>
        <v>549</v>
      </c>
      <c r="BG7" s="1">
        <f t="shared" ca="1" si="9"/>
        <v>416</v>
      </c>
      <c r="BH7" s="1">
        <f t="shared" ca="1" si="9"/>
        <v>133</v>
      </c>
      <c r="BJ7" s="1">
        <f t="shared" ca="1" si="10"/>
        <v>34</v>
      </c>
      <c r="BK7" s="1">
        <f t="shared" ca="1" si="10"/>
        <v>0</v>
      </c>
      <c r="BL7" s="1">
        <f t="shared" ca="1" si="10"/>
        <v>86</v>
      </c>
      <c r="BM7" s="1">
        <f t="shared" ca="1" si="10"/>
        <v>5</v>
      </c>
      <c r="BO7" s="1">
        <f t="shared" ca="1" si="11"/>
        <v>1809</v>
      </c>
      <c r="BP7" s="1">
        <f t="shared" ca="1" si="11"/>
        <v>1035</v>
      </c>
      <c r="BQ7" s="1">
        <f t="shared" ca="1" si="11"/>
        <v>0</v>
      </c>
      <c r="BR7" s="1">
        <f t="shared" ca="1" si="11"/>
        <v>774</v>
      </c>
      <c r="BS7" s="1">
        <f t="shared" ca="1" si="11"/>
        <v>128</v>
      </c>
      <c r="BT7" s="1">
        <f t="shared" ca="1" si="11"/>
        <v>78</v>
      </c>
      <c r="BU7" s="1">
        <f t="shared" ca="1" si="11"/>
        <v>50</v>
      </c>
      <c r="CG7" s="1">
        <v>37</v>
      </c>
      <c r="CI7" s="1">
        <f ca="1">OFFSET('Input data (2)'!B$126,'Input data (2)'!$BL$1-'Output data - DO NOT TOUCH (2)'!$CG7,0)</f>
        <v>2004</v>
      </c>
      <c r="CJ7" s="1" t="str">
        <f>"Q"&amp;IF(RIGHT(CJ6)*1&lt;&gt;4,RIGHT(CJ6)+1,1)</f>
        <v>Q1</v>
      </c>
      <c r="CK7" s="1" t="str">
        <f t="shared" ca="1" si="12"/>
        <v>04</v>
      </c>
      <c r="CL7" s="1" t="str">
        <f t="shared" ca="1" si="13"/>
        <v>Q1 04</v>
      </c>
      <c r="CM7" s="1">
        <f ca="1">OFFSET('Input data (2)'!AJ$126,'Input data (2)'!$BL$1-'Output data - DO NOT TOUCH (2)'!$CG7,0)/1000</f>
        <v>8.0269999999999992</v>
      </c>
      <c r="CN7" s="1">
        <f ca="1">OFFSET('Input data (2)'!AK$126,'Input data (2)'!$BL$1-'Output data - DO NOT TOUCH (2)'!$CG7,0)/1000</f>
        <v>2.3860000000000001</v>
      </c>
      <c r="CO7" s="1">
        <f ca="1">OFFSET('Input data (2)'!AL$126,'Input data (2)'!$BL$1-'Output data - DO NOT TOUCH (2)'!$CG7,0)/1000</f>
        <v>10.413</v>
      </c>
      <c r="CP7" s="1"/>
      <c r="CQ7" s="1">
        <f ca="1">OFFSET('Input data (2)'!AG$126,'Input data (2)'!$BL$1-'Output data - DO NOT TOUCH (2)'!$CG7,0)/1000</f>
        <v>1.179</v>
      </c>
      <c r="CR7" s="1">
        <f ca="1">OFFSET('Input data (2)'!AH$126,'Input data (2)'!$BL$1-'Output data - DO NOT TOUCH (2)'!$CG7,0)/1000</f>
        <v>1.998</v>
      </c>
      <c r="CS7" s="1">
        <f ca="1">OFFSET('Input data (2)'!AI$126,'Input data (2)'!$BL$1-'Output data - DO NOT TOUCH (2)'!$CG7,0)/1000</f>
        <v>3.177</v>
      </c>
      <c r="CT7" s="1"/>
      <c r="CU7" s="1">
        <f ca="1">OFFSET('Input data (2)'!L$126,'Input data (2)'!$BL$1-'Output data - DO NOT TOUCH (2)'!$CG7,0)</f>
        <v>224</v>
      </c>
      <c r="CV7" s="1">
        <f ca="1">OFFSET('Input data (2)'!M$126,'Input data (2)'!$BL$1-'Output data - DO NOT TOUCH (2)'!$CG7,0)</f>
        <v>1</v>
      </c>
      <c r="CW7" s="67">
        <f ca="1">OFFSET('Input data (2)'!N$126,'Input data (2)'!$BL$1-'Output data - DO NOT TOUCH (2)'!$CG7,0)</f>
        <v>331</v>
      </c>
      <c r="CX7" s="1">
        <f ca="1">OFFSET('Input data (2)'!P$126,'Input data (2)'!$BL$1-'Output data - DO NOT TOUCH (2)'!$CG7,0)</f>
        <v>176</v>
      </c>
      <c r="CY7" s="1"/>
      <c r="CZ7" s="1">
        <f ca="1">OFFSET('Input data (2)'!AY$126,'Input data (2)'!$BL$1-'Output data - DO NOT TOUCH (2)'!$CG7,0)/1000</f>
        <v>0.72</v>
      </c>
      <c r="DA7" s="1">
        <f ca="1">OFFSET('Input data (2)'!BA$126,'Input data (2)'!$BL$1-'Output data - DO NOT TOUCH (2)'!$CG7,0)/1000</f>
        <v>1.4339999999999999</v>
      </c>
      <c r="DB7" s="1">
        <f ca="1">OFFSET('Input data (2)'!BB$126,'Input data (2)'!$BL$1-'Output data - DO NOT TOUCH (2)'!$CG7,0)/1000</f>
        <v>2.1539999999999999</v>
      </c>
      <c r="DD7" s="1">
        <f ca="1">OFFSET('Input data (2)'!AN$126,'Input data (2)'!$BL$1-'Output data - DO NOT TOUCH (2)'!$CG7,0)</f>
        <v>95</v>
      </c>
      <c r="DE7" s="1">
        <f ca="1">OFFSET('Input data (2)'!AO$126,'Input data (2)'!$BL$1-'Output data - DO NOT TOUCH (2)'!$CG7,0)</f>
        <v>58</v>
      </c>
      <c r="DF7" s="1">
        <f ca="1">OFFSET('Input data (2)'!AP$126,'Input data (2)'!$BL$1-'Output data - DO NOT TOUCH (2)'!$CG7,0)</f>
        <v>153</v>
      </c>
      <c r="DG7" s="1"/>
      <c r="DH7" s="1">
        <f ca="1">OFFSET('Input data (2)'!AU$126,'Input data (2)'!$BL$1-'Output data - DO NOT TOUCH (2)'!$CG7,0)</f>
        <v>30</v>
      </c>
      <c r="DI7" s="1">
        <f ca="1">OFFSET('Input data (2)'!AV$126,'Input data (2)'!$BL$1-'Output data - DO NOT TOUCH (2)'!$CG7,0)</f>
        <v>0</v>
      </c>
      <c r="DJ7" s="1">
        <f ca="1">OFFSET('Input data (2)'!AW$126,'Input data (2)'!$BL$1-'Output data - DO NOT TOUCH (2)'!$CG7,0)</f>
        <v>9</v>
      </c>
      <c r="DK7" s="1">
        <f ca="1">OFFSET('Input data (2)'!AX$126,'Input data (2)'!$BL$1-'Output data - DO NOT TOUCH (2)'!$CG7,0)</f>
        <v>1</v>
      </c>
      <c r="DM7" s="1">
        <f ca="1">OFFSET('Input data (2)'!BI$126,'Input data (2)'!$BL$1-'Output data - DO NOT TOUCH (2)'!$CG7,0)</f>
        <v>155</v>
      </c>
      <c r="DN7" s="1">
        <f ca="1">OFFSET('Input data (2)'!BJ$126,'Input data (2)'!$BL$1-'Output data - DO NOT TOUCH (2)'!$CG7,0)</f>
        <v>98</v>
      </c>
      <c r="DO7" s="1">
        <f ca="1">OFFSET('Input data (2)'!BL$126,'Input data (2)'!$BL$1-'Output data - DO NOT TOUCH (2)'!$CG7,0)</f>
        <v>253</v>
      </c>
      <c r="DQ7" s="1">
        <f ca="1">OFFSET('Input data (2)'!BD$126,'Input data (2)'!$BL$1-'Output data - DO NOT TOUCH (2)'!$CG7,0)</f>
        <v>19</v>
      </c>
      <c r="DR7" s="1">
        <f ca="1">OFFSET('Input data (2)'!BE$126,'Input data (2)'!$BL$1-'Output data - DO NOT TOUCH (2)'!$CG7,0)</f>
        <v>16</v>
      </c>
      <c r="DS7" s="1">
        <f ca="1">OFFSET('Input data (2)'!BF$126,'Input data (2)'!$BL$1-'Output data - DO NOT TOUCH (2)'!$CG7,0)</f>
        <v>35</v>
      </c>
      <c r="DU7" s="1">
        <f ca="1">OFFSET('Input data (2)'!B$126,'Input data (2)'!$BL$1-'Output data - DO NOT TOUCH (2)'!$CG7-1,0)</f>
        <v>2003</v>
      </c>
      <c r="DV7" s="1" t="str">
        <f ca="1">OFFSET('Input data (2)'!C$126,'Input data (2)'!$BL$1-'Output data - DO NOT TOUCH (2)'!$CG7-1,0)</f>
        <v>Q4</v>
      </c>
      <c r="DW7" s="1" t="str">
        <f t="shared" ca="1" si="14"/>
        <v>03</v>
      </c>
      <c r="DX7" s="1" t="str">
        <f t="shared" ca="1" si="15"/>
        <v>Q4 03</v>
      </c>
      <c r="DY7" s="1">
        <f ca="1">OFFSET('Input data (2)'!W$126,'Input data (2)'!$BL$1-'Output data - DO NOT TOUCH (2)'!$CG7-1,0)/1000</f>
        <v>2.1080000000000001</v>
      </c>
      <c r="DZ7" s="1">
        <f ca="1">OFFSET('Input data (2)'!Y$126,'Input data (2)'!$BL$1-'Output data - DO NOT TOUCH (2)'!$CG7-1,0)/1000</f>
        <v>4.8319999999999999</v>
      </c>
      <c r="EA7" s="1">
        <f ca="1">OFFSET('Input data (2)'!Q$126,'Input data (2)'!$BL$1-'Output data - DO NOT TOUCH (2)'!$CG7-1,0)/1000</f>
        <v>6.94</v>
      </c>
      <c r="EC7" s="3" t="str">
        <f t="shared" ca="1" si="16"/>
        <v>Q1 12</v>
      </c>
      <c r="ED7" s="68" t="e">
        <f t="shared" ca="1" si="17"/>
        <v>#VALUE!</v>
      </c>
      <c r="EE7" s="68" t="e">
        <f t="shared" ca="1" si="18"/>
        <v>#VALUE!</v>
      </c>
      <c r="EF7" s="68" t="e">
        <f t="shared" ca="1" si="19"/>
        <v>#VALUE!</v>
      </c>
      <c r="EH7" s="68">
        <f t="shared" ca="1" si="20"/>
        <v>-4.634373544480674</v>
      </c>
      <c r="EI7" s="68">
        <f t="shared" ca="1" si="21"/>
        <v>4.7042384722869057</v>
      </c>
      <c r="EJ7" s="68">
        <f t="shared" ca="1" si="22"/>
        <v>6.9864927806231769E-2</v>
      </c>
    </row>
    <row r="8" spans="1:140" x14ac:dyDescent="0.15">
      <c r="A8" s="1">
        <v>36</v>
      </c>
      <c r="B8" s="1">
        <v>37</v>
      </c>
      <c r="C8" s="1">
        <v>38</v>
      </c>
      <c r="D8" s="1">
        <v>35</v>
      </c>
      <c r="F8" s="1">
        <f t="shared" si="23"/>
        <v>2007</v>
      </c>
      <c r="H8" s="1">
        <f t="shared" si="0"/>
        <v>12507</v>
      </c>
      <c r="I8" s="1">
        <f t="shared" si="0"/>
        <v>5165</v>
      </c>
      <c r="J8" s="1">
        <f t="shared" si="0"/>
        <v>7342</v>
      </c>
      <c r="O8" s="119">
        <f t="shared" ca="1" si="1"/>
        <v>1095</v>
      </c>
      <c r="Q8" s="1">
        <f t="shared" ca="1" si="2"/>
        <v>106645</v>
      </c>
      <c r="R8" s="1">
        <f t="shared" ca="1" si="2"/>
        <v>64480</v>
      </c>
      <c r="S8" s="1">
        <f t="shared" ca="1" si="2"/>
        <v>0</v>
      </c>
      <c r="T8" s="1">
        <f t="shared" ca="1" si="2"/>
        <v>42165</v>
      </c>
      <c r="Y8" s="1">
        <f t="shared" ca="1" si="3"/>
        <v>64480</v>
      </c>
      <c r="Z8" s="1">
        <f t="shared" ca="1" si="3"/>
        <v>54433</v>
      </c>
      <c r="AB8" s="1">
        <f t="shared" ca="1" si="4"/>
        <v>10047</v>
      </c>
      <c r="AD8" s="1">
        <f t="shared" ca="1" si="5"/>
        <v>64480</v>
      </c>
      <c r="AE8" s="1">
        <f t="shared" ca="1" si="5"/>
        <v>7058</v>
      </c>
      <c r="AG8" s="1">
        <f t="shared" ca="1" si="6"/>
        <v>57422</v>
      </c>
      <c r="AJ8" s="124">
        <f t="shared" ca="1" si="7"/>
        <v>13332</v>
      </c>
      <c r="AK8" s="124">
        <f t="shared" ca="1" si="7"/>
        <v>77</v>
      </c>
      <c r="AL8" s="124">
        <f t="shared" ca="1" si="7"/>
        <v>13255</v>
      </c>
      <c r="AW8" s="1">
        <f t="shared" ca="1" si="8"/>
        <v>337</v>
      </c>
      <c r="AX8" s="1">
        <f t="shared" ca="1" si="8"/>
        <v>3</v>
      </c>
      <c r="AY8" s="1">
        <f t="shared" ca="1" si="8"/>
        <v>2509</v>
      </c>
      <c r="AZ8" s="1">
        <f t="shared" ca="1" si="8"/>
        <v>418</v>
      </c>
      <c r="BB8" s="1">
        <f t="shared" ca="1" si="9"/>
        <v>13924</v>
      </c>
      <c r="BC8" s="1">
        <f t="shared" ca="1" si="9"/>
        <v>6331</v>
      </c>
      <c r="BD8" s="1">
        <f t="shared" ca="1" si="9"/>
        <v>0</v>
      </c>
      <c r="BE8" s="1">
        <f t="shared" ca="1" si="9"/>
        <v>7593</v>
      </c>
      <c r="BF8" s="1">
        <f t="shared" ca="1" si="9"/>
        <v>539</v>
      </c>
      <c r="BG8" s="1">
        <f t="shared" ca="1" si="9"/>
        <v>439</v>
      </c>
      <c r="BH8" s="1">
        <f t="shared" ca="1" si="9"/>
        <v>100</v>
      </c>
      <c r="BJ8" s="1">
        <f t="shared" ca="1" si="10"/>
        <v>75</v>
      </c>
      <c r="BK8" s="1">
        <f t="shared" ca="1" si="10"/>
        <v>0</v>
      </c>
      <c r="BL8" s="1">
        <f t="shared" ca="1" si="10"/>
        <v>37</v>
      </c>
      <c r="BM8" s="1">
        <f t="shared" ca="1" si="10"/>
        <v>6</v>
      </c>
      <c r="BO8" s="1">
        <f t="shared" ca="1" si="11"/>
        <v>1338</v>
      </c>
      <c r="BP8" s="1">
        <f t="shared" ca="1" si="11"/>
        <v>898</v>
      </c>
      <c r="BQ8" s="1">
        <f t="shared" ca="1" si="11"/>
        <v>0</v>
      </c>
      <c r="BR8" s="1">
        <f t="shared" ca="1" si="11"/>
        <v>440</v>
      </c>
      <c r="BS8" s="1">
        <f t="shared" ca="1" si="11"/>
        <v>164</v>
      </c>
      <c r="BT8" s="1">
        <f t="shared" ca="1" si="11"/>
        <v>122</v>
      </c>
      <c r="BU8" s="1">
        <f t="shared" ca="1" si="11"/>
        <v>42</v>
      </c>
      <c r="CG8" s="1">
        <v>36</v>
      </c>
      <c r="CI8" s="1">
        <f t="shared" ref="CI8:CI44" si="24">CI4+1</f>
        <v>2004</v>
      </c>
      <c r="CJ8" s="1" t="str">
        <f t="shared" ref="CJ8:CJ44" si="25">CJ4</f>
        <v>Q2</v>
      </c>
      <c r="CK8" s="1" t="str">
        <f t="shared" si="12"/>
        <v>04</v>
      </c>
      <c r="CL8" s="1" t="str">
        <f t="shared" si="13"/>
        <v>Q2 04</v>
      </c>
      <c r="CM8" s="1">
        <f ca="1">OFFSET('Input data (2)'!AJ$126,'Input data (2)'!$BL$1-'Output data - DO NOT TOUCH (2)'!$CG8,0)/1000</f>
        <v>8.8130000000000006</v>
      </c>
      <c r="CN8" s="1">
        <f ca="1">OFFSET('Input data (2)'!AK$126,'Input data (2)'!$BL$1-'Output data - DO NOT TOUCH (2)'!$CG8,0)/1000</f>
        <v>2.4159999999999999</v>
      </c>
      <c r="CO8" s="1">
        <f ca="1">OFFSET('Input data (2)'!AL$126,'Input data (2)'!$BL$1-'Output data - DO NOT TOUCH (2)'!$CG8,0)/1000</f>
        <v>11.228999999999999</v>
      </c>
      <c r="CP8" s="1"/>
      <c r="CQ8" s="1">
        <f ca="1">OFFSET('Input data (2)'!AG$126,'Input data (2)'!$BL$1-'Output data - DO NOT TOUCH (2)'!$CG8,0)/1000</f>
        <v>1.1719999999999999</v>
      </c>
      <c r="CR8" s="1">
        <f ca="1">OFFSET('Input data (2)'!AH$126,'Input data (2)'!$BL$1-'Output data - DO NOT TOUCH (2)'!$CG8,0)/1000</f>
        <v>1.883</v>
      </c>
      <c r="CS8" s="1">
        <f ca="1">OFFSET('Input data (2)'!AI$126,'Input data (2)'!$BL$1-'Output data - DO NOT TOUCH (2)'!$CG8,0)/1000</f>
        <v>3.0550000000000002</v>
      </c>
      <c r="CT8" s="1"/>
      <c r="CU8" s="1">
        <f ca="1">OFFSET('Input data (2)'!L$126,'Input data (2)'!$BL$1-'Output data - DO NOT TOUCH (2)'!$CG8,0)</f>
        <v>199</v>
      </c>
      <c r="CV8" s="1">
        <f ca="1">OFFSET('Input data (2)'!M$126,'Input data (2)'!$BL$1-'Output data - DO NOT TOUCH (2)'!$CG8,0)</f>
        <v>0</v>
      </c>
      <c r="CW8" s="67">
        <f ca="1">OFFSET('Input data (2)'!N$126,'Input data (2)'!$BL$1-'Output data - DO NOT TOUCH (2)'!$CG8,0)</f>
        <v>392</v>
      </c>
      <c r="CX8" s="1">
        <f ca="1">OFFSET('Input data (2)'!P$126,'Input data (2)'!$BL$1-'Output data - DO NOT TOUCH (2)'!$CG8,0)</f>
        <v>154</v>
      </c>
      <c r="CY8" s="1"/>
      <c r="CZ8" s="1">
        <f ca="1">OFFSET('Input data (2)'!AY$126,'Input data (2)'!$BL$1-'Output data - DO NOT TOUCH (2)'!$CG8,0)/1000</f>
        <v>0.85099999999999998</v>
      </c>
      <c r="DA8" s="1">
        <f ca="1">OFFSET('Input data (2)'!BA$126,'Input data (2)'!$BL$1-'Output data - DO NOT TOUCH (2)'!$CG8,0)/1000</f>
        <v>1.3089999999999999</v>
      </c>
      <c r="DB8" s="1">
        <f ca="1">OFFSET('Input data (2)'!BB$126,'Input data (2)'!$BL$1-'Output data - DO NOT TOUCH (2)'!$CG8,0)/1000</f>
        <v>2.16</v>
      </c>
      <c r="DD8" s="1">
        <f ca="1">OFFSET('Input data (2)'!AN$126,'Input data (2)'!$BL$1-'Output data - DO NOT TOUCH (2)'!$CG8,0)</f>
        <v>110</v>
      </c>
      <c r="DE8" s="1">
        <f ca="1">OFFSET('Input data (2)'!AO$126,'Input data (2)'!$BL$1-'Output data - DO NOT TOUCH (2)'!$CG8,0)</f>
        <v>37</v>
      </c>
      <c r="DF8" s="1">
        <f ca="1">OFFSET('Input data (2)'!AP$126,'Input data (2)'!$BL$1-'Output data - DO NOT TOUCH (2)'!$CG8,0)</f>
        <v>147</v>
      </c>
      <c r="DG8" s="1"/>
      <c r="DH8" s="1">
        <f ca="1">OFFSET('Input data (2)'!AU$126,'Input data (2)'!$BL$1-'Output data - DO NOT TOUCH (2)'!$CG8,0)</f>
        <v>23</v>
      </c>
      <c r="DI8" s="1">
        <f ca="1">OFFSET('Input data (2)'!AV$126,'Input data (2)'!$BL$1-'Output data - DO NOT TOUCH (2)'!$CG8,0)</f>
        <v>0</v>
      </c>
      <c r="DJ8" s="1">
        <f ca="1">OFFSET('Input data (2)'!AW$126,'Input data (2)'!$BL$1-'Output data - DO NOT TOUCH (2)'!$CG8,0)</f>
        <v>11</v>
      </c>
      <c r="DK8" s="1">
        <f ca="1">OFFSET('Input data (2)'!AX$126,'Input data (2)'!$BL$1-'Output data - DO NOT TOUCH (2)'!$CG8,0)</f>
        <v>4</v>
      </c>
      <c r="DM8" s="1">
        <f ca="1">OFFSET('Input data (2)'!BI$126,'Input data (2)'!$BL$1-'Output data - DO NOT TOUCH (2)'!$CG8,0)</f>
        <v>173</v>
      </c>
      <c r="DN8" s="1">
        <f ca="1">OFFSET('Input data (2)'!BJ$126,'Input data (2)'!$BL$1-'Output data - DO NOT TOUCH (2)'!$CG8,0)</f>
        <v>109</v>
      </c>
      <c r="DO8" s="1">
        <f ca="1">OFFSET('Input data (2)'!BL$126,'Input data (2)'!$BL$1-'Output data - DO NOT TOUCH (2)'!$CG8,0)</f>
        <v>282</v>
      </c>
      <c r="DQ8" s="1">
        <f ca="1">OFFSET('Input data (2)'!BD$126,'Input data (2)'!$BL$1-'Output data - DO NOT TOUCH (2)'!$CG8,0)</f>
        <v>27</v>
      </c>
      <c r="DR8" s="1">
        <f ca="1">OFFSET('Input data (2)'!BE$126,'Input data (2)'!$BL$1-'Output data - DO NOT TOUCH (2)'!$CG8,0)</f>
        <v>12</v>
      </c>
      <c r="DS8" s="1">
        <f ca="1">OFFSET('Input data (2)'!BF$126,'Input data (2)'!$BL$1-'Output data - DO NOT TOUCH (2)'!$CG8,0)</f>
        <v>39</v>
      </c>
      <c r="DU8" s="1">
        <f ca="1">OFFSET('Input data (2)'!B$126,'Input data (2)'!$BL$1-'Output data - DO NOT TOUCH (2)'!$CG8-1,0)</f>
        <v>2004</v>
      </c>
      <c r="DV8" s="1" t="str">
        <f ca="1">OFFSET('Input data (2)'!C$126,'Input data (2)'!$BL$1-'Output data - DO NOT TOUCH (2)'!$CG8-1,0)</f>
        <v>Q1</v>
      </c>
      <c r="DW8" s="1" t="str">
        <f t="shared" ca="1" si="14"/>
        <v>04</v>
      </c>
      <c r="DX8" s="1" t="str">
        <f t="shared" ca="1" si="15"/>
        <v>Q1 04</v>
      </c>
      <c r="DY8" s="1">
        <f ca="1">OFFSET('Input data (2)'!W$126,'Input data (2)'!$BL$1-'Output data - DO NOT TOUCH (2)'!$CG8-1,0)/1000</f>
        <v>2.4369999999999998</v>
      </c>
      <c r="DZ8" s="1">
        <f ca="1">OFFSET('Input data (2)'!Y$126,'Input data (2)'!$BL$1-'Output data - DO NOT TOUCH (2)'!$CG8-1,0)/1000</f>
        <v>6.0869999999999997</v>
      </c>
      <c r="EA8" s="1">
        <f ca="1">OFFSET('Input data (2)'!Q$126,'Input data (2)'!$BL$1-'Output data - DO NOT TOUCH (2)'!$CG8-1,0)/1000</f>
        <v>8.5239999999999991</v>
      </c>
      <c r="EC8" s="3" t="str">
        <f t="shared" si="16"/>
        <v>Q2 12</v>
      </c>
      <c r="ED8" s="68" t="e">
        <f t="shared" ca="1" si="17"/>
        <v>#VALUE!</v>
      </c>
      <c r="EE8" s="68" t="e">
        <f t="shared" ca="1" si="18"/>
        <v>#VALUE!</v>
      </c>
      <c r="EF8" s="68" t="e">
        <f t="shared" ca="1" si="19"/>
        <v>#VALUE!</v>
      </c>
      <c r="EH8" s="68">
        <f t="shared" ca="1" si="20"/>
        <v>-4.0958808471026291</v>
      </c>
      <c r="EI8" s="68">
        <f t="shared" ca="1" si="21"/>
        <v>-1.326506865254828</v>
      </c>
      <c r="EJ8" s="68">
        <f t="shared" ca="1" si="22"/>
        <v>-5.4223877123574571</v>
      </c>
    </row>
    <row r="9" spans="1:140" x14ac:dyDescent="0.15">
      <c r="A9" s="1">
        <v>35</v>
      </c>
      <c r="B9" s="1">
        <v>36</v>
      </c>
      <c r="C9" s="1">
        <v>37</v>
      </c>
      <c r="D9" s="1">
        <v>34</v>
      </c>
      <c r="F9" s="1">
        <f t="shared" si="23"/>
        <v>2008</v>
      </c>
      <c r="H9" s="1">
        <f t="shared" si="0"/>
        <v>15535</v>
      </c>
      <c r="I9" s="1">
        <f t="shared" si="0"/>
        <v>5494</v>
      </c>
      <c r="J9" s="1">
        <f t="shared" si="0"/>
        <v>10041</v>
      </c>
      <c r="O9" s="119">
        <f t="shared" ca="1" si="1"/>
        <v>993</v>
      </c>
      <c r="Q9" s="1">
        <f t="shared" ca="1" si="2"/>
        <v>106544</v>
      </c>
      <c r="R9" s="1">
        <f t="shared" ca="1" si="2"/>
        <v>67428</v>
      </c>
      <c r="S9" s="1">
        <f t="shared" ca="1" si="2"/>
        <v>0</v>
      </c>
      <c r="T9" s="1">
        <f t="shared" ca="1" si="2"/>
        <v>39116</v>
      </c>
      <c r="Y9" s="1">
        <f t="shared" ca="1" si="3"/>
        <v>67428</v>
      </c>
      <c r="Z9" s="1">
        <f t="shared" ca="1" si="3"/>
        <v>56600</v>
      </c>
      <c r="AB9" s="1">
        <f t="shared" ca="1" si="4"/>
        <v>10828</v>
      </c>
      <c r="AD9" s="1">
        <f t="shared" ca="1" si="5"/>
        <v>67428</v>
      </c>
      <c r="AE9" s="1">
        <f t="shared" ca="1" si="5"/>
        <v>8183</v>
      </c>
      <c r="AG9" s="1">
        <f t="shared" ca="1" si="6"/>
        <v>59245</v>
      </c>
      <c r="AJ9" s="124">
        <f t="shared" ca="1" si="7"/>
        <v>13265</v>
      </c>
      <c r="AK9" s="124">
        <f t="shared" ca="1" si="7"/>
        <v>67</v>
      </c>
      <c r="AL9" s="124">
        <f t="shared" ca="1" si="7"/>
        <v>13198</v>
      </c>
      <c r="AW9" s="1">
        <f t="shared" ca="1" si="8"/>
        <v>867</v>
      </c>
      <c r="AX9" s="1">
        <f t="shared" ca="1" si="8"/>
        <v>2</v>
      </c>
      <c r="AY9" s="1">
        <f t="shared" ca="1" si="8"/>
        <v>4820</v>
      </c>
      <c r="AZ9" s="1">
        <f t="shared" ca="1" si="8"/>
        <v>587</v>
      </c>
      <c r="BB9" s="1">
        <f t="shared" ca="1" si="9"/>
        <v>19991</v>
      </c>
      <c r="BC9" s="1">
        <f t="shared" ca="1" si="9"/>
        <v>12449</v>
      </c>
      <c r="BD9" s="1">
        <f t="shared" ca="1" si="9"/>
        <v>7133</v>
      </c>
      <c r="BE9" s="1">
        <f t="shared" ca="1" si="9"/>
        <v>7542</v>
      </c>
      <c r="BF9" s="1">
        <f t="shared" ca="1" si="9"/>
        <v>524</v>
      </c>
      <c r="BG9" s="1">
        <f t="shared" ca="1" si="9"/>
        <v>437</v>
      </c>
      <c r="BH9" s="1">
        <f t="shared" ca="1" si="9"/>
        <v>87</v>
      </c>
      <c r="BJ9" s="1">
        <f t="shared" ca="1" si="10"/>
        <v>121</v>
      </c>
      <c r="BK9" s="1">
        <f t="shared" ca="1" si="10"/>
        <v>0</v>
      </c>
      <c r="BL9" s="1">
        <f t="shared" ca="1" si="10"/>
        <v>123</v>
      </c>
      <c r="BM9" s="1">
        <f t="shared" ca="1" si="10"/>
        <v>4</v>
      </c>
      <c r="BO9" s="1">
        <f t="shared" ca="1" si="11"/>
        <v>1638</v>
      </c>
      <c r="BP9" s="1">
        <f t="shared" ca="1" si="11"/>
        <v>1079</v>
      </c>
      <c r="BQ9" s="1">
        <f t="shared" ca="1" si="11"/>
        <v>0</v>
      </c>
      <c r="BR9" s="1">
        <f t="shared" ca="1" si="11"/>
        <v>559</v>
      </c>
      <c r="BS9" s="1">
        <f t="shared" ca="1" si="11"/>
        <v>209</v>
      </c>
      <c r="BT9" s="1">
        <f t="shared" ca="1" si="11"/>
        <v>158</v>
      </c>
      <c r="BU9" s="1">
        <f t="shared" ca="1" si="11"/>
        <v>51</v>
      </c>
      <c r="CG9" s="1">
        <v>35</v>
      </c>
      <c r="CI9" s="1">
        <f t="shared" ca="1" si="24"/>
        <v>2004</v>
      </c>
      <c r="CJ9" s="1" t="str">
        <f t="shared" si="25"/>
        <v>Q3</v>
      </c>
      <c r="CK9" s="1" t="str">
        <f t="shared" ca="1" si="12"/>
        <v>04</v>
      </c>
      <c r="CL9" s="1" t="str">
        <f t="shared" ca="1" si="13"/>
        <v>Q3 04</v>
      </c>
      <c r="CM9" s="1">
        <f ca="1">OFFSET('Input data (2)'!AJ$126,'Input data (2)'!$BL$1-'Output data - DO NOT TOUCH (2)'!$CG9,0)/1000</f>
        <v>9.3650000000000002</v>
      </c>
      <c r="CN9" s="1">
        <f ca="1">OFFSET('Input data (2)'!AK$126,'Input data (2)'!$BL$1-'Output data - DO NOT TOUCH (2)'!$CG9,0)/1000</f>
        <v>2.7589999999999999</v>
      </c>
      <c r="CO9" s="1">
        <f ca="1">OFFSET('Input data (2)'!AL$126,'Input data (2)'!$BL$1-'Output data - DO NOT TOUCH (2)'!$CG9,0)/1000</f>
        <v>12.124000000000001</v>
      </c>
      <c r="CP9" s="1"/>
      <c r="CQ9" s="1">
        <f ca="1">OFFSET('Input data (2)'!AG$126,'Input data (2)'!$BL$1-'Output data - DO NOT TOUCH (2)'!$CG9,0)/1000</f>
        <v>1.115</v>
      </c>
      <c r="CR9" s="1">
        <f ca="1">OFFSET('Input data (2)'!AH$126,'Input data (2)'!$BL$1-'Output data - DO NOT TOUCH (2)'!$CG9,0)/1000</f>
        <v>1.8720000000000001</v>
      </c>
      <c r="CS9" s="1">
        <f ca="1">OFFSET('Input data (2)'!AI$126,'Input data (2)'!$BL$1-'Output data - DO NOT TOUCH (2)'!$CG9,0)/1000</f>
        <v>2.9870000000000001</v>
      </c>
      <c r="CT9" s="1"/>
      <c r="CU9" s="1">
        <f ca="1">OFFSET('Input data (2)'!L$126,'Input data (2)'!$BL$1-'Output data - DO NOT TOUCH (2)'!$CG9,0)</f>
        <v>203</v>
      </c>
      <c r="CV9" s="1">
        <f ca="1">OFFSET('Input data (2)'!M$126,'Input data (2)'!$BL$1-'Output data - DO NOT TOUCH (2)'!$CG9,0)</f>
        <v>0</v>
      </c>
      <c r="CW9" s="67">
        <f ca="1">OFFSET('Input data (2)'!N$126,'Input data (2)'!$BL$1-'Output data - DO NOT TOUCH (2)'!$CG9,0)</f>
        <v>421</v>
      </c>
      <c r="CX9" s="1">
        <f ca="1">OFFSET('Input data (2)'!P$126,'Input data (2)'!$BL$1-'Output data - DO NOT TOUCH (2)'!$CG9,0)</f>
        <v>137</v>
      </c>
      <c r="CY9" s="1"/>
      <c r="CZ9" s="1">
        <f ca="1">OFFSET('Input data (2)'!AY$126,'Input data (2)'!$BL$1-'Output data - DO NOT TOUCH (2)'!$CG9,0)/1000</f>
        <v>0.92300000000000004</v>
      </c>
      <c r="DA9" s="1">
        <f ca="1">OFFSET('Input data (2)'!BA$126,'Input data (2)'!$BL$1-'Output data - DO NOT TOUCH (2)'!$CG9,0)/1000</f>
        <v>1.518</v>
      </c>
      <c r="DB9" s="1">
        <f ca="1">OFFSET('Input data (2)'!BB$126,'Input data (2)'!$BL$1-'Output data - DO NOT TOUCH (2)'!$CG9,0)/1000</f>
        <v>2.4409999999999998</v>
      </c>
      <c r="DD9" s="1">
        <f ca="1">OFFSET('Input data (2)'!AN$126,'Input data (2)'!$BL$1-'Output data - DO NOT TOUCH (2)'!$CG9,0)</f>
        <v>113</v>
      </c>
      <c r="DE9" s="1">
        <f ca="1">OFFSET('Input data (2)'!AO$126,'Input data (2)'!$BL$1-'Output data - DO NOT TOUCH (2)'!$CG9,0)</f>
        <v>55</v>
      </c>
      <c r="DF9" s="1">
        <f ca="1">OFFSET('Input data (2)'!AP$126,'Input data (2)'!$BL$1-'Output data - DO NOT TOUCH (2)'!$CG9,0)</f>
        <v>168</v>
      </c>
      <c r="DG9" s="1"/>
      <c r="DH9" s="1">
        <f ca="1">OFFSET('Input data (2)'!AU$126,'Input data (2)'!$BL$1-'Output data - DO NOT TOUCH (2)'!$CG9,0)</f>
        <v>13</v>
      </c>
      <c r="DI9" s="1">
        <f ca="1">OFFSET('Input data (2)'!AV$126,'Input data (2)'!$BL$1-'Output data - DO NOT TOUCH (2)'!$CG9,0)</f>
        <v>0</v>
      </c>
      <c r="DJ9" s="1">
        <f ca="1">OFFSET('Input data (2)'!AW$126,'Input data (2)'!$BL$1-'Output data - DO NOT TOUCH (2)'!$CG9,0)</f>
        <v>7</v>
      </c>
      <c r="DK9" s="1">
        <f ca="1">OFFSET('Input data (2)'!AX$126,'Input data (2)'!$BL$1-'Output data - DO NOT TOUCH (2)'!$CG9,0)</f>
        <v>0</v>
      </c>
      <c r="DM9" s="1">
        <f ca="1">OFFSET('Input data (2)'!BI$126,'Input data (2)'!$BL$1-'Output data - DO NOT TOUCH (2)'!$CG9,0)</f>
        <v>165</v>
      </c>
      <c r="DN9" s="1">
        <f ca="1">OFFSET('Input data (2)'!BJ$126,'Input data (2)'!$BL$1-'Output data - DO NOT TOUCH (2)'!$CG9,0)</f>
        <v>121</v>
      </c>
      <c r="DO9" s="1">
        <f ca="1">OFFSET('Input data (2)'!BL$126,'Input data (2)'!$BL$1-'Output data - DO NOT TOUCH (2)'!$CG9,0)</f>
        <v>286</v>
      </c>
      <c r="DQ9" s="1">
        <f ca="1">OFFSET('Input data (2)'!BD$126,'Input data (2)'!$BL$1-'Output data - DO NOT TOUCH (2)'!$CG9,0)</f>
        <v>20</v>
      </c>
      <c r="DR9" s="1">
        <f ca="1">OFFSET('Input data (2)'!BE$126,'Input data (2)'!$BL$1-'Output data - DO NOT TOUCH (2)'!$CG9,0)</f>
        <v>8</v>
      </c>
      <c r="DS9" s="1">
        <f ca="1">OFFSET('Input data (2)'!BF$126,'Input data (2)'!$BL$1-'Output data - DO NOT TOUCH (2)'!$CG9,0)</f>
        <v>28</v>
      </c>
      <c r="DU9" s="1">
        <f ca="1">OFFSET('Input data (2)'!B$126,'Input data (2)'!$BL$1-'Output data - DO NOT TOUCH (2)'!$CG9-1,0)</f>
        <v>2004</v>
      </c>
      <c r="DV9" s="1" t="str">
        <f ca="1">OFFSET('Input data (2)'!C$126,'Input data (2)'!$BL$1-'Output data - DO NOT TOUCH (2)'!$CG9-1,0)</f>
        <v>Q2</v>
      </c>
      <c r="DW9" s="1" t="str">
        <f t="shared" ca="1" si="14"/>
        <v>04</v>
      </c>
      <c r="DX9" s="1" t="str">
        <f t="shared" ca="1" si="15"/>
        <v>Q2 04</v>
      </c>
      <c r="DY9" s="1">
        <f ca="1">OFFSET('Input data (2)'!W$126,'Input data (2)'!$BL$1-'Output data - DO NOT TOUCH (2)'!$CG9-1,0)/1000</f>
        <v>2.4550000000000001</v>
      </c>
      <c r="DZ9" s="1">
        <f ca="1">OFFSET('Input data (2)'!Y$126,'Input data (2)'!$BL$1-'Output data - DO NOT TOUCH (2)'!$CG9-1,0)/1000</f>
        <v>6.6050000000000004</v>
      </c>
      <c r="EA9" s="1">
        <f ca="1">OFFSET('Input data (2)'!Q$126,'Input data (2)'!$BL$1-'Output data - DO NOT TOUCH (2)'!$CG9-1,0)/1000</f>
        <v>9.06</v>
      </c>
      <c r="EC9" s="3" t="str">
        <f t="shared" ca="1" si="16"/>
        <v>Q3 12</v>
      </c>
      <c r="ED9" s="68" t="e">
        <f t="shared" ca="1" si="17"/>
        <v>#VALUE!</v>
      </c>
      <c r="EE9" s="68" t="e">
        <f t="shared" ca="1" si="18"/>
        <v>#VALUE!</v>
      </c>
      <c r="EF9" s="68" t="e">
        <f t="shared" ca="1" si="19"/>
        <v>#VALUE!</v>
      </c>
      <c r="EH9" s="68">
        <f t="shared" ca="1" si="20"/>
        <v>1.2303149606299226</v>
      </c>
      <c r="EI9" s="68">
        <f t="shared" ca="1" si="21"/>
        <v>-3.9370078740157473</v>
      </c>
      <c r="EJ9" s="68">
        <f t="shared" ca="1" si="22"/>
        <v>-2.7066929133858246</v>
      </c>
    </row>
    <row r="10" spans="1:140" x14ac:dyDescent="0.15">
      <c r="A10" s="1">
        <v>34</v>
      </c>
      <c r="B10" s="1">
        <v>35</v>
      </c>
      <c r="C10" s="1">
        <v>36</v>
      </c>
      <c r="D10" s="1">
        <v>33</v>
      </c>
      <c r="F10" s="1">
        <f t="shared" si="23"/>
        <v>2009</v>
      </c>
      <c r="H10" s="1">
        <f t="shared" si="0"/>
        <v>19077</v>
      </c>
      <c r="I10" s="1">
        <f t="shared" si="0"/>
        <v>5643</v>
      </c>
      <c r="J10" s="1">
        <f t="shared" si="0"/>
        <v>13434</v>
      </c>
      <c r="O10" s="119">
        <f t="shared" ca="1" si="1"/>
        <v>1469</v>
      </c>
      <c r="Q10" s="1">
        <f t="shared" ca="1" si="2"/>
        <v>134142</v>
      </c>
      <c r="R10" s="1">
        <f t="shared" ca="1" si="2"/>
        <v>74670</v>
      </c>
      <c r="S10" s="1">
        <f t="shared" ca="1" si="2"/>
        <v>11831</v>
      </c>
      <c r="T10" s="1">
        <f t="shared" ca="1" si="2"/>
        <v>47641</v>
      </c>
      <c r="Y10" s="1">
        <f t="shared" ca="1" si="3"/>
        <v>74670</v>
      </c>
      <c r="Z10" s="1">
        <f t="shared" ca="1" si="3"/>
        <v>63804</v>
      </c>
      <c r="AB10" s="1">
        <f t="shared" ca="1" si="4"/>
        <v>10866</v>
      </c>
      <c r="AD10" s="1">
        <f t="shared" ca="1" si="5"/>
        <v>74670</v>
      </c>
      <c r="AE10" s="1">
        <f t="shared" ca="1" si="5"/>
        <v>9753</v>
      </c>
      <c r="AG10" s="1">
        <f t="shared" ca="1" si="6"/>
        <v>64917</v>
      </c>
      <c r="AJ10" s="124">
        <f t="shared" ca="1" si="7"/>
        <v>15401</v>
      </c>
      <c r="AK10" s="124">
        <f t="shared" ca="1" si="7"/>
        <v>64</v>
      </c>
      <c r="AL10" s="124">
        <f t="shared" ca="1" si="7"/>
        <v>15337</v>
      </c>
      <c r="AW10" s="1">
        <f t="shared" ca="1" si="8"/>
        <v>1468</v>
      </c>
      <c r="AX10" s="1">
        <f t="shared" ca="1" si="8"/>
        <v>0</v>
      </c>
      <c r="AY10" s="1">
        <f t="shared" ca="1" si="8"/>
        <v>4161</v>
      </c>
      <c r="AZ10" s="1">
        <f t="shared" ca="1" si="8"/>
        <v>726</v>
      </c>
      <c r="BB10" s="1">
        <f t="shared" ca="1" si="9"/>
        <v>23541</v>
      </c>
      <c r="BC10" s="1">
        <f t="shared" ca="1" si="9"/>
        <v>14415</v>
      </c>
      <c r="BD10" s="1">
        <f t="shared" ca="1" si="9"/>
        <v>8775</v>
      </c>
      <c r="BE10" s="1">
        <f t="shared" ca="1" si="9"/>
        <v>9126</v>
      </c>
      <c r="BF10" s="1">
        <f t="shared" ca="1" si="9"/>
        <v>584</v>
      </c>
      <c r="BG10" s="1">
        <f t="shared" ca="1" si="9"/>
        <v>432</v>
      </c>
      <c r="BH10" s="1">
        <f t="shared" ca="1" si="9"/>
        <v>152</v>
      </c>
      <c r="BJ10" s="1">
        <f t="shared" ca="1" si="10"/>
        <v>40</v>
      </c>
      <c r="BK10" s="1">
        <f t="shared" ca="1" si="10"/>
        <v>0</v>
      </c>
      <c r="BL10" s="1">
        <f t="shared" ca="1" si="10"/>
        <v>134</v>
      </c>
      <c r="BM10" s="1">
        <f t="shared" ca="1" si="10"/>
        <v>6</v>
      </c>
      <c r="BO10" s="1">
        <f t="shared" ca="1" si="11"/>
        <v>1958</v>
      </c>
      <c r="BP10" s="1">
        <f t="shared" ca="1" si="11"/>
        <v>1236</v>
      </c>
      <c r="BQ10" s="1">
        <f t="shared" ca="1" si="11"/>
        <v>0</v>
      </c>
      <c r="BR10" s="1">
        <f t="shared" ca="1" si="11"/>
        <v>722</v>
      </c>
      <c r="BS10" s="1">
        <f t="shared" ca="1" si="11"/>
        <v>247</v>
      </c>
      <c r="BT10" s="1">
        <f t="shared" ca="1" si="11"/>
        <v>164</v>
      </c>
      <c r="BU10" s="1">
        <f t="shared" ca="1" si="11"/>
        <v>83</v>
      </c>
      <c r="CG10" s="1">
        <v>34</v>
      </c>
      <c r="CI10" s="1">
        <f t="shared" ca="1" si="24"/>
        <v>2004</v>
      </c>
      <c r="CJ10" s="1" t="str">
        <f t="shared" si="25"/>
        <v>Q4</v>
      </c>
      <c r="CK10" s="1" t="str">
        <f t="shared" ca="1" si="12"/>
        <v>04</v>
      </c>
      <c r="CL10" s="1" t="str">
        <f t="shared" ca="1" si="13"/>
        <v>Q4 04</v>
      </c>
      <c r="CM10" s="1">
        <f ca="1">OFFSET('Input data (2)'!AJ$126,'Input data (2)'!$BL$1-'Output data - DO NOT TOUCH (2)'!$CG10,0)/1000</f>
        <v>9.6929999999999996</v>
      </c>
      <c r="CN10" s="1">
        <f ca="1">OFFSET('Input data (2)'!AK$126,'Input data (2)'!$BL$1-'Output data - DO NOT TOUCH (2)'!$CG10,0)/1000</f>
        <v>3.1920000000000002</v>
      </c>
      <c r="CO10" s="1">
        <f ca="1">OFFSET('Input data (2)'!AL$126,'Input data (2)'!$BL$1-'Output data - DO NOT TOUCH (2)'!$CG10,0)/1000</f>
        <v>12.885</v>
      </c>
      <c r="CP10" s="1"/>
      <c r="CQ10" s="1">
        <f ca="1">OFFSET('Input data (2)'!AG$126,'Input data (2)'!$BL$1-'Output data - DO NOT TOUCH (2)'!$CG10,0)/1000</f>
        <v>1.1180000000000001</v>
      </c>
      <c r="CR10" s="1">
        <f ca="1">OFFSET('Input data (2)'!AH$126,'Input data (2)'!$BL$1-'Output data - DO NOT TOUCH (2)'!$CG10,0)/1000</f>
        <v>1.8540000000000001</v>
      </c>
      <c r="CS10" s="1">
        <f ca="1">OFFSET('Input data (2)'!AI$126,'Input data (2)'!$BL$1-'Output data - DO NOT TOUCH (2)'!$CG10,0)/1000</f>
        <v>2.972</v>
      </c>
      <c r="CT10" s="1"/>
      <c r="CU10" s="1">
        <f ca="1">OFFSET('Input data (2)'!L$126,'Input data (2)'!$BL$1-'Output data - DO NOT TOUCH (2)'!$CG10,0)</f>
        <v>238</v>
      </c>
      <c r="CV10" s="1">
        <f ca="1">OFFSET('Input data (2)'!M$126,'Input data (2)'!$BL$1-'Output data - DO NOT TOUCH (2)'!$CG10,0)</f>
        <v>0</v>
      </c>
      <c r="CW10" s="67">
        <f ca="1">OFFSET('Input data (2)'!N$126,'Input data (2)'!$BL$1-'Output data - DO NOT TOUCH (2)'!$CG10,0)</f>
        <v>457</v>
      </c>
      <c r="CX10" s="1">
        <f ca="1">OFFSET('Input data (2)'!P$126,'Input data (2)'!$BL$1-'Output data - DO NOT TOUCH (2)'!$CG10,0)</f>
        <v>130</v>
      </c>
      <c r="CY10" s="1"/>
      <c r="CZ10" s="1">
        <f ca="1">OFFSET('Input data (2)'!AY$126,'Input data (2)'!$BL$1-'Output data - DO NOT TOUCH (2)'!$CG10,0)/1000</f>
        <v>0.80300000000000005</v>
      </c>
      <c r="DA10" s="1">
        <f ca="1">OFFSET('Input data (2)'!BA$126,'Input data (2)'!$BL$1-'Output data - DO NOT TOUCH (2)'!$CG10,0)/1000</f>
        <v>1.7629999999999999</v>
      </c>
      <c r="DB10" s="1">
        <f ca="1">OFFSET('Input data (2)'!BB$126,'Input data (2)'!$BL$1-'Output data - DO NOT TOUCH (2)'!$CG10,0)/1000</f>
        <v>2.5659999999999998</v>
      </c>
      <c r="DD10" s="1">
        <f ca="1">OFFSET('Input data (2)'!AN$126,'Input data (2)'!$BL$1-'Output data - DO NOT TOUCH (2)'!$CG10,0)</f>
        <v>113</v>
      </c>
      <c r="DE10" s="1">
        <f ca="1">OFFSET('Input data (2)'!AO$126,'Input data (2)'!$BL$1-'Output data - DO NOT TOUCH (2)'!$CG10,0)</f>
        <v>40</v>
      </c>
      <c r="DF10" s="1">
        <f ca="1">OFFSET('Input data (2)'!AP$126,'Input data (2)'!$BL$1-'Output data - DO NOT TOUCH (2)'!$CG10,0)</f>
        <v>153</v>
      </c>
      <c r="DG10" s="1"/>
      <c r="DH10" s="1">
        <f ca="1">OFFSET('Input data (2)'!AU$126,'Input data (2)'!$BL$1-'Output data - DO NOT TOUCH (2)'!$CG10,0)</f>
        <v>16</v>
      </c>
      <c r="DI10" s="1">
        <f ca="1">OFFSET('Input data (2)'!AV$126,'Input data (2)'!$BL$1-'Output data - DO NOT TOUCH (2)'!$CG10,0)</f>
        <v>0</v>
      </c>
      <c r="DJ10" s="1">
        <f ca="1">OFFSET('Input data (2)'!AW$126,'Input data (2)'!$BL$1-'Output data - DO NOT TOUCH (2)'!$CG10,0)</f>
        <v>4</v>
      </c>
      <c r="DK10" s="1">
        <f ca="1">OFFSET('Input data (2)'!AX$126,'Input data (2)'!$BL$1-'Output data - DO NOT TOUCH (2)'!$CG10,0)</f>
        <v>1</v>
      </c>
      <c r="DM10" s="1">
        <f ca="1">OFFSET('Input data (2)'!BI$126,'Input data (2)'!$BL$1-'Output data - DO NOT TOUCH (2)'!$CG10,0)</f>
        <v>173</v>
      </c>
      <c r="DN10" s="1">
        <f ca="1">OFFSET('Input data (2)'!BJ$126,'Input data (2)'!$BL$1-'Output data - DO NOT TOUCH (2)'!$CG10,0)</f>
        <v>121</v>
      </c>
      <c r="DO10" s="1">
        <f ca="1">OFFSET('Input data (2)'!BL$126,'Input data (2)'!$BL$1-'Output data - DO NOT TOUCH (2)'!$CG10,0)</f>
        <v>294</v>
      </c>
      <c r="DQ10" s="1">
        <f ca="1">OFFSET('Input data (2)'!BD$126,'Input data (2)'!$BL$1-'Output data - DO NOT TOUCH (2)'!$CG10,0)</f>
        <v>10</v>
      </c>
      <c r="DR10" s="1">
        <f ca="1">OFFSET('Input data (2)'!BE$126,'Input data (2)'!$BL$1-'Output data - DO NOT TOUCH (2)'!$CG10,0)</f>
        <v>9</v>
      </c>
      <c r="DS10" s="1">
        <f ca="1">OFFSET('Input data (2)'!BF$126,'Input data (2)'!$BL$1-'Output data - DO NOT TOUCH (2)'!$CG10,0)</f>
        <v>19</v>
      </c>
      <c r="DU10" s="1">
        <f ca="1">OFFSET('Input data (2)'!B$126,'Input data (2)'!$BL$1-'Output data - DO NOT TOUCH (2)'!$CG10-1,0)</f>
        <v>2004</v>
      </c>
      <c r="DV10" s="1" t="str">
        <f ca="1">OFFSET('Input data (2)'!C$126,'Input data (2)'!$BL$1-'Output data - DO NOT TOUCH (2)'!$CG10-1,0)</f>
        <v>Q3</v>
      </c>
      <c r="DW10" s="1" t="str">
        <f t="shared" ca="1" si="14"/>
        <v>04</v>
      </c>
      <c r="DX10" s="1" t="str">
        <f t="shared" ca="1" si="15"/>
        <v>Q3 04</v>
      </c>
      <c r="DY10" s="1">
        <f ca="1">OFFSET('Input data (2)'!W$126,'Input data (2)'!$BL$1-'Output data - DO NOT TOUCH (2)'!$CG10-1,0)/1000</f>
        <v>2.2999999999999998</v>
      </c>
      <c r="DZ10" s="1">
        <f ca="1">OFFSET('Input data (2)'!Y$126,'Input data (2)'!$BL$1-'Output data - DO NOT TOUCH (2)'!$CG10-1,0)/1000</f>
        <v>7.0149999999999997</v>
      </c>
      <c r="EA10" s="1">
        <f ca="1">OFFSET('Input data (2)'!Q$126,'Input data (2)'!$BL$1-'Output data - DO NOT TOUCH (2)'!$CG10-1,0)/1000</f>
        <v>9.3149999999999995</v>
      </c>
      <c r="EC10" s="3" t="str">
        <f t="shared" ca="1" si="16"/>
        <v>Q4 12</v>
      </c>
      <c r="ED10" s="68" t="e">
        <f t="shared" ca="1" si="17"/>
        <v>#VALUE!</v>
      </c>
      <c r="EE10" s="68" t="e">
        <f t="shared" ca="1" si="18"/>
        <v>#VALUE!</v>
      </c>
      <c r="EF10" s="68" t="e">
        <f t="shared" ca="1" si="19"/>
        <v>#VALUE!</v>
      </c>
      <c r="EH10" s="68">
        <f t="shared" ca="1" si="20"/>
        <v>-3.6671724835609494</v>
      </c>
      <c r="EI10" s="68">
        <f t="shared" ca="1" si="21"/>
        <v>0.35407182599899412</v>
      </c>
      <c r="EJ10" s="68">
        <f t="shared" ca="1" si="22"/>
        <v>-3.3131006575619555</v>
      </c>
    </row>
    <row r="11" spans="1:140" x14ac:dyDescent="0.15">
      <c r="A11" s="1">
        <v>33</v>
      </c>
      <c r="B11" s="1">
        <v>34</v>
      </c>
      <c r="C11" s="1">
        <v>35</v>
      </c>
      <c r="D11" s="1">
        <v>32</v>
      </c>
      <c r="F11" s="1">
        <f t="shared" si="23"/>
        <v>2010</v>
      </c>
      <c r="H11" s="1">
        <f t="shared" si="0"/>
        <v>16045</v>
      </c>
      <c r="I11" s="1">
        <f t="shared" si="0"/>
        <v>4792</v>
      </c>
      <c r="J11" s="1">
        <f t="shared" si="0"/>
        <v>11253</v>
      </c>
      <c r="O11" s="119">
        <f t="shared" ca="1" si="1"/>
        <v>1483</v>
      </c>
      <c r="Q11" s="1">
        <f t="shared" ca="1" si="2"/>
        <v>135045</v>
      </c>
      <c r="R11" s="1">
        <f t="shared" ca="1" si="2"/>
        <v>59173</v>
      </c>
      <c r="S11" s="1">
        <f t="shared" ca="1" si="2"/>
        <v>25179</v>
      </c>
      <c r="T11" s="1">
        <f t="shared" ca="1" si="2"/>
        <v>50693</v>
      </c>
      <c r="Y11" s="1">
        <f t="shared" ca="1" si="3"/>
        <v>59173</v>
      </c>
      <c r="Z11" s="1">
        <f t="shared" ca="1" si="3"/>
        <v>50631</v>
      </c>
      <c r="AB11" s="1">
        <f t="shared" ca="1" si="4"/>
        <v>8542</v>
      </c>
      <c r="AD11" s="1">
        <f t="shared" ca="1" si="5"/>
        <v>59173</v>
      </c>
      <c r="AE11" s="1">
        <f t="shared" ca="1" si="5"/>
        <v>8157</v>
      </c>
      <c r="AG11" s="1">
        <f t="shared" ca="1" si="6"/>
        <v>51016</v>
      </c>
      <c r="AJ11" s="124">
        <f t="shared" ca="1" si="7"/>
        <v>13741</v>
      </c>
      <c r="AK11" s="124">
        <f t="shared" ca="1" si="7"/>
        <v>52</v>
      </c>
      <c r="AL11" s="124">
        <f t="shared" ca="1" si="7"/>
        <v>13689</v>
      </c>
      <c r="AW11" s="1">
        <f t="shared" ca="1" si="8"/>
        <v>1309</v>
      </c>
      <c r="AX11" s="1">
        <f t="shared" ca="1" si="8"/>
        <v>4</v>
      </c>
      <c r="AY11" s="1">
        <f t="shared" ca="1" si="8"/>
        <v>2831</v>
      </c>
      <c r="AZ11" s="1">
        <f t="shared" ca="1" si="8"/>
        <v>765</v>
      </c>
      <c r="BB11" s="1">
        <f t="shared" ca="1" si="9"/>
        <v>20344</v>
      </c>
      <c r="BC11" s="1">
        <f t="shared" ca="1" si="9"/>
        <v>11906</v>
      </c>
      <c r="BD11" s="1">
        <f t="shared" ca="1" si="9"/>
        <v>6801</v>
      </c>
      <c r="BE11" s="1">
        <f t="shared" ca="1" si="9"/>
        <v>8438</v>
      </c>
      <c r="BF11" s="1">
        <f t="shared" ca="1" si="9"/>
        <v>1041</v>
      </c>
      <c r="BG11" s="1">
        <f t="shared" ca="1" si="9"/>
        <v>735</v>
      </c>
      <c r="BH11" s="1">
        <f t="shared" ca="1" si="9"/>
        <v>306</v>
      </c>
      <c r="BJ11" s="1">
        <f t="shared" ca="1" si="10"/>
        <v>49</v>
      </c>
      <c r="BK11" s="1">
        <f t="shared" ca="1" si="10"/>
        <v>2</v>
      </c>
      <c r="BL11" s="1">
        <f t="shared" ca="1" si="10"/>
        <v>241</v>
      </c>
      <c r="BM11" s="1">
        <f t="shared" ca="1" si="10"/>
        <v>7</v>
      </c>
      <c r="BO11" s="1">
        <f t="shared" ca="1" si="11"/>
        <v>2323</v>
      </c>
      <c r="BP11" s="1">
        <f t="shared" ca="1" si="11"/>
        <v>1321</v>
      </c>
      <c r="BQ11" s="1">
        <f t="shared" ca="1" si="11"/>
        <v>0</v>
      </c>
      <c r="BR11" s="1">
        <f t="shared" ca="1" si="11"/>
        <v>1002</v>
      </c>
      <c r="BS11" s="1">
        <f t="shared" ca="1" si="11"/>
        <v>382</v>
      </c>
      <c r="BT11" s="1">
        <f t="shared" ca="1" si="11"/>
        <v>250</v>
      </c>
      <c r="BU11" s="1">
        <f t="shared" ca="1" si="11"/>
        <v>132</v>
      </c>
      <c r="CG11" s="1">
        <v>33</v>
      </c>
      <c r="CI11" s="1">
        <f t="shared" ca="1" si="24"/>
        <v>2005</v>
      </c>
      <c r="CJ11" s="1" t="str">
        <f t="shared" si="25"/>
        <v>Q1</v>
      </c>
      <c r="CK11" s="1" t="str">
        <f t="shared" ca="1" si="12"/>
        <v>05</v>
      </c>
      <c r="CL11" s="1" t="str">
        <f t="shared" ca="1" si="13"/>
        <v>Q1 05</v>
      </c>
      <c r="CM11" s="1">
        <f ca="1">OFFSET('Input data (2)'!AJ$126,'Input data (2)'!$BL$1-'Output data - DO NOT TOUCH (2)'!$CG11,0)/1000</f>
        <v>10.089</v>
      </c>
      <c r="CN11" s="1">
        <f ca="1">OFFSET('Input data (2)'!AK$126,'Input data (2)'!$BL$1-'Output data - DO NOT TOUCH (2)'!$CG11,0)/1000</f>
        <v>3.3620000000000001</v>
      </c>
      <c r="CO11" s="1">
        <f ca="1">OFFSET('Input data (2)'!AL$126,'Input data (2)'!$BL$1-'Output data - DO NOT TOUCH (2)'!$CG11,0)/1000</f>
        <v>13.451000000000001</v>
      </c>
      <c r="CP11" s="1"/>
      <c r="CQ11" s="1">
        <f ca="1">OFFSET('Input data (2)'!AG$126,'Input data (2)'!$BL$1-'Output data - DO NOT TOUCH (2)'!$CG11,0)/1000</f>
        <v>1.1819999999999999</v>
      </c>
      <c r="CR11" s="1">
        <f ca="1">OFFSET('Input data (2)'!AH$126,'Input data (2)'!$BL$1-'Output data - DO NOT TOUCH (2)'!$CG11,0)/1000</f>
        <v>1.8540000000000001</v>
      </c>
      <c r="CS11" s="1">
        <f ca="1">OFFSET('Input data (2)'!AI$126,'Input data (2)'!$BL$1-'Output data - DO NOT TOUCH (2)'!$CG11,0)/1000</f>
        <v>3.036</v>
      </c>
      <c r="CT11" s="1"/>
      <c r="CU11" s="1">
        <f ca="1">OFFSET('Input data (2)'!L$126,'Input data (2)'!$BL$1-'Output data - DO NOT TOUCH (2)'!$CG11,0)</f>
        <v>114</v>
      </c>
      <c r="CV11" s="1">
        <f ca="1">OFFSET('Input data (2)'!M$126,'Input data (2)'!$BL$1-'Output data - DO NOT TOUCH (2)'!$CG11,0)</f>
        <v>0</v>
      </c>
      <c r="CW11" s="67">
        <f ca="1">OFFSET('Input data (2)'!N$126,'Input data (2)'!$BL$1-'Output data - DO NOT TOUCH (2)'!$CG11,0)</f>
        <v>489</v>
      </c>
      <c r="CX11" s="1">
        <f ca="1">OFFSET('Input data (2)'!P$126,'Input data (2)'!$BL$1-'Output data - DO NOT TOUCH (2)'!$CG11,0)</f>
        <v>179</v>
      </c>
      <c r="CY11" s="1"/>
      <c r="CZ11" s="1">
        <f ca="1">OFFSET('Input data (2)'!AY$126,'Input data (2)'!$BL$1-'Output data - DO NOT TOUCH (2)'!$CG11,0)/1000</f>
        <v>0.90800000000000003</v>
      </c>
      <c r="DA11" s="1">
        <f ca="1">OFFSET('Input data (2)'!BA$126,'Input data (2)'!$BL$1-'Output data - DO NOT TOUCH (2)'!$CG11,0)/1000</f>
        <v>1.554</v>
      </c>
      <c r="DB11" s="1">
        <f ca="1">OFFSET('Input data (2)'!BB$126,'Input data (2)'!$BL$1-'Output data - DO NOT TOUCH (2)'!$CG11,0)/1000</f>
        <v>2.4620000000000002</v>
      </c>
      <c r="DD11" s="1">
        <f ca="1">OFFSET('Input data (2)'!AN$126,'Input data (2)'!$BL$1-'Output data - DO NOT TOUCH (2)'!$CG11,0)</f>
        <v>103</v>
      </c>
      <c r="DE11" s="1">
        <f ca="1">OFFSET('Input data (2)'!AO$126,'Input data (2)'!$BL$1-'Output data - DO NOT TOUCH (2)'!$CG11,0)</f>
        <v>37</v>
      </c>
      <c r="DF11" s="1">
        <f ca="1">OFFSET('Input data (2)'!AP$126,'Input data (2)'!$BL$1-'Output data - DO NOT TOUCH (2)'!$CG11,0)</f>
        <v>140</v>
      </c>
      <c r="DG11" s="1"/>
      <c r="DH11" s="1">
        <f ca="1">OFFSET('Input data (2)'!AU$126,'Input data (2)'!$BL$1-'Output data - DO NOT TOUCH (2)'!$CG11,0)</f>
        <v>27</v>
      </c>
      <c r="DI11" s="1">
        <f ca="1">OFFSET('Input data (2)'!AV$126,'Input data (2)'!$BL$1-'Output data - DO NOT TOUCH (2)'!$CG11,0)</f>
        <v>0</v>
      </c>
      <c r="DJ11" s="1">
        <f ca="1">OFFSET('Input data (2)'!AW$126,'Input data (2)'!$BL$1-'Output data - DO NOT TOUCH (2)'!$CG11,0)</f>
        <v>8</v>
      </c>
      <c r="DK11" s="1">
        <f ca="1">OFFSET('Input data (2)'!AX$126,'Input data (2)'!$BL$1-'Output data - DO NOT TOUCH (2)'!$CG11,0)</f>
        <v>1</v>
      </c>
      <c r="DM11" s="1">
        <f ca="1">OFFSET('Input data (2)'!BI$126,'Input data (2)'!$BL$1-'Output data - DO NOT TOUCH (2)'!$CG11,0)</f>
        <v>174</v>
      </c>
      <c r="DN11" s="1">
        <f ca="1">OFFSET('Input data (2)'!BJ$126,'Input data (2)'!$BL$1-'Output data - DO NOT TOUCH (2)'!$CG11,0)</f>
        <v>128</v>
      </c>
      <c r="DO11" s="1">
        <f ca="1">OFFSET('Input data (2)'!BL$126,'Input data (2)'!$BL$1-'Output data - DO NOT TOUCH (2)'!$CG11,0)</f>
        <v>302</v>
      </c>
      <c r="DQ11" s="1">
        <f ca="1">OFFSET('Input data (2)'!BD$126,'Input data (2)'!$BL$1-'Output data - DO NOT TOUCH (2)'!$CG11,0)</f>
        <v>15</v>
      </c>
      <c r="DR11" s="1">
        <f ca="1">OFFSET('Input data (2)'!BE$126,'Input data (2)'!$BL$1-'Output data - DO NOT TOUCH (2)'!$CG11,0)</f>
        <v>14</v>
      </c>
      <c r="DS11" s="1">
        <f ca="1">OFFSET('Input data (2)'!BF$126,'Input data (2)'!$BL$1-'Output data - DO NOT TOUCH (2)'!$CG11,0)</f>
        <v>29</v>
      </c>
      <c r="DU11" s="1">
        <f ca="1">OFFSET('Input data (2)'!B$126,'Input data (2)'!$BL$1-'Output data - DO NOT TOUCH (2)'!$CG11-1,0)</f>
        <v>2004</v>
      </c>
      <c r="DV11" s="1" t="str">
        <f ca="1">OFFSET('Input data (2)'!C$126,'Input data (2)'!$BL$1-'Output data - DO NOT TOUCH (2)'!$CG11-1,0)</f>
        <v>Q4</v>
      </c>
      <c r="DW11" s="1" t="str">
        <f t="shared" ca="1" si="14"/>
        <v>04</v>
      </c>
      <c r="DX11" s="1" t="str">
        <f t="shared" ca="1" si="15"/>
        <v>Q4 04</v>
      </c>
      <c r="DY11" s="1">
        <f ca="1">OFFSET('Input data (2)'!W$126,'Input data (2)'!$BL$1-'Output data - DO NOT TOUCH (2)'!$CG11-1,0)/1000</f>
        <v>2.3719999999999999</v>
      </c>
      <c r="DZ11" s="1">
        <f ca="1">OFFSET('Input data (2)'!Y$126,'Input data (2)'!$BL$1-'Output data - DO NOT TOUCH (2)'!$CG11-1,0)/1000</f>
        <v>6.6269999999999998</v>
      </c>
      <c r="EA11" s="1">
        <f ca="1">OFFSET('Input data (2)'!Q$126,'Input data (2)'!$BL$1-'Output data - DO NOT TOUCH (2)'!$CG11-1,0)/1000</f>
        <v>8.9990000000000006</v>
      </c>
      <c r="EC11" s="3" t="str">
        <f t="shared" ca="1" si="16"/>
        <v>Q1 13</v>
      </c>
      <c r="ED11" s="68" t="e">
        <f t="shared" ca="1" si="17"/>
        <v>#VALUE!</v>
      </c>
      <c r="EE11" s="68" t="e">
        <f t="shared" ca="1" si="18"/>
        <v>#VALUE!</v>
      </c>
      <c r="EF11" s="68" t="e">
        <f t="shared" ca="1" si="19"/>
        <v>#VALUE!</v>
      </c>
      <c r="EH11" s="68">
        <f t="shared" ca="1" si="20"/>
        <v>2.506774537924406</v>
      </c>
      <c r="EI11" s="68">
        <f t="shared" ca="1" si="21"/>
        <v>-8.3071032827049507</v>
      </c>
      <c r="EJ11" s="68">
        <f t="shared" ca="1" si="22"/>
        <v>-5.8003287447805452</v>
      </c>
    </row>
    <row r="12" spans="1:140" x14ac:dyDescent="0.15">
      <c r="A12" s="1">
        <v>32</v>
      </c>
      <c r="B12" s="1">
        <v>33</v>
      </c>
      <c r="C12" s="1">
        <v>34</v>
      </c>
      <c r="D12" s="1">
        <v>31</v>
      </c>
      <c r="F12" s="1">
        <f t="shared" si="23"/>
        <v>2011</v>
      </c>
      <c r="H12" s="1">
        <f t="shared" si="0"/>
        <v>16886</v>
      </c>
      <c r="I12" s="1">
        <f t="shared" si="0"/>
        <v>5003</v>
      </c>
      <c r="J12" s="1">
        <f t="shared" si="0"/>
        <v>11883</v>
      </c>
      <c r="O12" s="119">
        <f t="shared" ca="1" si="1"/>
        <v>1127</v>
      </c>
      <c r="Q12" s="1">
        <f t="shared" ca="1" si="2"/>
        <v>119941</v>
      </c>
      <c r="R12" s="1">
        <f t="shared" ca="1" si="2"/>
        <v>41876</v>
      </c>
      <c r="S12" s="1">
        <f t="shared" ca="1" si="2"/>
        <v>29009</v>
      </c>
      <c r="T12" s="1">
        <f t="shared" ca="1" si="2"/>
        <v>49056</v>
      </c>
      <c r="Y12" s="1">
        <f t="shared" ca="1" si="3"/>
        <v>41876</v>
      </c>
      <c r="Z12" s="1">
        <f t="shared" ca="1" si="3"/>
        <v>34073</v>
      </c>
      <c r="AB12" s="1">
        <f t="shared" ca="1" si="4"/>
        <v>7803</v>
      </c>
      <c r="AD12" s="1">
        <f t="shared" ca="1" si="5"/>
        <v>41876</v>
      </c>
      <c r="AE12" s="1">
        <f t="shared" ca="1" si="5"/>
        <v>8893</v>
      </c>
      <c r="AG12" s="1">
        <f t="shared" ca="1" si="6"/>
        <v>32983</v>
      </c>
      <c r="AJ12" s="124">
        <f t="shared" ca="1" si="7"/>
        <v>1477</v>
      </c>
      <c r="AK12" s="124">
        <f t="shared" ca="1" si="7"/>
        <v>10</v>
      </c>
      <c r="AL12" s="124">
        <f t="shared" ca="1" si="7"/>
        <v>1467</v>
      </c>
      <c r="AW12" s="1">
        <f t="shared" ca="1" si="8"/>
        <v>1397</v>
      </c>
      <c r="AX12" s="1">
        <f t="shared" ca="1" si="8"/>
        <v>0</v>
      </c>
      <c r="AY12" s="1">
        <f t="shared" ca="1" si="8"/>
        <v>2808</v>
      </c>
      <c r="AZ12" s="1">
        <f t="shared" ca="1" si="8"/>
        <v>767</v>
      </c>
      <c r="BB12" s="1">
        <f t="shared" ca="1" si="9"/>
        <v>19650</v>
      </c>
      <c r="BC12" s="1">
        <f t="shared" ca="1" si="9"/>
        <v>11128</v>
      </c>
      <c r="BD12" s="1">
        <f t="shared" ca="1" si="9"/>
        <v>4812</v>
      </c>
      <c r="BE12" s="1">
        <f t="shared" ca="1" si="9"/>
        <v>8522</v>
      </c>
      <c r="BF12" s="1">
        <f t="shared" ca="1" si="9"/>
        <v>1237</v>
      </c>
      <c r="BG12" s="1">
        <f t="shared" ca="1" si="9"/>
        <v>918</v>
      </c>
      <c r="BH12" s="1">
        <f t="shared" ca="1" si="9"/>
        <v>319</v>
      </c>
      <c r="BJ12" s="1">
        <f t="shared" ca="1" si="10"/>
        <v>43</v>
      </c>
      <c r="BK12" s="1">
        <f t="shared" ca="1" si="10"/>
        <v>0</v>
      </c>
      <c r="BL12" s="1">
        <f t="shared" ca="1" si="10"/>
        <v>236</v>
      </c>
      <c r="BM12" s="1">
        <f t="shared" ca="1" si="10"/>
        <v>14</v>
      </c>
      <c r="BO12" s="1">
        <f t="shared" ca="1" si="11"/>
        <v>2839</v>
      </c>
      <c r="BP12" s="1">
        <f t="shared" ca="1" si="11"/>
        <v>1615</v>
      </c>
      <c r="BQ12" s="1">
        <f t="shared" ca="1" si="11"/>
        <v>112</v>
      </c>
      <c r="BR12" s="1">
        <f t="shared" ca="1" si="11"/>
        <v>1112</v>
      </c>
      <c r="BS12" s="1">
        <f t="shared" ca="1" si="11"/>
        <v>344</v>
      </c>
      <c r="BT12" s="1">
        <f t="shared" ca="1" si="11"/>
        <v>208</v>
      </c>
      <c r="BU12" s="1">
        <f t="shared" ca="1" si="11"/>
        <v>136</v>
      </c>
      <c r="CG12" s="1">
        <v>32</v>
      </c>
      <c r="CI12" s="1">
        <f t="shared" si="24"/>
        <v>2005</v>
      </c>
      <c r="CJ12" s="1" t="str">
        <f t="shared" si="25"/>
        <v>Q2</v>
      </c>
      <c r="CK12" s="1" t="str">
        <f t="shared" si="12"/>
        <v>05</v>
      </c>
      <c r="CL12" s="1" t="str">
        <f t="shared" si="13"/>
        <v>Q2 05</v>
      </c>
      <c r="CM12" s="1">
        <f ca="1">OFFSET('Input data (2)'!AJ$126,'Input data (2)'!$BL$1-'Output data - DO NOT TOUCH (2)'!$CG12,0)/1000</f>
        <v>11.423999999999999</v>
      </c>
      <c r="CN12" s="1">
        <f ca="1">OFFSET('Input data (2)'!AK$126,'Input data (2)'!$BL$1-'Output data - DO NOT TOUCH (2)'!$CG12,0)/1000</f>
        <v>4.4589999999999996</v>
      </c>
      <c r="CO12" s="1">
        <f ca="1">OFFSET('Input data (2)'!AL$126,'Input data (2)'!$BL$1-'Output data - DO NOT TOUCH (2)'!$CG12,0)/1000</f>
        <v>15.882999999999999</v>
      </c>
      <c r="CP12" s="1"/>
      <c r="CQ12" s="1">
        <f ca="1">OFFSET('Input data (2)'!AG$126,'Input data (2)'!$BL$1-'Output data - DO NOT TOUCH (2)'!$CG12,0)/1000</f>
        <v>1.27</v>
      </c>
      <c r="CR12" s="1">
        <f ca="1">OFFSET('Input data (2)'!AH$126,'Input data (2)'!$BL$1-'Output data - DO NOT TOUCH (2)'!$CG12,0)/1000</f>
        <v>1.96</v>
      </c>
      <c r="CS12" s="1">
        <f ca="1">OFFSET('Input data (2)'!AI$126,'Input data (2)'!$BL$1-'Output data - DO NOT TOUCH (2)'!$CG12,0)/1000</f>
        <v>3.23</v>
      </c>
      <c r="CT12" s="1"/>
      <c r="CU12" s="1">
        <f ca="1">OFFSET('Input data (2)'!L$126,'Input data (2)'!$BL$1-'Output data - DO NOT TOUCH (2)'!$CG12,0)</f>
        <v>167</v>
      </c>
      <c r="CV12" s="1">
        <f ca="1">OFFSET('Input data (2)'!M$126,'Input data (2)'!$BL$1-'Output data - DO NOT TOUCH (2)'!$CG12,0)</f>
        <v>4</v>
      </c>
      <c r="CW12" s="67">
        <f ca="1">OFFSET('Input data (2)'!N$126,'Input data (2)'!$BL$1-'Output data - DO NOT TOUCH (2)'!$CG12,0)</f>
        <v>568</v>
      </c>
      <c r="CX12" s="1">
        <f ca="1">OFFSET('Input data (2)'!P$126,'Input data (2)'!$BL$1-'Output data - DO NOT TOUCH (2)'!$CG12,0)</f>
        <v>183</v>
      </c>
      <c r="CY12" s="1"/>
      <c r="CZ12" s="1">
        <f ca="1">OFFSET('Input data (2)'!AY$126,'Input data (2)'!$BL$1-'Output data - DO NOT TOUCH (2)'!$CG12,0)/1000</f>
        <v>1.3340000000000001</v>
      </c>
      <c r="DA12" s="1">
        <f ca="1">OFFSET('Input data (2)'!BA$126,'Input data (2)'!$BL$1-'Output data - DO NOT TOUCH (2)'!$CG12,0)/1000</f>
        <v>1.5229999999999999</v>
      </c>
      <c r="DB12" s="1">
        <f ca="1">OFFSET('Input data (2)'!BB$126,'Input data (2)'!$BL$1-'Output data - DO NOT TOUCH (2)'!$CG12,0)/1000</f>
        <v>2.8570000000000002</v>
      </c>
      <c r="DD12" s="1">
        <f ca="1">OFFSET('Input data (2)'!AN$126,'Input data (2)'!$BL$1-'Output data - DO NOT TOUCH (2)'!$CG12,0)</f>
        <v>120</v>
      </c>
      <c r="DE12" s="1">
        <f ca="1">OFFSET('Input data (2)'!AO$126,'Input data (2)'!$BL$1-'Output data - DO NOT TOUCH (2)'!$CG12,0)</f>
        <v>39</v>
      </c>
      <c r="DF12" s="1">
        <f ca="1">OFFSET('Input data (2)'!AP$126,'Input data (2)'!$BL$1-'Output data - DO NOT TOUCH (2)'!$CG12,0)</f>
        <v>159</v>
      </c>
      <c r="DG12" s="1"/>
      <c r="DH12" s="1">
        <f ca="1">OFFSET('Input data (2)'!AU$126,'Input data (2)'!$BL$1-'Output data - DO NOT TOUCH (2)'!$CG12,0)</f>
        <v>9</v>
      </c>
      <c r="DI12" s="1">
        <f ca="1">OFFSET('Input data (2)'!AV$126,'Input data (2)'!$BL$1-'Output data - DO NOT TOUCH (2)'!$CG12,0)</f>
        <v>0</v>
      </c>
      <c r="DJ12" s="1">
        <f ca="1">OFFSET('Input data (2)'!AW$126,'Input data (2)'!$BL$1-'Output data - DO NOT TOUCH (2)'!$CG12,0)</f>
        <v>7</v>
      </c>
      <c r="DK12" s="1">
        <f ca="1">OFFSET('Input data (2)'!AX$126,'Input data (2)'!$BL$1-'Output data - DO NOT TOUCH (2)'!$CG12,0)</f>
        <v>4</v>
      </c>
      <c r="DM12" s="1">
        <f ca="1">OFFSET('Input data (2)'!BI$126,'Input data (2)'!$BL$1-'Output data - DO NOT TOUCH (2)'!$CG12,0)</f>
        <v>241</v>
      </c>
      <c r="DN12" s="1">
        <f ca="1">OFFSET('Input data (2)'!BJ$126,'Input data (2)'!$BL$1-'Output data - DO NOT TOUCH (2)'!$CG12,0)</f>
        <v>197</v>
      </c>
      <c r="DO12" s="1">
        <f ca="1">OFFSET('Input data (2)'!BL$126,'Input data (2)'!$BL$1-'Output data - DO NOT TOUCH (2)'!$CG12,0)</f>
        <v>438</v>
      </c>
      <c r="DQ12" s="1">
        <f ca="1">OFFSET('Input data (2)'!BD$126,'Input data (2)'!$BL$1-'Output data - DO NOT TOUCH (2)'!$CG12,0)</f>
        <v>28</v>
      </c>
      <c r="DR12" s="1">
        <f ca="1">OFFSET('Input data (2)'!BE$126,'Input data (2)'!$BL$1-'Output data - DO NOT TOUCH (2)'!$CG12,0)</f>
        <v>19</v>
      </c>
      <c r="DS12" s="1">
        <f ca="1">OFFSET('Input data (2)'!BF$126,'Input data (2)'!$BL$1-'Output data - DO NOT TOUCH (2)'!$CG12,0)</f>
        <v>47</v>
      </c>
      <c r="DU12" s="1">
        <f ca="1">OFFSET('Input data (2)'!B$126,'Input data (2)'!$BL$1-'Output data - DO NOT TOUCH (2)'!$CG12-1,0)</f>
        <v>2005</v>
      </c>
      <c r="DV12" s="1" t="str">
        <f ca="1">OFFSET('Input data (2)'!C$126,'Input data (2)'!$BL$1-'Output data - DO NOT TOUCH (2)'!$CG12-1,0)</f>
        <v>Q1</v>
      </c>
      <c r="DW12" s="1" t="str">
        <f t="shared" ca="1" si="14"/>
        <v>05</v>
      </c>
      <c r="DX12" s="1" t="str">
        <f t="shared" ca="1" si="15"/>
        <v>Q1 05</v>
      </c>
      <c r="DY12" s="1">
        <f ca="1">OFFSET('Input data (2)'!W$126,'Input data (2)'!$BL$1-'Output data - DO NOT TOUCH (2)'!$CG12-1,0)/1000</f>
        <v>2.4460000000000002</v>
      </c>
      <c r="DZ12" s="1">
        <f ca="1">OFFSET('Input data (2)'!Y$126,'Input data (2)'!$BL$1-'Output data - DO NOT TOUCH (2)'!$CG12-1,0)/1000</f>
        <v>7.742</v>
      </c>
      <c r="EA12" s="1">
        <f ca="1">OFFSET('Input data (2)'!Q$126,'Input data (2)'!$BL$1-'Output data - DO NOT TOUCH (2)'!$CG12-1,0)/1000</f>
        <v>10.188000000000001</v>
      </c>
      <c r="EC12" s="3" t="str">
        <f t="shared" si="16"/>
        <v>Q2 13</v>
      </c>
      <c r="ED12" s="68" t="e">
        <f t="shared" ca="1" si="17"/>
        <v>#VALUE!</v>
      </c>
      <c r="EE12" s="68" t="e">
        <f t="shared" ca="1" si="18"/>
        <v>#VALUE!</v>
      </c>
      <c r="EF12" s="68" t="e">
        <f t="shared" ca="1" si="19"/>
        <v>#VALUE!</v>
      </c>
      <c r="EH12" s="68">
        <f t="shared" ca="1" si="20"/>
        <v>-1.8834952646352012</v>
      </c>
      <c r="EI12" s="68">
        <f t="shared" ca="1" si="21"/>
        <v>12.342342602729586</v>
      </c>
      <c r="EJ12" s="68">
        <f t="shared" ca="1" si="22"/>
        <v>10.458847338094385</v>
      </c>
    </row>
    <row r="13" spans="1:140" x14ac:dyDescent="0.15">
      <c r="A13" s="1">
        <v>31</v>
      </c>
      <c r="B13" s="1">
        <v>32</v>
      </c>
      <c r="C13" s="1">
        <v>33</v>
      </c>
      <c r="D13" s="1">
        <v>30</v>
      </c>
      <c r="F13" s="1">
        <f t="shared" si="23"/>
        <v>2012</v>
      </c>
      <c r="H13" s="1">
        <f t="shared" si="0"/>
        <v>16156</v>
      </c>
      <c r="I13" s="1">
        <f t="shared" si="0"/>
        <v>4261</v>
      </c>
      <c r="J13" s="1">
        <f t="shared" si="0"/>
        <v>11895</v>
      </c>
      <c r="O13" s="119">
        <f t="shared" ca="1" si="1"/>
        <v>1006</v>
      </c>
      <c r="Q13" s="1">
        <f t="shared" ca="1" si="2"/>
        <v>109661</v>
      </c>
      <c r="R13" s="1">
        <f t="shared" ca="1" si="2"/>
        <v>31788</v>
      </c>
      <c r="S13" s="1">
        <f t="shared" ca="1" si="2"/>
        <v>31179</v>
      </c>
      <c r="T13" s="1">
        <f t="shared" ca="1" si="2"/>
        <v>46694</v>
      </c>
      <c r="Y13" s="1">
        <f t="shared" ca="1" si="3"/>
        <v>31788</v>
      </c>
      <c r="Z13" s="1">
        <f t="shared" ca="1" si="3"/>
        <v>25192</v>
      </c>
      <c r="AB13" s="1">
        <f t="shared" ca="1" si="4"/>
        <v>6596</v>
      </c>
      <c r="AD13" s="1">
        <f t="shared" ca="1" si="5"/>
        <v>31788</v>
      </c>
      <c r="AE13" s="1">
        <f t="shared" ca="1" si="5"/>
        <v>7723</v>
      </c>
      <c r="AG13" s="1">
        <f t="shared" ca="1" si="6"/>
        <v>24065</v>
      </c>
      <c r="AJ13" s="124">
        <f t="shared" ca="1" si="7"/>
        <v>0</v>
      </c>
      <c r="AK13" s="124">
        <f t="shared" ca="1" si="7"/>
        <v>0</v>
      </c>
      <c r="AL13" s="124">
        <f t="shared" ca="1" si="7"/>
        <v>0</v>
      </c>
      <c r="AW13" s="1">
        <f t="shared" ca="1" si="8"/>
        <v>1222</v>
      </c>
      <c r="AX13" s="1">
        <f t="shared" ca="1" si="8"/>
        <v>0</v>
      </c>
      <c r="AY13" s="1">
        <f t="shared" ca="1" si="8"/>
        <v>2532</v>
      </c>
      <c r="AZ13" s="1">
        <f t="shared" ca="1" si="8"/>
        <v>839</v>
      </c>
      <c r="BB13" s="1">
        <f t="shared" ca="1" si="9"/>
        <v>18402</v>
      </c>
      <c r="BC13" s="1">
        <f t="shared" ca="1" si="9"/>
        <v>9630</v>
      </c>
      <c r="BD13" s="1">
        <f t="shared" ca="1" si="9"/>
        <v>3883</v>
      </c>
      <c r="BE13" s="1">
        <f t="shared" ca="1" si="9"/>
        <v>8772</v>
      </c>
      <c r="BF13" s="1">
        <f t="shared" ca="1" si="9"/>
        <v>1199</v>
      </c>
      <c r="BG13" s="1">
        <f t="shared" ca="1" si="9"/>
        <v>926</v>
      </c>
      <c r="BH13" s="1">
        <f t="shared" ca="1" si="9"/>
        <v>273</v>
      </c>
      <c r="BJ13" s="1">
        <f t="shared" ca="1" si="10"/>
        <v>31</v>
      </c>
      <c r="BK13" s="1">
        <f t="shared" ca="1" si="10"/>
        <v>0</v>
      </c>
      <c r="BL13" s="1">
        <f t="shared" ca="1" si="10"/>
        <v>193</v>
      </c>
      <c r="BM13" s="1">
        <f t="shared" ca="1" si="10"/>
        <v>25</v>
      </c>
      <c r="BO13" s="1">
        <f t="shared" ca="1" si="11"/>
        <v>3189</v>
      </c>
      <c r="BP13" s="1">
        <f t="shared" ca="1" si="11"/>
        <v>1452</v>
      </c>
      <c r="BQ13" s="1">
        <f t="shared" ca="1" si="11"/>
        <v>506</v>
      </c>
      <c r="BR13" s="1">
        <f t="shared" ca="1" si="11"/>
        <v>1231</v>
      </c>
      <c r="BS13" s="1">
        <f t="shared" ca="1" si="11"/>
        <v>410</v>
      </c>
      <c r="BT13" s="1">
        <f t="shared" ca="1" si="11"/>
        <v>252</v>
      </c>
      <c r="BU13" s="1">
        <f t="shared" ca="1" si="11"/>
        <v>158</v>
      </c>
      <c r="CG13" s="1">
        <v>31</v>
      </c>
      <c r="CI13" s="1">
        <f t="shared" ca="1" si="24"/>
        <v>2005</v>
      </c>
      <c r="CJ13" s="1" t="str">
        <f t="shared" si="25"/>
        <v>Q3</v>
      </c>
      <c r="CK13" s="1" t="str">
        <f t="shared" ca="1" si="12"/>
        <v>05</v>
      </c>
      <c r="CL13" s="1" t="str">
        <f t="shared" ca="1" si="13"/>
        <v>Q3 05</v>
      </c>
      <c r="CM13" s="1">
        <f ca="1">OFFSET('Input data (2)'!AJ$126,'Input data (2)'!$BL$1-'Output data - DO NOT TOUCH (2)'!$CG13,0)/1000</f>
        <v>12.382999999999999</v>
      </c>
      <c r="CN13" s="1">
        <f ca="1">OFFSET('Input data (2)'!AK$126,'Input data (2)'!$BL$1-'Output data - DO NOT TOUCH (2)'!$CG13,0)/1000</f>
        <v>5.5149999999999997</v>
      </c>
      <c r="CO13" s="1">
        <f ca="1">OFFSET('Input data (2)'!AL$126,'Input data (2)'!$BL$1-'Output data - DO NOT TOUCH (2)'!$CG13,0)/1000</f>
        <v>17.898</v>
      </c>
      <c r="CP13" s="1"/>
      <c r="CQ13" s="1">
        <f ca="1">OFFSET('Input data (2)'!AG$126,'Input data (2)'!$BL$1-'Output data - DO NOT TOUCH (2)'!$CG13,0)/1000</f>
        <v>1.5269999999999999</v>
      </c>
      <c r="CR13" s="1">
        <f ca="1">OFFSET('Input data (2)'!AH$126,'Input data (2)'!$BL$1-'Output data - DO NOT TOUCH (2)'!$CG13,0)/1000</f>
        <v>1.881</v>
      </c>
      <c r="CS13" s="1">
        <f ca="1">OFFSET('Input data (2)'!AI$126,'Input data (2)'!$BL$1-'Output data - DO NOT TOUCH (2)'!$CG13,0)/1000</f>
        <v>3.4079999999999999</v>
      </c>
      <c r="CT13" s="1"/>
      <c r="CU13" s="1">
        <f ca="1">OFFSET('Input data (2)'!L$126,'Input data (2)'!$BL$1-'Output data - DO NOT TOUCH (2)'!$CG13,0)</f>
        <v>170</v>
      </c>
      <c r="CV13" s="1">
        <f ca="1">OFFSET('Input data (2)'!M$126,'Input data (2)'!$BL$1-'Output data - DO NOT TOUCH (2)'!$CG13,0)</f>
        <v>0</v>
      </c>
      <c r="CW13" s="67">
        <f ca="1">OFFSET('Input data (2)'!N$126,'Input data (2)'!$BL$1-'Output data - DO NOT TOUCH (2)'!$CG13,0)</f>
        <v>620</v>
      </c>
      <c r="CX13" s="1">
        <f ca="1">OFFSET('Input data (2)'!P$126,'Input data (2)'!$BL$1-'Output data - DO NOT TOUCH (2)'!$CG13,0)</f>
        <v>130</v>
      </c>
      <c r="CY13" s="1"/>
      <c r="CZ13" s="1">
        <f ca="1">OFFSET('Input data (2)'!AY$126,'Input data (2)'!$BL$1-'Output data - DO NOT TOUCH (2)'!$CG13,0)/1000</f>
        <v>1.496</v>
      </c>
      <c r="DA13" s="1">
        <f ca="1">OFFSET('Input data (2)'!BA$126,'Input data (2)'!$BL$1-'Output data - DO NOT TOUCH (2)'!$CG13,0)/1000</f>
        <v>2.1320000000000001</v>
      </c>
      <c r="DB13" s="1">
        <f ca="1">OFFSET('Input data (2)'!BB$126,'Input data (2)'!$BL$1-'Output data - DO NOT TOUCH (2)'!$CG13,0)/1000</f>
        <v>3.6280000000000001</v>
      </c>
      <c r="DD13" s="1">
        <f ca="1">OFFSET('Input data (2)'!AN$126,'Input data (2)'!$BL$1-'Output data - DO NOT TOUCH (2)'!$CG13,0)</f>
        <v>115</v>
      </c>
      <c r="DE13" s="1">
        <f ca="1">OFFSET('Input data (2)'!AO$126,'Input data (2)'!$BL$1-'Output data - DO NOT TOUCH (2)'!$CG13,0)</f>
        <v>36</v>
      </c>
      <c r="DF13" s="1">
        <f ca="1">OFFSET('Input data (2)'!AP$126,'Input data (2)'!$BL$1-'Output data - DO NOT TOUCH (2)'!$CG13,0)</f>
        <v>151</v>
      </c>
      <c r="DG13" s="1"/>
      <c r="DH13" s="1">
        <f ca="1">OFFSET('Input data (2)'!AU$126,'Input data (2)'!$BL$1-'Output data - DO NOT TOUCH (2)'!$CG13,0)</f>
        <v>12</v>
      </c>
      <c r="DI13" s="1">
        <f ca="1">OFFSET('Input data (2)'!AV$126,'Input data (2)'!$BL$1-'Output data - DO NOT TOUCH (2)'!$CG13,0)</f>
        <v>0</v>
      </c>
      <c r="DJ13" s="1">
        <f ca="1">OFFSET('Input data (2)'!AW$126,'Input data (2)'!$BL$1-'Output data - DO NOT TOUCH (2)'!$CG13,0)</f>
        <v>19</v>
      </c>
      <c r="DK13" s="1">
        <f ca="1">OFFSET('Input data (2)'!AX$126,'Input data (2)'!$BL$1-'Output data - DO NOT TOUCH (2)'!$CG13,0)</f>
        <v>2</v>
      </c>
      <c r="DM13" s="1">
        <f ca="1">OFFSET('Input data (2)'!BI$126,'Input data (2)'!$BL$1-'Output data - DO NOT TOUCH (2)'!$CG13,0)</f>
        <v>193</v>
      </c>
      <c r="DN13" s="1">
        <f ca="1">OFFSET('Input data (2)'!BJ$126,'Input data (2)'!$BL$1-'Output data - DO NOT TOUCH (2)'!$CG13,0)</f>
        <v>127</v>
      </c>
      <c r="DO13" s="1">
        <f ca="1">OFFSET('Input data (2)'!BL$126,'Input data (2)'!$BL$1-'Output data - DO NOT TOUCH (2)'!$CG13,0)</f>
        <v>320</v>
      </c>
      <c r="DQ13" s="1">
        <f ca="1">OFFSET('Input data (2)'!BD$126,'Input data (2)'!$BL$1-'Output data - DO NOT TOUCH (2)'!$CG13,0)</f>
        <v>19</v>
      </c>
      <c r="DR13" s="1">
        <f ca="1">OFFSET('Input data (2)'!BE$126,'Input data (2)'!$BL$1-'Output data - DO NOT TOUCH (2)'!$CG13,0)</f>
        <v>12</v>
      </c>
      <c r="DS13" s="1">
        <f ca="1">OFFSET('Input data (2)'!BF$126,'Input data (2)'!$BL$1-'Output data - DO NOT TOUCH (2)'!$CG13,0)</f>
        <v>31</v>
      </c>
      <c r="DU13" s="1">
        <f ca="1">OFFSET('Input data (2)'!B$126,'Input data (2)'!$BL$1-'Output data - DO NOT TOUCH (2)'!$CG13-1,0)</f>
        <v>2005</v>
      </c>
      <c r="DV13" s="1" t="str">
        <f ca="1">OFFSET('Input data (2)'!C$126,'Input data (2)'!$BL$1-'Output data - DO NOT TOUCH (2)'!$CG13-1,0)</f>
        <v>Q2</v>
      </c>
      <c r="DW13" s="1" t="str">
        <f t="shared" ca="1" si="14"/>
        <v>05</v>
      </c>
      <c r="DX13" s="1" t="str">
        <f t="shared" ca="1" si="15"/>
        <v>Q2 05</v>
      </c>
      <c r="DY13" s="1">
        <f ca="1">OFFSET('Input data (2)'!W$126,'Input data (2)'!$BL$1-'Output data - DO NOT TOUCH (2)'!$CG13-1,0)/1000</f>
        <v>2.835</v>
      </c>
      <c r="DZ13" s="1">
        <f ca="1">OFFSET('Input data (2)'!Y$126,'Input data (2)'!$BL$1-'Output data - DO NOT TOUCH (2)'!$CG13-1,0)/1000</f>
        <v>9.5030000000000001</v>
      </c>
      <c r="EA13" s="1">
        <f ca="1">OFFSET('Input data (2)'!Q$126,'Input data (2)'!$BL$1-'Output data - DO NOT TOUCH (2)'!$CG13-1,0)/1000</f>
        <v>12.337999999999999</v>
      </c>
      <c r="EF13" s="68"/>
      <c r="EH13" s="68"/>
      <c r="EJ13" s="68"/>
    </row>
    <row r="14" spans="1:140" x14ac:dyDescent="0.15">
      <c r="A14" s="1">
        <v>30</v>
      </c>
      <c r="B14" s="1">
        <v>31</v>
      </c>
      <c r="C14" s="1">
        <v>32</v>
      </c>
      <c r="D14" s="1">
        <v>29</v>
      </c>
      <c r="Q14" s="3"/>
      <c r="R14" s="3"/>
      <c r="S14" s="3"/>
      <c r="T14" s="3"/>
      <c r="U14" s="3"/>
      <c r="V14" s="3"/>
      <c r="W14" s="3"/>
      <c r="X14" s="3"/>
      <c r="Y14" s="3"/>
      <c r="Z14" s="3"/>
      <c r="AA14" s="3"/>
      <c r="AB14" s="3"/>
      <c r="AC14" s="3"/>
      <c r="AD14" s="3"/>
      <c r="AE14" s="3"/>
      <c r="AF14" s="3"/>
      <c r="AG14" s="3"/>
      <c r="AH14" s="3"/>
      <c r="AI14" s="3"/>
      <c r="AZ14" s="8"/>
      <c r="BA14" s="8"/>
      <c r="CG14" s="1">
        <v>30</v>
      </c>
      <c r="CI14" s="1">
        <f t="shared" ca="1" si="24"/>
        <v>2005</v>
      </c>
      <c r="CJ14" s="1" t="str">
        <f t="shared" si="25"/>
        <v>Q4</v>
      </c>
      <c r="CK14" s="1" t="str">
        <f t="shared" ca="1" si="12"/>
        <v>05</v>
      </c>
      <c r="CL14" s="1" t="str">
        <f t="shared" ca="1" si="13"/>
        <v>Q4 05</v>
      </c>
      <c r="CM14" s="1">
        <f ca="1">OFFSET('Input data (2)'!AJ$126,'Input data (2)'!$BL$1-'Output data - DO NOT TOUCH (2)'!$CG14,0)/1000</f>
        <v>13.395</v>
      </c>
      <c r="CN14" s="1">
        <f ca="1">OFFSET('Input data (2)'!AK$126,'Input data (2)'!$BL$1-'Output data - DO NOT TOUCH (2)'!$CG14,0)/1000</f>
        <v>6.9569999999999999</v>
      </c>
      <c r="CO14" s="1">
        <f ca="1">OFFSET('Input data (2)'!AL$126,'Input data (2)'!$BL$1-'Output data - DO NOT TOUCH (2)'!$CG14,0)/1000</f>
        <v>20.352</v>
      </c>
      <c r="CP14" s="1"/>
      <c r="CQ14" s="1">
        <f ca="1">OFFSET('Input data (2)'!AG$126,'Input data (2)'!$BL$1-'Output data - DO NOT TOUCH (2)'!$CG14,0)/1000</f>
        <v>1.254</v>
      </c>
      <c r="CR14" s="1">
        <f ca="1">OFFSET('Input data (2)'!AH$126,'Input data (2)'!$BL$1-'Output data - DO NOT TOUCH (2)'!$CG14,0)/1000</f>
        <v>1.966</v>
      </c>
      <c r="CS14" s="1">
        <f ca="1">OFFSET('Input data (2)'!AI$126,'Input data (2)'!$BL$1-'Output data - DO NOT TOUCH (2)'!$CG14,0)/1000</f>
        <v>3.22</v>
      </c>
      <c r="CT14" s="1"/>
      <c r="CU14" s="1">
        <f ca="1">OFFSET('Input data (2)'!L$126,'Input data (2)'!$BL$1-'Output data - DO NOT TOUCH (2)'!$CG14,0)</f>
        <v>139</v>
      </c>
      <c r="CV14" s="1">
        <f ca="1">OFFSET('Input data (2)'!M$126,'Input data (2)'!$BL$1-'Output data - DO NOT TOUCH (2)'!$CG14,0)</f>
        <v>0</v>
      </c>
      <c r="CW14" s="67">
        <f ca="1">OFFSET('Input data (2)'!N$126,'Input data (2)'!$BL$1-'Output data - DO NOT TOUCH (2)'!$CG14,0)</f>
        <v>580</v>
      </c>
      <c r="CX14" s="1">
        <f ca="1">OFFSET('Input data (2)'!P$126,'Input data (2)'!$BL$1-'Output data - DO NOT TOUCH (2)'!$CG14,0)</f>
        <v>112</v>
      </c>
      <c r="CY14" s="1"/>
      <c r="CZ14" s="1">
        <f ca="1">OFFSET('Input data (2)'!AY$126,'Input data (2)'!$BL$1-'Output data - DO NOT TOUCH (2)'!$CG14,0)/1000</f>
        <v>1.2949999999999999</v>
      </c>
      <c r="DA14" s="1">
        <f ca="1">OFFSET('Input data (2)'!BA$126,'Input data (2)'!$BL$1-'Output data - DO NOT TOUCH (2)'!$CG14,0)/1000</f>
        <v>1.655</v>
      </c>
      <c r="DB14" s="1">
        <f ca="1">OFFSET('Input data (2)'!BB$126,'Input data (2)'!$BL$1-'Output data - DO NOT TOUCH (2)'!$CG14,0)/1000</f>
        <v>2.95</v>
      </c>
      <c r="DD14" s="1">
        <f ca="1">OFFSET('Input data (2)'!AN$126,'Input data (2)'!$BL$1-'Output data - DO NOT TOUCH (2)'!$CG14,0)</f>
        <v>82</v>
      </c>
      <c r="DE14" s="1">
        <f ca="1">OFFSET('Input data (2)'!AO$126,'Input data (2)'!$BL$1-'Output data - DO NOT TOUCH (2)'!$CG14,0)</f>
        <v>37</v>
      </c>
      <c r="DF14" s="1">
        <f ca="1">OFFSET('Input data (2)'!AP$126,'Input data (2)'!$BL$1-'Output data - DO NOT TOUCH (2)'!$CG14,0)</f>
        <v>119</v>
      </c>
      <c r="DG14" s="1"/>
      <c r="DH14" s="1">
        <f ca="1">OFFSET('Input data (2)'!AU$126,'Input data (2)'!$BL$1-'Output data - DO NOT TOUCH (2)'!$CG14,0)</f>
        <v>8</v>
      </c>
      <c r="DI14" s="1">
        <f ca="1">OFFSET('Input data (2)'!AV$126,'Input data (2)'!$BL$1-'Output data - DO NOT TOUCH (2)'!$CG14,0)</f>
        <v>0</v>
      </c>
      <c r="DJ14" s="1">
        <f ca="1">OFFSET('Input data (2)'!AW$126,'Input data (2)'!$BL$1-'Output data - DO NOT TOUCH (2)'!$CG14,0)</f>
        <v>21</v>
      </c>
      <c r="DK14" s="1">
        <f ca="1">OFFSET('Input data (2)'!AX$126,'Input data (2)'!$BL$1-'Output data - DO NOT TOUCH (2)'!$CG14,0)</f>
        <v>1</v>
      </c>
      <c r="DM14" s="1">
        <f ca="1">OFFSET('Input data (2)'!BI$126,'Input data (2)'!$BL$1-'Output data - DO NOT TOUCH (2)'!$CG14,0)</f>
        <v>213</v>
      </c>
      <c r="DN14" s="1">
        <f ca="1">OFFSET('Input data (2)'!BJ$126,'Input data (2)'!$BL$1-'Output data - DO NOT TOUCH (2)'!$CG14,0)</f>
        <v>181</v>
      </c>
      <c r="DO14" s="1">
        <f ca="1">OFFSET('Input data (2)'!BL$126,'Input data (2)'!$BL$1-'Output data - DO NOT TOUCH (2)'!$CG14,0)</f>
        <v>394</v>
      </c>
      <c r="DQ14" s="1">
        <f ca="1">OFFSET('Input data (2)'!BD$126,'Input data (2)'!$BL$1-'Output data - DO NOT TOUCH (2)'!$CG14,0)</f>
        <v>23</v>
      </c>
      <c r="DR14" s="1">
        <f ca="1">OFFSET('Input data (2)'!BE$126,'Input data (2)'!$BL$1-'Output data - DO NOT TOUCH (2)'!$CG14,0)</f>
        <v>8</v>
      </c>
      <c r="DS14" s="1">
        <f ca="1">OFFSET('Input data (2)'!BF$126,'Input data (2)'!$BL$1-'Output data - DO NOT TOUCH (2)'!$CG14,0)</f>
        <v>31</v>
      </c>
      <c r="DU14" s="1">
        <f ca="1">OFFSET('Input data (2)'!B$126,'Input data (2)'!$BL$1-'Output data - DO NOT TOUCH (2)'!$CG14-1,0)</f>
        <v>2005</v>
      </c>
      <c r="DV14" s="1" t="str">
        <f ca="1">OFFSET('Input data (2)'!C$126,'Input data (2)'!$BL$1-'Output data - DO NOT TOUCH (2)'!$CG14-1,0)</f>
        <v>Q3</v>
      </c>
      <c r="DW14" s="1" t="str">
        <f t="shared" ca="1" si="14"/>
        <v>05</v>
      </c>
      <c r="DX14" s="1" t="str">
        <f t="shared" ca="1" si="15"/>
        <v>Q3 05</v>
      </c>
      <c r="DY14" s="1">
        <f ca="1">OFFSET('Input data (2)'!W$126,'Input data (2)'!$BL$1-'Output data - DO NOT TOUCH (2)'!$CG14-1,0)/1000</f>
        <v>2.85</v>
      </c>
      <c r="DZ14" s="1">
        <f ca="1">OFFSET('Input data (2)'!Y$126,'Input data (2)'!$BL$1-'Output data - DO NOT TOUCH (2)'!$CG14-1,0)/1000</f>
        <v>9.4060000000000006</v>
      </c>
      <c r="EA14" s="1">
        <f ca="1">OFFSET('Input data (2)'!Q$126,'Input data (2)'!$BL$1-'Output data - DO NOT TOUCH (2)'!$CG14-1,0)/1000</f>
        <v>12.256</v>
      </c>
      <c r="EC14" s="3" t="s">
        <v>85</v>
      </c>
      <c r="EF14" s="68"/>
      <c r="EH14" s="68"/>
      <c r="EJ14" s="68"/>
    </row>
    <row r="15" spans="1:140" x14ac:dyDescent="0.15">
      <c r="A15" s="1">
        <v>29</v>
      </c>
      <c r="B15" s="1">
        <v>30</v>
      </c>
      <c r="C15" s="1">
        <v>31</v>
      </c>
      <c r="D15" s="1">
        <v>28</v>
      </c>
      <c r="E15" s="1" t="str">
        <f>F15&amp;G15</f>
        <v>2003Q1</v>
      </c>
      <c r="F15" s="1">
        <f>F4</f>
        <v>2003</v>
      </c>
      <c r="G15" s="1" t="s">
        <v>1</v>
      </c>
      <c r="H15" s="1">
        <f>VLOOKUP($E15,'Input data (2)'!$A:$BL,'Output data - DO NOT TOUCH (2)'!H$71,FALSE)</f>
        <v>3797</v>
      </c>
      <c r="I15" s="1">
        <f>VLOOKUP($E15,'Input data (2)'!$A:$BL,'Output data - DO NOT TOUCH (2)'!I$71,FALSE)</f>
        <v>1585</v>
      </c>
      <c r="J15" s="1">
        <f>VLOOKUP($E15,'Input data (2)'!$A:$BL,'Output data - DO NOT TOUCH (2)'!J$71,FALSE)</f>
        <v>2212</v>
      </c>
      <c r="K15" s="1">
        <f>VLOOKUP($E15,'Input data (2)'!$A:$BL,'Output data - DO NOT TOUCH (2)'!K$71,FALSE)</f>
        <v>3724</v>
      </c>
      <c r="L15" s="1">
        <f>VLOOKUP($E15,'Input data (2)'!$A:$BL,'Output data - DO NOT TOUCH (2)'!L$71,FALSE)</f>
        <v>1550</v>
      </c>
      <c r="M15" s="1">
        <f>VLOOKUP($E15,'Input data (2)'!$A:$BL,'Output data - DO NOT TOUCH (2)'!M$71,FALSE)</f>
        <v>2174</v>
      </c>
      <c r="O15" s="119" t="str">
        <f ca="1">IF(AND('Input data (2)'!$C$2=4,$D4&gt;=0),OFFSET('Input data (2)'!O$126,'Input data (2)'!$BL$1-$D4,0),IF(AND('Input data (2)'!$C$2=3,$C4&gt;=0),OFFSET('Input data (2)'!O$126,'Input data (2)'!$BL$1-$C4,0),IF(AND('Input data (2)'!$C$2=2,$B4&gt;=0),OFFSET('Input data (2)'!O$126,'Input data (2)'!$BL$1-$B4,0),IF(AND('Input data (2)'!$C$2=1,$A4&gt;=0),OFFSET('Input data (2)'!O$126,'Input data (2)'!$BL$1-$A4,0),""))))</f>
        <v>:</v>
      </c>
      <c r="Q15" s="1">
        <f ca="1">IF(AND('Input data (2)'!$C$2=4,$D4&gt;=0),OFFSET('Input data (2)'!AC$126,'Input data (2)'!$BL$1-$D4,0),IF(AND('Input data (2)'!$C$2=3,$C4&gt;=0),OFFSET('Input data (2)'!AC$126,'Input data (2)'!$BL$1-$C4,0),IF(AND('Input data (2)'!$C$2=2,$B4&gt;=0),OFFSET('Input data (2)'!AC$126,'Input data (2)'!$BL$1-$B4,0),IF(AND('Input data (2)'!$C$2=1,$A4&gt;=0),OFFSET('Input data (2)'!AC$126,'Input data (2)'!$BL$1-$A4,0),""))))</f>
        <v>8426</v>
      </c>
      <c r="R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S15" s="1" t="str">
        <f ca="1">IF(AND('Input data (2)'!$C$2=4,$D4&gt;=0),OFFSET('Input data (2)'!R$126,'Input data (2)'!$BL$1-$D4,0),IF(AND('Input data (2)'!$C$2=3,$C4&gt;=0),OFFSET('Input data (2)'!R$126,'Input data (2)'!$BL$1-$C4,0),IF(AND('Input data (2)'!$C$2=2,$B4&gt;=0),OFFSET('Input data (2)'!R$126,'Input data (2)'!$BL$1-$B4,0),IF(AND('Input data (2)'!$C$2=1,$A4&gt;=0),OFFSET('Input data (2)'!R$126,'Input data (2)'!$BL$1-$A4,0),""))))</f>
        <v>:</v>
      </c>
      <c r="T15" s="1">
        <f ca="1">IF(AND('Input data (2)'!$C$2=4,$D4&gt;=0),OFFSET('Input data (2)'!AA$126,'Input data (2)'!$BL$1-$D4,0),IF(AND('Input data (2)'!$C$2=3,$C4&gt;=0),OFFSET('Input data (2)'!AA$126,'Input data (2)'!$BL$1-$C4,0),IF(AND('Input data (2)'!$C$2=2,$B4&gt;=0),OFFSET('Input data (2)'!AA$126,'Input data (2)'!$BL$1-$B4,0),IF(AND('Input data (2)'!$C$2=1,$A4&gt;=0),OFFSET('Input data (2)'!AA$126,'Input data (2)'!$BL$1-$A4,0),""))))</f>
        <v>1514</v>
      </c>
      <c r="U15" s="1">
        <f ca="1">IF(AND('Input data (2)'!$C$2=4,$D4&gt;=0),OFFSET('Input data (2)'!AL$126,'Input data (2)'!$BL$1-$D4,0),IF(AND('Input data (2)'!$C$2=3,$C4&gt;=0),OFFSET('Input data (2)'!AL$126,'Input data (2)'!$BL$1-$C4,0),IF(AND('Input data (2)'!$C$2=2,$B4&gt;=0),OFFSET('Input data (2)'!AL$126,'Input data (2)'!$BL$1-$B4,0),IF(AND('Input data (2)'!$C$2=1,$A4&gt;=0),OFFSET('Input data (2)'!AL$126,'Input data (2)'!$BL$1-$A4,0),""))))</f>
        <v>8232</v>
      </c>
      <c r="V15" s="1">
        <f ca="1">IF(AND('Input data (2)'!$C$2=4,$D4&gt;=0),OFFSET('Input data (2)'!AJ$126,'Input data (2)'!$BL$1-$D4,0),IF(AND('Input data (2)'!$C$2=3,$C4&gt;=0),OFFSET('Input data (2)'!AJ$126,'Input data (2)'!$BL$1-$C4,0),IF(AND('Input data (2)'!$C$2=2,$B4&gt;=0),OFFSET('Input data (2)'!AJ$126,'Input data (2)'!$BL$1-$B4,0),IF(AND('Input data (2)'!$C$2=1,$A4&gt;=0),OFFSET('Input data (2)'!AJ$126,'Input data (2)'!$BL$1-$A4,0),""))))</f>
        <v>6532</v>
      </c>
      <c r="W15" s="1">
        <f ca="1">IF(AND('Input data (2)'!$C$2=4,$D4&gt;=0),OFFSET('Input data (2)'!AK$126,'Input data (2)'!$BL$1-$D4,0),IF(AND('Input data (2)'!$C$2=3,$C4&gt;=0),OFFSET('Input data (2)'!AK$126,'Input data (2)'!$BL$1-$C4,0),IF(AND('Input data (2)'!$C$2=2,$B4&gt;=0),OFFSET('Input data (2)'!AK$126,'Input data (2)'!$BL$1-$B4,0),IF(AND('Input data (2)'!$C$2=1,$A4&gt;=0),OFFSET('Input data (2)'!AK$126,'Input data (2)'!$BL$1-$A4,0),""))))</f>
        <v>1700</v>
      </c>
      <c r="Y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Z15" s="1">
        <f ca="1">IF(AND('Input data (2)'!$C$2=4,$D4&gt;=0),OFFSET('Input data (2)'!S$126,'Input data (2)'!$BL$1-$D4,0),IF(AND('Input data (2)'!$C$2=3,$C4&gt;=0),OFFSET('Input data (2)'!S$126,'Input data (2)'!$BL$1-$C4,0),IF(AND('Input data (2)'!$C$2=2,$B4&gt;=0),OFFSET('Input data (2)'!S$126,'Input data (2)'!$BL$1-$B4,0),IF(AND('Input data (2)'!$C$2=1,$A4&gt;=0),OFFSET('Input data (2)'!S$126,'Input data (2)'!$BL$1-$A4,0),""))))</f>
        <v>4892</v>
      </c>
      <c r="AA15" s="1">
        <f ca="1">IF(AND('Input data (2)'!$C$2=4,$D4&gt;=0),OFFSET('Input data (2)'!T$126,'Input data (2)'!$BL$1-$D4,0),IF(AND('Input data (2)'!$C$2=3,$C4&gt;=0),OFFSET('Input data (2)'!T$126,'Input data (2)'!$BL$1-$C4,0),IF(AND('Input data (2)'!$C$2=2,$B4&gt;=0),OFFSET('Input data (2)'!T$126,'Input data (2)'!$BL$1-$B4,0),IF(AND('Input data (2)'!$C$2=1,$A4&gt;=0),OFFSET('Input data (2)'!T$126,'Input data (2)'!$BL$1-$A4,0),""))))</f>
        <v>70.775462962962962</v>
      </c>
      <c r="AB15" s="1">
        <f ca="1">IF(AND('Input data (2)'!$C$2=4,$D4&gt;=0),OFFSET('Input data (2)'!U$126,'Input data (2)'!$BL$1-$D4,0),IF(AND('Input data (2)'!$C$2=3,$C4&gt;=0),OFFSET('Input data (2)'!U$126,'Input data (2)'!$BL$1-$C4,0),IF(AND('Input data (2)'!$C$2=2,$B4&gt;=0),OFFSET('Input data (2)'!U$126,'Input data (2)'!$BL$1-$B4,0),IF(AND('Input data (2)'!$C$2=1,$A4&gt;=0),OFFSET('Input data (2)'!U$126,'Input data (2)'!$BL$1-$A4,0),""))))</f>
        <v>2020</v>
      </c>
      <c r="AC15" s="1">
        <f ca="1">IF(AND('Input data (2)'!$C$2=4,$D4&gt;=0),OFFSET('Input data (2)'!V$126,'Input data (2)'!$BL$1-$D4,0),IF(AND('Input data (2)'!$C$2=3,$C4&gt;=0),OFFSET('Input data (2)'!V$126,'Input data (2)'!$BL$1-$C4,0),IF(AND('Input data (2)'!$C$2=2,$B4&gt;=0),OFFSET('Input data (2)'!V$126,'Input data (2)'!$BL$1-$B4,0),IF(AND('Input data (2)'!$C$2=1,$A4&gt;=0),OFFSET('Input data (2)'!V$126,'Input data (2)'!$BL$1-$A4,0),""))))</f>
        <v>29.224537037037035</v>
      </c>
      <c r="AD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AE15" s="1">
        <f ca="1">IF(AND('Input data (2)'!$C$2=4,$D4&gt;=0),OFFSET('Input data (2)'!W$126,'Input data (2)'!$BL$1-$D4,0),IF(AND('Input data (2)'!$C$2=3,$C4&gt;=0),OFFSET('Input data (2)'!W$126,'Input data (2)'!$BL$1-$C4,0),IF(AND('Input data (2)'!$C$2=2,$B4&gt;=0),OFFSET('Input data (2)'!W$126,'Input data (2)'!$BL$1-$B4,0),IF(AND('Input data (2)'!$C$2=1,$A4&gt;=0),OFFSET('Input data (2)'!W$126,'Input data (2)'!$BL$1-$A4,0),""))))</f>
        <v>2468</v>
      </c>
      <c r="AF15" s="1">
        <f ca="1">IF(AND('Input data (2)'!$C$2=4,$D4&gt;=0),OFFSET('Input data (2)'!X$126,'Input data (2)'!$BL$1-$D4,0),IF(AND('Input data (2)'!$C$2=3,$C4&gt;=0),OFFSET('Input data (2)'!X$126,'Input data (2)'!$BL$1-$C4,0),IF(AND('Input data (2)'!$C$2=2,$B4&gt;=0),OFFSET('Input data (2)'!X$126,'Input data (2)'!$BL$1-$B4,0),IF(AND('Input data (2)'!$C$2=1,$A4&gt;=0),OFFSET('Input data (2)'!X$126,'Input data (2)'!$BL$1-$A4,0),""))))</f>
        <v>35.706018518518519</v>
      </c>
      <c r="AG15" s="1">
        <f ca="1">IF(AND('Input data (2)'!$C$2=4,$D4&gt;=0),OFFSET('Input data (2)'!Y$126,'Input data (2)'!$BL$1-$D4,0),IF(AND('Input data (2)'!$C$2=3,$C4&gt;=0),OFFSET('Input data (2)'!Y$126,'Input data (2)'!$BL$1-$C4,0),IF(AND('Input data (2)'!$C$2=2,$B4&gt;=0),OFFSET('Input data (2)'!Y$126,'Input data (2)'!$BL$1-$B4,0),IF(AND('Input data (2)'!$C$2=1,$A4&gt;=0),OFFSET('Input data (2)'!Y$126,'Input data (2)'!$BL$1-$A4,0),""))))</f>
        <v>4444</v>
      </c>
      <c r="AH15" s="1">
        <f ca="1">IF(AND('Input data (2)'!$C$2=4,$D4&gt;=0),OFFSET('Input data (2)'!Z$126,'Input data (2)'!$BL$1-$D4,0),IF(AND('Input data (2)'!$C$2=3,$C4&gt;=0),OFFSET('Input data (2)'!Z$126,'Input data (2)'!$BL$1-$C4,0),IF(AND('Input data (2)'!$C$2=2,$B4&gt;=0),OFFSET('Input data (2)'!Z$126,'Input data (2)'!$BL$1-$B4,0),IF(AND('Input data (2)'!$C$2=1,$A4&gt;=0),OFFSET('Input data (2)'!Z$126,'Input data (2)'!$BL$1-$A4,0),""))))</f>
        <v>64.293981481481481</v>
      </c>
      <c r="AI15" s="3"/>
      <c r="AJ15" s="124">
        <f ca="1">IF(AND('Input data (2)'!$C$2=4,$D4&gt;=0),OFFSET('Input data (2)'!AF$126,'Input data (2)'!$BL$1-$D4,0),IF(AND('Input data (2)'!$C$2=3,$C4&gt;=0),OFFSET('Input data (2)'!AF$126,'Input data (2)'!$BL$1-$C4,0),IF(AND('Input data (2)'!$C$2=2,$B4&gt;=0),OFFSET('Input data (2)'!AF$126,'Input data (2)'!$BL$1-$B4,0),IF(AND('Input data (2)'!$C$2=1,$A4&gt;=0),OFFSET('Input data (2)'!AF$126,'Input data (2)'!$BL$1-$A4,0),""))))</f>
        <v>464</v>
      </c>
      <c r="AK15" s="124">
        <f ca="1">IF(AND('Input data (2)'!$C$2=4,$D4&gt;=0),OFFSET('Input data (2)'!AD$126,'Input data (2)'!$BL$1-$D4,0),IF(AND('Input data (2)'!$C$2=3,$C4&gt;=0),OFFSET('Input data (2)'!AD$126,'Input data (2)'!$BL$1-$C4,0),IF(AND('Input data (2)'!$C$2=2,$B4&gt;=0),OFFSET('Input data (2)'!AD$126,'Input data (2)'!$BL$1-$B4,0),IF(AND('Input data (2)'!$C$2=1,$A4&gt;=0),OFFSET('Input data (2)'!AD$126,'Input data (2)'!$BL$1-$A4,0),""))))</f>
        <v>462</v>
      </c>
      <c r="AL15" s="124">
        <f ca="1">IF(AND('Input data (2)'!$C$2=4,$D4&gt;=0),OFFSET('Input data (2)'!AE$126,'Input data (2)'!$BL$1-$D4,0),IF(AND('Input data (2)'!$C$2=3,$C4&gt;=0),OFFSET('Input data (2)'!AE$126,'Input data (2)'!$BL$1-$C4,0),IF(AND('Input data (2)'!$C$2=2,$B4&gt;=0),OFFSET('Input data (2)'!AE$126,'Input data (2)'!$BL$1-$B4,0),IF(AND('Input data (2)'!$C$2=1,$A4&gt;=0),OFFSET('Input data (2)'!AE$126,'Input data (2)'!$BL$1-$A4,0),""))))</f>
        <v>2</v>
      </c>
      <c r="AW15" s="1">
        <f ca="1">IF(AND('Input data (2)'!$C$2=4,$D4&gt;=0),OFFSET('Input data (2)'!L$126,'Input data (2)'!$BL$1-$D4,0),IF(AND('Input data (2)'!$C$2=3,$C4&gt;=0),OFFSET('Input data (2)'!L$126,'Input data (2)'!$BL$1-$C4,0),IF(AND('Input data (2)'!$C$2=2,$B4&gt;=0),OFFSET('Input data (2)'!L$126,'Input data (2)'!$BL$1-$B4,0),IF(AND('Input data (2)'!$C$2=1,$A4&gt;=0),OFFSET('Input data (2)'!L$126,'Input data (2)'!$BL$1-$A4,0),""))))</f>
        <v>315</v>
      </c>
      <c r="AX15" s="1">
        <f ca="1">IF(AND('Input data (2)'!$C$2=4,$D4&gt;=0),OFFSET('Input data (2)'!M$126,'Input data (2)'!$BL$1-$D4,0),IF(AND('Input data (2)'!$C$2=3,$C4&gt;=0),OFFSET('Input data (2)'!M$126,'Input data (2)'!$BL$1-$C4,0),IF(AND('Input data (2)'!$C$2=2,$B4&gt;=0),OFFSET('Input data (2)'!M$126,'Input data (2)'!$BL$1-$B4,0),IF(AND('Input data (2)'!$C$2=1,$A4&gt;=0),OFFSET('Input data (2)'!M$126,'Input data (2)'!$BL$1-$A4,0),""))))</f>
        <v>160</v>
      </c>
      <c r="AY15" s="1" t="str">
        <f ca="1">IF(AND('Input data (2)'!$C$2=4,$D4&gt;=0),OFFSET('Input data (2)'!N$126,'Input data (2)'!$BL$1-$D4,0),IF(AND('Input data (2)'!$C$2=3,$C4&gt;=0),OFFSET('Input data (2)'!N$126,'Input data (2)'!$BL$1-$C4,0),IF(AND('Input data (2)'!$C$2=2,$B4&gt;=0),OFFSET('Input data (2)'!N$126,'Input data (2)'!$BL$1-$B4,0),IF(AND('Input data (2)'!$C$2=1,$A4&gt;=0),OFFSET('Input data (2)'!N$126,'Input data (2)'!$BL$1-$A4,0),""))))</f>
        <v>:</v>
      </c>
      <c r="AZ15" s="1">
        <f ca="1">IF(AND('Input data (2)'!$C$2=4,$D4&gt;=0),OFFSET('Input data (2)'!P$126,'Input data (2)'!$BL$1-$D4,0),IF(AND('Input data (2)'!$C$2=3,$C4&gt;=0),OFFSET('Input data (2)'!P$126,'Input data (2)'!$BL$1-$C4,0),IF(AND('Input data (2)'!$C$2=2,$B4&gt;=0),OFFSET('Input data (2)'!P$126,'Input data (2)'!$BL$1-$B4,0),IF(AND('Input data (2)'!$C$2=1,$A4&gt;=0),OFFSET('Input data (2)'!P$126,'Input data (2)'!$BL$1-$A4,0),""))))</f>
        <v>178</v>
      </c>
      <c r="BB15" s="1">
        <f ca="1">IF(AND('Input data (2)'!$C$2=4,$D4&gt;=0),OFFSET('Input data (2)'!BB$126,'Input data (2)'!$BL$1-$D4,0),IF(AND('Input data (2)'!$C$2=3,$C4&gt;=0),OFFSET('Input data (2)'!BB$126,'Input data (2)'!$BL$1-$C4,0),IF(AND('Input data (2)'!$C$2=2,$B4&gt;=0),OFFSET('Input data (2)'!BB$126,'Input data (2)'!$BL$1-$B4,0),IF(AND('Input data (2)'!$C$2=1,$A4&gt;=0),OFFSET('Input data (2)'!BB$126,'Input data (2)'!$BL$1-$A4,0),""))))</f>
        <v>2015</v>
      </c>
      <c r="BC15" s="1">
        <f ca="1">IF(AND('Input data (2)'!$C$2=4,$D4&gt;=0),OFFSET('Input data (2)'!AY$126,'Input data (2)'!$BL$1-$D4,0),IF(AND('Input data (2)'!$C$2=3,$C4&gt;=0),OFFSET('Input data (2)'!AY$126,'Input data (2)'!$BL$1-$C4,0),IF(AND('Input data (2)'!$C$2=2,$B4&gt;=0),OFFSET('Input data (2)'!AY$126,'Input data (2)'!$BL$1-$B4,0),IF(AND('Input data (2)'!$C$2=1,$A4&gt;=0),OFFSET('Input data (2)'!AY$126,'Input data (2)'!$BL$1-$A4,0),""))))</f>
        <v>799</v>
      </c>
      <c r="BD15" s="1" t="str">
        <f ca="1">IF(AND('Input data (2)'!$C$2=4,$D4&gt;=0),OFFSET('Input data (2)'!AZ$126,'Input data (2)'!$BL$1-$D4,0),IF(AND('Input data (2)'!$C$2=3,$C4&gt;=0),OFFSET('Input data (2)'!AZ$126,'Input data (2)'!$BL$1-$C4,0),IF(AND('Input data (2)'!$C$2=2,$B4&gt;=0),OFFSET('Input data (2)'!AZ$126,'Input data (2)'!$BL$1-$B4,0),IF(AND('Input data (2)'!$C$2=1,$A4&gt;=0),OFFSET('Input data (2)'!AZ$126,'Input data (2)'!$BL$1-$A4,0),""))))</f>
        <v>:</v>
      </c>
      <c r="BE15" s="1">
        <f ca="1">IF(AND('Input data (2)'!$C$2=4,$D4&gt;=0),OFFSET('Input data (2)'!BA$126,'Input data (2)'!$BL$1-$D4,0),IF(AND('Input data (2)'!$C$2=3,$C4&gt;=0),OFFSET('Input data (2)'!BA$126,'Input data (2)'!$BL$1-$C4,0),IF(AND('Input data (2)'!$C$2=2,$B4&gt;=0),OFFSET('Input data (2)'!BA$126,'Input data (2)'!$BL$1-$B4,0),IF(AND('Input data (2)'!$C$2=1,$A4&gt;=0),OFFSET('Input data (2)'!BA$126,'Input data (2)'!$BL$1-$A4,0),""))))</f>
        <v>1216</v>
      </c>
      <c r="BF15" s="1">
        <f ca="1">IF(AND('Input data (2)'!$C$2=4,$D4&gt;=0),OFFSET('Input data (2)'!AP$126,'Input data (2)'!$BL$1-$D4,0),IF(AND('Input data (2)'!$C$2=3,$C4&gt;=0),OFFSET('Input data (2)'!AP$126,'Input data (2)'!$BL$1-$C4,0),IF(AND('Input data (2)'!$C$2=2,$B4&gt;=0),OFFSET('Input data (2)'!AP$126,'Input data (2)'!$BL$1-$B4,0),IF(AND('Input data (2)'!$C$2=1,$A4&gt;=0),OFFSET('Input data (2)'!AP$126,'Input data (2)'!$BL$1-$A4,0),""))))</f>
        <v>183</v>
      </c>
      <c r="BG15" s="1">
        <f ca="1">IF(AND('Input data (2)'!$C$2=4,$D4&gt;=0),OFFSET('Input data (2)'!AN$126,'Input data (2)'!$BL$1-$D4,0),IF(AND('Input data (2)'!$C$2=3,$C4&gt;=0),OFFSET('Input data (2)'!AN$126,'Input data (2)'!$BL$1-$C4,0),IF(AND('Input data (2)'!$C$2=2,$B4&gt;=0),OFFSET('Input data (2)'!AN$126,'Input data (2)'!$BL$1-$B4,0),IF(AND('Input data (2)'!$C$2=1,$A4&gt;=0),OFFSET('Input data (2)'!AN$126,'Input data (2)'!$BL$1-$A4,0),""))))</f>
        <v>133</v>
      </c>
      <c r="BH15" s="1">
        <f ca="1">IF(AND('Input data (2)'!$C$2=4,$D4&gt;=0),OFFSET('Input data (2)'!AO$126,'Input data (2)'!$BL$1-$D4,0),IF(AND('Input data (2)'!$C$2=3,$C4&gt;=0),OFFSET('Input data (2)'!AO$126,'Input data (2)'!$BL$1-$C4,0),IF(AND('Input data (2)'!$C$2=2,$B4&gt;=0),OFFSET('Input data (2)'!AO$126,'Input data (2)'!$BL$1-$B4,0),IF(AND('Input data (2)'!$C$2=1,$A4&gt;=0),OFFSET('Input data (2)'!AO$126,'Input data (2)'!$BL$1-$A4,0),""))))</f>
        <v>50</v>
      </c>
      <c r="BJ15" s="1">
        <f ca="1">IF(AND('Input data (2)'!$C$2=4,$D4&gt;=0),OFFSET('Input data (2)'!AU$126,'Input data (2)'!$BL$1-$D4,0),IF(AND('Input data (2)'!$C$2=3,$C4&gt;=0),OFFSET('Input data (2)'!AU$126,'Input data (2)'!$BL$1-$C4,0),IF(AND('Input data (2)'!$C$2=2,$B4&gt;=0),OFFSET('Input data (2)'!AU$126,'Input data (2)'!$BL$1-$B4,0),IF(AND('Input data (2)'!$C$2=1,$A4&gt;=0),OFFSET('Input data (2)'!AU$126,'Input data (2)'!$BL$1-$A4,0),""))))</f>
        <v>41</v>
      </c>
      <c r="BK15" s="1">
        <f ca="1">IF(AND('Input data (2)'!$C$2=4,$D4&gt;=0),OFFSET('Input data (2)'!AV$126,'Input data (2)'!$BL$1-$D4,0),IF(AND('Input data (2)'!$C$2=3,$C4&gt;=0),OFFSET('Input data (2)'!AV$126,'Input data (2)'!$BL$1-$C4,0),IF(AND('Input data (2)'!$C$2=2,$B4&gt;=0),OFFSET('Input data (2)'!AV$126,'Input data (2)'!$BL$1-$B4,0),IF(AND('Input data (2)'!$C$2=1,$A4&gt;=0),OFFSET('Input data (2)'!AV$126,'Input data (2)'!$BL$1-$A4,0),""))))</f>
        <v>4</v>
      </c>
      <c r="BL15" s="1" t="str">
        <f ca="1">IF(AND('Input data (2)'!$C$2=4,$D4&gt;=0),OFFSET('Input data (2)'!AW$126,'Input data (2)'!$BL$1-$D4,0),IF(AND('Input data (2)'!$C$2=3,$C4&gt;=0),OFFSET('Input data (2)'!AW$126,'Input data (2)'!$BL$1-$C4,0),IF(AND('Input data (2)'!$C$2=2,$B4&gt;=0),OFFSET('Input data (2)'!AW$126,'Input data (2)'!$BL$1-$B4,0),IF(AND('Input data (2)'!$C$2=1,$A4&gt;=0),OFFSET('Input data (2)'!AW$126,'Input data (2)'!$BL$1-$A4,0),""))))</f>
        <v>:</v>
      </c>
      <c r="BM15" s="1">
        <f ca="1">IF(AND('Input data (2)'!$C$2=4,$D4&gt;=0),OFFSET('Input data (2)'!AX$126,'Input data (2)'!$BL$1-$D4,0),IF(AND('Input data (2)'!$C$2=3,$C4&gt;=0),OFFSET('Input data (2)'!AX$126,'Input data (2)'!$BL$1-$C4,0),IF(AND('Input data (2)'!$C$2=2,$B4&gt;=0),OFFSET('Input data (2)'!AX$126,'Input data (2)'!$BL$1-$B4,0),IF(AND('Input data (2)'!$C$2=1,$A4&gt;=0),OFFSET('Input data (2)'!AX$126,'Input data (2)'!$BL$1-$A4,0),""))))</f>
        <v>0</v>
      </c>
      <c r="BO15" s="1">
        <f ca="1">IF(AND('Input data (2)'!$C$2=4,$D4&gt;=0),OFFSET('Input data (2)'!BL$126,'Input data (2)'!$BL$1-$D4,0),IF(AND('Input data (2)'!$C$2=3,$C4&gt;=0),OFFSET('Input data (2)'!BL$126,'Input data (2)'!$BL$1-$C4,0),IF(AND('Input data (2)'!$C$2=2,$B4&gt;=0),OFFSET('Input data (2)'!BL$126,'Input data (2)'!$BL$1-$B4,0),IF(AND('Input data (2)'!$C$2=1,$A4&gt;=0),OFFSET('Input data (2)'!BL$126,'Input data (2)'!$BL$1-$A4,0),""))))</f>
        <v>146</v>
      </c>
      <c r="BP15" s="1">
        <f ca="1">IF(AND('Input data (2)'!$C$2=4,$D4&gt;=0),OFFSET('Input data (2)'!BI$126,'Input data (2)'!$BL$1-$D4,0),IF(AND('Input data (2)'!$C$2=3,$C4&gt;=0),OFFSET('Input data (2)'!BI$126,'Input data (2)'!$BL$1-$C4,0),IF(AND('Input data (2)'!$C$2=2,$B4&gt;=0),OFFSET('Input data (2)'!BI$126,'Input data (2)'!$BL$1-$B4,0),IF(AND('Input data (2)'!$C$2=1,$A4&gt;=0),OFFSET('Input data (2)'!BI$126,'Input data (2)'!$BL$1-$A4,0),""))))</f>
        <v>90</v>
      </c>
      <c r="BQ15" s="1" t="str">
        <f ca="1">IF(AND('Input data (2)'!$C$2=4,$D4&gt;=0),OFFSET('Input data (2)'!BK$126,'Input data (2)'!$BL$1-$D4,0),IF(AND('Input data (2)'!$C$2=3,$C4&gt;=0),OFFSET('Input data (2)'!BK$126,'Input data (2)'!$BL$1-$C4,0),IF(AND('Input data (2)'!$C$2=2,$B4&gt;=0),OFFSET('Input data (2)'!BK$126,'Input data (2)'!$BL$1-$B4,0),IF(AND('Input data (2)'!$C$2=1,$A4&gt;=0),OFFSET('Input data (2)'!BK$126,'Input data (2)'!$BL$1-$A4,0),""))))</f>
        <v>..</v>
      </c>
      <c r="BR15" s="1">
        <f ca="1">IF(AND('Input data (2)'!$C$2=4,$D4&gt;=0),OFFSET('Input data (2)'!BJ$126,'Input data (2)'!$BL$1-$D4,0),IF(AND('Input data (2)'!$C$2=3,$C4&gt;=0),OFFSET('Input data (2)'!BJ$126,'Input data (2)'!$BL$1-$C4,0),IF(AND('Input data (2)'!$C$2=2,$B4&gt;=0),OFFSET('Input data (2)'!BJ$126,'Input data (2)'!$BL$1-$B4,0),IF(AND('Input data (2)'!$C$2=1,$A4&gt;=0),OFFSET('Input data (2)'!BJ$126,'Input data (2)'!$BL$1-$A4,0),""))))</f>
        <v>56</v>
      </c>
      <c r="BS15" s="1">
        <f ca="1">IF(AND('Input data (2)'!$C$2=4,$D4&gt;=0),OFFSET('Input data (2)'!BF$126,'Input data (2)'!$BL$1-$D4,0),IF(AND('Input data (2)'!$C$2=3,$C4&gt;=0),OFFSET('Input data (2)'!BF$126,'Input data (2)'!$BL$1-$C4,0),IF(AND('Input data (2)'!$C$2=2,$B4&gt;=0),OFFSET('Input data (2)'!BF$126,'Input data (2)'!$BL$1-$B4,0),IF(AND('Input data (2)'!$C$2=1,$A4&gt;=0),OFFSET('Input data (2)'!BF$126,'Input data (2)'!$BL$1-$A4,0),""))))</f>
        <v>37</v>
      </c>
      <c r="BT15" s="1">
        <f ca="1">IF(AND('Input data (2)'!$C$2=4,$D4&gt;=0),OFFSET('Input data (2)'!BD$126,'Input data (2)'!$BL$1-$D4,0),IF(AND('Input data (2)'!$C$2=3,$C4&gt;=0),OFFSET('Input data (2)'!BD$126,'Input data (2)'!$BL$1-$C4,0),IF(AND('Input data (2)'!$C$2=2,$B4&gt;=0),OFFSET('Input data (2)'!BD$126,'Input data (2)'!$BL$1-$B4,0),IF(AND('Input data (2)'!$C$2=1,$A4&gt;=0),OFFSET('Input data (2)'!BD$126,'Input data (2)'!$BL$1-$A4,0),""))))</f>
        <v>30</v>
      </c>
      <c r="BU15" s="1">
        <f ca="1">IF(AND('Input data (2)'!$C$2=4,$D4&gt;=0),OFFSET('Input data (2)'!BE$126,'Input data (2)'!$BL$1-$D4,0),IF(AND('Input data (2)'!$C$2=3,$C4&gt;=0),OFFSET('Input data (2)'!BE$126,'Input data (2)'!$BL$1-$C4,0),IF(AND('Input data (2)'!$C$2=2,$B4&gt;=0),OFFSET('Input data (2)'!BE$126,'Input data (2)'!$BL$1-$B4,0),IF(AND('Input data (2)'!$C$2=1,$A4&gt;=0),OFFSET('Input data (2)'!BE$126,'Input data (2)'!$BL$1-$A4,0),""))))</f>
        <v>7</v>
      </c>
      <c r="BW15" s="7">
        <f ca="1">IF(AND('Input data (2)'!$C$2=4,$D4&gt;=0),OFFSET('Input data (2)'!J$126,'Input data (2)'!$BL$1-$D4,0),IF(AND('Input data (2)'!$C$2=3,$C4&gt;=0),OFFSET('Input data (2)'!J$126,'Input data (2)'!$BL$1-$C4,0),IF(AND('Input data (2)'!$C$2=2,$B4&gt;=0),OFFSET('Input data (2)'!J$126,'Input data (2)'!$BL$1-$B4,0),IF(AND('Input data (2)'!$C$2=1,$A4&gt;=0),OFFSET('Input data (2)'!J$126,'Input data (2)'!$BL$1-$A4,0),""))))</f>
        <v>1.0857409166552363</v>
      </c>
      <c r="BX15" s="7">
        <f ca="1">IF(AND('Input data (2)'!$C$2=4,$D4&gt;=0),OFFSET('Input data (2)'!K$126,'Input data (2)'!$BL$1-$D4,0),IF(AND('Input data (2)'!$C$2=3,$C4&gt;=0),OFFSET('Input data (2)'!K$126,'Input data (2)'!$BL$1-$C4,0),IF(AND('Input data (2)'!$C$2=2,$B4&gt;=0),OFFSET('Input data (2)'!K$126,'Input data (2)'!$BL$1-$B4,0),IF(AND('Input data (2)'!$C$2=1,$A4&gt;=0),OFFSET('Input data (2)'!K$126,'Input data (2)'!$BL$1-$A4,0),""))))</f>
        <v>0.97794654073890885</v>
      </c>
      <c r="BY15" s="7">
        <f ca="1">IF(AND('Input data (2)'!$C$2=4,$D4&gt;=0),OFFSET('Input data (2)'!AS$126,'Input data (2)'!$BL$1-$D4,0),IF(AND('Input data (2)'!$C$2=3,$C4&gt;=0),OFFSET('Input data (2)'!AS$126,'Input data (2)'!$BL$1-$C4,0),IF(AND('Input data (2)'!$C$2=2,$B4&gt;=0),OFFSET('Input data (2)'!AS$126,'Input data (2)'!$BL$1-$B4,0),IF(AND('Input data (2)'!$C$2=1,$A4&gt;=0),OFFSET('Input data (2)'!AS$126,'Input data (2)'!$BL$1-$A4,0),""))))</f>
        <v>0.8666093414268996</v>
      </c>
      <c r="BZ15" s="7">
        <f ca="1">IF(AND('Input data (2)'!$C$2=4,$D4&gt;=0),OFFSET('Input data (2)'!AT$126,'Input data (2)'!$BL$1-$D4,0),IF(AND('Input data (2)'!$C$2=3,$C4&gt;=0),OFFSET('Input data (2)'!AT$126,'Input data (2)'!$BL$1-$C4,0),IF(AND('Input data (2)'!$C$2=2,$B4&gt;=0),OFFSET('Input data (2)'!AT$126,'Input data (2)'!$BL$1-$B4,0),IF(AND('Input data (2)'!$C$2=1,$A4&gt;=0),OFFSET('Input data (2)'!AT$126,'Input data (2)'!$BL$1-$A4,0),""))))</f>
        <v>0.78859936249616758</v>
      </c>
      <c r="CB15" s="122"/>
      <c r="CC15" s="122"/>
      <c r="CD15" s="122"/>
      <c r="CE15" s="122"/>
      <c r="CG15" s="1">
        <v>29</v>
      </c>
      <c r="CI15" s="1">
        <f t="shared" ca="1" si="24"/>
        <v>2006</v>
      </c>
      <c r="CJ15" s="1" t="str">
        <f t="shared" si="25"/>
        <v>Q1</v>
      </c>
      <c r="CK15" s="1" t="str">
        <f t="shared" ca="1" si="12"/>
        <v>06</v>
      </c>
      <c r="CL15" s="1" t="str">
        <f t="shared" ca="1" si="13"/>
        <v>Q1 06</v>
      </c>
      <c r="CM15" s="1">
        <f ca="1">OFFSET('Input data (2)'!AJ$126,'Input data (2)'!$BL$1-'Output data - DO NOT TOUCH (2)'!$CG15,0)/1000</f>
        <v>15.217000000000001</v>
      </c>
      <c r="CN15" s="1">
        <f ca="1">OFFSET('Input data (2)'!AK$126,'Input data (2)'!$BL$1-'Output data - DO NOT TOUCH (2)'!$CG15,0)/1000</f>
        <v>8.5879999999999992</v>
      </c>
      <c r="CO15" s="1">
        <f ca="1">OFFSET('Input data (2)'!AL$126,'Input data (2)'!$BL$1-'Output data - DO NOT TOUCH (2)'!$CG15,0)/1000</f>
        <v>23.805</v>
      </c>
      <c r="CP15" s="1"/>
      <c r="CQ15" s="1">
        <f ca="1">OFFSET('Input data (2)'!AG$126,'Input data (2)'!$BL$1-'Output data - DO NOT TOUCH (2)'!$CG15,0)/1000</f>
        <v>1.4390000000000001</v>
      </c>
      <c r="CR15" s="1">
        <f ca="1">OFFSET('Input data (2)'!AH$126,'Input data (2)'!$BL$1-'Output data - DO NOT TOUCH (2)'!$CG15,0)/1000</f>
        <v>2.0150000000000001</v>
      </c>
      <c r="CS15" s="1">
        <f ca="1">OFFSET('Input data (2)'!AI$126,'Input data (2)'!$BL$1-'Output data - DO NOT TOUCH (2)'!$CG15,0)/1000</f>
        <v>3.4540000000000002</v>
      </c>
      <c r="CT15" s="1"/>
      <c r="CU15" s="1">
        <f ca="1">OFFSET('Input data (2)'!L$126,'Input data (2)'!$BL$1-'Output data - DO NOT TOUCH (2)'!$CG15,0)</f>
        <v>180</v>
      </c>
      <c r="CV15" s="1">
        <f ca="1">OFFSET('Input data (2)'!M$126,'Input data (2)'!$BL$1-'Output data - DO NOT TOUCH (2)'!$CG15,0)</f>
        <v>0</v>
      </c>
      <c r="CW15" s="67">
        <f ca="1">OFFSET('Input data (2)'!N$126,'Input data (2)'!$BL$1-'Output data - DO NOT TOUCH (2)'!$CG15,0)</f>
        <v>753</v>
      </c>
      <c r="CX15" s="1">
        <f ca="1">OFFSET('Input data (2)'!P$126,'Input data (2)'!$BL$1-'Output data - DO NOT TOUCH (2)'!$CG15,0)</f>
        <v>124</v>
      </c>
      <c r="CY15" s="1"/>
      <c r="CZ15" s="1">
        <f ca="1">OFFSET('Input data (2)'!AY$126,'Input data (2)'!$BL$1-'Output data - DO NOT TOUCH (2)'!$CG15,0)/1000</f>
        <v>1.298</v>
      </c>
      <c r="DA15" s="1">
        <f ca="1">OFFSET('Input data (2)'!BA$126,'Input data (2)'!$BL$1-'Output data - DO NOT TOUCH (2)'!$CG15,0)/1000</f>
        <v>1.889</v>
      </c>
      <c r="DB15" s="1">
        <f ca="1">OFFSET('Input data (2)'!BB$126,'Input data (2)'!$BL$1-'Output data - DO NOT TOUCH (2)'!$CG15,0)/1000</f>
        <v>3.1869999999999998</v>
      </c>
      <c r="DD15" s="1">
        <f ca="1">OFFSET('Input data (2)'!AN$126,'Input data (2)'!$BL$1-'Output data - DO NOT TOUCH (2)'!$CG15,0)</f>
        <v>96</v>
      </c>
      <c r="DE15" s="1">
        <f ca="1">OFFSET('Input data (2)'!AO$126,'Input data (2)'!$BL$1-'Output data - DO NOT TOUCH (2)'!$CG15,0)</f>
        <v>32</v>
      </c>
      <c r="DF15" s="1">
        <f ca="1">OFFSET('Input data (2)'!AP$126,'Input data (2)'!$BL$1-'Output data - DO NOT TOUCH (2)'!$CG15,0)</f>
        <v>128</v>
      </c>
      <c r="DG15" s="1"/>
      <c r="DH15" s="1">
        <f ca="1">OFFSET('Input data (2)'!AU$126,'Input data (2)'!$BL$1-'Output data - DO NOT TOUCH (2)'!$CG15,0)</f>
        <v>11</v>
      </c>
      <c r="DI15" s="1">
        <f ca="1">OFFSET('Input data (2)'!AV$126,'Input data (2)'!$BL$1-'Output data - DO NOT TOUCH (2)'!$CG15,0)</f>
        <v>0</v>
      </c>
      <c r="DJ15" s="1">
        <f ca="1">OFFSET('Input data (2)'!AW$126,'Input data (2)'!$BL$1-'Output data - DO NOT TOUCH (2)'!$CG15,0)</f>
        <v>28</v>
      </c>
      <c r="DK15" s="1">
        <f ca="1">OFFSET('Input data (2)'!AX$126,'Input data (2)'!$BL$1-'Output data - DO NOT TOUCH (2)'!$CG15,0)</f>
        <v>2</v>
      </c>
      <c r="DM15" s="1">
        <f ca="1">OFFSET('Input data (2)'!BI$126,'Input data (2)'!$BL$1-'Output data - DO NOT TOUCH (2)'!$CG15,0)</f>
        <v>245</v>
      </c>
      <c r="DN15" s="1">
        <f ca="1">OFFSET('Input data (2)'!BJ$126,'Input data (2)'!$BL$1-'Output data - DO NOT TOUCH (2)'!$CG15,0)</f>
        <v>163</v>
      </c>
      <c r="DO15" s="1">
        <f ca="1">OFFSET('Input data (2)'!BL$126,'Input data (2)'!$BL$1-'Output data - DO NOT TOUCH (2)'!$CG15,0)</f>
        <v>408</v>
      </c>
      <c r="DQ15" s="1">
        <f ca="1">OFFSET('Input data (2)'!BD$126,'Input data (2)'!$BL$1-'Output data - DO NOT TOUCH (2)'!$CG15,0)</f>
        <v>19</v>
      </c>
      <c r="DR15" s="1">
        <f ca="1">OFFSET('Input data (2)'!BE$126,'Input data (2)'!$BL$1-'Output data - DO NOT TOUCH (2)'!$CG15,0)</f>
        <v>10</v>
      </c>
      <c r="DS15" s="1">
        <f ca="1">OFFSET('Input data (2)'!BF$126,'Input data (2)'!$BL$1-'Output data - DO NOT TOUCH (2)'!$CG15,0)</f>
        <v>29</v>
      </c>
      <c r="DU15" s="1">
        <f ca="1">OFFSET('Input data (2)'!B$126,'Input data (2)'!$BL$1-'Output data - DO NOT TOUCH (2)'!$CG15-1,0)</f>
        <v>2005</v>
      </c>
      <c r="DV15" s="1" t="str">
        <f ca="1">OFFSET('Input data (2)'!C$126,'Input data (2)'!$BL$1-'Output data - DO NOT TOUCH (2)'!$CG15-1,0)</f>
        <v>Q4</v>
      </c>
      <c r="DW15" s="1" t="str">
        <f t="shared" ca="1" si="14"/>
        <v>05</v>
      </c>
      <c r="DX15" s="1" t="str">
        <f t="shared" ca="1" si="15"/>
        <v>Q4 05</v>
      </c>
      <c r="DY15" s="1">
        <f ca="1">OFFSET('Input data (2)'!W$126,'Input data (2)'!$BL$1-'Output data - DO NOT TOUCH (2)'!$CG15-1,0)/1000</f>
        <v>2.7080000000000002</v>
      </c>
      <c r="DZ15" s="1">
        <f ca="1">OFFSET('Input data (2)'!Y$126,'Input data (2)'!$BL$1-'Output data - DO NOT TOUCH (2)'!$CG15-1,0)/1000</f>
        <v>9.8010000000000002</v>
      </c>
      <c r="EA15" s="1">
        <f ca="1">OFFSET('Input data (2)'!Q$126,'Input data (2)'!$BL$1-'Output data - DO NOT TOUCH (2)'!$CG15-1,0)/1000</f>
        <v>12.509</v>
      </c>
      <c r="EC15" s="3" t="str">
        <f t="shared" ref="EC15:EC23" si="26">EC4</f>
        <v>Q2 11</v>
      </c>
      <c r="ED15" s="68" t="e">
        <f t="shared" ref="ED15:ED23" ca="1" si="27">(CM36/CM32-1)*(CM32/$CO32)*100</f>
        <v>#VALUE!</v>
      </c>
      <c r="EE15" s="68" t="e">
        <f t="shared" ref="EE15:EE23" ca="1" si="28">(CN36/CN32-1)*(CN32/$CO32)*100</f>
        <v>#VALUE!</v>
      </c>
      <c r="EF15" s="68" t="e">
        <f t="shared" ref="EF15:EF23" ca="1" si="29">SUM(ED15:EE15)</f>
        <v>#VALUE!</v>
      </c>
      <c r="EH15" s="68">
        <f t="shared" ref="EH15:EH23" ca="1" si="30">(CQ36/CQ32-1)*(CQ32/$CS32)*100</f>
        <v>3.2734432685207988</v>
      </c>
      <c r="EI15" s="68">
        <f t="shared" ref="EI15:EI23" ca="1" si="31">(CR36/CR32-1)*(CR32/$CS32)*100</f>
        <v>0.83682008368200966</v>
      </c>
      <c r="EJ15" s="68">
        <f t="shared" ref="EJ15:EJ23" ca="1" si="32">EH15+EI15</f>
        <v>4.1102633522028089</v>
      </c>
    </row>
    <row r="16" spans="1:140" x14ac:dyDescent="0.15">
      <c r="A16" s="1">
        <v>28</v>
      </c>
      <c r="B16" s="1">
        <v>29</v>
      </c>
      <c r="C16" s="1">
        <v>30</v>
      </c>
      <c r="D16" s="1">
        <v>27</v>
      </c>
      <c r="E16" s="1" t="str">
        <f>F16&amp;G16</f>
        <v>2003Q2</v>
      </c>
      <c r="F16" s="1">
        <f>F15</f>
        <v>2003</v>
      </c>
      <c r="G16" s="1" t="s">
        <v>2</v>
      </c>
      <c r="H16" s="1">
        <f>VLOOKUP($E16,'Input data (2)'!$A:$BL,'Output data - DO NOT TOUCH (2)'!H$71,FALSE)</f>
        <v>3767</v>
      </c>
      <c r="I16" s="1">
        <f>VLOOKUP($E16,'Input data (2)'!$A:$BL,'Output data - DO NOT TOUCH (2)'!I$71,FALSE)</f>
        <v>1470</v>
      </c>
      <c r="J16" s="1">
        <f>VLOOKUP($E16,'Input data (2)'!$A:$BL,'Output data - DO NOT TOUCH (2)'!J$71,FALSE)</f>
        <v>2297</v>
      </c>
      <c r="K16" s="1">
        <f>VLOOKUP($E16,'Input data (2)'!$A:$BL,'Output data - DO NOT TOUCH (2)'!K$71,FALSE)</f>
        <v>3698</v>
      </c>
      <c r="L16" s="1">
        <f>VLOOKUP($E16,'Input data (2)'!$A:$BL,'Output data - DO NOT TOUCH (2)'!L$71,FALSE)</f>
        <v>1440</v>
      </c>
      <c r="M16" s="1">
        <f>VLOOKUP($E16,'Input data (2)'!$A:$BL,'Output data - DO NOT TOUCH (2)'!M$71,FALSE)</f>
        <v>2258</v>
      </c>
      <c r="O16" s="119" t="str">
        <f ca="1">IF(AND('Input data (2)'!$C$2=4,$D5&gt;=0),OFFSET('Input data (2)'!O$126,'Input data (2)'!$BL$1-$D5,0),IF(AND('Input data (2)'!$C$2=3,$C5&gt;=0),OFFSET('Input data (2)'!O$126,'Input data (2)'!$BL$1-$C5,0),IF(AND('Input data (2)'!$C$2=2,$B5&gt;=0),OFFSET('Input data (2)'!O$126,'Input data (2)'!$BL$1-$B5,0),IF(AND('Input data (2)'!$C$2=1,$A5&gt;=0),OFFSET('Input data (2)'!O$126,'Input data (2)'!$BL$1-$A5,0),""))))</f>
        <v>:</v>
      </c>
      <c r="Q16" s="1">
        <f ca="1">IF(AND('Input data (2)'!$C$2=4,$D5&gt;=0),OFFSET('Input data (2)'!AC$126,'Input data (2)'!$BL$1-$D5,0),IF(AND('Input data (2)'!$C$2=3,$C5&gt;=0),OFFSET('Input data (2)'!AC$126,'Input data (2)'!$BL$1-$C5,0),IF(AND('Input data (2)'!$C$2=2,$B5&gt;=0),OFFSET('Input data (2)'!AC$126,'Input data (2)'!$BL$1-$B5,0),IF(AND('Input data (2)'!$C$2=1,$A5&gt;=0),OFFSET('Input data (2)'!AC$126,'Input data (2)'!$BL$1-$A5,0),""))))</f>
        <v>8889</v>
      </c>
      <c r="R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S16" s="1" t="str">
        <f ca="1">IF(AND('Input data (2)'!$C$2=4,$D5&gt;=0),OFFSET('Input data (2)'!R$126,'Input data (2)'!$BL$1-$D5,0),IF(AND('Input data (2)'!$C$2=3,$C5&gt;=0),OFFSET('Input data (2)'!R$126,'Input data (2)'!$BL$1-$C5,0),IF(AND('Input data (2)'!$C$2=2,$B5&gt;=0),OFFSET('Input data (2)'!R$126,'Input data (2)'!$BL$1-$B5,0),IF(AND('Input data (2)'!$C$2=1,$A5&gt;=0),OFFSET('Input data (2)'!R$126,'Input data (2)'!$BL$1-$A5,0),""))))</f>
        <v>:</v>
      </c>
      <c r="T16" s="1">
        <f ca="1">IF(AND('Input data (2)'!$C$2=4,$D5&gt;=0),OFFSET('Input data (2)'!AA$126,'Input data (2)'!$BL$1-$D5,0),IF(AND('Input data (2)'!$C$2=3,$C5&gt;=0),OFFSET('Input data (2)'!AA$126,'Input data (2)'!$BL$1-$C5,0),IF(AND('Input data (2)'!$C$2=2,$B5&gt;=0),OFFSET('Input data (2)'!AA$126,'Input data (2)'!$BL$1-$B5,0),IF(AND('Input data (2)'!$C$2=1,$A5&gt;=0),OFFSET('Input data (2)'!AA$126,'Input data (2)'!$BL$1-$A5,0),""))))</f>
        <v>1941</v>
      </c>
      <c r="U16" s="1">
        <f ca="1">IF(AND('Input data (2)'!$C$2=4,$D5&gt;=0),OFFSET('Input data (2)'!AL$126,'Input data (2)'!$BL$1-$D5,0),IF(AND('Input data (2)'!$C$2=3,$C5&gt;=0),OFFSET('Input data (2)'!AL$126,'Input data (2)'!$BL$1-$C5,0),IF(AND('Input data (2)'!$C$2=2,$B5&gt;=0),OFFSET('Input data (2)'!AL$126,'Input data (2)'!$BL$1-$B5,0),IF(AND('Input data (2)'!$C$2=1,$A5&gt;=0),OFFSET('Input data (2)'!AL$126,'Input data (2)'!$BL$1-$A5,0),""))))</f>
        <v>8644</v>
      </c>
      <c r="V16" s="1">
        <f ca="1">IF(AND('Input data (2)'!$C$2=4,$D5&gt;=0),OFFSET('Input data (2)'!AJ$126,'Input data (2)'!$BL$1-$D5,0),IF(AND('Input data (2)'!$C$2=3,$C5&gt;=0),OFFSET('Input data (2)'!AJ$126,'Input data (2)'!$BL$1-$C5,0),IF(AND('Input data (2)'!$C$2=2,$B5&gt;=0),OFFSET('Input data (2)'!AJ$126,'Input data (2)'!$BL$1-$B5,0),IF(AND('Input data (2)'!$C$2=1,$A5&gt;=0),OFFSET('Input data (2)'!AJ$126,'Input data (2)'!$BL$1-$A5,0),""))))</f>
        <v>6748</v>
      </c>
      <c r="W16" s="1">
        <f ca="1">IF(AND('Input data (2)'!$C$2=4,$D5&gt;=0),OFFSET('Input data (2)'!AK$126,'Input data (2)'!$BL$1-$D5,0),IF(AND('Input data (2)'!$C$2=3,$C5&gt;=0),OFFSET('Input data (2)'!AK$126,'Input data (2)'!$BL$1-$C5,0),IF(AND('Input data (2)'!$C$2=2,$B5&gt;=0),OFFSET('Input data (2)'!AK$126,'Input data (2)'!$BL$1-$B5,0),IF(AND('Input data (2)'!$C$2=1,$A5&gt;=0),OFFSET('Input data (2)'!AK$126,'Input data (2)'!$BL$1-$A5,0),""))))</f>
        <v>1896</v>
      </c>
      <c r="Y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Z16" s="1">
        <f ca="1">IF(AND('Input data (2)'!$C$2=4,$D5&gt;=0),OFFSET('Input data (2)'!S$126,'Input data (2)'!$BL$1-$D5,0),IF(AND('Input data (2)'!$C$2=3,$C5&gt;=0),OFFSET('Input data (2)'!S$126,'Input data (2)'!$BL$1-$C5,0),IF(AND('Input data (2)'!$C$2=2,$B5&gt;=0),OFFSET('Input data (2)'!S$126,'Input data (2)'!$BL$1-$B5,0),IF(AND('Input data (2)'!$C$2=1,$A5&gt;=0),OFFSET('Input data (2)'!S$126,'Input data (2)'!$BL$1-$A5,0),""))))</f>
        <v>4851</v>
      </c>
      <c r="AA16" s="1">
        <f ca="1">IF(AND('Input data (2)'!$C$2=4,$D5&gt;=0),OFFSET('Input data (2)'!T$126,'Input data (2)'!$BL$1-$D5,0),IF(AND('Input data (2)'!$C$2=3,$C5&gt;=0),OFFSET('Input data (2)'!T$126,'Input data (2)'!$BL$1-$C5,0),IF(AND('Input data (2)'!$C$2=2,$B5&gt;=0),OFFSET('Input data (2)'!T$126,'Input data (2)'!$BL$1-$B5,0),IF(AND('Input data (2)'!$C$2=1,$A5&gt;=0),OFFSET('Input data (2)'!T$126,'Input data (2)'!$BL$1-$A5,0),""))))</f>
        <v>69.818652849740943</v>
      </c>
      <c r="AB16" s="1">
        <f ca="1">IF(AND('Input data (2)'!$C$2=4,$D5&gt;=0),OFFSET('Input data (2)'!U$126,'Input data (2)'!$BL$1-$D5,0),IF(AND('Input data (2)'!$C$2=3,$C5&gt;=0),OFFSET('Input data (2)'!U$126,'Input data (2)'!$BL$1-$C5,0),IF(AND('Input data (2)'!$C$2=2,$B5&gt;=0),OFFSET('Input data (2)'!U$126,'Input data (2)'!$BL$1-$B5,0),IF(AND('Input data (2)'!$C$2=1,$A5&gt;=0),OFFSET('Input data (2)'!U$126,'Input data (2)'!$BL$1-$A5,0),""))))</f>
        <v>2097</v>
      </c>
      <c r="AC16" s="1">
        <f ca="1">IF(AND('Input data (2)'!$C$2=4,$D5&gt;=0),OFFSET('Input data (2)'!V$126,'Input data (2)'!$BL$1-$D5,0),IF(AND('Input data (2)'!$C$2=3,$C5&gt;=0),OFFSET('Input data (2)'!V$126,'Input data (2)'!$BL$1-$C5,0),IF(AND('Input data (2)'!$C$2=2,$B5&gt;=0),OFFSET('Input data (2)'!V$126,'Input data (2)'!$BL$1-$B5,0),IF(AND('Input data (2)'!$C$2=1,$A5&gt;=0),OFFSET('Input data (2)'!V$126,'Input data (2)'!$BL$1-$A5,0),""))))</f>
        <v>30.181347150259068</v>
      </c>
      <c r="AD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AE16" s="1">
        <f ca="1">IF(AND('Input data (2)'!$C$2=4,$D5&gt;=0),OFFSET('Input data (2)'!W$126,'Input data (2)'!$BL$1-$D5,0),IF(AND('Input data (2)'!$C$2=3,$C5&gt;=0),OFFSET('Input data (2)'!W$126,'Input data (2)'!$BL$1-$C5,0),IF(AND('Input data (2)'!$C$2=2,$B5&gt;=0),OFFSET('Input data (2)'!W$126,'Input data (2)'!$BL$1-$B5,0),IF(AND('Input data (2)'!$C$2=1,$A5&gt;=0),OFFSET('Input data (2)'!W$126,'Input data (2)'!$BL$1-$A5,0),""))))</f>
        <v>2267</v>
      </c>
      <c r="AF16" s="1">
        <f ca="1">IF(AND('Input data (2)'!$C$2=4,$D5&gt;=0),OFFSET('Input data (2)'!X$126,'Input data (2)'!$BL$1-$D5,0),IF(AND('Input data (2)'!$C$2=3,$C5&gt;=0),OFFSET('Input data (2)'!X$126,'Input data (2)'!$BL$1-$C5,0),IF(AND('Input data (2)'!$C$2=2,$B5&gt;=0),OFFSET('Input data (2)'!X$126,'Input data (2)'!$BL$1-$B5,0),IF(AND('Input data (2)'!$C$2=1,$A5&gt;=0),OFFSET('Input data (2)'!X$126,'Input data (2)'!$BL$1-$A5,0),""))))</f>
        <v>32.628094415659184</v>
      </c>
      <c r="AG16" s="1">
        <f ca="1">IF(AND('Input data (2)'!$C$2=4,$D5&gt;=0),OFFSET('Input data (2)'!Y$126,'Input data (2)'!$BL$1-$D5,0),IF(AND('Input data (2)'!$C$2=3,$C5&gt;=0),OFFSET('Input data (2)'!Y$126,'Input data (2)'!$BL$1-$C5,0),IF(AND('Input data (2)'!$C$2=2,$B5&gt;=0),OFFSET('Input data (2)'!Y$126,'Input data (2)'!$BL$1-$B5,0),IF(AND('Input data (2)'!$C$2=1,$A5&gt;=0),OFFSET('Input data (2)'!Y$126,'Input data (2)'!$BL$1-$A5,0),""))))</f>
        <v>4681</v>
      </c>
      <c r="AH16" s="1">
        <f ca="1">IF(AND('Input data (2)'!$C$2=4,$D5&gt;=0),OFFSET('Input data (2)'!Z$126,'Input data (2)'!$BL$1-$D5,0),IF(AND('Input data (2)'!$C$2=3,$C5&gt;=0),OFFSET('Input data (2)'!Z$126,'Input data (2)'!$BL$1-$C5,0),IF(AND('Input data (2)'!$C$2=2,$B5&gt;=0),OFFSET('Input data (2)'!Z$126,'Input data (2)'!$BL$1-$B5,0),IF(AND('Input data (2)'!$C$2=1,$A5&gt;=0),OFFSET('Input data (2)'!Z$126,'Input data (2)'!$BL$1-$A5,0),""))))</f>
        <v>67.371905584340823</v>
      </c>
      <c r="AI16" s="3"/>
      <c r="AJ16" s="124">
        <f ca="1">IF(AND('Input data (2)'!$C$2=4,$D5&gt;=0),OFFSET('Input data (2)'!AF$126,'Input data (2)'!$BL$1-$D5,0),IF(AND('Input data (2)'!$C$2=3,$C5&gt;=0),OFFSET('Input data (2)'!AF$126,'Input data (2)'!$BL$1-$C5,0),IF(AND('Input data (2)'!$C$2=2,$B5&gt;=0),OFFSET('Input data (2)'!AF$126,'Input data (2)'!$BL$1-$B5,0),IF(AND('Input data (2)'!$C$2=1,$A5&gt;=0),OFFSET('Input data (2)'!AF$126,'Input data (2)'!$BL$1-$A5,0),""))))</f>
        <v>444</v>
      </c>
      <c r="AK16" s="124">
        <f ca="1">IF(AND('Input data (2)'!$C$2=4,$D5&gt;=0),OFFSET('Input data (2)'!AD$126,'Input data (2)'!$BL$1-$D5,0),IF(AND('Input data (2)'!$C$2=3,$C5&gt;=0),OFFSET('Input data (2)'!AD$126,'Input data (2)'!$BL$1-$C5,0),IF(AND('Input data (2)'!$C$2=2,$B5&gt;=0),OFFSET('Input data (2)'!AD$126,'Input data (2)'!$BL$1-$B5,0),IF(AND('Input data (2)'!$C$2=1,$A5&gt;=0),OFFSET('Input data (2)'!AD$126,'Input data (2)'!$BL$1-$A5,0),""))))</f>
        <v>432</v>
      </c>
      <c r="AL16" s="124">
        <f ca="1">IF(AND('Input data (2)'!$C$2=4,$D5&gt;=0),OFFSET('Input data (2)'!AE$126,'Input data (2)'!$BL$1-$D5,0),IF(AND('Input data (2)'!$C$2=3,$C5&gt;=0),OFFSET('Input data (2)'!AE$126,'Input data (2)'!$BL$1-$C5,0),IF(AND('Input data (2)'!$C$2=2,$B5&gt;=0),OFFSET('Input data (2)'!AE$126,'Input data (2)'!$BL$1-$B5,0),IF(AND('Input data (2)'!$C$2=1,$A5&gt;=0),OFFSET('Input data (2)'!AE$126,'Input data (2)'!$BL$1-$A5,0),""))))</f>
        <v>12</v>
      </c>
      <c r="AW16" s="1">
        <f ca="1">IF(AND('Input data (2)'!$C$2=4,$D5&gt;=0),OFFSET('Input data (2)'!L$126,'Input data (2)'!$BL$1-$D5,0),IF(AND('Input data (2)'!$C$2=3,$C5&gt;=0),OFFSET('Input data (2)'!L$126,'Input data (2)'!$BL$1-$C5,0),IF(AND('Input data (2)'!$C$2=2,$B5&gt;=0),OFFSET('Input data (2)'!L$126,'Input data (2)'!$BL$1-$B5,0),IF(AND('Input data (2)'!$C$2=1,$A5&gt;=0),OFFSET('Input data (2)'!L$126,'Input data (2)'!$BL$1-$A5,0),""))))</f>
        <v>298</v>
      </c>
      <c r="AX16" s="1">
        <f ca="1">IF(AND('Input data (2)'!$C$2=4,$D5&gt;=0),OFFSET('Input data (2)'!M$126,'Input data (2)'!$BL$1-$D5,0),IF(AND('Input data (2)'!$C$2=3,$C5&gt;=0),OFFSET('Input data (2)'!M$126,'Input data (2)'!$BL$1-$C5,0),IF(AND('Input data (2)'!$C$2=2,$B5&gt;=0),OFFSET('Input data (2)'!M$126,'Input data (2)'!$BL$1-$B5,0),IF(AND('Input data (2)'!$C$2=1,$A5&gt;=0),OFFSET('Input data (2)'!M$126,'Input data (2)'!$BL$1-$A5,0),""))))</f>
        <v>167</v>
      </c>
      <c r="AY16" s="1" t="str">
        <f ca="1">IF(AND('Input data (2)'!$C$2=4,$D5&gt;=0),OFFSET('Input data (2)'!N$126,'Input data (2)'!$BL$1-$D5,0),IF(AND('Input data (2)'!$C$2=3,$C5&gt;=0),OFFSET('Input data (2)'!N$126,'Input data (2)'!$BL$1-$C5,0),IF(AND('Input data (2)'!$C$2=2,$B5&gt;=0),OFFSET('Input data (2)'!N$126,'Input data (2)'!$BL$1-$B5,0),IF(AND('Input data (2)'!$C$2=1,$A5&gt;=0),OFFSET('Input data (2)'!N$126,'Input data (2)'!$BL$1-$A5,0),""))))</f>
        <v>:</v>
      </c>
      <c r="AZ16" s="1">
        <f ca="1">IF(AND('Input data (2)'!$C$2=4,$D5&gt;=0),OFFSET('Input data (2)'!P$126,'Input data (2)'!$BL$1-$D5,0),IF(AND('Input data (2)'!$C$2=3,$C5&gt;=0),OFFSET('Input data (2)'!P$126,'Input data (2)'!$BL$1-$C5,0),IF(AND('Input data (2)'!$C$2=2,$B5&gt;=0),OFFSET('Input data (2)'!P$126,'Input data (2)'!$BL$1-$B5,0),IF(AND('Input data (2)'!$C$2=1,$A5&gt;=0),OFFSET('Input data (2)'!P$126,'Input data (2)'!$BL$1-$A5,0),""))))</f>
        <v>165</v>
      </c>
      <c r="BB16" s="1">
        <f ca="1">IF(AND('Input data (2)'!$C$2=4,$D5&gt;=0),OFFSET('Input data (2)'!BB$126,'Input data (2)'!$BL$1-$D5,0),IF(AND('Input data (2)'!$C$2=3,$C5&gt;=0),OFFSET('Input data (2)'!BB$126,'Input data (2)'!$BL$1-$C5,0),IF(AND('Input data (2)'!$C$2=2,$B5&gt;=0),OFFSET('Input data (2)'!BB$126,'Input data (2)'!$BL$1-$B5,0),IF(AND('Input data (2)'!$C$2=1,$A5&gt;=0),OFFSET('Input data (2)'!BB$126,'Input data (2)'!$BL$1-$A5,0),""))))</f>
        <v>2189</v>
      </c>
      <c r="BC16" s="1">
        <f ca="1">IF(AND('Input data (2)'!$C$2=4,$D5&gt;=0),OFFSET('Input data (2)'!AY$126,'Input data (2)'!$BL$1-$D5,0),IF(AND('Input data (2)'!$C$2=3,$C5&gt;=0),OFFSET('Input data (2)'!AY$126,'Input data (2)'!$BL$1-$C5,0),IF(AND('Input data (2)'!$C$2=2,$B5&gt;=0),OFFSET('Input data (2)'!AY$126,'Input data (2)'!$BL$1-$B5,0),IF(AND('Input data (2)'!$C$2=1,$A5&gt;=0),OFFSET('Input data (2)'!AY$126,'Input data (2)'!$BL$1-$A5,0),""))))</f>
        <v>858</v>
      </c>
      <c r="BD16" s="1" t="str">
        <f ca="1">IF(AND('Input data (2)'!$C$2=4,$D5&gt;=0),OFFSET('Input data (2)'!AZ$126,'Input data (2)'!$BL$1-$D5,0),IF(AND('Input data (2)'!$C$2=3,$C5&gt;=0),OFFSET('Input data (2)'!AZ$126,'Input data (2)'!$BL$1-$C5,0),IF(AND('Input data (2)'!$C$2=2,$B5&gt;=0),OFFSET('Input data (2)'!AZ$126,'Input data (2)'!$BL$1-$B5,0),IF(AND('Input data (2)'!$C$2=1,$A5&gt;=0),OFFSET('Input data (2)'!AZ$126,'Input data (2)'!$BL$1-$A5,0),""))))</f>
        <v>:</v>
      </c>
      <c r="BE16" s="1">
        <f ca="1">IF(AND('Input data (2)'!$C$2=4,$D5&gt;=0),OFFSET('Input data (2)'!BA$126,'Input data (2)'!$BL$1-$D5,0),IF(AND('Input data (2)'!$C$2=3,$C5&gt;=0),OFFSET('Input data (2)'!BA$126,'Input data (2)'!$BL$1-$C5,0),IF(AND('Input data (2)'!$C$2=2,$B5&gt;=0),OFFSET('Input data (2)'!BA$126,'Input data (2)'!$BL$1-$B5,0),IF(AND('Input data (2)'!$C$2=1,$A5&gt;=0),OFFSET('Input data (2)'!BA$126,'Input data (2)'!$BL$1-$A5,0),""))))</f>
        <v>1331</v>
      </c>
      <c r="BF16" s="1">
        <f ca="1">IF(AND('Input data (2)'!$C$2=4,$D5&gt;=0),OFFSET('Input data (2)'!AP$126,'Input data (2)'!$BL$1-$D5,0),IF(AND('Input data (2)'!$C$2=3,$C5&gt;=0),OFFSET('Input data (2)'!AP$126,'Input data (2)'!$BL$1-$C5,0),IF(AND('Input data (2)'!$C$2=2,$B5&gt;=0),OFFSET('Input data (2)'!AP$126,'Input data (2)'!$BL$1-$B5,0),IF(AND('Input data (2)'!$C$2=1,$A5&gt;=0),OFFSET('Input data (2)'!AP$126,'Input data (2)'!$BL$1-$A5,0),""))))</f>
        <v>168</v>
      </c>
      <c r="BG16" s="1">
        <f ca="1">IF(AND('Input data (2)'!$C$2=4,$D5&gt;=0),OFFSET('Input data (2)'!AN$126,'Input data (2)'!$BL$1-$D5,0),IF(AND('Input data (2)'!$C$2=3,$C5&gt;=0),OFFSET('Input data (2)'!AN$126,'Input data (2)'!$BL$1-$C5,0),IF(AND('Input data (2)'!$C$2=2,$B5&gt;=0),OFFSET('Input data (2)'!AN$126,'Input data (2)'!$BL$1-$B5,0),IF(AND('Input data (2)'!$C$2=1,$A5&gt;=0),OFFSET('Input data (2)'!AN$126,'Input data (2)'!$BL$1-$A5,0),""))))</f>
        <v>118</v>
      </c>
      <c r="BH16" s="1">
        <f ca="1">IF(AND('Input data (2)'!$C$2=4,$D5&gt;=0),OFFSET('Input data (2)'!AO$126,'Input data (2)'!$BL$1-$D5,0),IF(AND('Input data (2)'!$C$2=3,$C5&gt;=0),OFFSET('Input data (2)'!AO$126,'Input data (2)'!$BL$1-$C5,0),IF(AND('Input data (2)'!$C$2=2,$B5&gt;=0),OFFSET('Input data (2)'!AO$126,'Input data (2)'!$BL$1-$B5,0),IF(AND('Input data (2)'!$C$2=1,$A5&gt;=0),OFFSET('Input data (2)'!AO$126,'Input data (2)'!$BL$1-$A5,0),""))))</f>
        <v>50</v>
      </c>
      <c r="BJ16" s="1">
        <f ca="1">IF(AND('Input data (2)'!$C$2=4,$D5&gt;=0),OFFSET('Input data (2)'!AU$126,'Input data (2)'!$BL$1-$D5,0),IF(AND('Input data (2)'!$C$2=3,$C5&gt;=0),OFFSET('Input data (2)'!AU$126,'Input data (2)'!$BL$1-$C5,0),IF(AND('Input data (2)'!$C$2=2,$B5&gt;=0),OFFSET('Input data (2)'!AU$126,'Input data (2)'!$BL$1-$B5,0),IF(AND('Input data (2)'!$C$2=1,$A5&gt;=0),OFFSET('Input data (2)'!AU$126,'Input data (2)'!$BL$1-$A5,0),""))))</f>
        <v>21</v>
      </c>
      <c r="BK16" s="1">
        <f ca="1">IF(AND('Input data (2)'!$C$2=4,$D5&gt;=0),OFFSET('Input data (2)'!AV$126,'Input data (2)'!$BL$1-$D5,0),IF(AND('Input data (2)'!$C$2=3,$C5&gt;=0),OFFSET('Input data (2)'!AV$126,'Input data (2)'!$BL$1-$C5,0),IF(AND('Input data (2)'!$C$2=2,$B5&gt;=0),OFFSET('Input data (2)'!AV$126,'Input data (2)'!$BL$1-$B5,0),IF(AND('Input data (2)'!$C$2=1,$A5&gt;=0),OFFSET('Input data (2)'!AV$126,'Input data (2)'!$BL$1-$A5,0),""))))</f>
        <v>1</v>
      </c>
      <c r="BL16" s="1" t="str">
        <f ca="1">IF(AND('Input data (2)'!$C$2=4,$D5&gt;=0),OFFSET('Input data (2)'!AW$126,'Input data (2)'!$BL$1-$D5,0),IF(AND('Input data (2)'!$C$2=3,$C5&gt;=0),OFFSET('Input data (2)'!AW$126,'Input data (2)'!$BL$1-$C5,0),IF(AND('Input data (2)'!$C$2=2,$B5&gt;=0),OFFSET('Input data (2)'!AW$126,'Input data (2)'!$BL$1-$B5,0),IF(AND('Input data (2)'!$C$2=1,$A5&gt;=0),OFFSET('Input data (2)'!AW$126,'Input data (2)'!$BL$1-$A5,0),""))))</f>
        <v>:</v>
      </c>
      <c r="BM16" s="1">
        <f ca="1">IF(AND('Input data (2)'!$C$2=4,$D5&gt;=0),OFFSET('Input data (2)'!AX$126,'Input data (2)'!$BL$1-$D5,0),IF(AND('Input data (2)'!$C$2=3,$C5&gt;=0),OFFSET('Input data (2)'!AX$126,'Input data (2)'!$BL$1-$C5,0),IF(AND('Input data (2)'!$C$2=2,$B5&gt;=0),OFFSET('Input data (2)'!AX$126,'Input data (2)'!$BL$1-$B5,0),IF(AND('Input data (2)'!$C$2=1,$A5&gt;=0),OFFSET('Input data (2)'!AX$126,'Input data (2)'!$BL$1-$A5,0),""))))</f>
        <v>3</v>
      </c>
      <c r="BO16" s="1">
        <f ca="1">IF(AND('Input data (2)'!$C$2=4,$D5&gt;=0),OFFSET('Input data (2)'!BL$126,'Input data (2)'!$BL$1-$D5,0),IF(AND('Input data (2)'!$C$2=3,$C5&gt;=0),OFFSET('Input data (2)'!BL$126,'Input data (2)'!$BL$1-$C5,0),IF(AND('Input data (2)'!$C$2=2,$B5&gt;=0),OFFSET('Input data (2)'!BL$126,'Input data (2)'!$BL$1-$B5,0),IF(AND('Input data (2)'!$C$2=1,$A5&gt;=0),OFFSET('Input data (2)'!BL$126,'Input data (2)'!$BL$1-$A5,0),""))))</f>
        <v>219</v>
      </c>
      <c r="BP16" s="1">
        <f ca="1">IF(AND('Input data (2)'!$C$2=4,$D5&gt;=0),OFFSET('Input data (2)'!BI$126,'Input data (2)'!$BL$1-$D5,0),IF(AND('Input data (2)'!$C$2=3,$C5&gt;=0),OFFSET('Input data (2)'!BI$126,'Input data (2)'!$BL$1-$C5,0),IF(AND('Input data (2)'!$C$2=2,$B5&gt;=0),OFFSET('Input data (2)'!BI$126,'Input data (2)'!$BL$1-$B5,0),IF(AND('Input data (2)'!$C$2=1,$A5&gt;=0),OFFSET('Input data (2)'!BI$126,'Input data (2)'!$BL$1-$A5,0),""))))</f>
        <v>141</v>
      </c>
      <c r="BQ16" s="1" t="str">
        <f ca="1">IF(AND('Input data (2)'!$C$2=4,$D5&gt;=0),OFFSET('Input data (2)'!BK$126,'Input data (2)'!$BL$1-$D5,0),IF(AND('Input data (2)'!$C$2=3,$C5&gt;=0),OFFSET('Input data (2)'!BK$126,'Input data (2)'!$BL$1-$C5,0),IF(AND('Input data (2)'!$C$2=2,$B5&gt;=0),OFFSET('Input data (2)'!BK$126,'Input data (2)'!$BL$1-$B5,0),IF(AND('Input data (2)'!$C$2=1,$A5&gt;=0),OFFSET('Input data (2)'!BK$126,'Input data (2)'!$BL$1-$A5,0),""))))</f>
        <v>..</v>
      </c>
      <c r="BR16" s="1">
        <f ca="1">IF(AND('Input data (2)'!$C$2=4,$D5&gt;=0),OFFSET('Input data (2)'!BJ$126,'Input data (2)'!$BL$1-$D5,0),IF(AND('Input data (2)'!$C$2=3,$C5&gt;=0),OFFSET('Input data (2)'!BJ$126,'Input data (2)'!$BL$1-$C5,0),IF(AND('Input data (2)'!$C$2=2,$B5&gt;=0),OFFSET('Input data (2)'!BJ$126,'Input data (2)'!$BL$1-$B5,0),IF(AND('Input data (2)'!$C$2=1,$A5&gt;=0),OFFSET('Input data (2)'!BJ$126,'Input data (2)'!$BL$1-$A5,0),""))))</f>
        <v>78</v>
      </c>
      <c r="BS16" s="1">
        <f ca="1">IF(AND('Input data (2)'!$C$2=4,$D5&gt;=0),OFFSET('Input data (2)'!BF$126,'Input data (2)'!$BL$1-$D5,0),IF(AND('Input data (2)'!$C$2=3,$C5&gt;=0),OFFSET('Input data (2)'!BF$126,'Input data (2)'!$BL$1-$C5,0),IF(AND('Input data (2)'!$C$2=2,$B5&gt;=0),OFFSET('Input data (2)'!BF$126,'Input data (2)'!$BL$1-$B5,0),IF(AND('Input data (2)'!$C$2=1,$A5&gt;=0),OFFSET('Input data (2)'!BF$126,'Input data (2)'!$BL$1-$A5,0),""))))</f>
        <v>42</v>
      </c>
      <c r="BT16" s="1">
        <f ca="1">IF(AND('Input data (2)'!$C$2=4,$D5&gt;=0),OFFSET('Input data (2)'!BD$126,'Input data (2)'!$BL$1-$D5,0),IF(AND('Input data (2)'!$C$2=3,$C5&gt;=0),OFFSET('Input data (2)'!BD$126,'Input data (2)'!$BL$1-$C5,0),IF(AND('Input data (2)'!$C$2=2,$B5&gt;=0),OFFSET('Input data (2)'!BD$126,'Input data (2)'!$BL$1-$B5,0),IF(AND('Input data (2)'!$C$2=1,$A5&gt;=0),OFFSET('Input data (2)'!BD$126,'Input data (2)'!$BL$1-$A5,0),""))))</f>
        <v>25</v>
      </c>
      <c r="BU16" s="1">
        <f ca="1">IF(AND('Input data (2)'!$C$2=4,$D5&gt;=0),OFFSET('Input data (2)'!BE$126,'Input data (2)'!$BL$1-$D5,0),IF(AND('Input data (2)'!$C$2=3,$C5&gt;=0),OFFSET('Input data (2)'!BE$126,'Input data (2)'!$BL$1-$C5,0),IF(AND('Input data (2)'!$C$2=2,$B5&gt;=0),OFFSET('Input data (2)'!BE$126,'Input data (2)'!$BL$1-$B5,0),IF(AND('Input data (2)'!$C$2=1,$A5&gt;=0),OFFSET('Input data (2)'!BE$126,'Input data (2)'!$BL$1-$A5,0),""))))</f>
        <v>17</v>
      </c>
      <c r="BW16" s="7">
        <f ca="1">IF(AND('Input data (2)'!$C$2=4,$D5&gt;=0),OFFSET('Input data (2)'!J$126,'Input data (2)'!$BL$1-$D5,0),IF(AND('Input data (2)'!$C$2=3,$C5&gt;=0),OFFSET('Input data (2)'!J$126,'Input data (2)'!$BL$1-$C5,0),IF(AND('Input data (2)'!$C$2=2,$B5&gt;=0),OFFSET('Input data (2)'!J$126,'Input data (2)'!$BL$1-$B5,0),IF(AND('Input data (2)'!$C$2=1,$A5&gt;=0),OFFSET('Input data (2)'!J$126,'Input data (2)'!$BL$1-$A5,0),""))))</f>
        <v>1.0374138266141255</v>
      </c>
      <c r="BX16" s="7">
        <f ca="1">IF(AND('Input data (2)'!$C$2=4,$D5&gt;=0),OFFSET('Input data (2)'!K$126,'Input data (2)'!$BL$1-$D5,0),IF(AND('Input data (2)'!$C$2=3,$C5&gt;=0),OFFSET('Input data (2)'!K$126,'Input data (2)'!$BL$1-$C5,0),IF(AND('Input data (2)'!$C$2=2,$B5&gt;=0),OFFSET('Input data (2)'!K$126,'Input data (2)'!$BL$1-$B5,0),IF(AND('Input data (2)'!$C$2=1,$A5&gt;=0),OFFSET('Input data (2)'!K$126,'Input data (2)'!$BL$1-$A5,0),""))))</f>
        <v>0.93760215178586392</v>
      </c>
      <c r="BY16" s="7">
        <f ca="1">IF(AND('Input data (2)'!$C$2=4,$D5&gt;=0),OFFSET('Input data (2)'!AS$126,'Input data (2)'!$BL$1-$D5,0),IF(AND('Input data (2)'!$C$2=3,$C5&gt;=0),OFFSET('Input data (2)'!AS$126,'Input data (2)'!$BL$1-$C5,0),IF(AND('Input data (2)'!$C$2=2,$B5&gt;=0),OFFSET('Input data (2)'!AS$126,'Input data (2)'!$BL$1-$B5,0),IF(AND('Input data (2)'!$C$2=1,$A5&gt;=0),OFFSET('Input data (2)'!AS$126,'Input data (2)'!$BL$1-$A5,0),""))))</f>
        <v>0.83510052061135354</v>
      </c>
      <c r="BZ16" s="7">
        <f ca="1">IF(AND('Input data (2)'!$C$2=4,$D5&gt;=0),OFFSET('Input data (2)'!AT$126,'Input data (2)'!$BL$1-$D5,0),IF(AND('Input data (2)'!$C$2=3,$C5&gt;=0),OFFSET('Input data (2)'!AT$126,'Input data (2)'!$BL$1-$C5,0),IF(AND('Input data (2)'!$C$2=2,$B5&gt;=0),OFFSET('Input data (2)'!AT$126,'Input data (2)'!$BL$1-$B5,0),IF(AND('Input data (2)'!$C$2=1,$A5&gt;=0),OFFSET('Input data (2)'!AT$126,'Input data (2)'!$BL$1-$A5,0),""))))</f>
        <v>0.76138735502814059</v>
      </c>
      <c r="CB16" s="122"/>
      <c r="CC16" s="122"/>
      <c r="CD16" s="122"/>
      <c r="CE16" s="122"/>
      <c r="CG16" s="1">
        <v>28</v>
      </c>
      <c r="CI16" s="1">
        <f t="shared" si="24"/>
        <v>2006</v>
      </c>
      <c r="CJ16" s="1" t="str">
        <f t="shared" si="25"/>
        <v>Q2</v>
      </c>
      <c r="CK16" s="1" t="str">
        <f t="shared" si="12"/>
        <v>06</v>
      </c>
      <c r="CL16" s="1" t="str">
        <f t="shared" si="13"/>
        <v>Q2 06</v>
      </c>
      <c r="CM16" s="1">
        <f ca="1">OFFSET('Input data (2)'!AJ$126,'Input data (2)'!$BL$1-'Output data - DO NOT TOUCH (2)'!$CG16,0)/1000</f>
        <v>15.265000000000001</v>
      </c>
      <c r="CN16" s="1">
        <f ca="1">OFFSET('Input data (2)'!AK$126,'Input data (2)'!$BL$1-'Output data - DO NOT TOUCH (2)'!$CG16,0)/1000</f>
        <v>11.031000000000001</v>
      </c>
      <c r="CO16" s="1">
        <f ca="1">OFFSET('Input data (2)'!AL$126,'Input data (2)'!$BL$1-'Output data - DO NOT TOUCH (2)'!$CG16,0)/1000</f>
        <v>26.295999999999999</v>
      </c>
      <c r="CP16" s="1"/>
      <c r="CQ16" s="1">
        <f ca="1">OFFSET('Input data (2)'!AG$126,'Input data (2)'!$BL$1-'Output data - DO NOT TOUCH (2)'!$CG16,0)/1000</f>
        <v>1.2410000000000001</v>
      </c>
      <c r="CR16" s="1">
        <f ca="1">OFFSET('Input data (2)'!AH$126,'Input data (2)'!$BL$1-'Output data - DO NOT TOUCH (2)'!$CG16,0)/1000</f>
        <v>1.9530000000000001</v>
      </c>
      <c r="CS16" s="1">
        <f ca="1">OFFSET('Input data (2)'!AI$126,'Input data (2)'!$BL$1-'Output data - DO NOT TOUCH (2)'!$CG16,0)/1000</f>
        <v>3.194</v>
      </c>
      <c r="CT16" s="1"/>
      <c r="CU16" s="1">
        <f ca="1">OFFSET('Input data (2)'!L$126,'Input data (2)'!$BL$1-'Output data - DO NOT TOUCH (2)'!$CG16,0)</f>
        <v>153</v>
      </c>
      <c r="CV16" s="1">
        <f ca="1">OFFSET('Input data (2)'!M$126,'Input data (2)'!$BL$1-'Output data - DO NOT TOUCH (2)'!$CG16,0)</f>
        <v>0</v>
      </c>
      <c r="CW16" s="67">
        <f ca="1">OFFSET('Input data (2)'!N$126,'Input data (2)'!$BL$1-'Output data - DO NOT TOUCH (2)'!$CG16,0)</f>
        <v>653</v>
      </c>
      <c r="CX16" s="1">
        <f ca="1">OFFSET('Input data (2)'!P$126,'Input data (2)'!$BL$1-'Output data - DO NOT TOUCH (2)'!$CG16,0)</f>
        <v>147</v>
      </c>
      <c r="CY16" s="1"/>
      <c r="CZ16" s="1">
        <f ca="1">OFFSET('Input data (2)'!AY$126,'Input data (2)'!$BL$1-'Output data - DO NOT TOUCH (2)'!$CG16,0)/1000</f>
        <v>1.2629999999999999</v>
      </c>
      <c r="DA16" s="1">
        <f ca="1">OFFSET('Input data (2)'!BA$126,'Input data (2)'!$BL$1-'Output data - DO NOT TOUCH (2)'!$CG16,0)/1000</f>
        <v>2.2370000000000001</v>
      </c>
      <c r="DB16" s="1">
        <f ca="1">OFFSET('Input data (2)'!BB$126,'Input data (2)'!$BL$1-'Output data - DO NOT TOUCH (2)'!$CG16,0)/1000</f>
        <v>3.5</v>
      </c>
      <c r="DD16" s="1">
        <f ca="1">OFFSET('Input data (2)'!AN$126,'Input data (2)'!$BL$1-'Output data - DO NOT TOUCH (2)'!$CG16,0)</f>
        <v>99</v>
      </c>
      <c r="DE16" s="1">
        <f ca="1">OFFSET('Input data (2)'!AO$126,'Input data (2)'!$BL$1-'Output data - DO NOT TOUCH (2)'!$CG16,0)</f>
        <v>34</v>
      </c>
      <c r="DF16" s="1">
        <f ca="1">OFFSET('Input data (2)'!AP$126,'Input data (2)'!$BL$1-'Output data - DO NOT TOUCH (2)'!$CG16,0)</f>
        <v>133</v>
      </c>
      <c r="DG16" s="1"/>
      <c r="DH16" s="1">
        <f ca="1">OFFSET('Input data (2)'!AU$126,'Input data (2)'!$BL$1-'Output data - DO NOT TOUCH (2)'!$CG16,0)</f>
        <v>16</v>
      </c>
      <c r="DI16" s="1">
        <f ca="1">OFFSET('Input data (2)'!AV$126,'Input data (2)'!$BL$1-'Output data - DO NOT TOUCH (2)'!$CG16,0)</f>
        <v>0</v>
      </c>
      <c r="DJ16" s="1">
        <f ca="1">OFFSET('Input data (2)'!AW$126,'Input data (2)'!$BL$1-'Output data - DO NOT TOUCH (2)'!$CG16,0)</f>
        <v>20</v>
      </c>
      <c r="DK16" s="1">
        <f ca="1">OFFSET('Input data (2)'!AX$126,'Input data (2)'!$BL$1-'Output data - DO NOT TOUCH (2)'!$CG16,0)</f>
        <v>1</v>
      </c>
      <c r="DM16" s="1">
        <f ca="1">OFFSET('Input data (2)'!BI$126,'Input data (2)'!$BL$1-'Output data - DO NOT TOUCH (2)'!$CG16,0)</f>
        <v>285</v>
      </c>
      <c r="DN16" s="1">
        <f ca="1">OFFSET('Input data (2)'!BJ$126,'Input data (2)'!$BL$1-'Output data - DO NOT TOUCH (2)'!$CG16,0)</f>
        <v>209</v>
      </c>
      <c r="DO16" s="1">
        <f ca="1">OFFSET('Input data (2)'!BL$126,'Input data (2)'!$BL$1-'Output data - DO NOT TOUCH (2)'!$CG16,0)</f>
        <v>494</v>
      </c>
      <c r="DQ16" s="1">
        <f ca="1">OFFSET('Input data (2)'!BD$126,'Input data (2)'!$BL$1-'Output data - DO NOT TOUCH (2)'!$CG16,0)</f>
        <v>24</v>
      </c>
      <c r="DR16" s="1">
        <f ca="1">OFFSET('Input data (2)'!BE$126,'Input data (2)'!$BL$1-'Output data - DO NOT TOUCH (2)'!$CG16,0)</f>
        <v>17</v>
      </c>
      <c r="DS16" s="1">
        <f ca="1">OFFSET('Input data (2)'!BF$126,'Input data (2)'!$BL$1-'Output data - DO NOT TOUCH (2)'!$CG16,0)</f>
        <v>41</v>
      </c>
      <c r="DU16" s="1">
        <f ca="1">OFFSET('Input data (2)'!B$126,'Input data (2)'!$BL$1-'Output data - DO NOT TOUCH (2)'!$CG16-1,0)</f>
        <v>2006</v>
      </c>
      <c r="DV16" s="1" t="str">
        <f ca="1">OFFSET('Input data (2)'!C$126,'Input data (2)'!$BL$1-'Output data - DO NOT TOUCH (2)'!$CG16-1,0)</f>
        <v>Q1</v>
      </c>
      <c r="DW16" s="1" t="str">
        <f t="shared" ca="1" si="14"/>
        <v>06</v>
      </c>
      <c r="DX16" s="1" t="str">
        <f t="shared" ca="1" si="15"/>
        <v>Q1 06</v>
      </c>
      <c r="DY16" s="1">
        <f ca="1">OFFSET('Input data (2)'!W$126,'Input data (2)'!$BL$1-'Output data - DO NOT TOUCH (2)'!$CG16-1,0)/1000</f>
        <v>3.15</v>
      </c>
      <c r="DZ16" s="1">
        <f ca="1">OFFSET('Input data (2)'!Y$126,'Input data (2)'!$BL$1-'Output data - DO NOT TOUCH (2)'!$CG16-1,0)/1000</f>
        <v>13.132999999999999</v>
      </c>
      <c r="EA16" s="1">
        <f ca="1">OFFSET('Input data (2)'!Q$126,'Input data (2)'!$BL$1-'Output data - DO NOT TOUCH (2)'!$CG16-1,0)/1000</f>
        <v>16.283000000000001</v>
      </c>
      <c r="EC16" s="3" t="str">
        <f t="shared" ca="1" si="26"/>
        <v>Q3 11</v>
      </c>
      <c r="ED16" s="68" t="e">
        <f t="shared" ca="1" si="27"/>
        <v>#VALUE!</v>
      </c>
      <c r="EE16" s="68" t="e">
        <f t="shared" ca="1" si="28"/>
        <v>#VALUE!</v>
      </c>
      <c r="EF16" s="68" t="e">
        <f t="shared" ca="1" si="29"/>
        <v>#VALUE!</v>
      </c>
      <c r="EH16" s="68">
        <f t="shared" ca="1" si="30"/>
        <v>1.7384731670446023</v>
      </c>
      <c r="EI16" s="68">
        <f t="shared" ca="1" si="31"/>
        <v>5.4421768707482956</v>
      </c>
      <c r="EJ16" s="68">
        <f t="shared" ca="1" si="32"/>
        <v>7.1806500377928977</v>
      </c>
    </row>
    <row r="17" spans="1:140" x14ac:dyDescent="0.15">
      <c r="A17" s="1">
        <v>27</v>
      </c>
      <c r="B17" s="1">
        <v>28</v>
      </c>
      <c r="C17" s="1">
        <v>29</v>
      </c>
      <c r="D17" s="1">
        <v>26</v>
      </c>
      <c r="E17" s="1" t="str">
        <f>F17&amp;G17</f>
        <v>2003Q3</v>
      </c>
      <c r="F17" s="1">
        <f>F16</f>
        <v>2003</v>
      </c>
      <c r="G17" s="1" t="s">
        <v>3</v>
      </c>
      <c r="H17" s="1">
        <f>VLOOKUP($E17,'Input data (2)'!$A:$BL,'Output data - DO NOT TOUCH (2)'!H$71,FALSE)</f>
        <v>3314</v>
      </c>
      <c r="I17" s="1">
        <f>VLOOKUP($E17,'Input data (2)'!$A:$BL,'Output data - DO NOT TOUCH (2)'!I$71,FALSE)</f>
        <v>1075</v>
      </c>
      <c r="J17" s="1">
        <f>VLOOKUP($E17,'Input data (2)'!$A:$BL,'Output data - DO NOT TOUCH (2)'!J$71,FALSE)</f>
        <v>2239</v>
      </c>
      <c r="K17" s="1">
        <f>VLOOKUP($E17,'Input data (2)'!$A:$BL,'Output data - DO NOT TOUCH (2)'!K$71,FALSE)</f>
        <v>3419</v>
      </c>
      <c r="L17" s="1">
        <f>VLOOKUP($E17,'Input data (2)'!$A:$BL,'Output data - DO NOT TOUCH (2)'!L$71,FALSE)</f>
        <v>1137</v>
      </c>
      <c r="M17" s="1">
        <f>VLOOKUP($E17,'Input data (2)'!$A:$BL,'Output data - DO NOT TOUCH (2)'!M$71,FALSE)</f>
        <v>2282</v>
      </c>
      <c r="O17" s="119">
        <f ca="1">IF(AND('Input data (2)'!$C$2=4,$D6&gt;=0),OFFSET('Input data (2)'!O$126,'Input data (2)'!$BL$1-$D6,0),IF(AND('Input data (2)'!$C$2=3,$C6&gt;=0),OFFSET('Input data (2)'!O$126,'Input data (2)'!$BL$1-$C6,0),IF(AND('Input data (2)'!$C$2=2,$B6&gt;=0),OFFSET('Input data (2)'!O$126,'Input data (2)'!$BL$1-$B6,0),IF(AND('Input data (2)'!$C$2=1,$A6&gt;=0),OFFSET('Input data (2)'!O$126,'Input data (2)'!$BL$1-$A6,0),""))))</f>
        <v>0</v>
      </c>
      <c r="Q17" s="1">
        <f ca="1">IF(AND('Input data (2)'!$C$2=4,$D6&gt;=0),OFFSET('Input data (2)'!AC$126,'Input data (2)'!$BL$1-$D6,0),IF(AND('Input data (2)'!$C$2=3,$C6&gt;=0),OFFSET('Input data (2)'!AC$126,'Input data (2)'!$BL$1-$C6,0),IF(AND('Input data (2)'!$C$2=2,$B6&gt;=0),OFFSET('Input data (2)'!AC$126,'Input data (2)'!$BL$1-$B6,0),IF(AND('Input data (2)'!$C$2=1,$A6&gt;=0),OFFSET('Input data (2)'!AC$126,'Input data (2)'!$BL$1-$A6,0),""))))</f>
        <v>9291</v>
      </c>
      <c r="R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S17" s="1" t="str">
        <f ca="1">IF(AND('Input data (2)'!$C$2=4,$D6&gt;=0),OFFSET('Input data (2)'!R$126,'Input data (2)'!$BL$1-$D6,0),IF(AND('Input data (2)'!$C$2=3,$C6&gt;=0),OFFSET('Input data (2)'!R$126,'Input data (2)'!$BL$1-$C6,0),IF(AND('Input data (2)'!$C$2=2,$B6&gt;=0),OFFSET('Input data (2)'!R$126,'Input data (2)'!$BL$1-$B6,0),IF(AND('Input data (2)'!$C$2=1,$A6&gt;=0),OFFSET('Input data (2)'!R$126,'Input data (2)'!$BL$1-$A6,0),""))))</f>
        <v>:</v>
      </c>
      <c r="T17" s="1">
        <f ca="1">IF(AND('Input data (2)'!$C$2=4,$D6&gt;=0),OFFSET('Input data (2)'!AA$126,'Input data (2)'!$BL$1-$D6,0),IF(AND('Input data (2)'!$C$2=3,$C6&gt;=0),OFFSET('Input data (2)'!AA$126,'Input data (2)'!$BL$1-$C6,0),IF(AND('Input data (2)'!$C$2=2,$B6&gt;=0),OFFSET('Input data (2)'!AA$126,'Input data (2)'!$BL$1-$B6,0),IF(AND('Input data (2)'!$C$2=1,$A6&gt;=0),OFFSET('Input data (2)'!AA$126,'Input data (2)'!$BL$1-$A6,0),""))))</f>
        <v>2070</v>
      </c>
      <c r="U17" s="1">
        <f ca="1">IF(AND('Input data (2)'!$C$2=4,$D6&gt;=0),OFFSET('Input data (2)'!AL$126,'Input data (2)'!$BL$1-$D6,0),IF(AND('Input data (2)'!$C$2=3,$C6&gt;=0),OFFSET('Input data (2)'!AL$126,'Input data (2)'!$BL$1-$C6,0),IF(AND('Input data (2)'!$C$2=2,$B6&gt;=0),OFFSET('Input data (2)'!AL$126,'Input data (2)'!$BL$1-$B6,0),IF(AND('Input data (2)'!$C$2=1,$A6&gt;=0),OFFSET('Input data (2)'!AL$126,'Input data (2)'!$BL$1-$A6,0),""))))</f>
        <v>9202</v>
      </c>
      <c r="V17" s="1">
        <f ca="1">IF(AND('Input data (2)'!$C$2=4,$D6&gt;=0),OFFSET('Input data (2)'!AJ$126,'Input data (2)'!$BL$1-$D6,0),IF(AND('Input data (2)'!$C$2=3,$C6&gt;=0),OFFSET('Input data (2)'!AJ$126,'Input data (2)'!$BL$1-$C6,0),IF(AND('Input data (2)'!$C$2=2,$B6&gt;=0),OFFSET('Input data (2)'!AJ$126,'Input data (2)'!$BL$1-$B6,0),IF(AND('Input data (2)'!$C$2=1,$A6&gt;=0),OFFSET('Input data (2)'!AJ$126,'Input data (2)'!$BL$1-$A6,0),""))))</f>
        <v>7245</v>
      </c>
      <c r="W17" s="1">
        <f ca="1">IF(AND('Input data (2)'!$C$2=4,$D6&gt;=0),OFFSET('Input data (2)'!AK$126,'Input data (2)'!$BL$1-$D6,0),IF(AND('Input data (2)'!$C$2=3,$C6&gt;=0),OFFSET('Input data (2)'!AK$126,'Input data (2)'!$BL$1-$C6,0),IF(AND('Input data (2)'!$C$2=2,$B6&gt;=0),OFFSET('Input data (2)'!AK$126,'Input data (2)'!$BL$1-$B6,0),IF(AND('Input data (2)'!$C$2=1,$A6&gt;=0),OFFSET('Input data (2)'!AK$126,'Input data (2)'!$BL$1-$A6,0),""))))</f>
        <v>1957</v>
      </c>
      <c r="Y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Z17" s="1">
        <f ca="1">IF(AND('Input data (2)'!$C$2=4,$D6&gt;=0),OFFSET('Input data (2)'!S$126,'Input data (2)'!$BL$1-$D6,0),IF(AND('Input data (2)'!$C$2=3,$C6&gt;=0),OFFSET('Input data (2)'!S$126,'Input data (2)'!$BL$1-$C6,0),IF(AND('Input data (2)'!$C$2=2,$B6&gt;=0),OFFSET('Input data (2)'!S$126,'Input data (2)'!$BL$1-$B6,0),IF(AND('Input data (2)'!$C$2=1,$A6&gt;=0),OFFSET('Input data (2)'!S$126,'Input data (2)'!$BL$1-$A6,0),""))))</f>
        <v>5148</v>
      </c>
      <c r="AA17" s="1">
        <f ca="1">IF(AND('Input data (2)'!$C$2=4,$D6&gt;=0),OFFSET('Input data (2)'!T$126,'Input data (2)'!$BL$1-$D6,0),IF(AND('Input data (2)'!$C$2=3,$C6&gt;=0),OFFSET('Input data (2)'!T$126,'Input data (2)'!$BL$1-$C6,0),IF(AND('Input data (2)'!$C$2=2,$B6&gt;=0),OFFSET('Input data (2)'!T$126,'Input data (2)'!$BL$1-$B6,0),IF(AND('Input data (2)'!$C$2=1,$A6&gt;=0),OFFSET('Input data (2)'!T$126,'Input data (2)'!$BL$1-$A6,0),""))))</f>
        <v>71.292064810968014</v>
      </c>
      <c r="AB17" s="1">
        <f ca="1">IF(AND('Input data (2)'!$C$2=4,$D6&gt;=0),OFFSET('Input data (2)'!U$126,'Input data (2)'!$BL$1-$D6,0),IF(AND('Input data (2)'!$C$2=3,$C6&gt;=0),OFFSET('Input data (2)'!U$126,'Input data (2)'!$BL$1-$C6,0),IF(AND('Input data (2)'!$C$2=2,$B6&gt;=0),OFFSET('Input data (2)'!U$126,'Input data (2)'!$BL$1-$B6,0),IF(AND('Input data (2)'!$C$2=1,$A6&gt;=0),OFFSET('Input data (2)'!U$126,'Input data (2)'!$BL$1-$A6,0),""))))</f>
        <v>2073</v>
      </c>
      <c r="AC17" s="1">
        <f ca="1">IF(AND('Input data (2)'!$C$2=4,$D6&gt;=0),OFFSET('Input data (2)'!V$126,'Input data (2)'!$BL$1-$D6,0),IF(AND('Input data (2)'!$C$2=3,$C6&gt;=0),OFFSET('Input data (2)'!V$126,'Input data (2)'!$BL$1-$C6,0),IF(AND('Input data (2)'!$C$2=2,$B6&gt;=0),OFFSET('Input data (2)'!V$126,'Input data (2)'!$BL$1-$B6,0),IF(AND('Input data (2)'!$C$2=1,$A6&gt;=0),OFFSET('Input data (2)'!V$126,'Input data (2)'!$BL$1-$A6,0),""))))</f>
        <v>28.707935189031993</v>
      </c>
      <c r="AD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AE17" s="1">
        <f ca="1">IF(AND('Input data (2)'!$C$2=4,$D6&gt;=0),OFFSET('Input data (2)'!W$126,'Input data (2)'!$BL$1-$D6,0),IF(AND('Input data (2)'!$C$2=3,$C6&gt;=0),OFFSET('Input data (2)'!W$126,'Input data (2)'!$BL$1-$C6,0),IF(AND('Input data (2)'!$C$2=2,$B6&gt;=0),OFFSET('Input data (2)'!W$126,'Input data (2)'!$BL$1-$B6,0),IF(AND('Input data (2)'!$C$2=1,$A6&gt;=0),OFFSET('Input data (2)'!W$126,'Input data (2)'!$BL$1-$A6,0),""))))</f>
        <v>2296</v>
      </c>
      <c r="AF17" s="1">
        <f ca="1">IF(AND('Input data (2)'!$C$2=4,$D6&gt;=0),OFFSET('Input data (2)'!X$126,'Input data (2)'!$BL$1-$D6,0),IF(AND('Input data (2)'!$C$2=3,$C6&gt;=0),OFFSET('Input data (2)'!X$126,'Input data (2)'!$BL$1-$C6,0),IF(AND('Input data (2)'!$C$2=2,$B6&gt;=0),OFFSET('Input data (2)'!X$126,'Input data (2)'!$BL$1-$B6,0),IF(AND('Input data (2)'!$C$2=1,$A6&gt;=0),OFFSET('Input data (2)'!X$126,'Input data (2)'!$BL$1-$A6,0),""))))</f>
        <v>31.79615011771223</v>
      </c>
      <c r="AG17" s="1">
        <f ca="1">IF(AND('Input data (2)'!$C$2=4,$D6&gt;=0),OFFSET('Input data (2)'!Y$126,'Input data (2)'!$BL$1-$D6,0),IF(AND('Input data (2)'!$C$2=3,$C6&gt;=0),OFFSET('Input data (2)'!Y$126,'Input data (2)'!$BL$1-$C6,0),IF(AND('Input data (2)'!$C$2=2,$B6&gt;=0),OFFSET('Input data (2)'!Y$126,'Input data (2)'!$BL$1-$B6,0),IF(AND('Input data (2)'!$C$2=1,$A6&gt;=0),OFFSET('Input data (2)'!Y$126,'Input data (2)'!$BL$1-$A6,0),""))))</f>
        <v>4925</v>
      </c>
      <c r="AH17" s="1">
        <f ca="1">IF(AND('Input data (2)'!$C$2=4,$D6&gt;=0),OFFSET('Input data (2)'!Z$126,'Input data (2)'!$BL$1-$D6,0),IF(AND('Input data (2)'!$C$2=3,$C6&gt;=0),OFFSET('Input data (2)'!Z$126,'Input data (2)'!$BL$1-$C6,0),IF(AND('Input data (2)'!$C$2=2,$B6&gt;=0),OFFSET('Input data (2)'!Z$126,'Input data (2)'!$BL$1-$B6,0),IF(AND('Input data (2)'!$C$2=1,$A6&gt;=0),OFFSET('Input data (2)'!Z$126,'Input data (2)'!$BL$1-$A6,0),""))))</f>
        <v>68.20384988228777</v>
      </c>
      <c r="AI17" s="3"/>
      <c r="AJ17" s="124">
        <f ca="1">IF(AND('Input data (2)'!$C$2=4,$D6&gt;=0),OFFSET('Input data (2)'!AF$126,'Input data (2)'!$BL$1-$D6,0),IF(AND('Input data (2)'!$C$2=3,$C6&gt;=0),OFFSET('Input data (2)'!AF$126,'Input data (2)'!$BL$1-$C6,0),IF(AND('Input data (2)'!$C$2=2,$B6&gt;=0),OFFSET('Input data (2)'!AF$126,'Input data (2)'!$BL$1-$B6,0),IF(AND('Input data (2)'!$C$2=1,$A6&gt;=0),OFFSET('Input data (2)'!AF$126,'Input data (2)'!$BL$1-$A6,0),""))))</f>
        <v>917</v>
      </c>
      <c r="AK17" s="124">
        <f ca="1">IF(AND('Input data (2)'!$C$2=4,$D6&gt;=0),OFFSET('Input data (2)'!AD$126,'Input data (2)'!$BL$1-$D6,0),IF(AND('Input data (2)'!$C$2=3,$C6&gt;=0),OFFSET('Input data (2)'!AD$126,'Input data (2)'!$BL$1-$C6,0),IF(AND('Input data (2)'!$C$2=2,$B6&gt;=0),OFFSET('Input data (2)'!AD$126,'Input data (2)'!$BL$1-$B6,0),IF(AND('Input data (2)'!$C$2=1,$A6&gt;=0),OFFSET('Input data (2)'!AD$126,'Input data (2)'!$BL$1-$A6,0),""))))</f>
        <v>885</v>
      </c>
      <c r="AL17" s="124">
        <f ca="1">IF(AND('Input data (2)'!$C$2=4,$D6&gt;=0),OFFSET('Input data (2)'!AE$126,'Input data (2)'!$BL$1-$D6,0),IF(AND('Input data (2)'!$C$2=3,$C6&gt;=0),OFFSET('Input data (2)'!AE$126,'Input data (2)'!$BL$1-$C6,0),IF(AND('Input data (2)'!$C$2=2,$B6&gt;=0),OFFSET('Input data (2)'!AE$126,'Input data (2)'!$BL$1-$B6,0),IF(AND('Input data (2)'!$C$2=1,$A6&gt;=0),OFFSET('Input data (2)'!AE$126,'Input data (2)'!$BL$1-$A6,0),""))))</f>
        <v>32</v>
      </c>
      <c r="AW17" s="1">
        <f ca="1">IF(AND('Input data (2)'!$C$2=4,$D6&gt;=0),OFFSET('Input data (2)'!L$126,'Input data (2)'!$BL$1-$D6,0),IF(AND('Input data (2)'!$C$2=3,$C6&gt;=0),OFFSET('Input data (2)'!L$126,'Input data (2)'!$BL$1-$C6,0),IF(AND('Input data (2)'!$C$2=2,$B6&gt;=0),OFFSET('Input data (2)'!L$126,'Input data (2)'!$BL$1-$B6,0),IF(AND('Input data (2)'!$C$2=1,$A6&gt;=0),OFFSET('Input data (2)'!L$126,'Input data (2)'!$BL$1-$A6,0),""))))</f>
        <v>334</v>
      </c>
      <c r="AX17" s="1">
        <f ca="1">IF(AND('Input data (2)'!$C$2=4,$D6&gt;=0),OFFSET('Input data (2)'!M$126,'Input data (2)'!$BL$1-$D6,0),IF(AND('Input data (2)'!$C$2=3,$C6&gt;=0),OFFSET('Input data (2)'!M$126,'Input data (2)'!$BL$1-$C6,0),IF(AND('Input data (2)'!$C$2=2,$B6&gt;=0),OFFSET('Input data (2)'!M$126,'Input data (2)'!$BL$1-$B6,0),IF(AND('Input data (2)'!$C$2=1,$A6&gt;=0),OFFSET('Input data (2)'!M$126,'Input data (2)'!$BL$1-$A6,0),""))))</f>
        <v>154</v>
      </c>
      <c r="AY17" s="1">
        <f ca="1">IF(AND('Input data (2)'!$C$2=4,$D6&gt;=0),OFFSET('Input data (2)'!N$126,'Input data (2)'!$BL$1-$D6,0),IF(AND('Input data (2)'!$C$2=3,$C6&gt;=0),OFFSET('Input data (2)'!N$126,'Input data (2)'!$BL$1-$C6,0),IF(AND('Input data (2)'!$C$2=2,$B6&gt;=0),OFFSET('Input data (2)'!N$126,'Input data (2)'!$BL$1-$B6,0),IF(AND('Input data (2)'!$C$2=1,$A6&gt;=0),OFFSET('Input data (2)'!N$126,'Input data (2)'!$BL$1-$A6,0),""))))</f>
        <v>14</v>
      </c>
      <c r="AZ17" s="1">
        <f ca="1">IF(AND('Input data (2)'!$C$2=4,$D6&gt;=0),OFFSET('Input data (2)'!P$126,'Input data (2)'!$BL$1-$D6,0),IF(AND('Input data (2)'!$C$2=3,$C6&gt;=0),OFFSET('Input data (2)'!P$126,'Input data (2)'!$BL$1-$C6,0),IF(AND('Input data (2)'!$C$2=2,$B6&gt;=0),OFFSET('Input data (2)'!P$126,'Input data (2)'!$BL$1-$B6,0),IF(AND('Input data (2)'!$C$2=1,$A6&gt;=0),OFFSET('Input data (2)'!P$126,'Input data (2)'!$BL$1-$A6,0),""))))</f>
        <v>171</v>
      </c>
      <c r="BB17" s="1">
        <f ca="1">IF(AND('Input data (2)'!$C$2=4,$D6&gt;=0),OFFSET('Input data (2)'!BB$126,'Input data (2)'!$BL$1-$D6,0),IF(AND('Input data (2)'!$C$2=3,$C6&gt;=0),OFFSET('Input data (2)'!BB$126,'Input data (2)'!$BL$1-$C6,0),IF(AND('Input data (2)'!$C$2=2,$B6&gt;=0),OFFSET('Input data (2)'!BB$126,'Input data (2)'!$BL$1-$B6,0),IF(AND('Input data (2)'!$C$2=1,$A6&gt;=0),OFFSET('Input data (2)'!BB$126,'Input data (2)'!$BL$1-$A6,0),""))))</f>
        <v>2367</v>
      </c>
      <c r="BC17" s="1">
        <f ca="1">IF(AND('Input data (2)'!$C$2=4,$D6&gt;=0),OFFSET('Input data (2)'!AY$126,'Input data (2)'!$BL$1-$D6,0),IF(AND('Input data (2)'!$C$2=3,$C6&gt;=0),OFFSET('Input data (2)'!AY$126,'Input data (2)'!$BL$1-$C6,0),IF(AND('Input data (2)'!$C$2=2,$B6&gt;=0),OFFSET('Input data (2)'!AY$126,'Input data (2)'!$BL$1-$B6,0),IF(AND('Input data (2)'!$C$2=1,$A6&gt;=0),OFFSET('Input data (2)'!AY$126,'Input data (2)'!$BL$1-$A6,0),""))))</f>
        <v>845</v>
      </c>
      <c r="BD17" s="1" t="str">
        <f ca="1">IF(AND('Input data (2)'!$C$2=4,$D6&gt;=0),OFFSET('Input data (2)'!AZ$126,'Input data (2)'!$BL$1-$D6,0),IF(AND('Input data (2)'!$C$2=3,$C6&gt;=0),OFFSET('Input data (2)'!AZ$126,'Input data (2)'!$BL$1-$C6,0),IF(AND('Input data (2)'!$C$2=2,$B6&gt;=0),OFFSET('Input data (2)'!AZ$126,'Input data (2)'!$BL$1-$B6,0),IF(AND('Input data (2)'!$C$2=1,$A6&gt;=0),OFFSET('Input data (2)'!AZ$126,'Input data (2)'!$BL$1-$A6,0),""))))</f>
        <v>:</v>
      </c>
      <c r="BE17" s="1">
        <f ca="1">IF(AND('Input data (2)'!$C$2=4,$D6&gt;=0),OFFSET('Input data (2)'!BA$126,'Input data (2)'!$BL$1-$D6,0),IF(AND('Input data (2)'!$C$2=3,$C6&gt;=0),OFFSET('Input data (2)'!BA$126,'Input data (2)'!$BL$1-$C6,0),IF(AND('Input data (2)'!$C$2=2,$B6&gt;=0),OFFSET('Input data (2)'!BA$126,'Input data (2)'!$BL$1-$B6,0),IF(AND('Input data (2)'!$C$2=1,$A6&gt;=0),OFFSET('Input data (2)'!BA$126,'Input data (2)'!$BL$1-$A6,0),""))))</f>
        <v>1522</v>
      </c>
      <c r="BF17" s="1">
        <f ca="1">IF(AND('Input data (2)'!$C$2=4,$D6&gt;=0),OFFSET('Input data (2)'!AP$126,'Input data (2)'!$BL$1-$D6,0),IF(AND('Input data (2)'!$C$2=3,$C6&gt;=0),OFFSET('Input data (2)'!AP$126,'Input data (2)'!$BL$1-$C6,0),IF(AND('Input data (2)'!$C$2=2,$B6&gt;=0),OFFSET('Input data (2)'!AP$126,'Input data (2)'!$BL$1-$B6,0),IF(AND('Input data (2)'!$C$2=1,$A6&gt;=0),OFFSET('Input data (2)'!AP$126,'Input data (2)'!$BL$1-$A6,0),""))))</f>
        <v>154</v>
      </c>
      <c r="BG17" s="1">
        <f ca="1">IF(AND('Input data (2)'!$C$2=4,$D6&gt;=0),OFFSET('Input data (2)'!AN$126,'Input data (2)'!$BL$1-$D6,0),IF(AND('Input data (2)'!$C$2=3,$C6&gt;=0),OFFSET('Input data (2)'!AN$126,'Input data (2)'!$BL$1-$C6,0),IF(AND('Input data (2)'!$C$2=2,$B6&gt;=0),OFFSET('Input data (2)'!AN$126,'Input data (2)'!$BL$1-$B6,0),IF(AND('Input data (2)'!$C$2=1,$A6&gt;=0),OFFSET('Input data (2)'!AN$126,'Input data (2)'!$BL$1-$A6,0),""))))</f>
        <v>109</v>
      </c>
      <c r="BH17" s="1">
        <f ca="1">IF(AND('Input data (2)'!$C$2=4,$D6&gt;=0),OFFSET('Input data (2)'!AO$126,'Input data (2)'!$BL$1-$D6,0),IF(AND('Input data (2)'!$C$2=3,$C6&gt;=0),OFFSET('Input data (2)'!AO$126,'Input data (2)'!$BL$1-$C6,0),IF(AND('Input data (2)'!$C$2=2,$B6&gt;=0),OFFSET('Input data (2)'!AO$126,'Input data (2)'!$BL$1-$B6,0),IF(AND('Input data (2)'!$C$2=1,$A6&gt;=0),OFFSET('Input data (2)'!AO$126,'Input data (2)'!$BL$1-$A6,0),""))))</f>
        <v>45</v>
      </c>
      <c r="BJ17" s="1">
        <f ca="1">IF(AND('Input data (2)'!$C$2=4,$D6&gt;=0),OFFSET('Input data (2)'!AU$126,'Input data (2)'!$BL$1-$D6,0),IF(AND('Input data (2)'!$C$2=3,$C6&gt;=0),OFFSET('Input data (2)'!AU$126,'Input data (2)'!$BL$1-$C6,0),IF(AND('Input data (2)'!$C$2=2,$B6&gt;=0),OFFSET('Input data (2)'!AU$126,'Input data (2)'!$BL$1-$B6,0),IF(AND('Input data (2)'!$C$2=1,$A6&gt;=0),OFFSET('Input data (2)'!AU$126,'Input data (2)'!$BL$1-$A6,0),""))))</f>
        <v>36</v>
      </c>
      <c r="BK17" s="1">
        <f ca="1">IF(AND('Input data (2)'!$C$2=4,$D6&gt;=0),OFFSET('Input data (2)'!AV$126,'Input data (2)'!$BL$1-$D6,0),IF(AND('Input data (2)'!$C$2=3,$C6&gt;=0),OFFSET('Input data (2)'!AV$126,'Input data (2)'!$BL$1-$C6,0),IF(AND('Input data (2)'!$C$2=2,$B6&gt;=0),OFFSET('Input data (2)'!AV$126,'Input data (2)'!$BL$1-$B6,0),IF(AND('Input data (2)'!$C$2=1,$A6&gt;=0),OFFSET('Input data (2)'!AV$126,'Input data (2)'!$BL$1-$A6,0),""))))</f>
        <v>1</v>
      </c>
      <c r="BL17" s="1">
        <f ca="1">IF(AND('Input data (2)'!$C$2=4,$D6&gt;=0),OFFSET('Input data (2)'!AW$126,'Input data (2)'!$BL$1-$D6,0),IF(AND('Input data (2)'!$C$2=3,$C6&gt;=0),OFFSET('Input data (2)'!AW$126,'Input data (2)'!$BL$1-$C6,0),IF(AND('Input data (2)'!$C$2=2,$B6&gt;=0),OFFSET('Input data (2)'!AW$126,'Input data (2)'!$BL$1-$B6,0),IF(AND('Input data (2)'!$C$2=1,$A6&gt;=0),OFFSET('Input data (2)'!AW$126,'Input data (2)'!$BL$1-$A6,0),""))))</f>
        <v>1</v>
      </c>
      <c r="BM17" s="1">
        <f ca="1">IF(AND('Input data (2)'!$C$2=4,$D6&gt;=0),OFFSET('Input data (2)'!AX$126,'Input data (2)'!$BL$1-$D6,0),IF(AND('Input data (2)'!$C$2=3,$C6&gt;=0),OFFSET('Input data (2)'!AX$126,'Input data (2)'!$BL$1-$C6,0),IF(AND('Input data (2)'!$C$2=2,$B6&gt;=0),OFFSET('Input data (2)'!AX$126,'Input data (2)'!$BL$1-$B6,0),IF(AND('Input data (2)'!$C$2=1,$A6&gt;=0),OFFSET('Input data (2)'!AX$126,'Input data (2)'!$BL$1-$A6,0),""))))</f>
        <v>1</v>
      </c>
      <c r="BO17" s="1">
        <f ca="1">IF(AND('Input data (2)'!$C$2=4,$D6&gt;=0),OFFSET('Input data (2)'!BL$126,'Input data (2)'!$BL$1-$D6,0),IF(AND('Input data (2)'!$C$2=3,$C6&gt;=0),OFFSET('Input data (2)'!BL$126,'Input data (2)'!$BL$1-$C6,0),IF(AND('Input data (2)'!$C$2=2,$B6&gt;=0),OFFSET('Input data (2)'!BL$126,'Input data (2)'!$BL$1-$B6,0),IF(AND('Input data (2)'!$C$2=1,$A6&gt;=0),OFFSET('Input data (2)'!BL$126,'Input data (2)'!$BL$1-$A6,0),""))))</f>
        <v>205</v>
      </c>
      <c r="BP17" s="1">
        <f ca="1">IF(AND('Input data (2)'!$C$2=4,$D6&gt;=0),OFFSET('Input data (2)'!BI$126,'Input data (2)'!$BL$1-$D6,0),IF(AND('Input data (2)'!$C$2=3,$C6&gt;=0),OFFSET('Input data (2)'!BI$126,'Input data (2)'!$BL$1-$C6,0),IF(AND('Input data (2)'!$C$2=2,$B6&gt;=0),OFFSET('Input data (2)'!BI$126,'Input data (2)'!$BL$1-$B6,0),IF(AND('Input data (2)'!$C$2=1,$A6&gt;=0),OFFSET('Input data (2)'!BI$126,'Input data (2)'!$BL$1-$A6,0),""))))</f>
        <v>109</v>
      </c>
      <c r="BQ17" s="1" t="str">
        <f ca="1">IF(AND('Input data (2)'!$C$2=4,$D6&gt;=0),OFFSET('Input data (2)'!BK$126,'Input data (2)'!$BL$1-$D6,0),IF(AND('Input data (2)'!$C$2=3,$C6&gt;=0),OFFSET('Input data (2)'!BK$126,'Input data (2)'!$BL$1-$C6,0),IF(AND('Input data (2)'!$C$2=2,$B6&gt;=0),OFFSET('Input data (2)'!BK$126,'Input data (2)'!$BL$1-$B6,0),IF(AND('Input data (2)'!$C$2=1,$A6&gt;=0),OFFSET('Input data (2)'!BK$126,'Input data (2)'!$BL$1-$A6,0),""))))</f>
        <v>..</v>
      </c>
      <c r="BR17" s="1">
        <f ca="1">IF(AND('Input data (2)'!$C$2=4,$D6&gt;=0),OFFSET('Input data (2)'!BJ$126,'Input data (2)'!$BL$1-$D6,0),IF(AND('Input data (2)'!$C$2=3,$C6&gt;=0),OFFSET('Input data (2)'!BJ$126,'Input data (2)'!$BL$1-$C6,0),IF(AND('Input data (2)'!$C$2=2,$B6&gt;=0),OFFSET('Input data (2)'!BJ$126,'Input data (2)'!$BL$1-$B6,0),IF(AND('Input data (2)'!$C$2=1,$A6&gt;=0),OFFSET('Input data (2)'!BJ$126,'Input data (2)'!$BL$1-$A6,0),""))))</f>
        <v>96</v>
      </c>
      <c r="BS17" s="1">
        <f ca="1">IF(AND('Input data (2)'!$C$2=4,$D6&gt;=0),OFFSET('Input data (2)'!BF$126,'Input data (2)'!$BL$1-$D6,0),IF(AND('Input data (2)'!$C$2=3,$C6&gt;=0),OFFSET('Input data (2)'!BF$126,'Input data (2)'!$BL$1-$C6,0),IF(AND('Input data (2)'!$C$2=2,$B6&gt;=0),OFFSET('Input data (2)'!BF$126,'Input data (2)'!$BL$1-$B6,0),IF(AND('Input data (2)'!$C$2=1,$A6&gt;=0),OFFSET('Input data (2)'!BF$126,'Input data (2)'!$BL$1-$A6,0),""))))</f>
        <v>29</v>
      </c>
      <c r="BT17" s="1">
        <f ca="1">IF(AND('Input data (2)'!$C$2=4,$D6&gt;=0),OFFSET('Input data (2)'!BD$126,'Input data (2)'!$BL$1-$D6,0),IF(AND('Input data (2)'!$C$2=3,$C6&gt;=0),OFFSET('Input data (2)'!BD$126,'Input data (2)'!$BL$1-$C6,0),IF(AND('Input data (2)'!$C$2=2,$B6&gt;=0),OFFSET('Input data (2)'!BD$126,'Input data (2)'!$BL$1-$B6,0),IF(AND('Input data (2)'!$C$2=1,$A6&gt;=0),OFFSET('Input data (2)'!BD$126,'Input data (2)'!$BL$1-$A6,0),""))))</f>
        <v>19</v>
      </c>
      <c r="BU17" s="1">
        <f ca="1">IF(AND('Input data (2)'!$C$2=4,$D6&gt;=0),OFFSET('Input data (2)'!BE$126,'Input data (2)'!$BL$1-$D6,0),IF(AND('Input data (2)'!$C$2=3,$C6&gt;=0),OFFSET('Input data (2)'!BE$126,'Input data (2)'!$BL$1-$C6,0),IF(AND('Input data (2)'!$C$2=2,$B6&gt;=0),OFFSET('Input data (2)'!BE$126,'Input data (2)'!$BL$1-$B6,0),IF(AND('Input data (2)'!$C$2=1,$A6&gt;=0),OFFSET('Input data (2)'!BE$126,'Input data (2)'!$BL$1-$A6,0),""))))</f>
        <v>10</v>
      </c>
      <c r="BW17" s="7">
        <f ca="1">IF(AND('Input data (2)'!$C$2=4,$D6&gt;=0),OFFSET('Input data (2)'!J$126,'Input data (2)'!$BL$1-$D6,0),IF(AND('Input data (2)'!$C$2=3,$C6&gt;=0),OFFSET('Input data (2)'!J$126,'Input data (2)'!$BL$1-$C6,0),IF(AND('Input data (2)'!$C$2=2,$B6&gt;=0),OFFSET('Input data (2)'!J$126,'Input data (2)'!$BL$1-$B6,0),IF(AND('Input data (2)'!$C$2=1,$A6&gt;=0),OFFSET('Input data (2)'!J$126,'Input data (2)'!$BL$1-$A6,0),""))))</f>
        <v>0.97463053236871744</v>
      </c>
      <c r="BX17" s="7">
        <f ca="1">IF(AND('Input data (2)'!$C$2=4,$D6&gt;=0),OFFSET('Input data (2)'!K$126,'Input data (2)'!$BL$1-$D6,0),IF(AND('Input data (2)'!$C$2=3,$C6&gt;=0),OFFSET('Input data (2)'!K$126,'Input data (2)'!$BL$1-$C6,0),IF(AND('Input data (2)'!$C$2=2,$B6&gt;=0),OFFSET('Input data (2)'!K$126,'Input data (2)'!$BL$1-$B6,0),IF(AND('Input data (2)'!$C$2=1,$A6&gt;=0),OFFSET('Input data (2)'!K$126,'Input data (2)'!$BL$1-$A6,0),""))))</f>
        <v>0.88413937513891172</v>
      </c>
      <c r="BY17" s="7">
        <f ca="1">IF(AND('Input data (2)'!$C$2=4,$D6&gt;=0),OFFSET('Input data (2)'!AS$126,'Input data (2)'!$BL$1-$D6,0),IF(AND('Input data (2)'!$C$2=3,$C6&gt;=0),OFFSET('Input data (2)'!AS$126,'Input data (2)'!$BL$1-$C6,0),IF(AND('Input data (2)'!$C$2=2,$B6&gt;=0),OFFSET('Input data (2)'!AS$126,'Input data (2)'!$BL$1-$B6,0),IF(AND('Input data (2)'!$C$2=1,$A6&gt;=0),OFFSET('Input data (2)'!AS$126,'Input data (2)'!$BL$1-$A6,0),""))))</f>
        <v>0.77745253226596045</v>
      </c>
      <c r="BZ17" s="7">
        <f ca="1">IF(AND('Input data (2)'!$C$2=4,$D6&gt;=0),OFFSET('Input data (2)'!AT$126,'Input data (2)'!$BL$1-$D6,0),IF(AND('Input data (2)'!$C$2=3,$C6&gt;=0),OFFSET('Input data (2)'!AT$126,'Input data (2)'!$BL$1-$C6,0),IF(AND('Input data (2)'!$C$2=2,$B6&gt;=0),OFFSET('Input data (2)'!AT$126,'Input data (2)'!$BL$1-$B6,0),IF(AND('Input data (2)'!$C$2=1,$A6&gt;=0),OFFSET('Input data (2)'!AT$126,'Input data (2)'!$BL$1-$A6,0),""))))</f>
        <v>0.71014097168057067</v>
      </c>
      <c r="CB17" s="122"/>
      <c r="CC17" s="122"/>
      <c r="CD17" s="122"/>
      <c r="CE17" s="122"/>
      <c r="CG17" s="1">
        <v>27</v>
      </c>
      <c r="CI17" s="1">
        <f t="shared" ca="1" si="24"/>
        <v>2006</v>
      </c>
      <c r="CJ17" s="1" t="str">
        <f t="shared" si="25"/>
        <v>Q3</v>
      </c>
      <c r="CK17" s="1" t="str">
        <f t="shared" ca="1" si="12"/>
        <v>06</v>
      </c>
      <c r="CL17" s="1" t="str">
        <f t="shared" ca="1" si="13"/>
        <v>Q3 06</v>
      </c>
      <c r="CM17" s="1">
        <f ca="1">OFFSET('Input data (2)'!AJ$126,'Input data (2)'!$BL$1-'Output data - DO NOT TOUCH (2)'!$CG17,0)/1000</f>
        <v>15.657</v>
      </c>
      <c r="CN17" s="1">
        <f ca="1">OFFSET('Input data (2)'!AK$126,'Input data (2)'!$BL$1-'Output data - DO NOT TOUCH (2)'!$CG17,0)/1000</f>
        <v>12.137</v>
      </c>
      <c r="CO17" s="1">
        <f ca="1">OFFSET('Input data (2)'!AL$126,'Input data (2)'!$BL$1-'Output data - DO NOT TOUCH (2)'!$CG17,0)/1000</f>
        <v>27.794</v>
      </c>
      <c r="CP17" s="1"/>
      <c r="CQ17" s="1">
        <f ca="1">OFFSET('Input data (2)'!AG$126,'Input data (2)'!$BL$1-'Output data - DO NOT TOUCH (2)'!$CG17,0)/1000</f>
        <v>1.353</v>
      </c>
      <c r="CR17" s="1">
        <f ca="1">OFFSET('Input data (2)'!AH$126,'Input data (2)'!$BL$1-'Output data - DO NOT TOUCH (2)'!$CG17,0)/1000</f>
        <v>1.919</v>
      </c>
      <c r="CS17" s="1">
        <f ca="1">OFFSET('Input data (2)'!AI$126,'Input data (2)'!$BL$1-'Output data - DO NOT TOUCH (2)'!$CG17,0)/1000</f>
        <v>3.2719999999999998</v>
      </c>
      <c r="CT17" s="1"/>
      <c r="CU17" s="1">
        <f ca="1">OFFSET('Input data (2)'!L$126,'Input data (2)'!$BL$1-'Output data - DO NOT TOUCH (2)'!$CG17,0)</f>
        <v>93</v>
      </c>
      <c r="CV17" s="1">
        <f ca="1">OFFSET('Input data (2)'!M$126,'Input data (2)'!$BL$1-'Output data - DO NOT TOUCH (2)'!$CG17,0)</f>
        <v>0</v>
      </c>
      <c r="CW17" s="67">
        <f ca="1">OFFSET('Input data (2)'!N$126,'Input data (2)'!$BL$1-'Output data - DO NOT TOUCH (2)'!$CG17,0)</f>
        <v>675</v>
      </c>
      <c r="CX17" s="1">
        <f ca="1">OFFSET('Input data (2)'!P$126,'Input data (2)'!$BL$1-'Output data - DO NOT TOUCH (2)'!$CG17,0)</f>
        <v>157</v>
      </c>
      <c r="CY17" s="1"/>
      <c r="CZ17" s="1">
        <f ca="1">OFFSET('Input data (2)'!AY$126,'Input data (2)'!$BL$1-'Output data - DO NOT TOUCH (2)'!$CG17,0)/1000</f>
        <v>1.4890000000000001</v>
      </c>
      <c r="DA17" s="1">
        <f ca="1">OFFSET('Input data (2)'!BA$126,'Input data (2)'!$BL$1-'Output data - DO NOT TOUCH (2)'!$CG17,0)/1000</f>
        <v>2.073</v>
      </c>
      <c r="DB17" s="1">
        <f ca="1">OFFSET('Input data (2)'!BB$126,'Input data (2)'!$BL$1-'Output data - DO NOT TOUCH (2)'!$CG17,0)/1000</f>
        <v>3.5619999999999998</v>
      </c>
      <c r="DD17" s="1">
        <f ca="1">OFFSET('Input data (2)'!AN$126,'Input data (2)'!$BL$1-'Output data - DO NOT TOUCH (2)'!$CG17,0)</f>
        <v>132</v>
      </c>
      <c r="DE17" s="1">
        <f ca="1">OFFSET('Input data (2)'!AO$126,'Input data (2)'!$BL$1-'Output data - DO NOT TOUCH (2)'!$CG17,0)</f>
        <v>24</v>
      </c>
      <c r="DF17" s="1">
        <f ca="1">OFFSET('Input data (2)'!AP$126,'Input data (2)'!$BL$1-'Output data - DO NOT TOUCH (2)'!$CG17,0)</f>
        <v>156</v>
      </c>
      <c r="DG17" s="1"/>
      <c r="DH17" s="1">
        <f ca="1">OFFSET('Input data (2)'!AU$126,'Input data (2)'!$BL$1-'Output data - DO NOT TOUCH (2)'!$CG17,0)</f>
        <v>3</v>
      </c>
      <c r="DI17" s="1">
        <f ca="1">OFFSET('Input data (2)'!AV$126,'Input data (2)'!$BL$1-'Output data - DO NOT TOUCH (2)'!$CG17,0)</f>
        <v>0</v>
      </c>
      <c r="DJ17" s="1">
        <f ca="1">OFFSET('Input data (2)'!AW$126,'Input data (2)'!$BL$1-'Output data - DO NOT TOUCH (2)'!$CG17,0)</f>
        <v>18</v>
      </c>
      <c r="DK17" s="1">
        <f ca="1">OFFSET('Input data (2)'!AX$126,'Input data (2)'!$BL$1-'Output data - DO NOT TOUCH (2)'!$CG17,0)</f>
        <v>1</v>
      </c>
      <c r="DM17" s="1">
        <f ca="1">OFFSET('Input data (2)'!BI$126,'Input data (2)'!$BL$1-'Output data - DO NOT TOUCH (2)'!$CG17,0)</f>
        <v>241</v>
      </c>
      <c r="DN17" s="1">
        <f ca="1">OFFSET('Input data (2)'!BJ$126,'Input data (2)'!$BL$1-'Output data - DO NOT TOUCH (2)'!$CG17,0)</f>
        <v>184</v>
      </c>
      <c r="DO17" s="1">
        <f ca="1">OFFSET('Input data (2)'!BL$126,'Input data (2)'!$BL$1-'Output data - DO NOT TOUCH (2)'!$CG17,0)</f>
        <v>425</v>
      </c>
      <c r="DQ17" s="1">
        <f ca="1">OFFSET('Input data (2)'!BD$126,'Input data (2)'!$BL$1-'Output data - DO NOT TOUCH (2)'!$CG17,0)</f>
        <v>15</v>
      </c>
      <c r="DR17" s="1">
        <f ca="1">OFFSET('Input data (2)'!BE$126,'Input data (2)'!$BL$1-'Output data - DO NOT TOUCH (2)'!$CG17,0)</f>
        <v>13</v>
      </c>
      <c r="DS17" s="1">
        <f ca="1">OFFSET('Input data (2)'!BF$126,'Input data (2)'!$BL$1-'Output data - DO NOT TOUCH (2)'!$CG17,0)</f>
        <v>28</v>
      </c>
      <c r="DU17" s="1">
        <f ca="1">OFFSET('Input data (2)'!B$126,'Input data (2)'!$BL$1-'Output data - DO NOT TOUCH (2)'!$CG17-1,0)</f>
        <v>2006</v>
      </c>
      <c r="DV17" s="1" t="str">
        <f ca="1">OFFSET('Input data (2)'!C$126,'Input data (2)'!$BL$1-'Output data - DO NOT TOUCH (2)'!$CG17-1,0)</f>
        <v>Q2</v>
      </c>
      <c r="DW17" s="1" t="str">
        <f t="shared" ca="1" si="14"/>
        <v>06</v>
      </c>
      <c r="DX17" s="1" t="str">
        <f t="shared" ca="1" si="15"/>
        <v>Q2 06</v>
      </c>
      <c r="DY17" s="1">
        <f ca="1">OFFSET('Input data (2)'!W$126,'Input data (2)'!$BL$1-'Output data - DO NOT TOUCH (2)'!$CG17-1,0)/1000</f>
        <v>2.8980000000000001</v>
      </c>
      <c r="DZ17" s="1">
        <f ca="1">OFFSET('Input data (2)'!Y$126,'Input data (2)'!$BL$1-'Output data - DO NOT TOUCH (2)'!$CG17-1,0)/1000</f>
        <v>12.590999999999999</v>
      </c>
      <c r="EA17" s="1">
        <f ca="1">OFFSET('Input data (2)'!Q$126,'Input data (2)'!$BL$1-'Output data - DO NOT TOUCH (2)'!$CG17-1,0)/1000</f>
        <v>15.489000000000001</v>
      </c>
      <c r="EC17" s="3" t="str">
        <f t="shared" ca="1" si="26"/>
        <v>Q4 11</v>
      </c>
      <c r="ED17" s="68" t="e">
        <f t="shared" ca="1" si="27"/>
        <v>#VALUE!</v>
      </c>
      <c r="EE17" s="68" t="e">
        <f t="shared" ca="1" si="28"/>
        <v>#VALUE!</v>
      </c>
      <c r="EF17" s="68" t="e">
        <f t="shared" ca="1" si="29"/>
        <v>#VALUE!</v>
      </c>
      <c r="EH17" s="68">
        <f t="shared" ca="1" si="30"/>
        <v>5.6014003500875198</v>
      </c>
      <c r="EI17" s="68">
        <f t="shared" ca="1" si="31"/>
        <v>1.7754438609652379</v>
      </c>
      <c r="EJ17" s="68">
        <f t="shared" ca="1" si="32"/>
        <v>7.3768442110527577</v>
      </c>
    </row>
    <row r="18" spans="1:140" x14ac:dyDescent="0.15">
      <c r="A18" s="1">
        <v>26</v>
      </c>
      <c r="B18" s="1">
        <v>27</v>
      </c>
      <c r="C18" s="1">
        <v>28</v>
      </c>
      <c r="D18" s="1">
        <v>25</v>
      </c>
      <c r="E18" s="1" t="str">
        <f>F18&amp;G18</f>
        <v>2003Q4</v>
      </c>
      <c r="F18" s="1">
        <f>F17</f>
        <v>2003</v>
      </c>
      <c r="G18" s="1" t="s">
        <v>4</v>
      </c>
      <c r="H18" s="1">
        <f>VLOOKUP($E18,'Input data (2)'!$A:$BL,'Output data - DO NOT TOUCH (2)'!H$71,FALSE)</f>
        <v>3306</v>
      </c>
      <c r="I18" s="1">
        <f>VLOOKUP($E18,'Input data (2)'!$A:$BL,'Output data - DO NOT TOUCH (2)'!I$71,FALSE)</f>
        <v>1104</v>
      </c>
      <c r="J18" s="1">
        <f>VLOOKUP($E18,'Input data (2)'!$A:$BL,'Output data - DO NOT TOUCH (2)'!J$71,FALSE)</f>
        <v>2202</v>
      </c>
      <c r="K18" s="1">
        <f>VLOOKUP($E18,'Input data (2)'!$A:$BL,'Output data - DO NOT TOUCH (2)'!K$71,FALSE)</f>
        <v>3343</v>
      </c>
      <c r="L18" s="1">
        <f>VLOOKUP($E18,'Input data (2)'!$A:$BL,'Output data - DO NOT TOUCH (2)'!L$71,FALSE)</f>
        <v>1107</v>
      </c>
      <c r="M18" s="1">
        <f>VLOOKUP($E18,'Input data (2)'!$A:$BL,'Output data - DO NOT TOUCH (2)'!M$71,FALSE)</f>
        <v>2236</v>
      </c>
      <c r="O18" s="119">
        <f ca="1">IF(AND('Input data (2)'!$C$2=4,$D7&gt;=0),OFFSET('Input data (2)'!O$126,'Input data (2)'!$BL$1-$D7,0),IF(AND('Input data (2)'!$C$2=3,$C7&gt;=0),OFFSET('Input data (2)'!O$126,'Input data (2)'!$BL$1-$C7,0),IF(AND('Input data (2)'!$C$2=2,$B7&gt;=0),OFFSET('Input data (2)'!O$126,'Input data (2)'!$BL$1-$B7,0),IF(AND('Input data (2)'!$C$2=1,$A7&gt;=0),OFFSET('Input data (2)'!O$126,'Input data (2)'!$BL$1-$A7,0),""))))</f>
        <v>0</v>
      </c>
      <c r="Q18" s="1">
        <f ca="1">IF(AND('Input data (2)'!$C$2=4,$D7&gt;=0),OFFSET('Input data (2)'!AC$126,'Input data (2)'!$BL$1-$D7,0),IF(AND('Input data (2)'!$C$2=3,$C7&gt;=0),OFFSET('Input data (2)'!AC$126,'Input data (2)'!$BL$1-$C7,0),IF(AND('Input data (2)'!$C$2=2,$B7&gt;=0),OFFSET('Input data (2)'!AC$126,'Input data (2)'!$BL$1-$B7,0),IF(AND('Input data (2)'!$C$2=1,$A7&gt;=0),OFFSET('Input data (2)'!AC$126,'Input data (2)'!$BL$1-$A7,0),""))))</f>
        <v>8998</v>
      </c>
      <c r="R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S18" s="1" t="str">
        <f ca="1">IF(AND('Input data (2)'!$C$2=4,$D7&gt;=0),OFFSET('Input data (2)'!R$126,'Input data (2)'!$BL$1-$D7,0),IF(AND('Input data (2)'!$C$2=3,$C7&gt;=0),OFFSET('Input data (2)'!R$126,'Input data (2)'!$BL$1-$C7,0),IF(AND('Input data (2)'!$C$2=2,$B7&gt;=0),OFFSET('Input data (2)'!R$126,'Input data (2)'!$BL$1-$B7,0),IF(AND('Input data (2)'!$C$2=1,$A7&gt;=0),OFFSET('Input data (2)'!R$126,'Input data (2)'!$BL$1-$A7,0),""))))</f>
        <v>:</v>
      </c>
      <c r="T18" s="1">
        <f ca="1">IF(AND('Input data (2)'!$C$2=4,$D7&gt;=0),OFFSET('Input data (2)'!AA$126,'Input data (2)'!$BL$1-$D7,0),IF(AND('Input data (2)'!$C$2=3,$C7&gt;=0),OFFSET('Input data (2)'!AA$126,'Input data (2)'!$BL$1-$C7,0),IF(AND('Input data (2)'!$C$2=2,$B7&gt;=0),OFFSET('Input data (2)'!AA$126,'Input data (2)'!$BL$1-$B7,0),IF(AND('Input data (2)'!$C$2=1,$A7&gt;=0),OFFSET('Input data (2)'!AA$126,'Input data (2)'!$BL$1-$A7,0),""))))</f>
        <v>2058</v>
      </c>
      <c r="U18" s="1">
        <f ca="1">IF(AND('Input data (2)'!$C$2=4,$D7&gt;=0),OFFSET('Input data (2)'!AL$126,'Input data (2)'!$BL$1-$D7,0),IF(AND('Input data (2)'!$C$2=3,$C7&gt;=0),OFFSET('Input data (2)'!AL$126,'Input data (2)'!$BL$1-$C7,0),IF(AND('Input data (2)'!$C$2=2,$B7&gt;=0),OFFSET('Input data (2)'!AL$126,'Input data (2)'!$BL$1-$B7,0),IF(AND('Input data (2)'!$C$2=1,$A7&gt;=0),OFFSET('Input data (2)'!AL$126,'Input data (2)'!$BL$1-$A7,0),""))))</f>
        <v>9526</v>
      </c>
      <c r="V18" s="1">
        <f ca="1">IF(AND('Input data (2)'!$C$2=4,$D7&gt;=0),OFFSET('Input data (2)'!AJ$126,'Input data (2)'!$BL$1-$D7,0),IF(AND('Input data (2)'!$C$2=3,$C7&gt;=0),OFFSET('Input data (2)'!AJ$126,'Input data (2)'!$BL$1-$C7,0),IF(AND('Input data (2)'!$C$2=2,$B7&gt;=0),OFFSET('Input data (2)'!AJ$126,'Input data (2)'!$BL$1-$B7,0),IF(AND('Input data (2)'!$C$2=1,$A7&gt;=0),OFFSET('Input data (2)'!AJ$126,'Input data (2)'!$BL$1-$A7,0),""))))</f>
        <v>7496</v>
      </c>
      <c r="W18" s="1">
        <f ca="1">IF(AND('Input data (2)'!$C$2=4,$D7&gt;=0),OFFSET('Input data (2)'!AK$126,'Input data (2)'!$BL$1-$D7,0),IF(AND('Input data (2)'!$C$2=3,$C7&gt;=0),OFFSET('Input data (2)'!AK$126,'Input data (2)'!$BL$1-$C7,0),IF(AND('Input data (2)'!$C$2=2,$B7&gt;=0),OFFSET('Input data (2)'!AK$126,'Input data (2)'!$BL$1-$B7,0),IF(AND('Input data (2)'!$C$2=1,$A7&gt;=0),OFFSET('Input data (2)'!AK$126,'Input data (2)'!$BL$1-$A7,0),""))))</f>
        <v>2030</v>
      </c>
      <c r="Y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Z18" s="1">
        <f ca="1">IF(AND('Input data (2)'!$C$2=4,$D7&gt;=0),OFFSET('Input data (2)'!S$126,'Input data (2)'!$BL$1-$D7,0),IF(AND('Input data (2)'!$C$2=3,$C7&gt;=0),OFFSET('Input data (2)'!S$126,'Input data (2)'!$BL$1-$C7,0),IF(AND('Input data (2)'!$C$2=2,$B7&gt;=0),OFFSET('Input data (2)'!S$126,'Input data (2)'!$BL$1-$B7,0),IF(AND('Input data (2)'!$C$2=1,$A7&gt;=0),OFFSET('Input data (2)'!S$126,'Input data (2)'!$BL$1-$A7,0),""))))</f>
        <v>4991</v>
      </c>
      <c r="AA18" s="1">
        <f ca="1">IF(AND('Input data (2)'!$C$2=4,$D7&gt;=0),OFFSET('Input data (2)'!T$126,'Input data (2)'!$BL$1-$D7,0),IF(AND('Input data (2)'!$C$2=3,$C7&gt;=0),OFFSET('Input data (2)'!T$126,'Input data (2)'!$BL$1-$C7,0),IF(AND('Input data (2)'!$C$2=2,$B7&gt;=0),OFFSET('Input data (2)'!T$126,'Input data (2)'!$BL$1-$B7,0),IF(AND('Input data (2)'!$C$2=1,$A7&gt;=0),OFFSET('Input data (2)'!T$126,'Input data (2)'!$BL$1-$A7,0),""))))</f>
        <v>71.9164265129683</v>
      </c>
      <c r="AB18" s="1">
        <f ca="1">IF(AND('Input data (2)'!$C$2=4,$D7&gt;=0),OFFSET('Input data (2)'!U$126,'Input data (2)'!$BL$1-$D7,0),IF(AND('Input data (2)'!$C$2=3,$C7&gt;=0),OFFSET('Input data (2)'!U$126,'Input data (2)'!$BL$1-$C7,0),IF(AND('Input data (2)'!$C$2=2,$B7&gt;=0),OFFSET('Input data (2)'!U$126,'Input data (2)'!$BL$1-$B7,0),IF(AND('Input data (2)'!$C$2=1,$A7&gt;=0),OFFSET('Input data (2)'!U$126,'Input data (2)'!$BL$1-$A7,0),""))))</f>
        <v>1949</v>
      </c>
      <c r="AC18" s="1">
        <f ca="1">IF(AND('Input data (2)'!$C$2=4,$D7&gt;=0),OFFSET('Input data (2)'!V$126,'Input data (2)'!$BL$1-$D7,0),IF(AND('Input data (2)'!$C$2=3,$C7&gt;=0),OFFSET('Input data (2)'!V$126,'Input data (2)'!$BL$1-$C7,0),IF(AND('Input data (2)'!$C$2=2,$B7&gt;=0),OFFSET('Input data (2)'!V$126,'Input data (2)'!$BL$1-$B7,0),IF(AND('Input data (2)'!$C$2=1,$A7&gt;=0),OFFSET('Input data (2)'!V$126,'Input data (2)'!$BL$1-$A7,0),""))))</f>
        <v>28.0835734870317</v>
      </c>
      <c r="AD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AE18" s="1">
        <f ca="1">IF(AND('Input data (2)'!$C$2=4,$D7&gt;=0),OFFSET('Input data (2)'!W$126,'Input data (2)'!$BL$1-$D7,0),IF(AND('Input data (2)'!$C$2=3,$C7&gt;=0),OFFSET('Input data (2)'!W$126,'Input data (2)'!$BL$1-$C7,0),IF(AND('Input data (2)'!$C$2=2,$B7&gt;=0),OFFSET('Input data (2)'!W$126,'Input data (2)'!$BL$1-$B7,0),IF(AND('Input data (2)'!$C$2=1,$A7&gt;=0),OFFSET('Input data (2)'!W$126,'Input data (2)'!$BL$1-$A7,0),""))))</f>
        <v>2108</v>
      </c>
      <c r="AF18" s="1">
        <f ca="1">IF(AND('Input data (2)'!$C$2=4,$D7&gt;=0),OFFSET('Input data (2)'!X$126,'Input data (2)'!$BL$1-$D7,0),IF(AND('Input data (2)'!$C$2=3,$C7&gt;=0),OFFSET('Input data (2)'!X$126,'Input data (2)'!$BL$1-$C7,0),IF(AND('Input data (2)'!$C$2=2,$B7&gt;=0),OFFSET('Input data (2)'!X$126,'Input data (2)'!$BL$1-$B7,0),IF(AND('Input data (2)'!$C$2=1,$A7&gt;=0),OFFSET('Input data (2)'!X$126,'Input data (2)'!$BL$1-$A7,0),""))))</f>
        <v>30.37463976945245</v>
      </c>
      <c r="AG18" s="1">
        <f ca="1">IF(AND('Input data (2)'!$C$2=4,$D7&gt;=0),OFFSET('Input data (2)'!Y$126,'Input data (2)'!$BL$1-$D7,0),IF(AND('Input data (2)'!$C$2=3,$C7&gt;=0),OFFSET('Input data (2)'!Y$126,'Input data (2)'!$BL$1-$C7,0),IF(AND('Input data (2)'!$C$2=2,$B7&gt;=0),OFFSET('Input data (2)'!Y$126,'Input data (2)'!$BL$1-$B7,0),IF(AND('Input data (2)'!$C$2=1,$A7&gt;=0),OFFSET('Input data (2)'!Y$126,'Input data (2)'!$BL$1-$A7,0),""))))</f>
        <v>4832</v>
      </c>
      <c r="AH18" s="1">
        <f ca="1">IF(AND('Input data (2)'!$C$2=4,$D7&gt;=0),OFFSET('Input data (2)'!Z$126,'Input data (2)'!$BL$1-$D7,0),IF(AND('Input data (2)'!$C$2=3,$C7&gt;=0),OFFSET('Input data (2)'!Z$126,'Input data (2)'!$BL$1-$C7,0),IF(AND('Input data (2)'!$C$2=2,$B7&gt;=0),OFFSET('Input data (2)'!Z$126,'Input data (2)'!$BL$1-$B7,0),IF(AND('Input data (2)'!$C$2=1,$A7&gt;=0),OFFSET('Input data (2)'!Z$126,'Input data (2)'!$BL$1-$A7,0),""))))</f>
        <v>69.625360230547557</v>
      </c>
      <c r="AI18" s="3"/>
      <c r="AJ18" s="124">
        <f ca="1">IF(AND('Input data (2)'!$C$2=4,$D7&gt;=0),OFFSET('Input data (2)'!AF$126,'Input data (2)'!$BL$1-$D7,0),IF(AND('Input data (2)'!$C$2=3,$C7&gt;=0),OFFSET('Input data (2)'!AF$126,'Input data (2)'!$BL$1-$C7,0),IF(AND('Input data (2)'!$C$2=2,$B7&gt;=0),OFFSET('Input data (2)'!AF$126,'Input data (2)'!$BL$1-$B7,0),IF(AND('Input data (2)'!$C$2=1,$A7&gt;=0),OFFSET('Input data (2)'!AF$126,'Input data (2)'!$BL$1-$A7,0),""))))</f>
        <v>987</v>
      </c>
      <c r="AK18" s="124">
        <f ca="1">IF(AND('Input data (2)'!$C$2=4,$D7&gt;=0),OFFSET('Input data (2)'!AD$126,'Input data (2)'!$BL$1-$D7,0),IF(AND('Input data (2)'!$C$2=3,$C7&gt;=0),OFFSET('Input data (2)'!AD$126,'Input data (2)'!$BL$1-$C7,0),IF(AND('Input data (2)'!$C$2=2,$B7&gt;=0),OFFSET('Input data (2)'!AD$126,'Input data (2)'!$BL$1-$B7,0),IF(AND('Input data (2)'!$C$2=1,$A7&gt;=0),OFFSET('Input data (2)'!AD$126,'Input data (2)'!$BL$1-$A7,0),""))))</f>
        <v>941</v>
      </c>
      <c r="AL18" s="124">
        <f ca="1">IF(AND('Input data (2)'!$C$2=4,$D7&gt;=0),OFFSET('Input data (2)'!AE$126,'Input data (2)'!$BL$1-$D7,0),IF(AND('Input data (2)'!$C$2=3,$C7&gt;=0),OFFSET('Input data (2)'!AE$126,'Input data (2)'!$BL$1-$C7,0),IF(AND('Input data (2)'!$C$2=2,$B7&gt;=0),OFFSET('Input data (2)'!AE$126,'Input data (2)'!$BL$1-$B7,0),IF(AND('Input data (2)'!$C$2=1,$A7&gt;=0),OFFSET('Input data (2)'!AE$126,'Input data (2)'!$BL$1-$A7,0),""))))</f>
        <v>46</v>
      </c>
      <c r="AW18" s="1">
        <f ca="1">IF(AND('Input data (2)'!$C$2=4,$D7&gt;=0),OFFSET('Input data (2)'!L$126,'Input data (2)'!$BL$1-$D7,0),IF(AND('Input data (2)'!$C$2=3,$C7&gt;=0),OFFSET('Input data (2)'!L$126,'Input data (2)'!$BL$1-$C7,0),IF(AND('Input data (2)'!$C$2=2,$B7&gt;=0),OFFSET('Input data (2)'!L$126,'Input data (2)'!$BL$1-$B7,0),IF(AND('Input data (2)'!$C$2=1,$A7&gt;=0),OFFSET('Input data (2)'!L$126,'Input data (2)'!$BL$1-$A7,0),""))))</f>
        <v>314</v>
      </c>
      <c r="AX18" s="1">
        <f ca="1">IF(AND('Input data (2)'!$C$2=4,$D7&gt;=0),OFFSET('Input data (2)'!M$126,'Input data (2)'!$BL$1-$D7,0),IF(AND('Input data (2)'!$C$2=3,$C7&gt;=0),OFFSET('Input data (2)'!M$126,'Input data (2)'!$BL$1-$C7,0),IF(AND('Input data (2)'!$C$2=2,$B7&gt;=0),OFFSET('Input data (2)'!M$126,'Input data (2)'!$BL$1-$B7,0),IF(AND('Input data (2)'!$C$2=1,$A7&gt;=0),OFFSET('Input data (2)'!M$126,'Input data (2)'!$BL$1-$A7,0),""))))</f>
        <v>16</v>
      </c>
      <c r="AY18" s="1">
        <f ca="1">IF(AND('Input data (2)'!$C$2=4,$D7&gt;=0),OFFSET('Input data (2)'!N$126,'Input data (2)'!$BL$1-$D7,0),IF(AND('Input data (2)'!$C$2=3,$C7&gt;=0),OFFSET('Input data (2)'!N$126,'Input data (2)'!$BL$1-$C7,0),IF(AND('Input data (2)'!$C$2=2,$B7&gt;=0),OFFSET('Input data (2)'!N$126,'Input data (2)'!$BL$1-$B7,0),IF(AND('Input data (2)'!$C$2=1,$A7&gt;=0),OFFSET('Input data (2)'!N$126,'Input data (2)'!$BL$1-$A7,0),""))))</f>
        <v>233</v>
      </c>
      <c r="AZ18" s="1">
        <f ca="1">IF(AND('Input data (2)'!$C$2=4,$D7&gt;=0),OFFSET('Input data (2)'!P$126,'Input data (2)'!$BL$1-$D7,0),IF(AND('Input data (2)'!$C$2=3,$C7&gt;=0),OFFSET('Input data (2)'!P$126,'Input data (2)'!$BL$1-$C7,0),IF(AND('Input data (2)'!$C$2=2,$B7&gt;=0),OFFSET('Input data (2)'!P$126,'Input data (2)'!$BL$1-$B7,0),IF(AND('Input data (2)'!$C$2=1,$A7&gt;=0),OFFSET('Input data (2)'!P$126,'Input data (2)'!$BL$1-$A7,0),""))))</f>
        <v>212</v>
      </c>
      <c r="BB18" s="1">
        <f ca="1">IF(AND('Input data (2)'!$C$2=4,$D7&gt;=0),OFFSET('Input data (2)'!BB$126,'Input data (2)'!$BL$1-$D7,0),IF(AND('Input data (2)'!$C$2=3,$C7&gt;=0),OFFSET('Input data (2)'!BB$126,'Input data (2)'!$BL$1-$C7,0),IF(AND('Input data (2)'!$C$2=2,$B7&gt;=0),OFFSET('Input data (2)'!BB$126,'Input data (2)'!$BL$1-$B7,0),IF(AND('Input data (2)'!$C$2=1,$A7&gt;=0),OFFSET('Input data (2)'!BB$126,'Input data (2)'!$BL$1-$A7,0),""))))</f>
        <v>2209</v>
      </c>
      <c r="BC18" s="1">
        <f ca="1">IF(AND('Input data (2)'!$C$2=4,$D7&gt;=0),OFFSET('Input data (2)'!AY$126,'Input data (2)'!$BL$1-$D7,0),IF(AND('Input data (2)'!$C$2=3,$C7&gt;=0),OFFSET('Input data (2)'!AY$126,'Input data (2)'!$BL$1-$C7,0),IF(AND('Input data (2)'!$C$2=2,$B7&gt;=0),OFFSET('Input data (2)'!AY$126,'Input data (2)'!$BL$1-$B7,0),IF(AND('Input data (2)'!$C$2=1,$A7&gt;=0),OFFSET('Input data (2)'!AY$126,'Input data (2)'!$BL$1-$A7,0),""))))</f>
        <v>826</v>
      </c>
      <c r="BD18" s="1" t="str">
        <f ca="1">IF(AND('Input data (2)'!$C$2=4,$D7&gt;=0),OFFSET('Input data (2)'!AZ$126,'Input data (2)'!$BL$1-$D7,0),IF(AND('Input data (2)'!$C$2=3,$C7&gt;=0),OFFSET('Input data (2)'!AZ$126,'Input data (2)'!$BL$1-$C7,0),IF(AND('Input data (2)'!$C$2=2,$B7&gt;=0),OFFSET('Input data (2)'!AZ$126,'Input data (2)'!$BL$1-$B7,0),IF(AND('Input data (2)'!$C$2=1,$A7&gt;=0),OFFSET('Input data (2)'!AZ$126,'Input data (2)'!$BL$1-$A7,0),""))))</f>
        <v>:</v>
      </c>
      <c r="BE18" s="1">
        <f ca="1">IF(AND('Input data (2)'!$C$2=4,$D7&gt;=0),OFFSET('Input data (2)'!BA$126,'Input data (2)'!$BL$1-$D7,0),IF(AND('Input data (2)'!$C$2=3,$C7&gt;=0),OFFSET('Input data (2)'!BA$126,'Input data (2)'!$BL$1-$C7,0),IF(AND('Input data (2)'!$C$2=2,$B7&gt;=0),OFFSET('Input data (2)'!BA$126,'Input data (2)'!$BL$1-$B7,0),IF(AND('Input data (2)'!$C$2=1,$A7&gt;=0),OFFSET('Input data (2)'!BA$126,'Input data (2)'!$BL$1-$A7,0),""))))</f>
        <v>1383</v>
      </c>
      <c r="BF18" s="1">
        <f ca="1">IF(AND('Input data (2)'!$C$2=4,$D7&gt;=0),OFFSET('Input data (2)'!AP$126,'Input data (2)'!$BL$1-$D7,0),IF(AND('Input data (2)'!$C$2=3,$C7&gt;=0),OFFSET('Input data (2)'!AP$126,'Input data (2)'!$BL$1-$C7,0),IF(AND('Input data (2)'!$C$2=2,$B7&gt;=0),OFFSET('Input data (2)'!AP$126,'Input data (2)'!$BL$1-$B7,0),IF(AND('Input data (2)'!$C$2=1,$A7&gt;=0),OFFSET('Input data (2)'!AP$126,'Input data (2)'!$BL$1-$A7,0),""))))</f>
        <v>126</v>
      </c>
      <c r="BG18" s="1">
        <f ca="1">IF(AND('Input data (2)'!$C$2=4,$D7&gt;=0),OFFSET('Input data (2)'!AN$126,'Input data (2)'!$BL$1-$D7,0),IF(AND('Input data (2)'!$C$2=3,$C7&gt;=0),OFFSET('Input data (2)'!AN$126,'Input data (2)'!$BL$1-$C7,0),IF(AND('Input data (2)'!$C$2=2,$B7&gt;=0),OFFSET('Input data (2)'!AN$126,'Input data (2)'!$BL$1-$B7,0),IF(AND('Input data (2)'!$C$2=1,$A7&gt;=0),OFFSET('Input data (2)'!AN$126,'Input data (2)'!$BL$1-$A7,0),""))))</f>
        <v>76</v>
      </c>
      <c r="BH18" s="1">
        <f ca="1">IF(AND('Input data (2)'!$C$2=4,$D7&gt;=0),OFFSET('Input data (2)'!AO$126,'Input data (2)'!$BL$1-$D7,0),IF(AND('Input data (2)'!$C$2=3,$C7&gt;=0),OFFSET('Input data (2)'!AO$126,'Input data (2)'!$BL$1-$C7,0),IF(AND('Input data (2)'!$C$2=2,$B7&gt;=0),OFFSET('Input data (2)'!AO$126,'Input data (2)'!$BL$1-$B7,0),IF(AND('Input data (2)'!$C$2=1,$A7&gt;=0),OFFSET('Input data (2)'!AO$126,'Input data (2)'!$BL$1-$A7,0),""))))</f>
        <v>50</v>
      </c>
      <c r="BJ18" s="1">
        <f ca="1">IF(AND('Input data (2)'!$C$2=4,$D7&gt;=0),OFFSET('Input data (2)'!AU$126,'Input data (2)'!$BL$1-$D7,0),IF(AND('Input data (2)'!$C$2=3,$C7&gt;=0),OFFSET('Input data (2)'!AU$126,'Input data (2)'!$BL$1-$C7,0),IF(AND('Input data (2)'!$C$2=2,$B7&gt;=0),OFFSET('Input data (2)'!AU$126,'Input data (2)'!$BL$1-$B7,0),IF(AND('Input data (2)'!$C$2=1,$A7&gt;=0),OFFSET('Input data (2)'!AU$126,'Input data (2)'!$BL$1-$A7,0),""))))</f>
        <v>20</v>
      </c>
      <c r="BK18" s="1">
        <f ca="1">IF(AND('Input data (2)'!$C$2=4,$D7&gt;=0),OFFSET('Input data (2)'!AV$126,'Input data (2)'!$BL$1-$D7,0),IF(AND('Input data (2)'!$C$2=3,$C7&gt;=0),OFFSET('Input data (2)'!AV$126,'Input data (2)'!$BL$1-$C7,0),IF(AND('Input data (2)'!$C$2=2,$B7&gt;=0),OFFSET('Input data (2)'!AV$126,'Input data (2)'!$BL$1-$B7,0),IF(AND('Input data (2)'!$C$2=1,$A7&gt;=0),OFFSET('Input data (2)'!AV$126,'Input data (2)'!$BL$1-$A7,0),""))))</f>
        <v>0</v>
      </c>
      <c r="BL18" s="1">
        <f ca="1">IF(AND('Input data (2)'!$C$2=4,$D7&gt;=0),OFFSET('Input data (2)'!AW$126,'Input data (2)'!$BL$1-$D7,0),IF(AND('Input data (2)'!$C$2=3,$C7&gt;=0),OFFSET('Input data (2)'!AW$126,'Input data (2)'!$BL$1-$C7,0),IF(AND('Input data (2)'!$C$2=2,$B7&gt;=0),OFFSET('Input data (2)'!AW$126,'Input data (2)'!$BL$1-$B7,0),IF(AND('Input data (2)'!$C$2=1,$A7&gt;=0),OFFSET('Input data (2)'!AW$126,'Input data (2)'!$BL$1-$A7,0),""))))</f>
        <v>2</v>
      </c>
      <c r="BM18" s="1">
        <f ca="1">IF(AND('Input data (2)'!$C$2=4,$D7&gt;=0),OFFSET('Input data (2)'!AX$126,'Input data (2)'!$BL$1-$D7,0),IF(AND('Input data (2)'!$C$2=3,$C7&gt;=0),OFFSET('Input data (2)'!AX$126,'Input data (2)'!$BL$1-$C7,0),IF(AND('Input data (2)'!$C$2=2,$B7&gt;=0),OFFSET('Input data (2)'!AX$126,'Input data (2)'!$BL$1-$B7,0),IF(AND('Input data (2)'!$C$2=1,$A7&gt;=0),OFFSET('Input data (2)'!AX$126,'Input data (2)'!$BL$1-$A7,0),""))))</f>
        <v>3</v>
      </c>
      <c r="BO18" s="1">
        <f ca="1">IF(AND('Input data (2)'!$C$2=4,$D7&gt;=0),OFFSET('Input data (2)'!BL$126,'Input data (2)'!$BL$1-$D7,0),IF(AND('Input data (2)'!$C$2=3,$C7&gt;=0),OFFSET('Input data (2)'!BL$126,'Input data (2)'!$BL$1-$C7,0),IF(AND('Input data (2)'!$C$2=2,$B7&gt;=0),OFFSET('Input data (2)'!BL$126,'Input data (2)'!$BL$1-$B7,0),IF(AND('Input data (2)'!$C$2=1,$A7&gt;=0),OFFSET('Input data (2)'!BL$126,'Input data (2)'!$BL$1-$A7,0),""))))</f>
        <v>265</v>
      </c>
      <c r="BP18" s="1">
        <f ca="1">IF(AND('Input data (2)'!$C$2=4,$D7&gt;=0),OFFSET('Input data (2)'!BI$126,'Input data (2)'!$BL$1-$D7,0),IF(AND('Input data (2)'!$C$2=3,$C7&gt;=0),OFFSET('Input data (2)'!BI$126,'Input data (2)'!$BL$1-$C7,0),IF(AND('Input data (2)'!$C$2=2,$B7&gt;=0),OFFSET('Input data (2)'!BI$126,'Input data (2)'!$BL$1-$B7,0),IF(AND('Input data (2)'!$C$2=1,$A7&gt;=0),OFFSET('Input data (2)'!BI$126,'Input data (2)'!$BL$1-$A7,0),""))))</f>
        <v>177</v>
      </c>
      <c r="BQ18" s="1" t="str">
        <f ca="1">IF(AND('Input data (2)'!$C$2=4,$D7&gt;=0),OFFSET('Input data (2)'!BK$126,'Input data (2)'!$BL$1-$D7,0),IF(AND('Input data (2)'!$C$2=3,$C7&gt;=0),OFFSET('Input data (2)'!BK$126,'Input data (2)'!$BL$1-$C7,0),IF(AND('Input data (2)'!$C$2=2,$B7&gt;=0),OFFSET('Input data (2)'!BK$126,'Input data (2)'!$BL$1-$B7,0),IF(AND('Input data (2)'!$C$2=1,$A7&gt;=0),OFFSET('Input data (2)'!BK$126,'Input data (2)'!$BL$1-$A7,0),""))))</f>
        <v>..</v>
      </c>
      <c r="BR18" s="1">
        <f ca="1">IF(AND('Input data (2)'!$C$2=4,$D7&gt;=0),OFFSET('Input data (2)'!BJ$126,'Input data (2)'!$BL$1-$D7,0),IF(AND('Input data (2)'!$C$2=3,$C7&gt;=0),OFFSET('Input data (2)'!BJ$126,'Input data (2)'!$BL$1-$C7,0),IF(AND('Input data (2)'!$C$2=2,$B7&gt;=0),OFFSET('Input data (2)'!BJ$126,'Input data (2)'!$BL$1-$B7,0),IF(AND('Input data (2)'!$C$2=1,$A7&gt;=0),OFFSET('Input data (2)'!BJ$126,'Input data (2)'!$BL$1-$A7,0),""))))</f>
        <v>88</v>
      </c>
      <c r="BS18" s="1">
        <f ca="1">IF(AND('Input data (2)'!$C$2=4,$D7&gt;=0),OFFSET('Input data (2)'!BF$126,'Input data (2)'!$BL$1-$D7,0),IF(AND('Input data (2)'!$C$2=3,$C7&gt;=0),OFFSET('Input data (2)'!BF$126,'Input data (2)'!$BL$1-$C7,0),IF(AND('Input data (2)'!$C$2=2,$B7&gt;=0),OFFSET('Input data (2)'!BF$126,'Input data (2)'!$BL$1-$B7,0),IF(AND('Input data (2)'!$C$2=1,$A7&gt;=0),OFFSET('Input data (2)'!BF$126,'Input data (2)'!$BL$1-$A7,0),""))))</f>
        <v>34</v>
      </c>
      <c r="BT18" s="1">
        <f ca="1">IF(AND('Input data (2)'!$C$2=4,$D7&gt;=0),OFFSET('Input data (2)'!BD$126,'Input data (2)'!$BL$1-$D7,0),IF(AND('Input data (2)'!$C$2=3,$C7&gt;=0),OFFSET('Input data (2)'!BD$126,'Input data (2)'!$BL$1-$C7,0),IF(AND('Input data (2)'!$C$2=2,$B7&gt;=0),OFFSET('Input data (2)'!BD$126,'Input data (2)'!$BL$1-$B7,0),IF(AND('Input data (2)'!$C$2=1,$A7&gt;=0),OFFSET('Input data (2)'!BD$126,'Input data (2)'!$BL$1-$A7,0),""))))</f>
        <v>21</v>
      </c>
      <c r="BU18" s="1">
        <f ca="1">IF(AND('Input data (2)'!$C$2=4,$D7&gt;=0),OFFSET('Input data (2)'!BE$126,'Input data (2)'!$BL$1-$D7,0),IF(AND('Input data (2)'!$C$2=3,$C7&gt;=0),OFFSET('Input data (2)'!BE$126,'Input data (2)'!$BL$1-$C7,0),IF(AND('Input data (2)'!$C$2=2,$B7&gt;=0),OFFSET('Input data (2)'!BE$126,'Input data (2)'!$BL$1-$B7,0),IF(AND('Input data (2)'!$C$2=1,$A7&gt;=0),OFFSET('Input data (2)'!BE$126,'Input data (2)'!$BL$1-$A7,0),""))))</f>
        <v>13</v>
      </c>
      <c r="BW18" s="7">
        <f ca="1">IF(AND('Input data (2)'!$C$2=4,$D7&gt;=0),OFFSET('Input data (2)'!J$126,'Input data (2)'!$BL$1-$D7,0),IF(AND('Input data (2)'!$C$2=3,$C7&gt;=0),OFFSET('Input data (2)'!J$126,'Input data (2)'!$BL$1-$C7,0),IF(AND('Input data (2)'!$C$2=2,$B7&gt;=0),OFFSET('Input data (2)'!J$126,'Input data (2)'!$BL$1-$B7,0),IF(AND('Input data (2)'!$C$2=1,$A7&gt;=0),OFFSET('Input data (2)'!J$126,'Input data (2)'!$BL$1-$A7,0),""))))</f>
        <v>0.88267774332644144</v>
      </c>
      <c r="BX18" s="7">
        <f ca="1">IF(AND('Input data (2)'!$C$2=4,$D7&gt;=0),OFFSET('Input data (2)'!K$126,'Input data (2)'!$BL$1-$D7,0),IF(AND('Input data (2)'!$C$2=3,$C7&gt;=0),OFFSET('Input data (2)'!K$126,'Input data (2)'!$BL$1-$C7,0),IF(AND('Input data (2)'!$C$2=2,$B7&gt;=0),OFFSET('Input data (2)'!K$126,'Input data (2)'!$BL$1-$B7,0),IF(AND('Input data (2)'!$C$2=1,$A7&gt;=0),OFFSET('Input data (2)'!K$126,'Input data (2)'!$BL$1-$A7,0),""))))</f>
        <v>0.80326156816433836</v>
      </c>
      <c r="BY18" s="7">
        <f ca="1">IF(AND('Input data (2)'!$C$2=4,$D7&gt;=0),OFFSET('Input data (2)'!AS$126,'Input data (2)'!$BL$1-$D7,0),IF(AND('Input data (2)'!$C$2=3,$C7&gt;=0),OFFSET('Input data (2)'!AS$126,'Input data (2)'!$BL$1-$C7,0),IF(AND('Input data (2)'!$C$2=2,$B7&gt;=0),OFFSET('Input data (2)'!AS$126,'Input data (2)'!$BL$1-$B7,0),IF(AND('Input data (2)'!$C$2=1,$A7&gt;=0),OFFSET('Input data (2)'!AS$126,'Input data (2)'!$BL$1-$A7,0),""))))</f>
        <v>0.68596028160061051</v>
      </c>
      <c r="BZ18" s="7">
        <f ca="1">IF(AND('Input data (2)'!$C$2=4,$D7&gt;=0),OFFSET('Input data (2)'!AT$126,'Input data (2)'!$BL$1-$D7,0),IF(AND('Input data (2)'!$C$2=3,$C7&gt;=0),OFFSET('Input data (2)'!AT$126,'Input data (2)'!$BL$1-$C7,0),IF(AND('Input data (2)'!$C$2=2,$B7&gt;=0),OFFSET('Input data (2)'!AT$126,'Input data (2)'!$BL$1-$B7,0),IF(AND('Input data (2)'!$C$2=1,$A7&gt;=0),OFFSET('Input data (2)'!AT$126,'Input data (2)'!$BL$1-$A7,0),""))))</f>
        <v>0.62754172267955155</v>
      </c>
      <c r="CB18" s="122"/>
      <c r="CC18" s="122"/>
      <c r="CD18" s="122"/>
      <c r="CE18" s="122"/>
      <c r="CG18" s="1">
        <v>26</v>
      </c>
      <c r="CI18" s="1">
        <f t="shared" ca="1" si="24"/>
        <v>2006</v>
      </c>
      <c r="CJ18" s="1" t="str">
        <f t="shared" si="25"/>
        <v>Q4</v>
      </c>
      <c r="CK18" s="1" t="str">
        <f t="shared" ca="1" si="12"/>
        <v>06</v>
      </c>
      <c r="CL18" s="1" t="str">
        <f t="shared" ca="1" si="13"/>
        <v>Q4 06</v>
      </c>
      <c r="CM18" s="1">
        <f ca="1">OFFSET('Input data (2)'!AJ$126,'Input data (2)'!$BL$1-'Output data - DO NOT TOUCH (2)'!$CG18,0)/1000</f>
        <v>16.818000000000001</v>
      </c>
      <c r="CN18" s="1">
        <f ca="1">OFFSET('Input data (2)'!AK$126,'Input data (2)'!$BL$1-'Output data - DO NOT TOUCH (2)'!$CG18,0)/1000</f>
        <v>12.576000000000001</v>
      </c>
      <c r="CO18" s="1">
        <f ca="1">OFFSET('Input data (2)'!AL$126,'Input data (2)'!$BL$1-'Output data - DO NOT TOUCH (2)'!$CG18,0)/1000</f>
        <v>29.393999999999998</v>
      </c>
      <c r="CP18" s="1"/>
      <c r="CQ18" s="1">
        <f ca="1">OFFSET('Input data (2)'!AG$126,'Input data (2)'!$BL$1-'Output data - DO NOT TOUCH (2)'!$CG18,0)/1000</f>
        <v>1.3839999999999999</v>
      </c>
      <c r="CR18" s="1">
        <f ca="1">OFFSET('Input data (2)'!AH$126,'Input data (2)'!$BL$1-'Output data - DO NOT TOUCH (2)'!$CG18,0)/1000</f>
        <v>1.8320000000000001</v>
      </c>
      <c r="CS18" s="1">
        <f ca="1">OFFSET('Input data (2)'!AI$126,'Input data (2)'!$BL$1-'Output data - DO NOT TOUCH (2)'!$CG18,0)/1000</f>
        <v>3.2160000000000002</v>
      </c>
      <c r="CT18" s="1"/>
      <c r="CU18" s="1">
        <f ca="1">OFFSET('Input data (2)'!L$126,'Input data (2)'!$BL$1-'Output data - DO NOT TOUCH (2)'!$CG18,0)</f>
        <v>162</v>
      </c>
      <c r="CV18" s="1">
        <f ca="1">OFFSET('Input data (2)'!M$126,'Input data (2)'!$BL$1-'Output data - DO NOT TOUCH (2)'!$CG18,0)</f>
        <v>0</v>
      </c>
      <c r="CW18" s="67">
        <f ca="1">OFFSET('Input data (2)'!N$126,'Input data (2)'!$BL$1-'Output data - DO NOT TOUCH (2)'!$CG18,0)</f>
        <v>1479</v>
      </c>
      <c r="CX18" s="1">
        <f ca="1">OFFSET('Input data (2)'!P$126,'Input data (2)'!$BL$1-'Output data - DO NOT TOUCH (2)'!$CG18,0)</f>
        <v>106</v>
      </c>
      <c r="CY18" s="1"/>
      <c r="CZ18" s="1">
        <f ca="1">OFFSET('Input data (2)'!AY$126,'Input data (2)'!$BL$1-'Output data - DO NOT TOUCH (2)'!$CG18,0)/1000</f>
        <v>1.516</v>
      </c>
      <c r="DA18" s="1">
        <f ca="1">OFFSET('Input data (2)'!BA$126,'Input data (2)'!$BL$1-'Output data - DO NOT TOUCH (2)'!$CG18,0)/1000</f>
        <v>2.024</v>
      </c>
      <c r="DB18" s="1">
        <f ca="1">OFFSET('Input data (2)'!BB$126,'Input data (2)'!$BL$1-'Output data - DO NOT TOUCH (2)'!$CG18,0)/1000</f>
        <v>3.54</v>
      </c>
      <c r="DD18" s="1">
        <f ca="1">OFFSET('Input data (2)'!AN$126,'Input data (2)'!$BL$1-'Output data - DO NOT TOUCH (2)'!$CG18,0)</f>
        <v>89</v>
      </c>
      <c r="DE18" s="1">
        <f ca="1">OFFSET('Input data (2)'!AO$126,'Input data (2)'!$BL$1-'Output data - DO NOT TOUCH (2)'!$CG18,0)</f>
        <v>43</v>
      </c>
      <c r="DF18" s="1">
        <f ca="1">OFFSET('Input data (2)'!AP$126,'Input data (2)'!$BL$1-'Output data - DO NOT TOUCH (2)'!$CG18,0)</f>
        <v>132</v>
      </c>
      <c r="DG18" s="1"/>
      <c r="DH18" s="1">
        <f ca="1">OFFSET('Input data (2)'!AU$126,'Input data (2)'!$BL$1-'Output data - DO NOT TOUCH (2)'!$CG18,0)</f>
        <v>4</v>
      </c>
      <c r="DI18" s="1">
        <f ca="1">OFFSET('Input data (2)'!AV$126,'Input data (2)'!$BL$1-'Output data - DO NOT TOUCH (2)'!$CG18,0)</f>
        <v>0</v>
      </c>
      <c r="DJ18" s="1">
        <f ca="1">OFFSET('Input data (2)'!AW$126,'Input data (2)'!$BL$1-'Output data - DO NOT TOUCH (2)'!$CG18,0)</f>
        <v>20</v>
      </c>
      <c r="DK18" s="1">
        <f ca="1">OFFSET('Input data (2)'!AX$126,'Input data (2)'!$BL$1-'Output data - DO NOT TOUCH (2)'!$CG18,0)</f>
        <v>1</v>
      </c>
      <c r="DM18" s="1">
        <f ca="1">OFFSET('Input data (2)'!BI$126,'Input data (2)'!$BL$1-'Output data - DO NOT TOUCH (2)'!$CG18,0)</f>
        <v>264</v>
      </c>
      <c r="DN18" s="1">
        <f ca="1">OFFSET('Input data (2)'!BJ$126,'Input data (2)'!$BL$1-'Output data - DO NOT TOUCH (2)'!$CG18,0)</f>
        <v>218</v>
      </c>
      <c r="DO18" s="1">
        <f ca="1">OFFSET('Input data (2)'!BL$126,'Input data (2)'!$BL$1-'Output data - DO NOT TOUCH (2)'!$CG18,0)</f>
        <v>482</v>
      </c>
      <c r="DQ18" s="1">
        <f ca="1">OFFSET('Input data (2)'!BD$126,'Input data (2)'!$BL$1-'Output data - DO NOT TOUCH (2)'!$CG18,0)</f>
        <v>20</v>
      </c>
      <c r="DR18" s="1">
        <f ca="1">OFFSET('Input data (2)'!BE$126,'Input data (2)'!$BL$1-'Output data - DO NOT TOUCH (2)'!$CG18,0)</f>
        <v>10</v>
      </c>
      <c r="DS18" s="1">
        <f ca="1">OFFSET('Input data (2)'!BF$126,'Input data (2)'!$BL$1-'Output data - DO NOT TOUCH (2)'!$CG18,0)</f>
        <v>30</v>
      </c>
      <c r="DU18" s="1">
        <f ca="1">OFFSET('Input data (2)'!B$126,'Input data (2)'!$BL$1-'Output data - DO NOT TOUCH (2)'!$CG18-1,0)</f>
        <v>2006</v>
      </c>
      <c r="DV18" s="1" t="str">
        <f ca="1">OFFSET('Input data (2)'!C$126,'Input data (2)'!$BL$1-'Output data - DO NOT TOUCH (2)'!$CG18-1,0)</f>
        <v>Q3</v>
      </c>
      <c r="DW18" s="1" t="str">
        <f t="shared" ca="1" si="14"/>
        <v>06</v>
      </c>
      <c r="DX18" s="1" t="str">
        <f t="shared" ca="1" si="15"/>
        <v>Q3 06</v>
      </c>
      <c r="DY18" s="1">
        <f ca="1">OFFSET('Input data (2)'!W$126,'Input data (2)'!$BL$1-'Output data - DO NOT TOUCH (2)'!$CG18-1,0)/1000</f>
        <v>2.99</v>
      </c>
      <c r="DZ18" s="1">
        <f ca="1">OFFSET('Input data (2)'!Y$126,'Input data (2)'!$BL$1-'Output data - DO NOT TOUCH (2)'!$CG18-1,0)/1000</f>
        <v>12.428000000000001</v>
      </c>
      <c r="EA18" s="1">
        <f ca="1">OFFSET('Input data (2)'!Q$126,'Input data (2)'!$BL$1-'Output data - DO NOT TOUCH (2)'!$CG18-1,0)/1000</f>
        <v>15.417999999999999</v>
      </c>
      <c r="EC18" s="3" t="str">
        <f t="shared" ca="1" si="26"/>
        <v>Q1 12</v>
      </c>
      <c r="ED18" s="68" t="e">
        <f t="shared" ca="1" si="27"/>
        <v>#VALUE!</v>
      </c>
      <c r="EE18" s="68" t="e">
        <f t="shared" ca="1" si="28"/>
        <v>#VALUE!</v>
      </c>
      <c r="EF18" s="68" t="e">
        <f t="shared" ca="1" si="29"/>
        <v>#VALUE!</v>
      </c>
      <c r="EH18" s="68">
        <f t="shared" ca="1" si="30"/>
        <v>2.871744950109512</v>
      </c>
      <c r="EI18" s="68">
        <f t="shared" ca="1" si="31"/>
        <v>1.7035775127768222</v>
      </c>
      <c r="EJ18" s="68">
        <f t="shared" ca="1" si="32"/>
        <v>4.5753224628863345</v>
      </c>
    </row>
    <row r="19" spans="1:140" x14ac:dyDescent="0.15">
      <c r="A19" s="1">
        <v>25</v>
      </c>
      <c r="B19" s="1">
        <v>26</v>
      </c>
      <c r="C19" s="1">
        <v>27</v>
      </c>
      <c r="D19" s="1">
        <v>24</v>
      </c>
      <c r="CG19" s="1">
        <v>25</v>
      </c>
      <c r="CI19" s="1">
        <f t="shared" ca="1" si="24"/>
        <v>2007</v>
      </c>
      <c r="CJ19" s="1" t="str">
        <f t="shared" si="25"/>
        <v>Q1</v>
      </c>
      <c r="CK19" s="1" t="str">
        <f t="shared" ca="1" si="12"/>
        <v>07</v>
      </c>
      <c r="CL19" s="1" t="str">
        <f t="shared" ca="1" si="13"/>
        <v>Q1 07</v>
      </c>
      <c r="CM19" s="1">
        <f ca="1">OFFSET('Input data (2)'!AJ$126,'Input data (2)'!$BL$1-'Output data - DO NOT TOUCH (2)'!$CG19,0)/1000</f>
        <v>16.742000000000001</v>
      </c>
      <c r="CN19" s="1">
        <f ca="1">OFFSET('Input data (2)'!AK$126,'Input data (2)'!$BL$1-'Output data - DO NOT TOUCH (2)'!$CG19,0)/1000</f>
        <v>12.454000000000001</v>
      </c>
      <c r="CO19" s="1">
        <f ca="1">OFFSET('Input data (2)'!AL$126,'Input data (2)'!$BL$1-'Output data - DO NOT TOUCH (2)'!$CG19,0)/1000</f>
        <v>29.196000000000002</v>
      </c>
      <c r="CP19" s="1"/>
      <c r="CQ19" s="1">
        <f ca="1">OFFSET('Input data (2)'!AG$126,'Input data (2)'!$BL$1-'Output data - DO NOT TOUCH (2)'!$CG19,0)/1000</f>
        <v>1.353</v>
      </c>
      <c r="CR19" s="1">
        <f ca="1">OFFSET('Input data (2)'!AH$126,'Input data (2)'!$BL$1-'Output data - DO NOT TOUCH (2)'!$CG19,0)/1000</f>
        <v>1.81</v>
      </c>
      <c r="CS19" s="1">
        <f ca="1">OFFSET('Input data (2)'!AI$126,'Input data (2)'!$BL$1-'Output data - DO NOT TOUCH (2)'!$CG19,0)/1000</f>
        <v>3.1629999999999998</v>
      </c>
      <c r="CT19" s="1"/>
      <c r="CU19" s="1">
        <f ca="1">OFFSET('Input data (2)'!L$126,'Input data (2)'!$BL$1-'Output data - DO NOT TOUCH (2)'!$CG19,0)</f>
        <v>88</v>
      </c>
      <c r="CV19" s="1">
        <f ca="1">OFFSET('Input data (2)'!M$126,'Input data (2)'!$BL$1-'Output data - DO NOT TOUCH (2)'!$CG19,0)</f>
        <v>1</v>
      </c>
      <c r="CW19" s="67">
        <f ca="1">OFFSET('Input data (2)'!N$126,'Input data (2)'!$BL$1-'Output data - DO NOT TOUCH (2)'!$CG19,0)</f>
        <v>683</v>
      </c>
      <c r="CX19" s="1">
        <f ca="1">OFFSET('Input data (2)'!P$126,'Input data (2)'!$BL$1-'Output data - DO NOT TOUCH (2)'!$CG19,0)</f>
        <v>96</v>
      </c>
      <c r="CY19" s="1"/>
      <c r="CZ19" s="1">
        <f ca="1">OFFSET('Input data (2)'!AY$126,'Input data (2)'!$BL$1-'Output data - DO NOT TOUCH (2)'!$CG19,0)/1000</f>
        <v>1.617</v>
      </c>
      <c r="DA19" s="1">
        <f ca="1">OFFSET('Input data (2)'!BA$126,'Input data (2)'!$BL$1-'Output data - DO NOT TOUCH (2)'!$CG19,0)/1000</f>
        <v>1.964</v>
      </c>
      <c r="DB19" s="1">
        <f ca="1">OFFSET('Input data (2)'!BB$126,'Input data (2)'!$BL$1-'Output data - DO NOT TOUCH (2)'!$CG19,0)/1000</f>
        <v>3.581</v>
      </c>
      <c r="DD19" s="1">
        <f ca="1">OFFSET('Input data (2)'!AN$126,'Input data (2)'!$BL$1-'Output data - DO NOT TOUCH (2)'!$CG19,0)</f>
        <v>132</v>
      </c>
      <c r="DE19" s="1">
        <f ca="1">OFFSET('Input data (2)'!AO$126,'Input data (2)'!$BL$1-'Output data - DO NOT TOUCH (2)'!$CG19,0)</f>
        <v>34</v>
      </c>
      <c r="DF19" s="1">
        <f ca="1">OFFSET('Input data (2)'!AP$126,'Input data (2)'!$BL$1-'Output data - DO NOT TOUCH (2)'!$CG19,0)</f>
        <v>166</v>
      </c>
      <c r="DG19" s="1"/>
      <c r="DH19" s="1">
        <f ca="1">OFFSET('Input data (2)'!AU$126,'Input data (2)'!$BL$1-'Output data - DO NOT TOUCH (2)'!$CG19,0)</f>
        <v>9</v>
      </c>
      <c r="DI19" s="1">
        <f ca="1">OFFSET('Input data (2)'!AV$126,'Input data (2)'!$BL$1-'Output data - DO NOT TOUCH (2)'!$CG19,0)</f>
        <v>0</v>
      </c>
      <c r="DJ19" s="1">
        <f ca="1">OFFSET('Input data (2)'!AW$126,'Input data (2)'!$BL$1-'Output data - DO NOT TOUCH (2)'!$CG19,0)</f>
        <v>15</v>
      </c>
      <c r="DK19" s="1">
        <f ca="1">OFFSET('Input data (2)'!AX$126,'Input data (2)'!$BL$1-'Output data - DO NOT TOUCH (2)'!$CG19,0)</f>
        <v>2</v>
      </c>
      <c r="DM19" s="1">
        <f ca="1">OFFSET('Input data (2)'!BI$126,'Input data (2)'!$BL$1-'Output data - DO NOT TOUCH (2)'!$CG19,0)</f>
        <v>218</v>
      </c>
      <c r="DN19" s="1">
        <f ca="1">OFFSET('Input data (2)'!BJ$126,'Input data (2)'!$BL$1-'Output data - DO NOT TOUCH (2)'!$CG19,0)</f>
        <v>125</v>
      </c>
      <c r="DO19" s="1">
        <f ca="1">OFFSET('Input data (2)'!BL$126,'Input data (2)'!$BL$1-'Output data - DO NOT TOUCH (2)'!$CG19,0)</f>
        <v>343</v>
      </c>
      <c r="DQ19" s="1">
        <f ca="1">OFFSET('Input data (2)'!BD$126,'Input data (2)'!$BL$1-'Output data - DO NOT TOUCH (2)'!$CG19,0)</f>
        <v>29</v>
      </c>
      <c r="DR19" s="1">
        <f ca="1">OFFSET('Input data (2)'!BE$126,'Input data (2)'!$BL$1-'Output data - DO NOT TOUCH (2)'!$CG19,0)</f>
        <v>7</v>
      </c>
      <c r="DS19" s="1">
        <f ca="1">OFFSET('Input data (2)'!BF$126,'Input data (2)'!$BL$1-'Output data - DO NOT TOUCH (2)'!$CG19,0)</f>
        <v>36</v>
      </c>
      <c r="DU19" s="1">
        <f ca="1">OFFSET('Input data (2)'!B$126,'Input data (2)'!$BL$1-'Output data - DO NOT TOUCH (2)'!$CG19-1,0)</f>
        <v>2006</v>
      </c>
      <c r="DV19" s="1" t="str">
        <f ca="1">OFFSET('Input data (2)'!C$126,'Input data (2)'!$BL$1-'Output data - DO NOT TOUCH (2)'!$CG19-1,0)</f>
        <v>Q4</v>
      </c>
      <c r="DW19" s="1" t="str">
        <f t="shared" ca="1" si="14"/>
        <v>06</v>
      </c>
      <c r="DX19" s="1" t="str">
        <f t="shared" ca="1" si="15"/>
        <v>Q4 06</v>
      </c>
      <c r="DY19" s="1">
        <f ca="1">OFFSET('Input data (2)'!W$126,'Input data (2)'!$BL$1-'Output data - DO NOT TOUCH (2)'!$CG19-1,0)/1000</f>
        <v>1.8560000000000001</v>
      </c>
      <c r="DZ19" s="1">
        <f ca="1">OFFSET('Input data (2)'!Y$126,'Input data (2)'!$BL$1-'Output data - DO NOT TOUCH (2)'!$CG19-1,0)/1000</f>
        <v>13.91</v>
      </c>
      <c r="EA19" s="1">
        <f ca="1">OFFSET('Input data (2)'!Q$126,'Input data (2)'!$BL$1-'Output data - DO NOT TOUCH (2)'!$CG19-1,0)/1000</f>
        <v>15.766</v>
      </c>
      <c r="EC19" s="3" t="str">
        <f t="shared" si="26"/>
        <v>Q2 12</v>
      </c>
      <c r="ED19" s="68" t="e">
        <f t="shared" ca="1" si="27"/>
        <v>#VALUE!</v>
      </c>
      <c r="EE19" s="68" t="e">
        <f t="shared" ca="1" si="28"/>
        <v>#VALUE!</v>
      </c>
      <c r="EF19" s="68" t="e">
        <f t="shared" ca="1" si="29"/>
        <v>#VALUE!</v>
      </c>
      <c r="EH19" s="68">
        <f t="shared" ca="1" si="30"/>
        <v>-6.8321513002364043</v>
      </c>
      <c r="EI19" s="68">
        <f t="shared" ca="1" si="31"/>
        <v>2.9078014184397243</v>
      </c>
      <c r="EJ19" s="68">
        <f t="shared" ca="1" si="32"/>
        <v>-3.92434988179668</v>
      </c>
    </row>
    <row r="20" spans="1:140" x14ac:dyDescent="0.15">
      <c r="A20" s="1">
        <v>24</v>
      </c>
      <c r="B20" s="1">
        <v>25</v>
      </c>
      <c r="C20" s="1">
        <v>26</v>
      </c>
      <c r="D20" s="1">
        <v>23</v>
      </c>
      <c r="E20" s="1" t="str">
        <f>F20&amp;G20</f>
        <v>2004Q1</v>
      </c>
      <c r="F20" s="1">
        <f>F15+1</f>
        <v>2004</v>
      </c>
      <c r="G20" s="1" t="s">
        <v>1</v>
      </c>
      <c r="H20" s="1">
        <f>VLOOKUP($E20,'Input data (2)'!$A:$BL,'Output data - DO NOT TOUCH (2)'!H$71,FALSE)</f>
        <v>3248</v>
      </c>
      <c r="I20" s="1">
        <f>VLOOKUP($E20,'Input data (2)'!$A:$BL,'Output data - DO NOT TOUCH (2)'!I$71,FALSE)</f>
        <v>1208</v>
      </c>
      <c r="J20" s="1">
        <f>VLOOKUP($E20,'Input data (2)'!$A:$BL,'Output data - DO NOT TOUCH (2)'!J$71,FALSE)</f>
        <v>2040</v>
      </c>
      <c r="K20" s="1">
        <f>VLOOKUP($E20,'Input data (2)'!$A:$BL,'Output data - DO NOT TOUCH (2)'!K$71,FALSE)</f>
        <v>3177</v>
      </c>
      <c r="L20" s="1">
        <f>VLOOKUP($E20,'Input data (2)'!$A:$BL,'Output data - DO NOT TOUCH (2)'!L$71,FALSE)</f>
        <v>1179</v>
      </c>
      <c r="M20" s="1">
        <f>VLOOKUP($E20,'Input data (2)'!$A:$BL,'Output data - DO NOT TOUCH (2)'!M$71,FALSE)</f>
        <v>1998</v>
      </c>
      <c r="O20" s="119">
        <f ca="1">IF(AND('Input data (2)'!$C$2=4,$D8&gt;=0),OFFSET('Input data (2)'!O$126,'Input data (2)'!$BL$1-$D8,0),IF(AND('Input data (2)'!$C$2=3,$C8&gt;=0),OFFSET('Input data (2)'!O$126,'Input data (2)'!$BL$1-$C8,0),IF(AND('Input data (2)'!$C$2=2,$B8&gt;=0),OFFSET('Input data (2)'!O$126,'Input data (2)'!$BL$1-$B8,0),IF(AND('Input data (2)'!$C$2=1,$A8&gt;=0),OFFSET('Input data (2)'!O$126,'Input data (2)'!$BL$1-$A8,0),""))))</f>
        <v>12</v>
      </c>
      <c r="Q20" s="1">
        <f ca="1">IF(AND('Input data (2)'!$C$2=4,$D8&gt;=0),OFFSET('Input data (2)'!AC$126,'Input data (2)'!$BL$1-$D8,0),IF(AND('Input data (2)'!$C$2=3,$C8&gt;=0),OFFSET('Input data (2)'!AC$126,'Input data (2)'!$BL$1-$C8,0),IF(AND('Input data (2)'!$C$2=2,$B8&gt;=0),OFFSET('Input data (2)'!AC$126,'Input data (2)'!$BL$1-$B8,0),IF(AND('Input data (2)'!$C$2=1,$A8&gt;=0),OFFSET('Input data (2)'!AC$126,'Input data (2)'!$BL$1-$A8,0),""))))</f>
        <v>10665</v>
      </c>
      <c r="R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S20" s="1" t="str">
        <f ca="1">IF(AND('Input data (2)'!$C$2=4,$D8&gt;=0),OFFSET('Input data (2)'!R$126,'Input data (2)'!$BL$1-$D8,0),IF(AND('Input data (2)'!$C$2=3,$C8&gt;=0),OFFSET('Input data (2)'!R$126,'Input data (2)'!$BL$1-$C8,0),IF(AND('Input data (2)'!$C$2=2,$B8&gt;=0),OFFSET('Input data (2)'!R$126,'Input data (2)'!$BL$1-$B8,0),IF(AND('Input data (2)'!$C$2=1,$A8&gt;=0),OFFSET('Input data (2)'!R$126,'Input data (2)'!$BL$1-$A8,0),""))))</f>
        <v>:</v>
      </c>
      <c r="T20" s="1">
        <f ca="1">IF(AND('Input data (2)'!$C$2=4,$D8&gt;=0),OFFSET('Input data (2)'!AA$126,'Input data (2)'!$BL$1-$D8,0),IF(AND('Input data (2)'!$C$2=3,$C8&gt;=0),OFFSET('Input data (2)'!AA$126,'Input data (2)'!$BL$1-$C8,0),IF(AND('Input data (2)'!$C$2=2,$B8&gt;=0),OFFSET('Input data (2)'!AA$126,'Input data (2)'!$BL$1-$B8,0),IF(AND('Input data (2)'!$C$2=1,$A8&gt;=0),OFFSET('Input data (2)'!AA$126,'Input data (2)'!$BL$1-$A8,0),""))))</f>
        <v>2141</v>
      </c>
      <c r="U20" s="1">
        <f ca="1">IF(AND('Input data (2)'!$C$2=4,$D8&gt;=0),OFFSET('Input data (2)'!AL$126,'Input data (2)'!$BL$1-$D8,0),IF(AND('Input data (2)'!$C$2=3,$C8&gt;=0),OFFSET('Input data (2)'!AL$126,'Input data (2)'!$BL$1-$C8,0),IF(AND('Input data (2)'!$C$2=2,$B8&gt;=0),OFFSET('Input data (2)'!AL$126,'Input data (2)'!$BL$1-$B8,0),IF(AND('Input data (2)'!$C$2=1,$A8&gt;=0),OFFSET('Input data (2)'!AL$126,'Input data (2)'!$BL$1-$A8,0),""))))</f>
        <v>10413</v>
      </c>
      <c r="V20" s="1">
        <f ca="1">IF(AND('Input data (2)'!$C$2=4,$D8&gt;=0),OFFSET('Input data (2)'!AJ$126,'Input data (2)'!$BL$1-$D8,0),IF(AND('Input data (2)'!$C$2=3,$C8&gt;=0),OFFSET('Input data (2)'!AJ$126,'Input data (2)'!$BL$1-$C8,0),IF(AND('Input data (2)'!$C$2=2,$B8&gt;=0),OFFSET('Input data (2)'!AJ$126,'Input data (2)'!$BL$1-$B8,0),IF(AND('Input data (2)'!$C$2=1,$A8&gt;=0),OFFSET('Input data (2)'!AJ$126,'Input data (2)'!$BL$1-$A8,0),""))))</f>
        <v>8027</v>
      </c>
      <c r="W20" s="1">
        <f ca="1">IF(AND('Input data (2)'!$C$2=4,$D8&gt;=0),OFFSET('Input data (2)'!AK$126,'Input data (2)'!$BL$1-$D8,0),IF(AND('Input data (2)'!$C$2=3,$C8&gt;=0),OFFSET('Input data (2)'!AK$126,'Input data (2)'!$BL$1-$C8,0),IF(AND('Input data (2)'!$C$2=2,$B8&gt;=0),OFFSET('Input data (2)'!AK$126,'Input data (2)'!$BL$1-$B8,0),IF(AND('Input data (2)'!$C$2=1,$A8&gt;=0),OFFSET('Input data (2)'!AK$126,'Input data (2)'!$BL$1-$A8,0),""))))</f>
        <v>2386</v>
      </c>
      <c r="Y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Z20" s="1">
        <f ca="1">IF(AND('Input data (2)'!$C$2=4,$D8&gt;=0),OFFSET('Input data (2)'!S$126,'Input data (2)'!$BL$1-$D8,0),IF(AND('Input data (2)'!$C$2=3,$C8&gt;=0),OFFSET('Input data (2)'!S$126,'Input data (2)'!$BL$1-$C8,0),IF(AND('Input data (2)'!$C$2=2,$B8&gt;=0),OFFSET('Input data (2)'!S$126,'Input data (2)'!$BL$1-$B8,0),IF(AND('Input data (2)'!$C$2=1,$A8&gt;=0),OFFSET('Input data (2)'!S$126,'Input data (2)'!$BL$1-$A8,0),""))))</f>
        <v>6472</v>
      </c>
      <c r="AA20" s="1">
        <f ca="1">IF(AND('Input data (2)'!$C$2=4,$D8&gt;=0),OFFSET('Input data (2)'!T$126,'Input data (2)'!$BL$1-$D8,0),IF(AND('Input data (2)'!$C$2=3,$C8&gt;=0),OFFSET('Input data (2)'!T$126,'Input data (2)'!$BL$1-$C8,0),IF(AND('Input data (2)'!$C$2=2,$B8&gt;=0),OFFSET('Input data (2)'!T$126,'Input data (2)'!$BL$1-$B8,0),IF(AND('Input data (2)'!$C$2=1,$A8&gt;=0),OFFSET('Input data (2)'!T$126,'Input data (2)'!$BL$1-$A8,0),""))))</f>
        <v>75.926794931956834</v>
      </c>
      <c r="AB20" s="1">
        <f ca="1">IF(AND('Input data (2)'!$C$2=4,$D8&gt;=0),OFFSET('Input data (2)'!U$126,'Input data (2)'!$BL$1-$D8,0),IF(AND('Input data (2)'!$C$2=3,$C8&gt;=0),OFFSET('Input data (2)'!U$126,'Input data (2)'!$BL$1-$C8,0),IF(AND('Input data (2)'!$C$2=2,$B8&gt;=0),OFFSET('Input data (2)'!U$126,'Input data (2)'!$BL$1-$B8,0),IF(AND('Input data (2)'!$C$2=1,$A8&gt;=0),OFFSET('Input data (2)'!U$126,'Input data (2)'!$BL$1-$A8,0),""))))</f>
        <v>2052</v>
      </c>
      <c r="AC20" s="1">
        <f ca="1">IF(AND('Input data (2)'!$C$2=4,$D8&gt;=0),OFFSET('Input data (2)'!V$126,'Input data (2)'!$BL$1-$D8,0),IF(AND('Input data (2)'!$C$2=3,$C8&gt;=0),OFFSET('Input data (2)'!V$126,'Input data (2)'!$BL$1-$C8,0),IF(AND('Input data (2)'!$C$2=2,$B8&gt;=0),OFFSET('Input data (2)'!V$126,'Input data (2)'!$BL$1-$B8,0),IF(AND('Input data (2)'!$C$2=1,$A8&gt;=0),OFFSET('Input data (2)'!V$126,'Input data (2)'!$BL$1-$A8,0),""))))</f>
        <v>24.073205068043173</v>
      </c>
      <c r="AD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AE20" s="1">
        <f ca="1">IF(AND('Input data (2)'!$C$2=4,$D8&gt;=0),OFFSET('Input data (2)'!W$126,'Input data (2)'!$BL$1-$D8,0),IF(AND('Input data (2)'!$C$2=3,$C8&gt;=0),OFFSET('Input data (2)'!W$126,'Input data (2)'!$BL$1-$C8,0),IF(AND('Input data (2)'!$C$2=2,$B8&gt;=0),OFFSET('Input data (2)'!W$126,'Input data (2)'!$BL$1-$B8,0),IF(AND('Input data (2)'!$C$2=1,$A8&gt;=0),OFFSET('Input data (2)'!W$126,'Input data (2)'!$BL$1-$A8,0),""))))</f>
        <v>2437</v>
      </c>
      <c r="AF20" s="1">
        <f ca="1">IF(AND('Input data (2)'!$C$2=4,$D8&gt;=0),OFFSET('Input data (2)'!X$126,'Input data (2)'!$BL$1-$D8,0),IF(AND('Input data (2)'!$C$2=3,$C8&gt;=0),OFFSET('Input data (2)'!X$126,'Input data (2)'!$BL$1-$C8,0),IF(AND('Input data (2)'!$C$2=2,$B8&gt;=0),OFFSET('Input data (2)'!X$126,'Input data (2)'!$BL$1-$B8,0),IF(AND('Input data (2)'!$C$2=1,$A8&gt;=0),OFFSET('Input data (2)'!X$126,'Input data (2)'!$BL$1-$A8,0),""))))</f>
        <v>28.589863913655559</v>
      </c>
      <c r="AG20" s="1">
        <f ca="1">IF(AND('Input data (2)'!$C$2=4,$D8&gt;=0),OFFSET('Input data (2)'!Y$126,'Input data (2)'!$BL$1-$D8,0),IF(AND('Input data (2)'!$C$2=3,$C8&gt;=0),OFFSET('Input data (2)'!Y$126,'Input data (2)'!$BL$1-$C8,0),IF(AND('Input data (2)'!$C$2=2,$B8&gt;=0),OFFSET('Input data (2)'!Y$126,'Input data (2)'!$BL$1-$B8,0),IF(AND('Input data (2)'!$C$2=1,$A8&gt;=0),OFFSET('Input data (2)'!Y$126,'Input data (2)'!$BL$1-$A8,0),""))))</f>
        <v>6087</v>
      </c>
      <c r="AH20" s="1">
        <f ca="1">IF(AND('Input data (2)'!$C$2=4,$D8&gt;=0),OFFSET('Input data (2)'!Z$126,'Input data (2)'!$BL$1-$D8,0),IF(AND('Input data (2)'!$C$2=3,$C8&gt;=0),OFFSET('Input data (2)'!Z$126,'Input data (2)'!$BL$1-$C8,0),IF(AND('Input data (2)'!$C$2=2,$B8&gt;=0),OFFSET('Input data (2)'!Z$126,'Input data (2)'!$BL$1-$B8,0),IF(AND('Input data (2)'!$C$2=1,$A8&gt;=0),OFFSET('Input data (2)'!Z$126,'Input data (2)'!$BL$1-$A8,0),""))))</f>
        <v>71.410136086344451</v>
      </c>
      <c r="AI20" s="3"/>
      <c r="AJ20" s="124">
        <f ca="1">IF(AND('Input data (2)'!$C$2=4,$D8&gt;=0),OFFSET('Input data (2)'!AF$126,'Input data (2)'!$BL$1-$D8,0),IF(AND('Input data (2)'!$C$2=3,$C8&gt;=0),OFFSET('Input data (2)'!AF$126,'Input data (2)'!$BL$1-$C8,0),IF(AND('Input data (2)'!$C$2=2,$B8&gt;=0),OFFSET('Input data (2)'!AF$126,'Input data (2)'!$BL$1-$B8,0),IF(AND('Input data (2)'!$C$2=1,$A8&gt;=0),OFFSET('Input data (2)'!AF$126,'Input data (2)'!$BL$1-$A8,0),""))))</f>
        <v>783</v>
      </c>
      <c r="AK20" s="124">
        <f ca="1">IF(AND('Input data (2)'!$C$2=4,$D8&gt;=0),OFFSET('Input data (2)'!AD$126,'Input data (2)'!$BL$1-$D8,0),IF(AND('Input data (2)'!$C$2=3,$C8&gt;=0),OFFSET('Input data (2)'!AD$126,'Input data (2)'!$BL$1-$C8,0),IF(AND('Input data (2)'!$C$2=2,$B8&gt;=0),OFFSET('Input data (2)'!AD$126,'Input data (2)'!$BL$1-$B8,0),IF(AND('Input data (2)'!$C$2=1,$A8&gt;=0),OFFSET('Input data (2)'!AD$126,'Input data (2)'!$BL$1-$A8,0),""))))</f>
        <v>709</v>
      </c>
      <c r="AL20" s="124">
        <f ca="1">IF(AND('Input data (2)'!$C$2=4,$D8&gt;=0),OFFSET('Input data (2)'!AE$126,'Input data (2)'!$BL$1-$D8,0),IF(AND('Input data (2)'!$C$2=3,$C8&gt;=0),OFFSET('Input data (2)'!AE$126,'Input data (2)'!$BL$1-$C8,0),IF(AND('Input data (2)'!$C$2=2,$B8&gt;=0),OFFSET('Input data (2)'!AE$126,'Input data (2)'!$BL$1-$B8,0),IF(AND('Input data (2)'!$C$2=1,$A8&gt;=0),OFFSET('Input data (2)'!AE$126,'Input data (2)'!$BL$1-$A8,0),""))))</f>
        <v>74</v>
      </c>
      <c r="AW20" s="1">
        <f ca="1">IF(AND('Input data (2)'!$C$2=4,$D8&gt;=0),OFFSET('Input data (2)'!L$126,'Input data (2)'!$BL$1-$D8,0),IF(AND('Input data (2)'!$C$2=3,$C8&gt;=0),OFFSET('Input data (2)'!L$126,'Input data (2)'!$BL$1-$C8,0),IF(AND('Input data (2)'!$C$2=2,$B8&gt;=0),OFFSET('Input data (2)'!L$126,'Input data (2)'!$BL$1-$B8,0),IF(AND('Input data (2)'!$C$2=1,$A8&gt;=0),OFFSET('Input data (2)'!L$126,'Input data (2)'!$BL$1-$A8,0),""))))</f>
        <v>224</v>
      </c>
      <c r="AX20" s="1">
        <f ca="1">IF(AND('Input data (2)'!$C$2=4,$D8&gt;=0),OFFSET('Input data (2)'!M$126,'Input data (2)'!$BL$1-$D8,0),IF(AND('Input data (2)'!$C$2=3,$C8&gt;=0),OFFSET('Input data (2)'!M$126,'Input data (2)'!$BL$1-$C8,0),IF(AND('Input data (2)'!$C$2=2,$B8&gt;=0),OFFSET('Input data (2)'!M$126,'Input data (2)'!$BL$1-$B8,0),IF(AND('Input data (2)'!$C$2=1,$A8&gt;=0),OFFSET('Input data (2)'!M$126,'Input data (2)'!$BL$1-$A8,0),""))))</f>
        <v>1</v>
      </c>
      <c r="AY20" s="1">
        <f ca="1">IF(AND('Input data (2)'!$C$2=4,$D8&gt;=0),OFFSET('Input data (2)'!N$126,'Input data (2)'!$BL$1-$D8,0),IF(AND('Input data (2)'!$C$2=3,$C8&gt;=0),OFFSET('Input data (2)'!N$126,'Input data (2)'!$BL$1-$C8,0),IF(AND('Input data (2)'!$C$2=2,$B8&gt;=0),OFFSET('Input data (2)'!N$126,'Input data (2)'!$BL$1-$B8,0),IF(AND('Input data (2)'!$C$2=1,$A8&gt;=0),OFFSET('Input data (2)'!N$126,'Input data (2)'!$BL$1-$A8,0),""))))</f>
        <v>331</v>
      </c>
      <c r="AZ20" s="1">
        <f ca="1">IF(AND('Input data (2)'!$C$2=4,$D8&gt;=0),OFFSET('Input data (2)'!P$126,'Input data (2)'!$BL$1-$D8,0),IF(AND('Input data (2)'!$C$2=3,$C8&gt;=0),OFFSET('Input data (2)'!P$126,'Input data (2)'!$BL$1-$C8,0),IF(AND('Input data (2)'!$C$2=2,$B8&gt;=0),OFFSET('Input data (2)'!P$126,'Input data (2)'!$BL$1-$B8,0),IF(AND('Input data (2)'!$C$2=1,$A8&gt;=0),OFFSET('Input data (2)'!P$126,'Input data (2)'!$BL$1-$A8,0),""))))</f>
        <v>176</v>
      </c>
      <c r="BB20" s="1">
        <f ca="1">IF(AND('Input data (2)'!$C$2=4,$D8&gt;=0),OFFSET('Input data (2)'!BB$126,'Input data (2)'!$BL$1-$D8,0),IF(AND('Input data (2)'!$C$2=3,$C8&gt;=0),OFFSET('Input data (2)'!BB$126,'Input data (2)'!$BL$1-$C8,0),IF(AND('Input data (2)'!$C$2=2,$B8&gt;=0),OFFSET('Input data (2)'!BB$126,'Input data (2)'!$BL$1-$B8,0),IF(AND('Input data (2)'!$C$2=1,$A8&gt;=0),OFFSET('Input data (2)'!BB$126,'Input data (2)'!$BL$1-$A8,0),""))))</f>
        <v>2154</v>
      </c>
      <c r="BC20" s="1">
        <f ca="1">IF(AND('Input data (2)'!$C$2=4,$D8&gt;=0),OFFSET('Input data (2)'!AY$126,'Input data (2)'!$BL$1-$D8,0),IF(AND('Input data (2)'!$C$2=3,$C8&gt;=0),OFFSET('Input data (2)'!AY$126,'Input data (2)'!$BL$1-$C8,0),IF(AND('Input data (2)'!$C$2=2,$B8&gt;=0),OFFSET('Input data (2)'!AY$126,'Input data (2)'!$BL$1-$B8,0),IF(AND('Input data (2)'!$C$2=1,$A8&gt;=0),OFFSET('Input data (2)'!AY$126,'Input data (2)'!$BL$1-$A8,0),""))))</f>
        <v>720</v>
      </c>
      <c r="BD20" s="1" t="str">
        <f ca="1">IF(AND('Input data (2)'!$C$2=4,$D8&gt;=0),OFFSET('Input data (2)'!AZ$126,'Input data (2)'!$BL$1-$D8,0),IF(AND('Input data (2)'!$C$2=3,$C8&gt;=0),OFFSET('Input data (2)'!AZ$126,'Input data (2)'!$BL$1-$C8,0),IF(AND('Input data (2)'!$C$2=2,$B8&gt;=0),OFFSET('Input data (2)'!AZ$126,'Input data (2)'!$BL$1-$B8,0),IF(AND('Input data (2)'!$C$2=1,$A8&gt;=0),OFFSET('Input data (2)'!AZ$126,'Input data (2)'!$BL$1-$A8,0),""))))</f>
        <v>:</v>
      </c>
      <c r="BE20" s="1">
        <f ca="1">IF(AND('Input data (2)'!$C$2=4,$D8&gt;=0),OFFSET('Input data (2)'!BA$126,'Input data (2)'!$BL$1-$D8,0),IF(AND('Input data (2)'!$C$2=3,$C8&gt;=0),OFFSET('Input data (2)'!BA$126,'Input data (2)'!$BL$1-$C8,0),IF(AND('Input data (2)'!$C$2=2,$B8&gt;=0),OFFSET('Input data (2)'!BA$126,'Input data (2)'!$BL$1-$B8,0),IF(AND('Input data (2)'!$C$2=1,$A8&gt;=0),OFFSET('Input data (2)'!BA$126,'Input data (2)'!$BL$1-$A8,0),""))))</f>
        <v>1434</v>
      </c>
      <c r="BF20" s="1">
        <f ca="1">IF(AND('Input data (2)'!$C$2=4,$D8&gt;=0),OFFSET('Input data (2)'!AP$126,'Input data (2)'!$BL$1-$D8,0),IF(AND('Input data (2)'!$C$2=3,$C8&gt;=0),OFFSET('Input data (2)'!AP$126,'Input data (2)'!$BL$1-$C8,0),IF(AND('Input data (2)'!$C$2=2,$B8&gt;=0),OFFSET('Input data (2)'!AP$126,'Input data (2)'!$BL$1-$B8,0),IF(AND('Input data (2)'!$C$2=1,$A8&gt;=0),OFFSET('Input data (2)'!AP$126,'Input data (2)'!$BL$1-$A8,0),""))))</f>
        <v>153</v>
      </c>
      <c r="BG20" s="1">
        <f ca="1">IF(AND('Input data (2)'!$C$2=4,$D8&gt;=0),OFFSET('Input data (2)'!AN$126,'Input data (2)'!$BL$1-$D8,0),IF(AND('Input data (2)'!$C$2=3,$C8&gt;=0),OFFSET('Input data (2)'!AN$126,'Input data (2)'!$BL$1-$C8,0),IF(AND('Input data (2)'!$C$2=2,$B8&gt;=0),OFFSET('Input data (2)'!AN$126,'Input data (2)'!$BL$1-$B8,0),IF(AND('Input data (2)'!$C$2=1,$A8&gt;=0),OFFSET('Input data (2)'!AN$126,'Input data (2)'!$BL$1-$A8,0),""))))</f>
        <v>95</v>
      </c>
      <c r="BH20" s="1">
        <f ca="1">IF(AND('Input data (2)'!$C$2=4,$D8&gt;=0),OFFSET('Input data (2)'!AO$126,'Input data (2)'!$BL$1-$D8,0),IF(AND('Input data (2)'!$C$2=3,$C8&gt;=0),OFFSET('Input data (2)'!AO$126,'Input data (2)'!$BL$1-$C8,0),IF(AND('Input data (2)'!$C$2=2,$B8&gt;=0),OFFSET('Input data (2)'!AO$126,'Input data (2)'!$BL$1-$B8,0),IF(AND('Input data (2)'!$C$2=1,$A8&gt;=0),OFFSET('Input data (2)'!AO$126,'Input data (2)'!$BL$1-$A8,0),""))))</f>
        <v>58</v>
      </c>
      <c r="BJ20" s="1">
        <f ca="1">IF(AND('Input data (2)'!$C$2=4,$D8&gt;=0),OFFSET('Input data (2)'!AU$126,'Input data (2)'!$BL$1-$D8,0),IF(AND('Input data (2)'!$C$2=3,$C8&gt;=0),OFFSET('Input data (2)'!AU$126,'Input data (2)'!$BL$1-$C8,0),IF(AND('Input data (2)'!$C$2=2,$B8&gt;=0),OFFSET('Input data (2)'!AU$126,'Input data (2)'!$BL$1-$B8,0),IF(AND('Input data (2)'!$C$2=1,$A8&gt;=0),OFFSET('Input data (2)'!AU$126,'Input data (2)'!$BL$1-$A8,0),""))))</f>
        <v>30</v>
      </c>
      <c r="BK20" s="1">
        <f ca="1">IF(AND('Input data (2)'!$C$2=4,$D8&gt;=0),OFFSET('Input data (2)'!AV$126,'Input data (2)'!$BL$1-$D8,0),IF(AND('Input data (2)'!$C$2=3,$C8&gt;=0),OFFSET('Input data (2)'!AV$126,'Input data (2)'!$BL$1-$C8,0),IF(AND('Input data (2)'!$C$2=2,$B8&gt;=0),OFFSET('Input data (2)'!AV$126,'Input data (2)'!$BL$1-$B8,0),IF(AND('Input data (2)'!$C$2=1,$A8&gt;=0),OFFSET('Input data (2)'!AV$126,'Input data (2)'!$BL$1-$A8,0),""))))</f>
        <v>0</v>
      </c>
      <c r="BL20" s="1">
        <f ca="1">IF(AND('Input data (2)'!$C$2=4,$D8&gt;=0),OFFSET('Input data (2)'!AW$126,'Input data (2)'!$BL$1-$D8,0),IF(AND('Input data (2)'!$C$2=3,$C8&gt;=0),OFFSET('Input data (2)'!AW$126,'Input data (2)'!$BL$1-$C8,0),IF(AND('Input data (2)'!$C$2=2,$B8&gt;=0),OFFSET('Input data (2)'!AW$126,'Input data (2)'!$BL$1-$B8,0),IF(AND('Input data (2)'!$C$2=1,$A8&gt;=0),OFFSET('Input data (2)'!AW$126,'Input data (2)'!$BL$1-$A8,0),""))))</f>
        <v>9</v>
      </c>
      <c r="BM20" s="1">
        <f ca="1">IF(AND('Input data (2)'!$C$2=4,$D8&gt;=0),OFFSET('Input data (2)'!AX$126,'Input data (2)'!$BL$1-$D8,0),IF(AND('Input data (2)'!$C$2=3,$C8&gt;=0),OFFSET('Input data (2)'!AX$126,'Input data (2)'!$BL$1-$C8,0),IF(AND('Input data (2)'!$C$2=2,$B8&gt;=0),OFFSET('Input data (2)'!AX$126,'Input data (2)'!$BL$1-$B8,0),IF(AND('Input data (2)'!$C$2=1,$A8&gt;=0),OFFSET('Input data (2)'!AX$126,'Input data (2)'!$BL$1-$A8,0),""))))</f>
        <v>1</v>
      </c>
      <c r="BO20" s="1">
        <f ca="1">IF(AND('Input data (2)'!$C$2=4,$D8&gt;=0),OFFSET('Input data (2)'!BL$126,'Input data (2)'!$BL$1-$D8,0),IF(AND('Input data (2)'!$C$2=3,$C8&gt;=0),OFFSET('Input data (2)'!BL$126,'Input data (2)'!$BL$1-$C8,0),IF(AND('Input data (2)'!$C$2=2,$B8&gt;=0),OFFSET('Input data (2)'!BL$126,'Input data (2)'!$BL$1-$B8,0),IF(AND('Input data (2)'!$C$2=1,$A8&gt;=0),OFFSET('Input data (2)'!BL$126,'Input data (2)'!$BL$1-$A8,0),""))))</f>
        <v>253</v>
      </c>
      <c r="BP20" s="1">
        <f ca="1">IF(AND('Input data (2)'!$C$2=4,$D8&gt;=0),OFFSET('Input data (2)'!BI$126,'Input data (2)'!$BL$1-$D8,0),IF(AND('Input data (2)'!$C$2=3,$C8&gt;=0),OFFSET('Input data (2)'!BI$126,'Input data (2)'!$BL$1-$C8,0),IF(AND('Input data (2)'!$C$2=2,$B8&gt;=0),OFFSET('Input data (2)'!BI$126,'Input data (2)'!$BL$1-$B8,0),IF(AND('Input data (2)'!$C$2=1,$A8&gt;=0),OFFSET('Input data (2)'!BI$126,'Input data (2)'!$BL$1-$A8,0),""))))</f>
        <v>155</v>
      </c>
      <c r="BQ20" s="1" t="str">
        <f ca="1">IF(AND('Input data (2)'!$C$2=4,$D8&gt;=0),OFFSET('Input data (2)'!BK$126,'Input data (2)'!$BL$1-$D8,0),IF(AND('Input data (2)'!$C$2=3,$C8&gt;=0),OFFSET('Input data (2)'!BK$126,'Input data (2)'!$BL$1-$C8,0),IF(AND('Input data (2)'!$C$2=2,$B8&gt;=0),OFFSET('Input data (2)'!BK$126,'Input data (2)'!$BL$1-$B8,0),IF(AND('Input data (2)'!$C$2=1,$A8&gt;=0),OFFSET('Input data (2)'!BK$126,'Input data (2)'!$BL$1-$A8,0),""))))</f>
        <v>..</v>
      </c>
      <c r="BR20" s="1">
        <f ca="1">IF(AND('Input data (2)'!$C$2=4,$D8&gt;=0),OFFSET('Input data (2)'!BJ$126,'Input data (2)'!$BL$1-$D8,0),IF(AND('Input data (2)'!$C$2=3,$C8&gt;=0),OFFSET('Input data (2)'!BJ$126,'Input data (2)'!$BL$1-$C8,0),IF(AND('Input data (2)'!$C$2=2,$B8&gt;=0),OFFSET('Input data (2)'!BJ$126,'Input data (2)'!$BL$1-$B8,0),IF(AND('Input data (2)'!$C$2=1,$A8&gt;=0),OFFSET('Input data (2)'!BJ$126,'Input data (2)'!$BL$1-$A8,0),""))))</f>
        <v>98</v>
      </c>
      <c r="BS20" s="1">
        <f ca="1">IF(AND('Input data (2)'!$C$2=4,$D8&gt;=0),OFFSET('Input data (2)'!BF$126,'Input data (2)'!$BL$1-$D8,0),IF(AND('Input data (2)'!$C$2=3,$C8&gt;=0),OFFSET('Input data (2)'!BF$126,'Input data (2)'!$BL$1-$C8,0),IF(AND('Input data (2)'!$C$2=2,$B8&gt;=0),OFFSET('Input data (2)'!BF$126,'Input data (2)'!$BL$1-$B8,0),IF(AND('Input data (2)'!$C$2=1,$A8&gt;=0),OFFSET('Input data (2)'!BF$126,'Input data (2)'!$BL$1-$A8,0),""))))</f>
        <v>35</v>
      </c>
      <c r="BT20" s="1">
        <f ca="1">IF(AND('Input data (2)'!$C$2=4,$D8&gt;=0),OFFSET('Input data (2)'!BD$126,'Input data (2)'!$BL$1-$D8,0),IF(AND('Input data (2)'!$C$2=3,$C8&gt;=0),OFFSET('Input data (2)'!BD$126,'Input data (2)'!$BL$1-$C8,0),IF(AND('Input data (2)'!$C$2=2,$B8&gt;=0),OFFSET('Input data (2)'!BD$126,'Input data (2)'!$BL$1-$B8,0),IF(AND('Input data (2)'!$C$2=1,$A8&gt;=0),OFFSET('Input data (2)'!BD$126,'Input data (2)'!$BL$1-$A8,0),""))))</f>
        <v>19</v>
      </c>
      <c r="BU20" s="1">
        <f ca="1">IF(AND('Input data (2)'!$C$2=4,$D8&gt;=0),OFFSET('Input data (2)'!BE$126,'Input data (2)'!$BL$1-$D8,0),IF(AND('Input data (2)'!$C$2=3,$C8&gt;=0),OFFSET('Input data (2)'!BE$126,'Input data (2)'!$BL$1-$C8,0),IF(AND('Input data (2)'!$C$2=2,$B8&gt;=0),OFFSET('Input data (2)'!BE$126,'Input data (2)'!$BL$1-$B8,0),IF(AND('Input data (2)'!$C$2=1,$A8&gt;=0),OFFSET('Input data (2)'!BE$126,'Input data (2)'!$BL$1-$A8,0),""))))</f>
        <v>16</v>
      </c>
      <c r="BW20" s="7">
        <f ca="1">IF(AND('Input data (2)'!$C$2=4,$D8&gt;=0),OFFSET('Input data (2)'!J$126,'Input data (2)'!$BL$1-$D8,0),IF(AND('Input data (2)'!$C$2=3,$C8&gt;=0),OFFSET('Input data (2)'!J$126,'Input data (2)'!$BL$1-$C8,0),IF(AND('Input data (2)'!$C$2=2,$B8&gt;=0),OFFSET('Input data (2)'!J$126,'Input data (2)'!$BL$1-$B8,0),IF(AND('Input data (2)'!$C$2=1,$A8&gt;=0),OFFSET('Input data (2)'!J$126,'Input data (2)'!$BL$1-$A8,0),""))))</f>
        <v>0.82359301389101847</v>
      </c>
      <c r="BX20" s="7">
        <f ca="1">IF(AND('Input data (2)'!$C$2=4,$D8&gt;=0),OFFSET('Input data (2)'!K$126,'Input data (2)'!$BL$1-$D8,0),IF(AND('Input data (2)'!$C$2=3,$C8&gt;=0),OFFSET('Input data (2)'!K$126,'Input data (2)'!$BL$1-$C8,0),IF(AND('Input data (2)'!$C$2=2,$B8&gt;=0),OFFSET('Input data (2)'!K$126,'Input data (2)'!$BL$1-$B8,0),IF(AND('Input data (2)'!$C$2=1,$A8&gt;=0),OFFSET('Input data (2)'!K$126,'Input data (2)'!$BL$1-$A8,0),""))))</f>
        <v>0.75089831858091383</v>
      </c>
      <c r="BY20" s="7">
        <f ca="1">IF(AND('Input data (2)'!$C$2=4,$D8&gt;=0),OFFSET('Input data (2)'!AS$126,'Input data (2)'!$BL$1-$D8,0),IF(AND('Input data (2)'!$C$2=3,$C8&gt;=0),OFFSET('Input data (2)'!AS$126,'Input data (2)'!$BL$1-$C8,0),IF(AND('Input data (2)'!$C$2=2,$B8&gt;=0),OFFSET('Input data (2)'!AS$126,'Input data (2)'!$BL$1-$B8,0),IF(AND('Input data (2)'!$C$2=1,$A8&gt;=0),OFFSET('Input data (2)'!AS$126,'Input data (2)'!$BL$1-$A8,0),""))))</f>
        <v>0.63521366734182083</v>
      </c>
      <c r="BZ20" s="7">
        <f ca="1">IF(AND('Input data (2)'!$C$2=4,$D8&gt;=0),OFFSET('Input data (2)'!AT$126,'Input data (2)'!$BL$1-$D8,0),IF(AND('Input data (2)'!$C$2=3,$C8&gt;=0),OFFSET('Input data (2)'!AT$126,'Input data (2)'!$BL$1-$C8,0),IF(AND('Input data (2)'!$C$2=2,$B8&gt;=0),OFFSET('Input data (2)'!AT$126,'Input data (2)'!$BL$1-$B8,0),IF(AND('Input data (2)'!$C$2=1,$A8&gt;=0),OFFSET('Input data (2)'!AT$126,'Input data (2)'!$BL$1-$A8,0),""))))</f>
        <v>0.58176632110384463</v>
      </c>
      <c r="CB20" s="122"/>
      <c r="CC20" s="122"/>
      <c r="CD20" s="122"/>
      <c r="CE20" s="122"/>
      <c r="CG20" s="1">
        <v>24</v>
      </c>
      <c r="CI20" s="1">
        <f t="shared" si="24"/>
        <v>2007</v>
      </c>
      <c r="CJ20" s="1" t="str">
        <f t="shared" si="25"/>
        <v>Q2</v>
      </c>
      <c r="CK20" s="1" t="str">
        <f t="shared" si="12"/>
        <v>07</v>
      </c>
      <c r="CL20" s="1" t="str">
        <f t="shared" si="13"/>
        <v>Q2 07</v>
      </c>
      <c r="CM20" s="1">
        <f ca="1">OFFSET('Input data (2)'!AJ$126,'Input data (2)'!$BL$1-'Output data - DO NOT TOUCH (2)'!$CG20,0)/1000</f>
        <v>16.492999999999999</v>
      </c>
      <c r="CN20" s="1">
        <f ca="1">OFFSET('Input data (2)'!AK$126,'Input data (2)'!$BL$1-'Output data - DO NOT TOUCH (2)'!$CG20,0)/1000</f>
        <v>10.502000000000001</v>
      </c>
      <c r="CO20" s="1">
        <f ca="1">OFFSET('Input data (2)'!AL$126,'Input data (2)'!$BL$1-'Output data - DO NOT TOUCH (2)'!$CG20,0)/1000</f>
        <v>26.995000000000001</v>
      </c>
      <c r="CP20" s="1"/>
      <c r="CQ20" s="1">
        <f ca="1">OFFSET('Input data (2)'!AG$126,'Input data (2)'!$BL$1-'Output data - DO NOT TOUCH (2)'!$CG20,0)/1000</f>
        <v>1.38</v>
      </c>
      <c r="CR20" s="1">
        <f ca="1">OFFSET('Input data (2)'!AH$126,'Input data (2)'!$BL$1-'Output data - DO NOT TOUCH (2)'!$CG20,0)/1000</f>
        <v>1.7769999999999999</v>
      </c>
      <c r="CS20" s="1">
        <f ca="1">OFFSET('Input data (2)'!AI$126,'Input data (2)'!$BL$1-'Output data - DO NOT TOUCH (2)'!$CG20,0)/1000</f>
        <v>3.157</v>
      </c>
      <c r="CT20" s="1"/>
      <c r="CU20" s="1">
        <f ca="1">OFFSET('Input data (2)'!L$126,'Input data (2)'!$BL$1-'Output data - DO NOT TOUCH (2)'!$CG20,0)</f>
        <v>77</v>
      </c>
      <c r="CV20" s="1">
        <f ca="1">OFFSET('Input data (2)'!M$126,'Input data (2)'!$BL$1-'Output data - DO NOT TOUCH (2)'!$CG20,0)</f>
        <v>0</v>
      </c>
      <c r="CW20" s="67">
        <f ca="1">OFFSET('Input data (2)'!N$126,'Input data (2)'!$BL$1-'Output data - DO NOT TOUCH (2)'!$CG20,0)</f>
        <v>585</v>
      </c>
      <c r="CX20" s="1">
        <f ca="1">OFFSET('Input data (2)'!P$126,'Input data (2)'!$BL$1-'Output data - DO NOT TOUCH (2)'!$CG20,0)</f>
        <v>102</v>
      </c>
      <c r="CY20" s="1"/>
      <c r="CZ20" s="1">
        <f ca="1">OFFSET('Input data (2)'!AY$126,'Input data (2)'!$BL$1-'Output data - DO NOT TOUCH (2)'!$CG20,0)/1000</f>
        <v>1.6060000000000001</v>
      </c>
      <c r="DA20" s="1">
        <f ca="1">OFFSET('Input data (2)'!BA$126,'Input data (2)'!$BL$1-'Output data - DO NOT TOUCH (2)'!$CG20,0)/1000</f>
        <v>1.8919999999999999</v>
      </c>
      <c r="DB20" s="1">
        <f ca="1">OFFSET('Input data (2)'!BB$126,'Input data (2)'!$BL$1-'Output data - DO NOT TOUCH (2)'!$CG20,0)/1000</f>
        <v>3.4980000000000002</v>
      </c>
      <c r="DD20" s="1">
        <f ca="1">OFFSET('Input data (2)'!AN$126,'Input data (2)'!$BL$1-'Output data - DO NOT TOUCH (2)'!$CG20,0)</f>
        <v>131</v>
      </c>
      <c r="DE20" s="1">
        <f ca="1">OFFSET('Input data (2)'!AO$126,'Input data (2)'!$BL$1-'Output data - DO NOT TOUCH (2)'!$CG20,0)</f>
        <v>34</v>
      </c>
      <c r="DF20" s="1">
        <f ca="1">OFFSET('Input data (2)'!AP$126,'Input data (2)'!$BL$1-'Output data - DO NOT TOUCH (2)'!$CG20,0)</f>
        <v>165</v>
      </c>
      <c r="DG20" s="1"/>
      <c r="DH20" s="1">
        <f ca="1">OFFSET('Input data (2)'!AU$126,'Input data (2)'!$BL$1-'Output data - DO NOT TOUCH (2)'!$CG20,0)</f>
        <v>22</v>
      </c>
      <c r="DI20" s="1">
        <f ca="1">OFFSET('Input data (2)'!AV$126,'Input data (2)'!$BL$1-'Output data - DO NOT TOUCH (2)'!$CG20,0)</f>
        <v>0</v>
      </c>
      <c r="DJ20" s="1">
        <f ca="1">OFFSET('Input data (2)'!AW$126,'Input data (2)'!$BL$1-'Output data - DO NOT TOUCH (2)'!$CG20,0)</f>
        <v>11</v>
      </c>
      <c r="DK20" s="1">
        <f ca="1">OFFSET('Input data (2)'!AX$126,'Input data (2)'!$BL$1-'Output data - DO NOT TOUCH (2)'!$CG20,0)</f>
        <v>1</v>
      </c>
      <c r="DM20" s="1">
        <f ca="1">OFFSET('Input data (2)'!BI$126,'Input data (2)'!$BL$1-'Output data - DO NOT TOUCH (2)'!$CG20,0)</f>
        <v>228</v>
      </c>
      <c r="DN20" s="1">
        <f ca="1">OFFSET('Input data (2)'!BJ$126,'Input data (2)'!$BL$1-'Output data - DO NOT TOUCH (2)'!$CG20,0)</f>
        <v>110</v>
      </c>
      <c r="DO20" s="1">
        <f ca="1">OFFSET('Input data (2)'!BL$126,'Input data (2)'!$BL$1-'Output data - DO NOT TOUCH (2)'!$CG20,0)</f>
        <v>338</v>
      </c>
      <c r="DQ20" s="1">
        <f ca="1">OFFSET('Input data (2)'!BD$126,'Input data (2)'!$BL$1-'Output data - DO NOT TOUCH (2)'!$CG20,0)</f>
        <v>29</v>
      </c>
      <c r="DR20" s="1">
        <f ca="1">OFFSET('Input data (2)'!BE$126,'Input data (2)'!$BL$1-'Output data - DO NOT TOUCH (2)'!$CG20,0)</f>
        <v>9</v>
      </c>
      <c r="DS20" s="1">
        <f ca="1">OFFSET('Input data (2)'!BF$126,'Input data (2)'!$BL$1-'Output data - DO NOT TOUCH (2)'!$CG20,0)</f>
        <v>38</v>
      </c>
      <c r="DU20" s="1">
        <f ca="1">OFFSET('Input data (2)'!B$126,'Input data (2)'!$BL$1-'Output data - DO NOT TOUCH (2)'!$CG20-1,0)</f>
        <v>2007</v>
      </c>
      <c r="DV20" s="1" t="str">
        <f ca="1">OFFSET('Input data (2)'!C$126,'Input data (2)'!$BL$1-'Output data - DO NOT TOUCH (2)'!$CG20-1,0)</f>
        <v>Q1</v>
      </c>
      <c r="DW20" s="1" t="str">
        <f t="shared" ca="1" si="14"/>
        <v>07</v>
      </c>
      <c r="DX20" s="1" t="str">
        <f t="shared" ca="1" si="15"/>
        <v>Q1 07</v>
      </c>
      <c r="DY20" s="1">
        <f ca="1">OFFSET('Input data (2)'!W$126,'Input data (2)'!$BL$1-'Output data - DO NOT TOUCH (2)'!$CG20-1,0)/1000</f>
        <v>1.9810000000000001</v>
      </c>
      <c r="DZ20" s="1">
        <f ca="1">OFFSET('Input data (2)'!Y$126,'Input data (2)'!$BL$1-'Output data - DO NOT TOUCH (2)'!$CG20-1,0)/1000</f>
        <v>15.956</v>
      </c>
      <c r="EA20" s="1">
        <f ca="1">OFFSET('Input data (2)'!Q$126,'Input data (2)'!$BL$1-'Output data - DO NOT TOUCH (2)'!$CG20-1,0)/1000</f>
        <v>17.937000000000001</v>
      </c>
      <c r="EC20" s="3" t="str">
        <f t="shared" ca="1" si="26"/>
        <v>Q3 12</v>
      </c>
      <c r="ED20" s="68" t="e">
        <f t="shared" ca="1" si="27"/>
        <v>#VALUE!</v>
      </c>
      <c r="EE20" s="68" t="e">
        <f t="shared" ca="1" si="28"/>
        <v>#VALUE!</v>
      </c>
      <c r="EF20" s="68" t="e">
        <f t="shared" ca="1" si="29"/>
        <v>#VALUE!</v>
      </c>
      <c r="EH20" s="68">
        <f t="shared" ca="1" si="30"/>
        <v>-2.7973671838269851</v>
      </c>
      <c r="EI20" s="68">
        <f t="shared" ca="1" si="31"/>
        <v>-4.2548189938881071</v>
      </c>
      <c r="EJ20" s="68">
        <f t="shared" ca="1" si="32"/>
        <v>-7.0521861777150923</v>
      </c>
    </row>
    <row r="21" spans="1:140" x14ac:dyDescent="0.15">
      <c r="A21" s="1">
        <v>23</v>
      </c>
      <c r="B21" s="1">
        <v>24</v>
      </c>
      <c r="C21" s="1">
        <v>25</v>
      </c>
      <c r="D21" s="1">
        <v>22</v>
      </c>
      <c r="E21" s="1" t="str">
        <f>F21&amp;G21</f>
        <v>2004Q2</v>
      </c>
      <c r="F21" s="1">
        <f>F16+1</f>
        <v>2004</v>
      </c>
      <c r="G21" s="1" t="s">
        <v>2</v>
      </c>
      <c r="H21" s="1">
        <f>VLOOKUP($E21,'Input data (2)'!$A:$BL,'Output data - DO NOT TOUCH (2)'!H$71,FALSE)</f>
        <v>3108</v>
      </c>
      <c r="I21" s="1">
        <f>VLOOKUP($E21,'Input data (2)'!$A:$BL,'Output data - DO NOT TOUCH (2)'!I$71,FALSE)</f>
        <v>1197</v>
      </c>
      <c r="J21" s="1">
        <f>VLOOKUP($E21,'Input data (2)'!$A:$BL,'Output data - DO NOT TOUCH (2)'!J$71,FALSE)</f>
        <v>1911</v>
      </c>
      <c r="K21" s="1">
        <f>VLOOKUP($E21,'Input data (2)'!$A:$BL,'Output data - DO NOT TOUCH (2)'!K$71,FALSE)</f>
        <v>3055</v>
      </c>
      <c r="L21" s="1">
        <f>VLOOKUP($E21,'Input data (2)'!$A:$BL,'Output data - DO NOT TOUCH (2)'!L$71,FALSE)</f>
        <v>1172</v>
      </c>
      <c r="M21" s="1">
        <f>VLOOKUP($E21,'Input data (2)'!$A:$BL,'Output data - DO NOT TOUCH (2)'!M$71,FALSE)</f>
        <v>1883</v>
      </c>
      <c r="O21" s="119">
        <f ca="1">IF(AND('Input data (2)'!$C$2=4,$D9&gt;=0),OFFSET('Input data (2)'!O$126,'Input data (2)'!$BL$1-$D9,0),IF(AND('Input data (2)'!$C$2=3,$C9&gt;=0),OFFSET('Input data (2)'!O$126,'Input data (2)'!$BL$1-$C9,0),IF(AND('Input data (2)'!$C$2=2,$B9&gt;=0),OFFSET('Input data (2)'!O$126,'Input data (2)'!$BL$1-$B9,0),IF(AND('Input data (2)'!$C$2=1,$A9&gt;=0),OFFSET('Input data (2)'!O$126,'Input data (2)'!$BL$1-$A9,0),""))))</f>
        <v>18</v>
      </c>
      <c r="Q21" s="1">
        <f ca="1">IF(AND('Input data (2)'!$C$2=4,$D9&gt;=0),OFFSET('Input data (2)'!AC$126,'Input data (2)'!$BL$1-$D9,0),IF(AND('Input data (2)'!$C$2=3,$C9&gt;=0),OFFSET('Input data (2)'!AC$126,'Input data (2)'!$BL$1-$C9,0),IF(AND('Input data (2)'!$C$2=2,$B9&gt;=0),OFFSET('Input data (2)'!AC$126,'Input data (2)'!$BL$1-$B9,0),IF(AND('Input data (2)'!$C$2=1,$A9&gt;=0),OFFSET('Input data (2)'!AC$126,'Input data (2)'!$BL$1-$A9,0),""))))</f>
        <v>11537</v>
      </c>
      <c r="R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S21" s="1" t="str">
        <f ca="1">IF(AND('Input data (2)'!$C$2=4,$D9&gt;=0),OFFSET('Input data (2)'!R$126,'Input data (2)'!$BL$1-$D9,0),IF(AND('Input data (2)'!$C$2=3,$C9&gt;=0),OFFSET('Input data (2)'!R$126,'Input data (2)'!$BL$1-$C9,0),IF(AND('Input data (2)'!$C$2=2,$B9&gt;=0),OFFSET('Input data (2)'!R$126,'Input data (2)'!$BL$1-$B9,0),IF(AND('Input data (2)'!$C$2=1,$A9&gt;=0),OFFSET('Input data (2)'!R$126,'Input data (2)'!$BL$1-$A9,0),""))))</f>
        <v>:</v>
      </c>
      <c r="T21" s="1">
        <f ca="1">IF(AND('Input data (2)'!$C$2=4,$D9&gt;=0),OFFSET('Input data (2)'!AA$126,'Input data (2)'!$BL$1-$D9,0),IF(AND('Input data (2)'!$C$2=3,$C9&gt;=0),OFFSET('Input data (2)'!AA$126,'Input data (2)'!$BL$1-$C9,0),IF(AND('Input data (2)'!$C$2=2,$B9&gt;=0),OFFSET('Input data (2)'!AA$126,'Input data (2)'!$BL$1-$B9,0),IF(AND('Input data (2)'!$C$2=1,$A9&gt;=0),OFFSET('Input data (2)'!AA$126,'Input data (2)'!$BL$1-$A9,0),""))))</f>
        <v>2476</v>
      </c>
      <c r="U21" s="1">
        <f ca="1">IF(AND('Input data (2)'!$C$2=4,$D9&gt;=0),OFFSET('Input data (2)'!AL$126,'Input data (2)'!$BL$1-$D9,0),IF(AND('Input data (2)'!$C$2=3,$C9&gt;=0),OFFSET('Input data (2)'!AL$126,'Input data (2)'!$BL$1-$C9,0),IF(AND('Input data (2)'!$C$2=2,$B9&gt;=0),OFFSET('Input data (2)'!AL$126,'Input data (2)'!$BL$1-$B9,0),IF(AND('Input data (2)'!$C$2=1,$A9&gt;=0),OFFSET('Input data (2)'!AL$126,'Input data (2)'!$BL$1-$A9,0),""))))</f>
        <v>11229</v>
      </c>
      <c r="V21" s="1">
        <f ca="1">IF(AND('Input data (2)'!$C$2=4,$D9&gt;=0),OFFSET('Input data (2)'!AJ$126,'Input data (2)'!$BL$1-$D9,0),IF(AND('Input data (2)'!$C$2=3,$C9&gt;=0),OFFSET('Input data (2)'!AJ$126,'Input data (2)'!$BL$1-$C9,0),IF(AND('Input data (2)'!$C$2=2,$B9&gt;=0),OFFSET('Input data (2)'!AJ$126,'Input data (2)'!$BL$1-$B9,0),IF(AND('Input data (2)'!$C$2=1,$A9&gt;=0),OFFSET('Input data (2)'!AJ$126,'Input data (2)'!$BL$1-$A9,0),""))))</f>
        <v>8813</v>
      </c>
      <c r="W21" s="1">
        <f ca="1">IF(AND('Input data (2)'!$C$2=4,$D9&gt;=0),OFFSET('Input data (2)'!AK$126,'Input data (2)'!$BL$1-$D9,0),IF(AND('Input data (2)'!$C$2=3,$C9&gt;=0),OFFSET('Input data (2)'!AK$126,'Input data (2)'!$BL$1-$C9,0),IF(AND('Input data (2)'!$C$2=2,$B9&gt;=0),OFFSET('Input data (2)'!AK$126,'Input data (2)'!$BL$1-$B9,0),IF(AND('Input data (2)'!$C$2=1,$A9&gt;=0),OFFSET('Input data (2)'!AK$126,'Input data (2)'!$BL$1-$A9,0),""))))</f>
        <v>2416</v>
      </c>
      <c r="Y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Z21" s="1">
        <f ca="1">IF(AND('Input data (2)'!$C$2=4,$D9&gt;=0),OFFSET('Input data (2)'!S$126,'Input data (2)'!$BL$1-$D9,0),IF(AND('Input data (2)'!$C$2=3,$C9&gt;=0),OFFSET('Input data (2)'!S$126,'Input data (2)'!$BL$1-$C9,0),IF(AND('Input data (2)'!$C$2=2,$B9&gt;=0),OFFSET('Input data (2)'!S$126,'Input data (2)'!$BL$1-$B9,0),IF(AND('Input data (2)'!$C$2=1,$A9&gt;=0),OFFSET('Input data (2)'!S$126,'Input data (2)'!$BL$1-$A9,0),""))))</f>
        <v>7028</v>
      </c>
      <c r="AA21" s="1">
        <f ca="1">IF(AND('Input data (2)'!$C$2=4,$D9&gt;=0),OFFSET('Input data (2)'!T$126,'Input data (2)'!$BL$1-$D9,0),IF(AND('Input data (2)'!$C$2=3,$C9&gt;=0),OFFSET('Input data (2)'!T$126,'Input data (2)'!$BL$1-$C9,0),IF(AND('Input data (2)'!$C$2=2,$B9&gt;=0),OFFSET('Input data (2)'!T$126,'Input data (2)'!$BL$1-$B9,0),IF(AND('Input data (2)'!$C$2=1,$A9&gt;=0),OFFSET('Input data (2)'!T$126,'Input data (2)'!$BL$1-$A9,0),""))))</f>
        <v>77.571743929359826</v>
      </c>
      <c r="AB21" s="1">
        <f ca="1">IF(AND('Input data (2)'!$C$2=4,$D9&gt;=0),OFFSET('Input data (2)'!U$126,'Input data (2)'!$BL$1-$D9,0),IF(AND('Input data (2)'!$C$2=3,$C9&gt;=0),OFFSET('Input data (2)'!U$126,'Input data (2)'!$BL$1-$C9,0),IF(AND('Input data (2)'!$C$2=2,$B9&gt;=0),OFFSET('Input data (2)'!U$126,'Input data (2)'!$BL$1-$B9,0),IF(AND('Input data (2)'!$C$2=1,$A9&gt;=0),OFFSET('Input data (2)'!U$126,'Input data (2)'!$BL$1-$A9,0),""))))</f>
        <v>2032</v>
      </c>
      <c r="AC21" s="1">
        <f ca="1">IF(AND('Input data (2)'!$C$2=4,$D9&gt;=0),OFFSET('Input data (2)'!V$126,'Input data (2)'!$BL$1-$D9,0),IF(AND('Input data (2)'!$C$2=3,$C9&gt;=0),OFFSET('Input data (2)'!V$126,'Input data (2)'!$BL$1-$C9,0),IF(AND('Input data (2)'!$C$2=2,$B9&gt;=0),OFFSET('Input data (2)'!V$126,'Input data (2)'!$BL$1-$B9,0),IF(AND('Input data (2)'!$C$2=1,$A9&gt;=0),OFFSET('Input data (2)'!V$126,'Input data (2)'!$BL$1-$A9,0),""))))</f>
        <v>22.428256070640177</v>
      </c>
      <c r="AD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AE21" s="1">
        <f ca="1">IF(AND('Input data (2)'!$C$2=4,$D9&gt;=0),OFFSET('Input data (2)'!W$126,'Input data (2)'!$BL$1-$D9,0),IF(AND('Input data (2)'!$C$2=3,$C9&gt;=0),OFFSET('Input data (2)'!W$126,'Input data (2)'!$BL$1-$C9,0),IF(AND('Input data (2)'!$C$2=2,$B9&gt;=0),OFFSET('Input data (2)'!W$126,'Input data (2)'!$BL$1-$B9,0),IF(AND('Input data (2)'!$C$2=1,$A9&gt;=0),OFFSET('Input data (2)'!W$126,'Input data (2)'!$BL$1-$A9,0),""))))</f>
        <v>2455</v>
      </c>
      <c r="AF21" s="1">
        <f ca="1">IF(AND('Input data (2)'!$C$2=4,$D9&gt;=0),OFFSET('Input data (2)'!X$126,'Input data (2)'!$BL$1-$D9,0),IF(AND('Input data (2)'!$C$2=3,$C9&gt;=0),OFFSET('Input data (2)'!X$126,'Input data (2)'!$BL$1-$C9,0),IF(AND('Input data (2)'!$C$2=2,$B9&gt;=0),OFFSET('Input data (2)'!X$126,'Input data (2)'!$BL$1-$B9,0),IF(AND('Input data (2)'!$C$2=1,$A9&gt;=0),OFFSET('Input data (2)'!X$126,'Input data (2)'!$BL$1-$A9,0),""))))</f>
        <v>27.097130242825607</v>
      </c>
      <c r="AG21" s="1">
        <f ca="1">IF(AND('Input data (2)'!$C$2=4,$D9&gt;=0),OFFSET('Input data (2)'!Y$126,'Input data (2)'!$BL$1-$D9,0),IF(AND('Input data (2)'!$C$2=3,$C9&gt;=0),OFFSET('Input data (2)'!Y$126,'Input data (2)'!$BL$1-$C9,0),IF(AND('Input data (2)'!$C$2=2,$B9&gt;=0),OFFSET('Input data (2)'!Y$126,'Input data (2)'!$BL$1-$B9,0),IF(AND('Input data (2)'!$C$2=1,$A9&gt;=0),OFFSET('Input data (2)'!Y$126,'Input data (2)'!$BL$1-$A9,0),""))))</f>
        <v>6605</v>
      </c>
      <c r="AH21" s="1">
        <f ca="1">IF(AND('Input data (2)'!$C$2=4,$D9&gt;=0),OFFSET('Input data (2)'!Z$126,'Input data (2)'!$BL$1-$D9,0),IF(AND('Input data (2)'!$C$2=3,$C9&gt;=0),OFFSET('Input data (2)'!Z$126,'Input data (2)'!$BL$1-$C9,0),IF(AND('Input data (2)'!$C$2=2,$B9&gt;=0),OFFSET('Input data (2)'!Z$126,'Input data (2)'!$BL$1-$B9,0),IF(AND('Input data (2)'!$C$2=1,$A9&gt;=0),OFFSET('Input data (2)'!Z$126,'Input data (2)'!$BL$1-$A9,0),""))))</f>
        <v>72.902869757174386</v>
      </c>
      <c r="AI21" s="3"/>
      <c r="AJ21" s="124">
        <f ca="1">IF(AND('Input data (2)'!$C$2=4,$D9&gt;=0),OFFSET('Input data (2)'!AF$126,'Input data (2)'!$BL$1-$D9,0),IF(AND('Input data (2)'!$C$2=3,$C9&gt;=0),OFFSET('Input data (2)'!AF$126,'Input data (2)'!$BL$1-$C9,0),IF(AND('Input data (2)'!$C$2=2,$B9&gt;=0),OFFSET('Input data (2)'!AF$126,'Input data (2)'!$BL$1-$B9,0),IF(AND('Input data (2)'!$C$2=1,$A9&gt;=0),OFFSET('Input data (2)'!AF$126,'Input data (2)'!$BL$1-$A9,0),""))))</f>
        <v>1257</v>
      </c>
      <c r="AK21" s="124">
        <f ca="1">IF(AND('Input data (2)'!$C$2=4,$D9&gt;=0),OFFSET('Input data (2)'!AD$126,'Input data (2)'!$BL$1-$D9,0),IF(AND('Input data (2)'!$C$2=3,$C9&gt;=0),OFFSET('Input data (2)'!AD$126,'Input data (2)'!$BL$1-$C9,0),IF(AND('Input data (2)'!$C$2=2,$B9&gt;=0),OFFSET('Input data (2)'!AD$126,'Input data (2)'!$BL$1-$B9,0),IF(AND('Input data (2)'!$C$2=1,$A9&gt;=0),OFFSET('Input data (2)'!AD$126,'Input data (2)'!$BL$1-$A9,0),""))))</f>
        <v>413</v>
      </c>
      <c r="AL21" s="124">
        <f ca="1">IF(AND('Input data (2)'!$C$2=4,$D9&gt;=0),OFFSET('Input data (2)'!AE$126,'Input data (2)'!$BL$1-$D9,0),IF(AND('Input data (2)'!$C$2=3,$C9&gt;=0),OFFSET('Input data (2)'!AE$126,'Input data (2)'!$BL$1-$C9,0),IF(AND('Input data (2)'!$C$2=2,$B9&gt;=0),OFFSET('Input data (2)'!AE$126,'Input data (2)'!$BL$1-$B9,0),IF(AND('Input data (2)'!$C$2=1,$A9&gt;=0),OFFSET('Input data (2)'!AE$126,'Input data (2)'!$BL$1-$A9,0),""))))</f>
        <v>844</v>
      </c>
      <c r="AW21" s="1">
        <f ca="1">IF(AND('Input data (2)'!$C$2=4,$D9&gt;=0),OFFSET('Input data (2)'!L$126,'Input data (2)'!$BL$1-$D9,0),IF(AND('Input data (2)'!$C$2=3,$C9&gt;=0),OFFSET('Input data (2)'!L$126,'Input data (2)'!$BL$1-$C9,0),IF(AND('Input data (2)'!$C$2=2,$B9&gt;=0),OFFSET('Input data (2)'!L$126,'Input data (2)'!$BL$1-$B9,0),IF(AND('Input data (2)'!$C$2=1,$A9&gt;=0),OFFSET('Input data (2)'!L$126,'Input data (2)'!$BL$1-$A9,0),""))))</f>
        <v>199</v>
      </c>
      <c r="AX21" s="1">
        <f ca="1">IF(AND('Input data (2)'!$C$2=4,$D9&gt;=0),OFFSET('Input data (2)'!M$126,'Input data (2)'!$BL$1-$D9,0),IF(AND('Input data (2)'!$C$2=3,$C9&gt;=0),OFFSET('Input data (2)'!M$126,'Input data (2)'!$BL$1-$C9,0),IF(AND('Input data (2)'!$C$2=2,$B9&gt;=0),OFFSET('Input data (2)'!M$126,'Input data (2)'!$BL$1-$B9,0),IF(AND('Input data (2)'!$C$2=1,$A9&gt;=0),OFFSET('Input data (2)'!M$126,'Input data (2)'!$BL$1-$A9,0),""))))</f>
        <v>0</v>
      </c>
      <c r="AY21" s="1">
        <f ca="1">IF(AND('Input data (2)'!$C$2=4,$D9&gt;=0),OFFSET('Input data (2)'!N$126,'Input data (2)'!$BL$1-$D9,0),IF(AND('Input data (2)'!$C$2=3,$C9&gt;=0),OFFSET('Input data (2)'!N$126,'Input data (2)'!$BL$1-$C9,0),IF(AND('Input data (2)'!$C$2=2,$B9&gt;=0),OFFSET('Input data (2)'!N$126,'Input data (2)'!$BL$1-$B9,0),IF(AND('Input data (2)'!$C$2=1,$A9&gt;=0),OFFSET('Input data (2)'!N$126,'Input data (2)'!$BL$1-$A9,0),""))))</f>
        <v>392</v>
      </c>
      <c r="AZ21" s="1">
        <f ca="1">IF(AND('Input data (2)'!$C$2=4,$D9&gt;=0),OFFSET('Input data (2)'!P$126,'Input data (2)'!$BL$1-$D9,0),IF(AND('Input data (2)'!$C$2=3,$C9&gt;=0),OFFSET('Input data (2)'!P$126,'Input data (2)'!$BL$1-$C9,0),IF(AND('Input data (2)'!$C$2=2,$B9&gt;=0),OFFSET('Input data (2)'!P$126,'Input data (2)'!$BL$1-$B9,0),IF(AND('Input data (2)'!$C$2=1,$A9&gt;=0),OFFSET('Input data (2)'!P$126,'Input data (2)'!$BL$1-$A9,0),""))))</f>
        <v>154</v>
      </c>
      <c r="BB21" s="1">
        <f ca="1">IF(AND('Input data (2)'!$C$2=4,$D9&gt;=0),OFFSET('Input data (2)'!BB$126,'Input data (2)'!$BL$1-$D9,0),IF(AND('Input data (2)'!$C$2=3,$C9&gt;=0),OFFSET('Input data (2)'!BB$126,'Input data (2)'!$BL$1-$C9,0),IF(AND('Input data (2)'!$C$2=2,$B9&gt;=0),OFFSET('Input data (2)'!BB$126,'Input data (2)'!$BL$1-$B9,0),IF(AND('Input data (2)'!$C$2=1,$A9&gt;=0),OFFSET('Input data (2)'!BB$126,'Input data (2)'!$BL$1-$A9,0),""))))</f>
        <v>2160</v>
      </c>
      <c r="BC21" s="1">
        <f ca="1">IF(AND('Input data (2)'!$C$2=4,$D9&gt;=0),OFFSET('Input data (2)'!AY$126,'Input data (2)'!$BL$1-$D9,0),IF(AND('Input data (2)'!$C$2=3,$C9&gt;=0),OFFSET('Input data (2)'!AY$126,'Input data (2)'!$BL$1-$C9,0),IF(AND('Input data (2)'!$C$2=2,$B9&gt;=0),OFFSET('Input data (2)'!AY$126,'Input data (2)'!$BL$1-$B9,0),IF(AND('Input data (2)'!$C$2=1,$A9&gt;=0),OFFSET('Input data (2)'!AY$126,'Input data (2)'!$BL$1-$A9,0),""))))</f>
        <v>851</v>
      </c>
      <c r="BD21" s="1" t="str">
        <f ca="1">IF(AND('Input data (2)'!$C$2=4,$D9&gt;=0),OFFSET('Input data (2)'!AZ$126,'Input data (2)'!$BL$1-$D9,0),IF(AND('Input data (2)'!$C$2=3,$C9&gt;=0),OFFSET('Input data (2)'!AZ$126,'Input data (2)'!$BL$1-$C9,0),IF(AND('Input data (2)'!$C$2=2,$B9&gt;=0),OFFSET('Input data (2)'!AZ$126,'Input data (2)'!$BL$1-$B9,0),IF(AND('Input data (2)'!$C$2=1,$A9&gt;=0),OFFSET('Input data (2)'!AZ$126,'Input data (2)'!$BL$1-$A9,0),""))))</f>
        <v>:</v>
      </c>
      <c r="BE21" s="1">
        <f ca="1">IF(AND('Input data (2)'!$C$2=4,$D9&gt;=0),OFFSET('Input data (2)'!BA$126,'Input data (2)'!$BL$1-$D9,0),IF(AND('Input data (2)'!$C$2=3,$C9&gt;=0),OFFSET('Input data (2)'!BA$126,'Input data (2)'!$BL$1-$C9,0),IF(AND('Input data (2)'!$C$2=2,$B9&gt;=0),OFFSET('Input data (2)'!BA$126,'Input data (2)'!$BL$1-$B9,0),IF(AND('Input data (2)'!$C$2=1,$A9&gt;=0),OFFSET('Input data (2)'!BA$126,'Input data (2)'!$BL$1-$A9,0),""))))</f>
        <v>1309</v>
      </c>
      <c r="BF21" s="1">
        <f ca="1">IF(AND('Input data (2)'!$C$2=4,$D9&gt;=0),OFFSET('Input data (2)'!AP$126,'Input data (2)'!$BL$1-$D9,0),IF(AND('Input data (2)'!$C$2=3,$C9&gt;=0),OFFSET('Input data (2)'!AP$126,'Input data (2)'!$BL$1-$C9,0),IF(AND('Input data (2)'!$C$2=2,$B9&gt;=0),OFFSET('Input data (2)'!AP$126,'Input data (2)'!$BL$1-$B9,0),IF(AND('Input data (2)'!$C$2=1,$A9&gt;=0),OFFSET('Input data (2)'!AP$126,'Input data (2)'!$BL$1-$A9,0),""))))</f>
        <v>147</v>
      </c>
      <c r="BG21" s="1">
        <f ca="1">IF(AND('Input data (2)'!$C$2=4,$D9&gt;=0),OFFSET('Input data (2)'!AN$126,'Input data (2)'!$BL$1-$D9,0),IF(AND('Input data (2)'!$C$2=3,$C9&gt;=0),OFFSET('Input data (2)'!AN$126,'Input data (2)'!$BL$1-$C9,0),IF(AND('Input data (2)'!$C$2=2,$B9&gt;=0),OFFSET('Input data (2)'!AN$126,'Input data (2)'!$BL$1-$B9,0),IF(AND('Input data (2)'!$C$2=1,$A9&gt;=0),OFFSET('Input data (2)'!AN$126,'Input data (2)'!$BL$1-$A9,0),""))))</f>
        <v>110</v>
      </c>
      <c r="BH21" s="1">
        <f ca="1">IF(AND('Input data (2)'!$C$2=4,$D9&gt;=0),OFFSET('Input data (2)'!AO$126,'Input data (2)'!$BL$1-$D9,0),IF(AND('Input data (2)'!$C$2=3,$C9&gt;=0),OFFSET('Input data (2)'!AO$126,'Input data (2)'!$BL$1-$C9,0),IF(AND('Input data (2)'!$C$2=2,$B9&gt;=0),OFFSET('Input data (2)'!AO$126,'Input data (2)'!$BL$1-$B9,0),IF(AND('Input data (2)'!$C$2=1,$A9&gt;=0),OFFSET('Input data (2)'!AO$126,'Input data (2)'!$BL$1-$A9,0),""))))</f>
        <v>37</v>
      </c>
      <c r="BJ21" s="1">
        <f ca="1">IF(AND('Input data (2)'!$C$2=4,$D9&gt;=0),OFFSET('Input data (2)'!AU$126,'Input data (2)'!$BL$1-$D9,0),IF(AND('Input data (2)'!$C$2=3,$C9&gt;=0),OFFSET('Input data (2)'!AU$126,'Input data (2)'!$BL$1-$C9,0),IF(AND('Input data (2)'!$C$2=2,$B9&gt;=0),OFFSET('Input data (2)'!AU$126,'Input data (2)'!$BL$1-$B9,0),IF(AND('Input data (2)'!$C$2=1,$A9&gt;=0),OFFSET('Input data (2)'!AU$126,'Input data (2)'!$BL$1-$A9,0),""))))</f>
        <v>23</v>
      </c>
      <c r="BK21" s="1">
        <f ca="1">IF(AND('Input data (2)'!$C$2=4,$D9&gt;=0),OFFSET('Input data (2)'!AV$126,'Input data (2)'!$BL$1-$D9,0),IF(AND('Input data (2)'!$C$2=3,$C9&gt;=0),OFFSET('Input data (2)'!AV$126,'Input data (2)'!$BL$1-$C9,0),IF(AND('Input data (2)'!$C$2=2,$B9&gt;=0),OFFSET('Input data (2)'!AV$126,'Input data (2)'!$BL$1-$B9,0),IF(AND('Input data (2)'!$C$2=1,$A9&gt;=0),OFFSET('Input data (2)'!AV$126,'Input data (2)'!$BL$1-$A9,0),""))))</f>
        <v>0</v>
      </c>
      <c r="BL21" s="1">
        <f ca="1">IF(AND('Input data (2)'!$C$2=4,$D9&gt;=0),OFFSET('Input data (2)'!AW$126,'Input data (2)'!$BL$1-$D9,0),IF(AND('Input data (2)'!$C$2=3,$C9&gt;=0),OFFSET('Input data (2)'!AW$126,'Input data (2)'!$BL$1-$C9,0),IF(AND('Input data (2)'!$C$2=2,$B9&gt;=0),OFFSET('Input data (2)'!AW$126,'Input data (2)'!$BL$1-$B9,0),IF(AND('Input data (2)'!$C$2=1,$A9&gt;=0),OFFSET('Input data (2)'!AW$126,'Input data (2)'!$BL$1-$A9,0),""))))</f>
        <v>11</v>
      </c>
      <c r="BM21" s="1">
        <f ca="1">IF(AND('Input data (2)'!$C$2=4,$D9&gt;=0),OFFSET('Input data (2)'!AX$126,'Input data (2)'!$BL$1-$D9,0),IF(AND('Input data (2)'!$C$2=3,$C9&gt;=0),OFFSET('Input data (2)'!AX$126,'Input data (2)'!$BL$1-$C9,0),IF(AND('Input data (2)'!$C$2=2,$B9&gt;=0),OFFSET('Input data (2)'!AX$126,'Input data (2)'!$BL$1-$B9,0),IF(AND('Input data (2)'!$C$2=1,$A9&gt;=0),OFFSET('Input data (2)'!AX$126,'Input data (2)'!$BL$1-$A9,0),""))))</f>
        <v>4</v>
      </c>
      <c r="BO21" s="1">
        <f ca="1">IF(AND('Input data (2)'!$C$2=4,$D9&gt;=0),OFFSET('Input data (2)'!BL$126,'Input data (2)'!$BL$1-$D9,0),IF(AND('Input data (2)'!$C$2=3,$C9&gt;=0),OFFSET('Input data (2)'!BL$126,'Input data (2)'!$BL$1-$C9,0),IF(AND('Input data (2)'!$C$2=2,$B9&gt;=0),OFFSET('Input data (2)'!BL$126,'Input data (2)'!$BL$1-$B9,0),IF(AND('Input data (2)'!$C$2=1,$A9&gt;=0),OFFSET('Input data (2)'!BL$126,'Input data (2)'!$BL$1-$A9,0),""))))</f>
        <v>282</v>
      </c>
      <c r="BP21" s="1">
        <f ca="1">IF(AND('Input data (2)'!$C$2=4,$D9&gt;=0),OFFSET('Input data (2)'!BI$126,'Input data (2)'!$BL$1-$D9,0),IF(AND('Input data (2)'!$C$2=3,$C9&gt;=0),OFFSET('Input data (2)'!BI$126,'Input data (2)'!$BL$1-$C9,0),IF(AND('Input data (2)'!$C$2=2,$B9&gt;=0),OFFSET('Input data (2)'!BI$126,'Input data (2)'!$BL$1-$B9,0),IF(AND('Input data (2)'!$C$2=1,$A9&gt;=0),OFFSET('Input data (2)'!BI$126,'Input data (2)'!$BL$1-$A9,0),""))))</f>
        <v>173</v>
      </c>
      <c r="BQ21" s="1" t="str">
        <f ca="1">IF(AND('Input data (2)'!$C$2=4,$D9&gt;=0),OFFSET('Input data (2)'!BK$126,'Input data (2)'!$BL$1-$D9,0),IF(AND('Input data (2)'!$C$2=3,$C9&gt;=0),OFFSET('Input data (2)'!BK$126,'Input data (2)'!$BL$1-$C9,0),IF(AND('Input data (2)'!$C$2=2,$B9&gt;=0),OFFSET('Input data (2)'!BK$126,'Input data (2)'!$BL$1-$B9,0),IF(AND('Input data (2)'!$C$2=1,$A9&gt;=0),OFFSET('Input data (2)'!BK$126,'Input data (2)'!$BL$1-$A9,0),""))))</f>
        <v>..</v>
      </c>
      <c r="BR21" s="1">
        <f ca="1">IF(AND('Input data (2)'!$C$2=4,$D9&gt;=0),OFFSET('Input data (2)'!BJ$126,'Input data (2)'!$BL$1-$D9,0),IF(AND('Input data (2)'!$C$2=3,$C9&gt;=0),OFFSET('Input data (2)'!BJ$126,'Input data (2)'!$BL$1-$C9,0),IF(AND('Input data (2)'!$C$2=2,$B9&gt;=0),OFFSET('Input data (2)'!BJ$126,'Input data (2)'!$BL$1-$B9,0),IF(AND('Input data (2)'!$C$2=1,$A9&gt;=0),OFFSET('Input data (2)'!BJ$126,'Input data (2)'!$BL$1-$A9,0),""))))</f>
        <v>109</v>
      </c>
      <c r="BS21" s="1">
        <f ca="1">IF(AND('Input data (2)'!$C$2=4,$D9&gt;=0),OFFSET('Input data (2)'!BF$126,'Input data (2)'!$BL$1-$D9,0),IF(AND('Input data (2)'!$C$2=3,$C9&gt;=0),OFFSET('Input data (2)'!BF$126,'Input data (2)'!$BL$1-$C9,0),IF(AND('Input data (2)'!$C$2=2,$B9&gt;=0),OFFSET('Input data (2)'!BF$126,'Input data (2)'!$BL$1-$B9,0),IF(AND('Input data (2)'!$C$2=1,$A9&gt;=0),OFFSET('Input data (2)'!BF$126,'Input data (2)'!$BL$1-$A9,0),""))))</f>
        <v>39</v>
      </c>
      <c r="BT21" s="1">
        <f ca="1">IF(AND('Input data (2)'!$C$2=4,$D9&gt;=0),OFFSET('Input data (2)'!BD$126,'Input data (2)'!$BL$1-$D9,0),IF(AND('Input data (2)'!$C$2=3,$C9&gt;=0),OFFSET('Input data (2)'!BD$126,'Input data (2)'!$BL$1-$C9,0),IF(AND('Input data (2)'!$C$2=2,$B9&gt;=0),OFFSET('Input data (2)'!BD$126,'Input data (2)'!$BL$1-$B9,0),IF(AND('Input data (2)'!$C$2=1,$A9&gt;=0),OFFSET('Input data (2)'!BD$126,'Input data (2)'!$BL$1-$A9,0),""))))</f>
        <v>27</v>
      </c>
      <c r="BU21" s="1">
        <f ca="1">IF(AND('Input data (2)'!$C$2=4,$D9&gt;=0),OFFSET('Input data (2)'!BE$126,'Input data (2)'!$BL$1-$D9,0),IF(AND('Input data (2)'!$C$2=3,$C9&gt;=0),OFFSET('Input data (2)'!BE$126,'Input data (2)'!$BL$1-$C9,0),IF(AND('Input data (2)'!$C$2=2,$B9&gt;=0),OFFSET('Input data (2)'!BE$126,'Input data (2)'!$BL$1-$B9,0),IF(AND('Input data (2)'!$C$2=1,$A9&gt;=0),OFFSET('Input data (2)'!BE$126,'Input data (2)'!$BL$1-$A9,0),""))))</f>
        <v>12</v>
      </c>
      <c r="BW21" s="7">
        <f ca="1">IF(AND('Input data (2)'!$C$2=4,$D9&gt;=0),OFFSET('Input data (2)'!J$126,'Input data (2)'!$BL$1-$D9,0),IF(AND('Input data (2)'!$C$2=3,$C9&gt;=0),OFFSET('Input data (2)'!J$126,'Input data (2)'!$BL$1-$C9,0),IF(AND('Input data (2)'!$C$2=2,$B9&gt;=0),OFFSET('Input data (2)'!J$126,'Input data (2)'!$BL$1-$B9,0),IF(AND('Input data (2)'!$C$2=1,$A9&gt;=0),OFFSET('Input data (2)'!J$126,'Input data (2)'!$BL$1-$A9,0),""))))</f>
        <v>0.76411900584607939</v>
      </c>
      <c r="BX21" s="7">
        <f ca="1">IF(AND('Input data (2)'!$C$2=4,$D9&gt;=0),OFFSET('Input data (2)'!K$126,'Input data (2)'!$BL$1-$D9,0),IF(AND('Input data (2)'!$C$2=3,$C9&gt;=0),OFFSET('Input data (2)'!K$126,'Input data (2)'!$BL$1-$C9,0),IF(AND('Input data (2)'!$C$2=2,$B9&gt;=0),OFFSET('Input data (2)'!K$126,'Input data (2)'!$BL$1-$B9,0),IF(AND('Input data (2)'!$C$2=1,$A9&gt;=0),OFFSET('Input data (2)'!K$126,'Input data (2)'!$BL$1-$A9,0),""))))</f>
        <v>0.69748987483991265</v>
      </c>
      <c r="BY21" s="7">
        <f ca="1">IF(AND('Input data (2)'!$C$2=4,$D9&gt;=0),OFFSET('Input data (2)'!AS$126,'Input data (2)'!$BL$1-$D9,0),IF(AND('Input data (2)'!$C$2=3,$C9&gt;=0),OFFSET('Input data (2)'!AS$126,'Input data (2)'!$BL$1-$C9,0),IF(AND('Input data (2)'!$C$2=2,$B9&gt;=0),OFFSET('Input data (2)'!AS$126,'Input data (2)'!$BL$1-$B9,0),IF(AND('Input data (2)'!$C$2=1,$A9&gt;=0),OFFSET('Input data (2)'!AS$126,'Input data (2)'!$BL$1-$A9,0),""))))</f>
        <v>0.59821515340713205</v>
      </c>
      <c r="BZ21" s="7">
        <f ca="1">IF(AND('Input data (2)'!$C$2=4,$D9&gt;=0),OFFSET('Input data (2)'!AT$126,'Input data (2)'!$BL$1-$D9,0),IF(AND('Input data (2)'!$C$2=3,$C9&gt;=0),OFFSET('Input data (2)'!AT$126,'Input data (2)'!$BL$1-$C9,0),IF(AND('Input data (2)'!$C$2=2,$B9&gt;=0),OFFSET('Input data (2)'!AT$126,'Input data (2)'!$BL$1-$B9,0),IF(AND('Input data (2)'!$C$2=1,$A9&gt;=0),OFFSET('Input data (2)'!AT$126,'Input data (2)'!$BL$1-$A9,0),""))))</f>
        <v>0.54817782112562163</v>
      </c>
      <c r="CB21" s="122"/>
      <c r="CC21" s="122"/>
      <c r="CD21" s="122"/>
      <c r="CE21" s="122"/>
      <c r="CG21" s="1">
        <v>23</v>
      </c>
      <c r="CI21" s="1">
        <f t="shared" ca="1" si="24"/>
        <v>2007</v>
      </c>
      <c r="CJ21" s="1" t="str">
        <f t="shared" si="25"/>
        <v>Q3</v>
      </c>
      <c r="CK21" s="1" t="str">
        <f t="shared" ca="1" si="12"/>
        <v>07</v>
      </c>
      <c r="CL21" s="1" t="str">
        <f t="shared" ca="1" si="13"/>
        <v>Q3 07</v>
      </c>
      <c r="CM21" s="1">
        <f ca="1">OFFSET('Input data (2)'!AJ$126,'Input data (2)'!$BL$1-'Output data - DO NOT TOUCH (2)'!$CG21,0)/1000</f>
        <v>15.933999999999999</v>
      </c>
      <c r="CN21" s="1">
        <f ca="1">OFFSET('Input data (2)'!AK$126,'Input data (2)'!$BL$1-'Output data - DO NOT TOUCH (2)'!$CG21,0)/1000</f>
        <v>10.085000000000001</v>
      </c>
      <c r="CO21" s="1">
        <f ca="1">OFFSET('Input data (2)'!AL$126,'Input data (2)'!$BL$1-'Output data - DO NOT TOUCH (2)'!$CG21,0)/1000</f>
        <v>26.018999999999998</v>
      </c>
      <c r="CP21" s="1"/>
      <c r="CQ21" s="1">
        <f ca="1">OFFSET('Input data (2)'!AG$126,'Input data (2)'!$BL$1-'Output data - DO NOT TOUCH (2)'!$CG21,0)/1000</f>
        <v>1.296</v>
      </c>
      <c r="CR21" s="1">
        <f ca="1">OFFSET('Input data (2)'!AH$126,'Input data (2)'!$BL$1-'Output data - DO NOT TOUCH (2)'!$CG21,0)/1000</f>
        <v>1.9079999999999999</v>
      </c>
      <c r="CS21" s="1">
        <f ca="1">OFFSET('Input data (2)'!AI$126,'Input data (2)'!$BL$1-'Output data - DO NOT TOUCH (2)'!$CG21,0)/1000</f>
        <v>3.2040000000000002</v>
      </c>
      <c r="CT21" s="1"/>
      <c r="CU21" s="1">
        <f ca="1">OFFSET('Input data (2)'!L$126,'Input data (2)'!$BL$1-'Output data - DO NOT TOUCH (2)'!$CG21,0)</f>
        <v>80</v>
      </c>
      <c r="CV21" s="1">
        <f ca="1">OFFSET('Input data (2)'!M$126,'Input data (2)'!$BL$1-'Output data - DO NOT TOUCH (2)'!$CG21,0)</f>
        <v>2</v>
      </c>
      <c r="CW21" s="67">
        <f ca="1">OFFSET('Input data (2)'!N$126,'Input data (2)'!$BL$1-'Output data - DO NOT TOUCH (2)'!$CG21,0)</f>
        <v>666</v>
      </c>
      <c r="CX21" s="1">
        <f ca="1">OFFSET('Input data (2)'!P$126,'Input data (2)'!$BL$1-'Output data - DO NOT TOUCH (2)'!$CG21,0)</f>
        <v>129</v>
      </c>
      <c r="CY21" s="1"/>
      <c r="CZ21" s="1">
        <f ca="1">OFFSET('Input data (2)'!AY$126,'Input data (2)'!$BL$1-'Output data - DO NOT TOUCH (2)'!$CG21,0)/1000</f>
        <v>1.5449999999999999</v>
      </c>
      <c r="DA21" s="1">
        <f ca="1">OFFSET('Input data (2)'!BA$126,'Input data (2)'!$BL$1-'Output data - DO NOT TOUCH (2)'!$CG21,0)/1000</f>
        <v>1.982</v>
      </c>
      <c r="DB21" s="1">
        <f ca="1">OFFSET('Input data (2)'!BB$126,'Input data (2)'!$BL$1-'Output data - DO NOT TOUCH (2)'!$CG21,0)/1000</f>
        <v>3.5270000000000001</v>
      </c>
      <c r="DD21" s="1">
        <f ca="1">OFFSET('Input data (2)'!AN$126,'Input data (2)'!$BL$1-'Output data - DO NOT TOUCH (2)'!$CG21,0)</f>
        <v>105</v>
      </c>
      <c r="DE21" s="1">
        <f ca="1">OFFSET('Input data (2)'!AO$126,'Input data (2)'!$BL$1-'Output data - DO NOT TOUCH (2)'!$CG21,0)</f>
        <v>20</v>
      </c>
      <c r="DF21" s="1">
        <f ca="1">OFFSET('Input data (2)'!AP$126,'Input data (2)'!$BL$1-'Output data - DO NOT TOUCH (2)'!$CG21,0)</f>
        <v>125</v>
      </c>
      <c r="DG21" s="1"/>
      <c r="DH21" s="1">
        <f ca="1">OFFSET('Input data (2)'!AU$126,'Input data (2)'!$BL$1-'Output data - DO NOT TOUCH (2)'!$CG21,0)</f>
        <v>8</v>
      </c>
      <c r="DI21" s="1">
        <f ca="1">OFFSET('Input data (2)'!AV$126,'Input data (2)'!$BL$1-'Output data - DO NOT TOUCH (2)'!$CG21,0)</f>
        <v>0</v>
      </c>
      <c r="DJ21" s="1">
        <f ca="1">OFFSET('Input data (2)'!AW$126,'Input data (2)'!$BL$1-'Output data - DO NOT TOUCH (2)'!$CG21,0)</f>
        <v>6</v>
      </c>
      <c r="DK21" s="1">
        <f ca="1">OFFSET('Input data (2)'!AX$126,'Input data (2)'!$BL$1-'Output data - DO NOT TOUCH (2)'!$CG21,0)</f>
        <v>2</v>
      </c>
      <c r="DM21" s="1">
        <f ca="1">OFFSET('Input data (2)'!BI$126,'Input data (2)'!$BL$1-'Output data - DO NOT TOUCH (2)'!$CG21,0)</f>
        <v>227</v>
      </c>
      <c r="DN21" s="1">
        <f ca="1">OFFSET('Input data (2)'!BJ$126,'Input data (2)'!$BL$1-'Output data - DO NOT TOUCH (2)'!$CG21,0)</f>
        <v>111</v>
      </c>
      <c r="DO21" s="1">
        <f ca="1">OFFSET('Input data (2)'!BL$126,'Input data (2)'!$BL$1-'Output data - DO NOT TOUCH (2)'!$CG21,0)</f>
        <v>338</v>
      </c>
      <c r="DQ21" s="1">
        <f ca="1">OFFSET('Input data (2)'!BD$126,'Input data (2)'!$BL$1-'Output data - DO NOT TOUCH (2)'!$CG21,0)</f>
        <v>28</v>
      </c>
      <c r="DR21" s="1">
        <f ca="1">OFFSET('Input data (2)'!BE$126,'Input data (2)'!$BL$1-'Output data - DO NOT TOUCH (2)'!$CG21,0)</f>
        <v>14</v>
      </c>
      <c r="DS21" s="1">
        <f ca="1">OFFSET('Input data (2)'!BF$126,'Input data (2)'!$BL$1-'Output data - DO NOT TOUCH (2)'!$CG21,0)</f>
        <v>42</v>
      </c>
      <c r="DU21" s="1">
        <f ca="1">OFFSET('Input data (2)'!B$126,'Input data (2)'!$BL$1-'Output data - DO NOT TOUCH (2)'!$CG21-1,0)</f>
        <v>2007</v>
      </c>
      <c r="DV21" s="1" t="str">
        <f ca="1">OFFSET('Input data (2)'!C$126,'Input data (2)'!$BL$1-'Output data - DO NOT TOUCH (2)'!$CG21-1,0)</f>
        <v>Q2</v>
      </c>
      <c r="DW21" s="1" t="str">
        <f t="shared" ca="1" si="14"/>
        <v>07</v>
      </c>
      <c r="DX21" s="1" t="str">
        <f t="shared" ca="1" si="15"/>
        <v>Q2 07</v>
      </c>
      <c r="DY21" s="1">
        <f ca="1">OFFSET('Input data (2)'!W$126,'Input data (2)'!$BL$1-'Output data - DO NOT TOUCH (2)'!$CG21-1,0)/1000</f>
        <v>1.7669999999999999</v>
      </c>
      <c r="DZ21" s="1">
        <f ca="1">OFFSET('Input data (2)'!Y$126,'Input data (2)'!$BL$1-'Output data - DO NOT TOUCH (2)'!$CG21-1,0)/1000</f>
        <v>14.722</v>
      </c>
      <c r="EA21" s="1">
        <f ca="1">OFFSET('Input data (2)'!Q$126,'Input data (2)'!$BL$1-'Output data - DO NOT TOUCH (2)'!$CG21-1,0)/1000</f>
        <v>16.489000000000001</v>
      </c>
      <c r="EC21" s="3" t="str">
        <f t="shared" ca="1" si="26"/>
        <v>Q4 12</v>
      </c>
      <c r="ED21" s="68" t="e">
        <f t="shared" ca="1" si="27"/>
        <v>#VALUE!</v>
      </c>
      <c r="EE21" s="68" t="e">
        <f t="shared" ca="1" si="28"/>
        <v>#VALUE!</v>
      </c>
      <c r="EF21" s="68" t="e">
        <f t="shared" ca="1" si="29"/>
        <v>#VALUE!</v>
      </c>
      <c r="EH21" s="68">
        <f t="shared" ca="1" si="30"/>
        <v>-10.945505356311132</v>
      </c>
      <c r="EI21" s="68">
        <f t="shared" ca="1" si="31"/>
        <v>-2.3288309268743063E-2</v>
      </c>
      <c r="EJ21" s="68">
        <f t="shared" ca="1" si="32"/>
        <v>-10.968793665579875</v>
      </c>
    </row>
    <row r="22" spans="1:140" x14ac:dyDescent="0.15">
      <c r="A22" s="1">
        <v>22</v>
      </c>
      <c r="B22" s="1">
        <v>23</v>
      </c>
      <c r="C22" s="1">
        <v>24</v>
      </c>
      <c r="D22" s="1">
        <v>21</v>
      </c>
      <c r="E22" s="1" t="str">
        <f>F22&amp;G22</f>
        <v>2004Q3</v>
      </c>
      <c r="F22" s="1">
        <f>F17+1</f>
        <v>2004</v>
      </c>
      <c r="G22" s="1" t="s">
        <v>3</v>
      </c>
      <c r="H22" s="1">
        <f>VLOOKUP($E22,'Input data (2)'!$A:$BL,'Output data - DO NOT TOUCH (2)'!H$71,FALSE)</f>
        <v>2900</v>
      </c>
      <c r="I22" s="1">
        <f>VLOOKUP($E22,'Input data (2)'!$A:$BL,'Output data - DO NOT TOUCH (2)'!I$71,FALSE)</f>
        <v>1061</v>
      </c>
      <c r="J22" s="1">
        <f>VLOOKUP($E22,'Input data (2)'!$A:$BL,'Output data - DO NOT TOUCH (2)'!J$71,FALSE)</f>
        <v>1839</v>
      </c>
      <c r="K22" s="1">
        <f>VLOOKUP($E22,'Input data (2)'!$A:$BL,'Output data - DO NOT TOUCH (2)'!K$71,FALSE)</f>
        <v>2987</v>
      </c>
      <c r="L22" s="1">
        <f>VLOOKUP($E22,'Input data (2)'!$A:$BL,'Output data - DO NOT TOUCH (2)'!L$71,FALSE)</f>
        <v>1115</v>
      </c>
      <c r="M22" s="1">
        <f>VLOOKUP($E22,'Input data (2)'!$A:$BL,'Output data - DO NOT TOUCH (2)'!M$71,FALSE)</f>
        <v>1872</v>
      </c>
      <c r="O22" s="119">
        <f ca="1">IF(AND('Input data (2)'!$C$2=4,$D10&gt;=0),OFFSET('Input data (2)'!O$126,'Input data (2)'!$BL$1-$D10,0),IF(AND('Input data (2)'!$C$2=3,$C10&gt;=0),OFFSET('Input data (2)'!O$126,'Input data (2)'!$BL$1-$C10,0),IF(AND('Input data (2)'!$C$2=2,$B10&gt;=0),OFFSET('Input data (2)'!O$126,'Input data (2)'!$BL$1-$B10,0),IF(AND('Input data (2)'!$C$2=1,$A10&gt;=0),OFFSET('Input data (2)'!O$126,'Input data (2)'!$BL$1-$A10,0),""))))</f>
        <v>36</v>
      </c>
      <c r="Q22" s="1">
        <f ca="1">IF(AND('Input data (2)'!$C$2=4,$D10&gt;=0),OFFSET('Input data (2)'!AC$126,'Input data (2)'!$BL$1-$D10,0),IF(AND('Input data (2)'!$C$2=3,$C10&gt;=0),OFFSET('Input data (2)'!AC$126,'Input data (2)'!$BL$1-$C10,0),IF(AND('Input data (2)'!$C$2=2,$B10&gt;=0),OFFSET('Input data (2)'!AC$126,'Input data (2)'!$BL$1-$B10,0),IF(AND('Input data (2)'!$C$2=1,$A10&gt;=0),OFFSET('Input data (2)'!AC$126,'Input data (2)'!$BL$1-$A10,0),""))))</f>
        <v>12227</v>
      </c>
      <c r="R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S22" s="1" t="str">
        <f ca="1">IF(AND('Input data (2)'!$C$2=4,$D10&gt;=0),OFFSET('Input data (2)'!R$126,'Input data (2)'!$BL$1-$D10,0),IF(AND('Input data (2)'!$C$2=3,$C10&gt;=0),OFFSET('Input data (2)'!R$126,'Input data (2)'!$BL$1-$C10,0),IF(AND('Input data (2)'!$C$2=2,$B10&gt;=0),OFFSET('Input data (2)'!R$126,'Input data (2)'!$BL$1-$B10,0),IF(AND('Input data (2)'!$C$2=1,$A10&gt;=0),OFFSET('Input data (2)'!R$126,'Input data (2)'!$BL$1-$A10,0),""))))</f>
        <v>:</v>
      </c>
      <c r="T22" s="1">
        <f ca="1">IF(AND('Input data (2)'!$C$2=4,$D10&gt;=0),OFFSET('Input data (2)'!AA$126,'Input data (2)'!$BL$1-$D10,0),IF(AND('Input data (2)'!$C$2=3,$C10&gt;=0),OFFSET('Input data (2)'!AA$126,'Input data (2)'!$BL$1-$C10,0),IF(AND('Input data (2)'!$C$2=2,$B10&gt;=0),OFFSET('Input data (2)'!AA$126,'Input data (2)'!$BL$1-$B10,0),IF(AND('Input data (2)'!$C$2=1,$A10&gt;=0),OFFSET('Input data (2)'!AA$126,'Input data (2)'!$BL$1-$A10,0),""))))</f>
        <v>2912</v>
      </c>
      <c r="U22" s="1">
        <f ca="1">IF(AND('Input data (2)'!$C$2=4,$D10&gt;=0),OFFSET('Input data (2)'!AL$126,'Input data (2)'!$BL$1-$D10,0),IF(AND('Input data (2)'!$C$2=3,$C10&gt;=0),OFFSET('Input data (2)'!AL$126,'Input data (2)'!$BL$1-$C10,0),IF(AND('Input data (2)'!$C$2=2,$B10&gt;=0),OFFSET('Input data (2)'!AL$126,'Input data (2)'!$BL$1-$B10,0),IF(AND('Input data (2)'!$C$2=1,$A10&gt;=0),OFFSET('Input data (2)'!AL$126,'Input data (2)'!$BL$1-$A10,0),""))))</f>
        <v>12124</v>
      </c>
      <c r="V22" s="1">
        <f ca="1">IF(AND('Input data (2)'!$C$2=4,$D10&gt;=0),OFFSET('Input data (2)'!AJ$126,'Input data (2)'!$BL$1-$D10,0),IF(AND('Input data (2)'!$C$2=3,$C10&gt;=0),OFFSET('Input data (2)'!AJ$126,'Input data (2)'!$BL$1-$C10,0),IF(AND('Input data (2)'!$C$2=2,$B10&gt;=0),OFFSET('Input data (2)'!AJ$126,'Input data (2)'!$BL$1-$B10,0),IF(AND('Input data (2)'!$C$2=1,$A10&gt;=0),OFFSET('Input data (2)'!AJ$126,'Input data (2)'!$BL$1-$A10,0),""))))</f>
        <v>9365</v>
      </c>
      <c r="W22" s="1">
        <f ca="1">IF(AND('Input data (2)'!$C$2=4,$D10&gt;=0),OFFSET('Input data (2)'!AK$126,'Input data (2)'!$BL$1-$D10,0),IF(AND('Input data (2)'!$C$2=3,$C10&gt;=0),OFFSET('Input data (2)'!AK$126,'Input data (2)'!$BL$1-$C10,0),IF(AND('Input data (2)'!$C$2=2,$B10&gt;=0),OFFSET('Input data (2)'!AK$126,'Input data (2)'!$BL$1-$B10,0),IF(AND('Input data (2)'!$C$2=1,$A10&gt;=0),OFFSET('Input data (2)'!AK$126,'Input data (2)'!$BL$1-$A10,0),""))))</f>
        <v>2759</v>
      </c>
      <c r="Y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Z22" s="1">
        <f ca="1">IF(AND('Input data (2)'!$C$2=4,$D10&gt;=0),OFFSET('Input data (2)'!S$126,'Input data (2)'!$BL$1-$D10,0),IF(AND('Input data (2)'!$C$2=3,$C10&gt;=0),OFFSET('Input data (2)'!S$126,'Input data (2)'!$BL$1-$C10,0),IF(AND('Input data (2)'!$C$2=2,$B10&gt;=0),OFFSET('Input data (2)'!S$126,'Input data (2)'!$BL$1-$B10,0),IF(AND('Input data (2)'!$C$2=1,$A10&gt;=0),OFFSET('Input data (2)'!S$126,'Input data (2)'!$BL$1-$A10,0),""))))</f>
        <v>7236</v>
      </c>
      <c r="AA22" s="1">
        <f ca="1">IF(AND('Input data (2)'!$C$2=4,$D10&gt;=0),OFFSET('Input data (2)'!T$126,'Input data (2)'!$BL$1-$D10,0),IF(AND('Input data (2)'!$C$2=3,$C10&gt;=0),OFFSET('Input data (2)'!T$126,'Input data (2)'!$BL$1-$C10,0),IF(AND('Input data (2)'!$C$2=2,$B10&gt;=0),OFFSET('Input data (2)'!T$126,'Input data (2)'!$BL$1-$B10,0),IF(AND('Input data (2)'!$C$2=1,$A10&gt;=0),OFFSET('Input data (2)'!T$126,'Input data (2)'!$BL$1-$A10,0),""))))</f>
        <v>77.681159420289859</v>
      </c>
      <c r="AB22" s="1">
        <f ca="1">IF(AND('Input data (2)'!$C$2=4,$D10&gt;=0),OFFSET('Input data (2)'!U$126,'Input data (2)'!$BL$1-$D10,0),IF(AND('Input data (2)'!$C$2=3,$C10&gt;=0),OFFSET('Input data (2)'!U$126,'Input data (2)'!$BL$1-$C10,0),IF(AND('Input data (2)'!$C$2=2,$B10&gt;=0),OFFSET('Input data (2)'!U$126,'Input data (2)'!$BL$1-$B10,0),IF(AND('Input data (2)'!$C$2=1,$A10&gt;=0),OFFSET('Input data (2)'!U$126,'Input data (2)'!$BL$1-$A10,0),""))))</f>
        <v>2079</v>
      </c>
      <c r="AC22" s="1">
        <f ca="1">IF(AND('Input data (2)'!$C$2=4,$D10&gt;=0),OFFSET('Input data (2)'!V$126,'Input data (2)'!$BL$1-$D10,0),IF(AND('Input data (2)'!$C$2=3,$C10&gt;=0),OFFSET('Input data (2)'!V$126,'Input data (2)'!$BL$1-$C10,0),IF(AND('Input data (2)'!$C$2=2,$B10&gt;=0),OFFSET('Input data (2)'!V$126,'Input data (2)'!$BL$1-$B10,0),IF(AND('Input data (2)'!$C$2=1,$A10&gt;=0),OFFSET('Input data (2)'!V$126,'Input data (2)'!$BL$1-$A10,0),""))))</f>
        <v>22.318840579710145</v>
      </c>
      <c r="AD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AE22" s="1">
        <f ca="1">IF(AND('Input data (2)'!$C$2=4,$D10&gt;=0),OFFSET('Input data (2)'!W$126,'Input data (2)'!$BL$1-$D10,0),IF(AND('Input data (2)'!$C$2=3,$C10&gt;=0),OFFSET('Input data (2)'!W$126,'Input data (2)'!$BL$1-$C10,0),IF(AND('Input data (2)'!$C$2=2,$B10&gt;=0),OFFSET('Input data (2)'!W$126,'Input data (2)'!$BL$1-$B10,0),IF(AND('Input data (2)'!$C$2=1,$A10&gt;=0),OFFSET('Input data (2)'!W$126,'Input data (2)'!$BL$1-$A10,0),""))))</f>
        <v>2300</v>
      </c>
      <c r="AF22" s="1">
        <f ca="1">IF(AND('Input data (2)'!$C$2=4,$D10&gt;=0),OFFSET('Input data (2)'!X$126,'Input data (2)'!$BL$1-$D10,0),IF(AND('Input data (2)'!$C$2=3,$C10&gt;=0),OFFSET('Input data (2)'!X$126,'Input data (2)'!$BL$1-$C10,0),IF(AND('Input data (2)'!$C$2=2,$B10&gt;=0),OFFSET('Input data (2)'!X$126,'Input data (2)'!$BL$1-$B10,0),IF(AND('Input data (2)'!$C$2=1,$A10&gt;=0),OFFSET('Input data (2)'!X$126,'Input data (2)'!$BL$1-$A10,0),""))))</f>
        <v>24.691358024691358</v>
      </c>
      <c r="AG22" s="1">
        <f ca="1">IF(AND('Input data (2)'!$C$2=4,$D10&gt;=0),OFFSET('Input data (2)'!Y$126,'Input data (2)'!$BL$1-$D10,0),IF(AND('Input data (2)'!$C$2=3,$C10&gt;=0),OFFSET('Input data (2)'!Y$126,'Input data (2)'!$BL$1-$C10,0),IF(AND('Input data (2)'!$C$2=2,$B10&gt;=0),OFFSET('Input data (2)'!Y$126,'Input data (2)'!$BL$1-$B10,0),IF(AND('Input data (2)'!$C$2=1,$A10&gt;=0),OFFSET('Input data (2)'!Y$126,'Input data (2)'!$BL$1-$A10,0),""))))</f>
        <v>7015</v>
      </c>
      <c r="AH22" s="1">
        <f ca="1">IF(AND('Input data (2)'!$C$2=4,$D10&gt;=0),OFFSET('Input data (2)'!Z$126,'Input data (2)'!$BL$1-$D10,0),IF(AND('Input data (2)'!$C$2=3,$C10&gt;=0),OFFSET('Input data (2)'!Z$126,'Input data (2)'!$BL$1-$C10,0),IF(AND('Input data (2)'!$C$2=2,$B10&gt;=0),OFFSET('Input data (2)'!Z$126,'Input data (2)'!$BL$1-$B10,0),IF(AND('Input data (2)'!$C$2=1,$A10&gt;=0),OFFSET('Input data (2)'!Z$126,'Input data (2)'!$BL$1-$A10,0),""))))</f>
        <v>75.308641975308646</v>
      </c>
      <c r="AI22" s="3"/>
      <c r="AJ22" s="124">
        <f ca="1">IF(AND('Input data (2)'!$C$2=4,$D10&gt;=0),OFFSET('Input data (2)'!AF$126,'Input data (2)'!$BL$1-$D10,0),IF(AND('Input data (2)'!$C$2=3,$C10&gt;=0),OFFSET('Input data (2)'!AF$126,'Input data (2)'!$BL$1-$C10,0),IF(AND('Input data (2)'!$C$2=2,$B10&gt;=0),OFFSET('Input data (2)'!AF$126,'Input data (2)'!$BL$1-$B10,0),IF(AND('Input data (2)'!$C$2=1,$A10&gt;=0),OFFSET('Input data (2)'!AF$126,'Input data (2)'!$BL$1-$A10,0),""))))</f>
        <v>2140</v>
      </c>
      <c r="AK22" s="124">
        <f ca="1">IF(AND('Input data (2)'!$C$2=4,$D10&gt;=0),OFFSET('Input data (2)'!AD$126,'Input data (2)'!$BL$1-$D10,0),IF(AND('Input data (2)'!$C$2=3,$C10&gt;=0),OFFSET('Input data (2)'!AD$126,'Input data (2)'!$BL$1-$C10,0),IF(AND('Input data (2)'!$C$2=2,$B10&gt;=0),OFFSET('Input data (2)'!AD$126,'Input data (2)'!$BL$1-$B10,0),IF(AND('Input data (2)'!$C$2=1,$A10&gt;=0),OFFSET('Input data (2)'!AD$126,'Input data (2)'!$BL$1-$A10,0),""))))</f>
        <v>90</v>
      </c>
      <c r="AL22" s="124">
        <f ca="1">IF(AND('Input data (2)'!$C$2=4,$D10&gt;=0),OFFSET('Input data (2)'!AE$126,'Input data (2)'!$BL$1-$D10,0),IF(AND('Input data (2)'!$C$2=3,$C10&gt;=0),OFFSET('Input data (2)'!AE$126,'Input data (2)'!$BL$1-$C10,0),IF(AND('Input data (2)'!$C$2=2,$B10&gt;=0),OFFSET('Input data (2)'!AE$126,'Input data (2)'!$BL$1-$B10,0),IF(AND('Input data (2)'!$C$2=1,$A10&gt;=0),OFFSET('Input data (2)'!AE$126,'Input data (2)'!$BL$1-$A10,0),""))))</f>
        <v>2050</v>
      </c>
      <c r="AW22" s="1">
        <f ca="1">IF(AND('Input data (2)'!$C$2=4,$D10&gt;=0),OFFSET('Input data (2)'!L$126,'Input data (2)'!$BL$1-$D10,0),IF(AND('Input data (2)'!$C$2=3,$C10&gt;=0),OFFSET('Input data (2)'!L$126,'Input data (2)'!$BL$1-$C10,0),IF(AND('Input data (2)'!$C$2=2,$B10&gt;=0),OFFSET('Input data (2)'!L$126,'Input data (2)'!$BL$1-$B10,0),IF(AND('Input data (2)'!$C$2=1,$A10&gt;=0),OFFSET('Input data (2)'!L$126,'Input data (2)'!$BL$1-$A10,0),""))))</f>
        <v>203</v>
      </c>
      <c r="AX22" s="1">
        <f ca="1">IF(AND('Input data (2)'!$C$2=4,$D10&gt;=0),OFFSET('Input data (2)'!M$126,'Input data (2)'!$BL$1-$D10,0),IF(AND('Input data (2)'!$C$2=3,$C10&gt;=0),OFFSET('Input data (2)'!M$126,'Input data (2)'!$BL$1-$C10,0),IF(AND('Input data (2)'!$C$2=2,$B10&gt;=0),OFFSET('Input data (2)'!M$126,'Input data (2)'!$BL$1-$B10,0),IF(AND('Input data (2)'!$C$2=1,$A10&gt;=0),OFFSET('Input data (2)'!M$126,'Input data (2)'!$BL$1-$A10,0),""))))</f>
        <v>0</v>
      </c>
      <c r="AY22" s="1">
        <f ca="1">IF(AND('Input data (2)'!$C$2=4,$D10&gt;=0),OFFSET('Input data (2)'!N$126,'Input data (2)'!$BL$1-$D10,0),IF(AND('Input data (2)'!$C$2=3,$C10&gt;=0),OFFSET('Input data (2)'!N$126,'Input data (2)'!$BL$1-$C10,0),IF(AND('Input data (2)'!$C$2=2,$B10&gt;=0),OFFSET('Input data (2)'!N$126,'Input data (2)'!$BL$1-$B10,0),IF(AND('Input data (2)'!$C$2=1,$A10&gt;=0),OFFSET('Input data (2)'!N$126,'Input data (2)'!$BL$1-$A10,0),""))))</f>
        <v>421</v>
      </c>
      <c r="AZ22" s="1">
        <f ca="1">IF(AND('Input data (2)'!$C$2=4,$D10&gt;=0),OFFSET('Input data (2)'!P$126,'Input data (2)'!$BL$1-$D10,0),IF(AND('Input data (2)'!$C$2=3,$C10&gt;=0),OFFSET('Input data (2)'!P$126,'Input data (2)'!$BL$1-$C10,0),IF(AND('Input data (2)'!$C$2=2,$B10&gt;=0),OFFSET('Input data (2)'!P$126,'Input data (2)'!$BL$1-$B10,0),IF(AND('Input data (2)'!$C$2=1,$A10&gt;=0),OFFSET('Input data (2)'!P$126,'Input data (2)'!$BL$1-$A10,0),""))))</f>
        <v>137</v>
      </c>
      <c r="BB22" s="1">
        <f ca="1">IF(AND('Input data (2)'!$C$2=4,$D10&gt;=0),OFFSET('Input data (2)'!BB$126,'Input data (2)'!$BL$1-$D10,0),IF(AND('Input data (2)'!$C$2=3,$C10&gt;=0),OFFSET('Input data (2)'!BB$126,'Input data (2)'!$BL$1-$C10,0),IF(AND('Input data (2)'!$C$2=2,$B10&gt;=0),OFFSET('Input data (2)'!BB$126,'Input data (2)'!$BL$1-$B10,0),IF(AND('Input data (2)'!$C$2=1,$A10&gt;=0),OFFSET('Input data (2)'!BB$126,'Input data (2)'!$BL$1-$A10,0),""))))</f>
        <v>2441</v>
      </c>
      <c r="BC22" s="1">
        <f ca="1">IF(AND('Input data (2)'!$C$2=4,$D10&gt;=0),OFFSET('Input data (2)'!AY$126,'Input data (2)'!$BL$1-$D10,0),IF(AND('Input data (2)'!$C$2=3,$C10&gt;=0),OFFSET('Input data (2)'!AY$126,'Input data (2)'!$BL$1-$C10,0),IF(AND('Input data (2)'!$C$2=2,$B10&gt;=0),OFFSET('Input data (2)'!AY$126,'Input data (2)'!$BL$1-$B10,0),IF(AND('Input data (2)'!$C$2=1,$A10&gt;=0),OFFSET('Input data (2)'!AY$126,'Input data (2)'!$BL$1-$A10,0),""))))</f>
        <v>923</v>
      </c>
      <c r="BD22" s="1" t="str">
        <f ca="1">IF(AND('Input data (2)'!$C$2=4,$D10&gt;=0),OFFSET('Input data (2)'!AZ$126,'Input data (2)'!$BL$1-$D10,0),IF(AND('Input data (2)'!$C$2=3,$C10&gt;=0),OFFSET('Input data (2)'!AZ$126,'Input data (2)'!$BL$1-$C10,0),IF(AND('Input data (2)'!$C$2=2,$B10&gt;=0),OFFSET('Input data (2)'!AZ$126,'Input data (2)'!$BL$1-$B10,0),IF(AND('Input data (2)'!$C$2=1,$A10&gt;=0),OFFSET('Input data (2)'!AZ$126,'Input data (2)'!$BL$1-$A10,0),""))))</f>
        <v>:</v>
      </c>
      <c r="BE22" s="1">
        <f ca="1">IF(AND('Input data (2)'!$C$2=4,$D10&gt;=0),OFFSET('Input data (2)'!BA$126,'Input data (2)'!$BL$1-$D10,0),IF(AND('Input data (2)'!$C$2=3,$C10&gt;=0),OFFSET('Input data (2)'!BA$126,'Input data (2)'!$BL$1-$C10,0),IF(AND('Input data (2)'!$C$2=2,$B10&gt;=0),OFFSET('Input data (2)'!BA$126,'Input data (2)'!$BL$1-$B10,0),IF(AND('Input data (2)'!$C$2=1,$A10&gt;=0),OFFSET('Input data (2)'!BA$126,'Input data (2)'!$BL$1-$A10,0),""))))</f>
        <v>1518</v>
      </c>
      <c r="BF22" s="1">
        <f ca="1">IF(AND('Input data (2)'!$C$2=4,$D10&gt;=0),OFFSET('Input data (2)'!AP$126,'Input data (2)'!$BL$1-$D10,0),IF(AND('Input data (2)'!$C$2=3,$C10&gt;=0),OFFSET('Input data (2)'!AP$126,'Input data (2)'!$BL$1-$C10,0),IF(AND('Input data (2)'!$C$2=2,$B10&gt;=0),OFFSET('Input data (2)'!AP$126,'Input data (2)'!$BL$1-$B10,0),IF(AND('Input data (2)'!$C$2=1,$A10&gt;=0),OFFSET('Input data (2)'!AP$126,'Input data (2)'!$BL$1-$A10,0),""))))</f>
        <v>168</v>
      </c>
      <c r="BG22" s="1">
        <f ca="1">IF(AND('Input data (2)'!$C$2=4,$D10&gt;=0),OFFSET('Input data (2)'!AN$126,'Input data (2)'!$BL$1-$D10,0),IF(AND('Input data (2)'!$C$2=3,$C10&gt;=0),OFFSET('Input data (2)'!AN$126,'Input data (2)'!$BL$1-$C10,0),IF(AND('Input data (2)'!$C$2=2,$B10&gt;=0),OFFSET('Input data (2)'!AN$126,'Input data (2)'!$BL$1-$B10,0),IF(AND('Input data (2)'!$C$2=1,$A10&gt;=0),OFFSET('Input data (2)'!AN$126,'Input data (2)'!$BL$1-$A10,0),""))))</f>
        <v>113</v>
      </c>
      <c r="BH22" s="1">
        <f ca="1">IF(AND('Input data (2)'!$C$2=4,$D10&gt;=0),OFFSET('Input data (2)'!AO$126,'Input data (2)'!$BL$1-$D10,0),IF(AND('Input data (2)'!$C$2=3,$C10&gt;=0),OFFSET('Input data (2)'!AO$126,'Input data (2)'!$BL$1-$C10,0),IF(AND('Input data (2)'!$C$2=2,$B10&gt;=0),OFFSET('Input data (2)'!AO$126,'Input data (2)'!$BL$1-$B10,0),IF(AND('Input data (2)'!$C$2=1,$A10&gt;=0),OFFSET('Input data (2)'!AO$126,'Input data (2)'!$BL$1-$A10,0),""))))</f>
        <v>55</v>
      </c>
      <c r="BJ22" s="1">
        <f ca="1">IF(AND('Input data (2)'!$C$2=4,$D10&gt;=0),OFFSET('Input data (2)'!AU$126,'Input data (2)'!$BL$1-$D10,0),IF(AND('Input data (2)'!$C$2=3,$C10&gt;=0),OFFSET('Input data (2)'!AU$126,'Input data (2)'!$BL$1-$C10,0),IF(AND('Input data (2)'!$C$2=2,$B10&gt;=0),OFFSET('Input data (2)'!AU$126,'Input data (2)'!$BL$1-$B10,0),IF(AND('Input data (2)'!$C$2=1,$A10&gt;=0),OFFSET('Input data (2)'!AU$126,'Input data (2)'!$BL$1-$A10,0),""))))</f>
        <v>13</v>
      </c>
      <c r="BK22" s="1">
        <f ca="1">IF(AND('Input data (2)'!$C$2=4,$D10&gt;=0),OFFSET('Input data (2)'!AV$126,'Input data (2)'!$BL$1-$D10,0),IF(AND('Input data (2)'!$C$2=3,$C10&gt;=0),OFFSET('Input data (2)'!AV$126,'Input data (2)'!$BL$1-$C10,0),IF(AND('Input data (2)'!$C$2=2,$B10&gt;=0),OFFSET('Input data (2)'!AV$126,'Input data (2)'!$BL$1-$B10,0),IF(AND('Input data (2)'!$C$2=1,$A10&gt;=0),OFFSET('Input data (2)'!AV$126,'Input data (2)'!$BL$1-$A10,0),""))))</f>
        <v>0</v>
      </c>
      <c r="BL22" s="1">
        <f ca="1">IF(AND('Input data (2)'!$C$2=4,$D10&gt;=0),OFFSET('Input data (2)'!AW$126,'Input data (2)'!$BL$1-$D10,0),IF(AND('Input data (2)'!$C$2=3,$C10&gt;=0),OFFSET('Input data (2)'!AW$126,'Input data (2)'!$BL$1-$C10,0),IF(AND('Input data (2)'!$C$2=2,$B10&gt;=0),OFFSET('Input data (2)'!AW$126,'Input data (2)'!$BL$1-$B10,0),IF(AND('Input data (2)'!$C$2=1,$A10&gt;=0),OFFSET('Input data (2)'!AW$126,'Input data (2)'!$BL$1-$A10,0),""))))</f>
        <v>7</v>
      </c>
      <c r="BM22" s="1">
        <f ca="1">IF(AND('Input data (2)'!$C$2=4,$D10&gt;=0),OFFSET('Input data (2)'!AX$126,'Input data (2)'!$BL$1-$D10,0),IF(AND('Input data (2)'!$C$2=3,$C10&gt;=0),OFFSET('Input data (2)'!AX$126,'Input data (2)'!$BL$1-$C10,0),IF(AND('Input data (2)'!$C$2=2,$B10&gt;=0),OFFSET('Input data (2)'!AX$126,'Input data (2)'!$BL$1-$B10,0),IF(AND('Input data (2)'!$C$2=1,$A10&gt;=0),OFFSET('Input data (2)'!AX$126,'Input data (2)'!$BL$1-$A10,0),""))))</f>
        <v>0</v>
      </c>
      <c r="BO22" s="1">
        <f ca="1">IF(AND('Input data (2)'!$C$2=4,$D10&gt;=0),OFFSET('Input data (2)'!BL$126,'Input data (2)'!$BL$1-$D10,0),IF(AND('Input data (2)'!$C$2=3,$C10&gt;=0),OFFSET('Input data (2)'!BL$126,'Input data (2)'!$BL$1-$C10,0),IF(AND('Input data (2)'!$C$2=2,$B10&gt;=0),OFFSET('Input data (2)'!BL$126,'Input data (2)'!$BL$1-$B10,0),IF(AND('Input data (2)'!$C$2=1,$A10&gt;=0),OFFSET('Input data (2)'!BL$126,'Input data (2)'!$BL$1-$A10,0),""))))</f>
        <v>286</v>
      </c>
      <c r="BP22" s="1">
        <f ca="1">IF(AND('Input data (2)'!$C$2=4,$D10&gt;=0),OFFSET('Input data (2)'!BI$126,'Input data (2)'!$BL$1-$D10,0),IF(AND('Input data (2)'!$C$2=3,$C10&gt;=0),OFFSET('Input data (2)'!BI$126,'Input data (2)'!$BL$1-$C10,0),IF(AND('Input data (2)'!$C$2=2,$B10&gt;=0),OFFSET('Input data (2)'!BI$126,'Input data (2)'!$BL$1-$B10,0),IF(AND('Input data (2)'!$C$2=1,$A10&gt;=0),OFFSET('Input data (2)'!BI$126,'Input data (2)'!$BL$1-$A10,0),""))))</f>
        <v>165</v>
      </c>
      <c r="BQ22" s="1" t="str">
        <f ca="1">IF(AND('Input data (2)'!$C$2=4,$D10&gt;=0),OFFSET('Input data (2)'!BK$126,'Input data (2)'!$BL$1-$D10,0),IF(AND('Input data (2)'!$C$2=3,$C10&gt;=0),OFFSET('Input data (2)'!BK$126,'Input data (2)'!$BL$1-$C10,0),IF(AND('Input data (2)'!$C$2=2,$B10&gt;=0),OFFSET('Input data (2)'!BK$126,'Input data (2)'!$BL$1-$B10,0),IF(AND('Input data (2)'!$C$2=1,$A10&gt;=0),OFFSET('Input data (2)'!BK$126,'Input data (2)'!$BL$1-$A10,0),""))))</f>
        <v>..</v>
      </c>
      <c r="BR22" s="1">
        <f ca="1">IF(AND('Input data (2)'!$C$2=4,$D10&gt;=0),OFFSET('Input data (2)'!BJ$126,'Input data (2)'!$BL$1-$D10,0),IF(AND('Input data (2)'!$C$2=3,$C10&gt;=0),OFFSET('Input data (2)'!BJ$126,'Input data (2)'!$BL$1-$C10,0),IF(AND('Input data (2)'!$C$2=2,$B10&gt;=0),OFFSET('Input data (2)'!BJ$126,'Input data (2)'!$BL$1-$B10,0),IF(AND('Input data (2)'!$C$2=1,$A10&gt;=0),OFFSET('Input data (2)'!BJ$126,'Input data (2)'!$BL$1-$A10,0),""))))</f>
        <v>121</v>
      </c>
      <c r="BS22" s="1">
        <f ca="1">IF(AND('Input data (2)'!$C$2=4,$D10&gt;=0),OFFSET('Input data (2)'!BF$126,'Input data (2)'!$BL$1-$D10,0),IF(AND('Input data (2)'!$C$2=3,$C10&gt;=0),OFFSET('Input data (2)'!BF$126,'Input data (2)'!$BL$1-$C10,0),IF(AND('Input data (2)'!$C$2=2,$B10&gt;=0),OFFSET('Input data (2)'!BF$126,'Input data (2)'!$BL$1-$B10,0),IF(AND('Input data (2)'!$C$2=1,$A10&gt;=0),OFFSET('Input data (2)'!BF$126,'Input data (2)'!$BL$1-$A10,0),""))))</f>
        <v>28</v>
      </c>
      <c r="BT22" s="1">
        <f ca="1">IF(AND('Input data (2)'!$C$2=4,$D10&gt;=0),OFFSET('Input data (2)'!BD$126,'Input data (2)'!$BL$1-$D10,0),IF(AND('Input data (2)'!$C$2=3,$C10&gt;=0),OFFSET('Input data (2)'!BD$126,'Input data (2)'!$BL$1-$C10,0),IF(AND('Input data (2)'!$C$2=2,$B10&gt;=0),OFFSET('Input data (2)'!BD$126,'Input data (2)'!$BL$1-$B10,0),IF(AND('Input data (2)'!$C$2=1,$A10&gt;=0),OFFSET('Input data (2)'!BD$126,'Input data (2)'!$BL$1-$A10,0),""))))</f>
        <v>20</v>
      </c>
      <c r="BU22" s="1">
        <f ca="1">IF(AND('Input data (2)'!$C$2=4,$D10&gt;=0),OFFSET('Input data (2)'!BE$126,'Input data (2)'!$BL$1-$D10,0),IF(AND('Input data (2)'!$C$2=3,$C10&gt;=0),OFFSET('Input data (2)'!BE$126,'Input data (2)'!$BL$1-$C10,0),IF(AND('Input data (2)'!$C$2=2,$B10&gt;=0),OFFSET('Input data (2)'!BE$126,'Input data (2)'!$BL$1-$B10,0),IF(AND('Input data (2)'!$C$2=1,$A10&gt;=0),OFFSET('Input data (2)'!BE$126,'Input data (2)'!$BL$1-$A10,0),""))))</f>
        <v>8</v>
      </c>
      <c r="BW22" s="7">
        <f ca="1">IF(AND('Input data (2)'!$C$2=4,$D10&gt;=0),OFFSET('Input data (2)'!J$126,'Input data (2)'!$BL$1-$D10,0),IF(AND('Input data (2)'!$C$2=3,$C10&gt;=0),OFFSET('Input data (2)'!J$126,'Input data (2)'!$BL$1-$C10,0),IF(AND('Input data (2)'!$C$2=2,$B10&gt;=0),OFFSET('Input data (2)'!J$126,'Input data (2)'!$BL$1-$B10,0),IF(AND('Input data (2)'!$C$2=1,$A10&gt;=0),OFFSET('Input data (2)'!J$126,'Input data (2)'!$BL$1-$A10,0),""))))</f>
        <v>0.72541997175737305</v>
      </c>
      <c r="BX22" s="7">
        <f ca="1">IF(AND('Input data (2)'!$C$2=4,$D10&gt;=0),OFFSET('Input data (2)'!K$126,'Input data (2)'!$BL$1-$D10,0),IF(AND('Input data (2)'!$C$2=3,$C10&gt;=0),OFFSET('Input data (2)'!K$126,'Input data (2)'!$BL$1-$C10,0),IF(AND('Input data (2)'!$C$2=2,$B10&gt;=0),OFFSET('Input data (2)'!K$126,'Input data (2)'!$BL$1-$B10,0),IF(AND('Input data (2)'!$C$2=1,$A10&gt;=0),OFFSET('Input data (2)'!K$126,'Input data (2)'!$BL$1-$A10,0),""))))</f>
        <v>0.66269387368691612</v>
      </c>
      <c r="BY22" s="7">
        <f ca="1">IF(AND('Input data (2)'!$C$2=4,$D10&gt;=0),OFFSET('Input data (2)'!AS$126,'Input data (2)'!$BL$1-$D10,0),IF(AND('Input data (2)'!$C$2=3,$C10&gt;=0),OFFSET('Input data (2)'!AS$126,'Input data (2)'!$BL$1-$C10,0),IF(AND('Input data (2)'!$C$2=2,$B10&gt;=0),OFFSET('Input data (2)'!AS$126,'Input data (2)'!$BL$1-$B10,0),IF(AND('Input data (2)'!$C$2=1,$A10&gt;=0),OFFSET('Input data (2)'!AS$126,'Input data (2)'!$BL$1-$A10,0),""))))</f>
        <v>0.59933205804249479</v>
      </c>
      <c r="BZ22" s="7">
        <f ca="1">IF(AND('Input data (2)'!$C$2=4,$D10&gt;=0),OFFSET('Input data (2)'!AT$126,'Input data (2)'!$BL$1-$D10,0),IF(AND('Input data (2)'!$C$2=3,$C10&gt;=0),OFFSET('Input data (2)'!AT$126,'Input data (2)'!$BL$1-$C10,0),IF(AND('Input data (2)'!$C$2=2,$B10&gt;=0),OFFSET('Input data (2)'!AT$126,'Input data (2)'!$BL$1-$B10,0),IF(AND('Input data (2)'!$C$2=1,$A10&gt;=0),OFFSET('Input data (2)'!AT$126,'Input data (2)'!$BL$1-$A10,0),""))))</f>
        <v>0.54975651258605873</v>
      </c>
      <c r="CB22" s="122"/>
      <c r="CC22" s="122"/>
      <c r="CD22" s="122"/>
      <c r="CE22" s="122"/>
      <c r="CG22" s="1">
        <v>22</v>
      </c>
      <c r="CI22" s="1">
        <f t="shared" ca="1" si="24"/>
        <v>2007</v>
      </c>
      <c r="CJ22" s="1" t="str">
        <f t="shared" si="25"/>
        <v>Q4</v>
      </c>
      <c r="CK22" s="1" t="str">
        <f t="shared" ca="1" si="12"/>
        <v>07</v>
      </c>
      <c r="CL22" s="1" t="str">
        <f t="shared" ca="1" si="13"/>
        <v>Q4 07</v>
      </c>
      <c r="CM22" s="1">
        <f ca="1">OFFSET('Input data (2)'!AJ$126,'Input data (2)'!$BL$1-'Output data - DO NOT TOUCH (2)'!$CG22,0)/1000</f>
        <v>15.311</v>
      </c>
      <c r="CN22" s="1">
        <f ca="1">OFFSET('Input data (2)'!AK$126,'Input data (2)'!$BL$1-'Output data - DO NOT TOUCH (2)'!$CG22,0)/1000</f>
        <v>9.1229999999999993</v>
      </c>
      <c r="CO22" s="1">
        <f ca="1">OFFSET('Input data (2)'!AL$126,'Input data (2)'!$BL$1-'Output data - DO NOT TOUCH (2)'!$CG22,0)/1000</f>
        <v>24.434000000000001</v>
      </c>
      <c r="CP22" s="1"/>
      <c r="CQ22" s="1">
        <f ca="1">OFFSET('Input data (2)'!AG$126,'Input data (2)'!$BL$1-'Output data - DO NOT TOUCH (2)'!$CG22,0)/1000</f>
        <v>1.135</v>
      </c>
      <c r="CR22" s="1">
        <f ca="1">OFFSET('Input data (2)'!AH$126,'Input data (2)'!$BL$1-'Output data - DO NOT TOUCH (2)'!$CG22,0)/1000</f>
        <v>1.847</v>
      </c>
      <c r="CS22" s="1">
        <f ca="1">OFFSET('Input data (2)'!AI$126,'Input data (2)'!$BL$1-'Output data - DO NOT TOUCH (2)'!$CG22,0)/1000</f>
        <v>2.9820000000000002</v>
      </c>
      <c r="CT22" s="1"/>
      <c r="CU22" s="1">
        <f ca="1">OFFSET('Input data (2)'!L$126,'Input data (2)'!$BL$1-'Output data - DO NOT TOUCH (2)'!$CG22,0)</f>
        <v>92</v>
      </c>
      <c r="CV22" s="1">
        <f ca="1">OFFSET('Input data (2)'!M$126,'Input data (2)'!$BL$1-'Output data - DO NOT TOUCH (2)'!$CG22,0)</f>
        <v>0</v>
      </c>
      <c r="CW22" s="67">
        <f ca="1">OFFSET('Input data (2)'!N$126,'Input data (2)'!$BL$1-'Output data - DO NOT TOUCH (2)'!$CG22,0)</f>
        <v>575</v>
      </c>
      <c r="CX22" s="1">
        <f ca="1">OFFSET('Input data (2)'!P$126,'Input data (2)'!$BL$1-'Output data - DO NOT TOUCH (2)'!$CG22,0)</f>
        <v>91</v>
      </c>
      <c r="CY22" s="1"/>
      <c r="CZ22" s="1">
        <f ca="1">OFFSET('Input data (2)'!AY$126,'Input data (2)'!$BL$1-'Output data - DO NOT TOUCH (2)'!$CG22,0)/1000</f>
        <v>1.5629999999999999</v>
      </c>
      <c r="DA22" s="1">
        <f ca="1">OFFSET('Input data (2)'!BA$126,'Input data (2)'!$BL$1-'Output data - DO NOT TOUCH (2)'!$CG22,0)/1000</f>
        <v>1.7549999999999999</v>
      </c>
      <c r="DB22" s="1">
        <f ca="1">OFFSET('Input data (2)'!BB$126,'Input data (2)'!$BL$1-'Output data - DO NOT TOUCH (2)'!$CG22,0)/1000</f>
        <v>3.3180000000000001</v>
      </c>
      <c r="DD22" s="1">
        <f ca="1">OFFSET('Input data (2)'!AN$126,'Input data (2)'!$BL$1-'Output data - DO NOT TOUCH (2)'!$CG22,0)</f>
        <v>71</v>
      </c>
      <c r="DE22" s="1">
        <f ca="1">OFFSET('Input data (2)'!AO$126,'Input data (2)'!$BL$1-'Output data - DO NOT TOUCH (2)'!$CG22,0)</f>
        <v>12</v>
      </c>
      <c r="DF22" s="1">
        <f ca="1">OFFSET('Input data (2)'!AP$126,'Input data (2)'!$BL$1-'Output data - DO NOT TOUCH (2)'!$CG22,0)</f>
        <v>83</v>
      </c>
      <c r="DG22" s="1"/>
      <c r="DH22" s="1">
        <f ca="1">OFFSET('Input data (2)'!AU$126,'Input data (2)'!$BL$1-'Output data - DO NOT TOUCH (2)'!$CG22,0)</f>
        <v>36</v>
      </c>
      <c r="DI22" s="1">
        <f ca="1">OFFSET('Input data (2)'!AV$126,'Input data (2)'!$BL$1-'Output data - DO NOT TOUCH (2)'!$CG22,0)</f>
        <v>0</v>
      </c>
      <c r="DJ22" s="1">
        <f ca="1">OFFSET('Input data (2)'!AW$126,'Input data (2)'!$BL$1-'Output data - DO NOT TOUCH (2)'!$CG22,0)</f>
        <v>5</v>
      </c>
      <c r="DK22" s="1">
        <f ca="1">OFFSET('Input data (2)'!AX$126,'Input data (2)'!$BL$1-'Output data - DO NOT TOUCH (2)'!$CG22,0)</f>
        <v>1</v>
      </c>
      <c r="DM22" s="1">
        <f ca="1">OFFSET('Input data (2)'!BI$126,'Input data (2)'!$BL$1-'Output data - DO NOT TOUCH (2)'!$CG22,0)</f>
        <v>225</v>
      </c>
      <c r="DN22" s="1">
        <f ca="1">OFFSET('Input data (2)'!BJ$126,'Input data (2)'!$BL$1-'Output data - DO NOT TOUCH (2)'!$CG22,0)</f>
        <v>94</v>
      </c>
      <c r="DO22" s="1">
        <f ca="1">OFFSET('Input data (2)'!BL$126,'Input data (2)'!$BL$1-'Output data - DO NOT TOUCH (2)'!$CG22,0)</f>
        <v>319</v>
      </c>
      <c r="DQ22" s="1">
        <f ca="1">OFFSET('Input data (2)'!BD$126,'Input data (2)'!$BL$1-'Output data - DO NOT TOUCH (2)'!$CG22,0)</f>
        <v>36</v>
      </c>
      <c r="DR22" s="1">
        <f ca="1">OFFSET('Input data (2)'!BE$126,'Input data (2)'!$BL$1-'Output data - DO NOT TOUCH (2)'!$CG22,0)</f>
        <v>12</v>
      </c>
      <c r="DS22" s="1">
        <f ca="1">OFFSET('Input data (2)'!BF$126,'Input data (2)'!$BL$1-'Output data - DO NOT TOUCH (2)'!$CG22,0)</f>
        <v>48</v>
      </c>
      <c r="DU22" s="1">
        <f ca="1">OFFSET('Input data (2)'!B$126,'Input data (2)'!$BL$1-'Output data - DO NOT TOUCH (2)'!$CG22-1,0)</f>
        <v>2007</v>
      </c>
      <c r="DV22" s="1" t="str">
        <f ca="1">OFFSET('Input data (2)'!C$126,'Input data (2)'!$BL$1-'Output data - DO NOT TOUCH (2)'!$CG22-1,0)</f>
        <v>Q3</v>
      </c>
      <c r="DW22" s="1" t="str">
        <f t="shared" ca="1" si="14"/>
        <v>07</v>
      </c>
      <c r="DX22" s="1" t="str">
        <f t="shared" ca="1" si="15"/>
        <v>Q3 07</v>
      </c>
      <c r="DY22" s="1">
        <f ca="1">OFFSET('Input data (2)'!W$126,'Input data (2)'!$BL$1-'Output data - DO NOT TOUCH (2)'!$CG22-1,0)/1000</f>
        <v>1.66</v>
      </c>
      <c r="DZ22" s="1">
        <f ca="1">OFFSET('Input data (2)'!Y$126,'Input data (2)'!$BL$1-'Output data - DO NOT TOUCH (2)'!$CG22-1,0)/1000</f>
        <v>13.94</v>
      </c>
      <c r="EA22" s="1">
        <f ca="1">OFFSET('Input data (2)'!Q$126,'Input data (2)'!$BL$1-'Output data - DO NOT TOUCH (2)'!$CG22-1,0)/1000</f>
        <v>15.6</v>
      </c>
      <c r="EC22" s="3" t="str">
        <f t="shared" ca="1" si="26"/>
        <v>Q1 13</v>
      </c>
      <c r="ED22" s="68" t="e">
        <f t="shared" ca="1" si="27"/>
        <v>#VALUE!</v>
      </c>
      <c r="EE22" s="68" t="e">
        <f t="shared" ca="1" si="28"/>
        <v>#VALUE!</v>
      </c>
      <c r="EF22" s="68" t="e">
        <f t="shared" ca="1" si="29"/>
        <v>#VALUE!</v>
      </c>
      <c r="EH22" s="68">
        <f t="shared" ca="1" si="30"/>
        <v>-4.0764721762892684</v>
      </c>
      <c r="EI22" s="68">
        <f t="shared" ca="1" si="31"/>
        <v>-12.114976925711199</v>
      </c>
      <c r="EJ22" s="68">
        <f t="shared" ca="1" si="32"/>
        <v>-16.191449102000469</v>
      </c>
    </row>
    <row r="23" spans="1:140" x14ac:dyDescent="0.15">
      <c r="A23" s="1">
        <v>21</v>
      </c>
      <c r="B23" s="1">
        <v>22</v>
      </c>
      <c r="C23" s="1">
        <v>23</v>
      </c>
      <c r="D23" s="1">
        <v>20</v>
      </c>
      <c r="E23" s="1" t="str">
        <f>F23&amp;G23</f>
        <v>2004Q4</v>
      </c>
      <c r="F23" s="1">
        <f>F18+1</f>
        <v>2004</v>
      </c>
      <c r="G23" s="1" t="s">
        <v>4</v>
      </c>
      <c r="H23" s="1">
        <f>VLOOKUP($E23,'Input data (2)'!$A:$BL,'Output data - DO NOT TOUCH (2)'!H$71,FALSE)</f>
        <v>2936</v>
      </c>
      <c r="I23" s="1">
        <f>VLOOKUP($E23,'Input data (2)'!$A:$BL,'Output data - DO NOT TOUCH (2)'!I$71,FALSE)</f>
        <v>1118</v>
      </c>
      <c r="J23" s="1">
        <f>VLOOKUP($E23,'Input data (2)'!$A:$BL,'Output data - DO NOT TOUCH (2)'!J$71,FALSE)</f>
        <v>1818</v>
      </c>
      <c r="K23" s="1">
        <f>VLOOKUP($E23,'Input data (2)'!$A:$BL,'Output data - DO NOT TOUCH (2)'!K$71,FALSE)</f>
        <v>2972</v>
      </c>
      <c r="L23" s="1">
        <f>VLOOKUP($E23,'Input data (2)'!$A:$BL,'Output data - DO NOT TOUCH (2)'!L$71,FALSE)</f>
        <v>1118</v>
      </c>
      <c r="M23" s="1">
        <f>VLOOKUP($E23,'Input data (2)'!$A:$BL,'Output data - DO NOT TOUCH (2)'!M$71,FALSE)</f>
        <v>1854</v>
      </c>
      <c r="O23" s="119">
        <f ca="1">IF(AND('Input data (2)'!$C$2=4,$D11&gt;=0),OFFSET('Input data (2)'!O$126,'Input data (2)'!$BL$1-$D11,0),IF(AND('Input data (2)'!$C$2=3,$C11&gt;=0),OFFSET('Input data (2)'!O$126,'Input data (2)'!$BL$1-$C11,0),IF(AND('Input data (2)'!$C$2=2,$B11&gt;=0),OFFSET('Input data (2)'!O$126,'Input data (2)'!$BL$1-$B11,0),IF(AND('Input data (2)'!$C$2=1,$A11&gt;=0),OFFSET('Input data (2)'!O$126,'Input data (2)'!$BL$1-$A11,0),""))))</f>
        <v>99</v>
      </c>
      <c r="Q23" s="1">
        <f ca="1">IF(AND('Input data (2)'!$C$2=4,$D11&gt;=0),OFFSET('Input data (2)'!AC$126,'Input data (2)'!$BL$1-$D11,0),IF(AND('Input data (2)'!$C$2=3,$C11&gt;=0),OFFSET('Input data (2)'!AC$126,'Input data (2)'!$BL$1-$C11,0),IF(AND('Input data (2)'!$C$2=2,$B11&gt;=0),OFFSET('Input data (2)'!AC$126,'Input data (2)'!$BL$1-$B11,0),IF(AND('Input data (2)'!$C$2=1,$A11&gt;=0),OFFSET('Input data (2)'!AC$126,'Input data (2)'!$BL$1-$A11,0),""))))</f>
        <v>12223</v>
      </c>
      <c r="R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S23" s="1" t="str">
        <f ca="1">IF(AND('Input data (2)'!$C$2=4,$D11&gt;=0),OFFSET('Input data (2)'!R$126,'Input data (2)'!$BL$1-$D11,0),IF(AND('Input data (2)'!$C$2=3,$C11&gt;=0),OFFSET('Input data (2)'!R$126,'Input data (2)'!$BL$1-$C11,0),IF(AND('Input data (2)'!$C$2=2,$B11&gt;=0),OFFSET('Input data (2)'!R$126,'Input data (2)'!$BL$1-$B11,0),IF(AND('Input data (2)'!$C$2=1,$A11&gt;=0),OFFSET('Input data (2)'!R$126,'Input data (2)'!$BL$1-$A11,0),""))))</f>
        <v>:</v>
      </c>
      <c r="T23" s="1">
        <f ca="1">IF(AND('Input data (2)'!$C$2=4,$D11&gt;=0),OFFSET('Input data (2)'!AA$126,'Input data (2)'!$BL$1-$D11,0),IF(AND('Input data (2)'!$C$2=3,$C11&gt;=0),OFFSET('Input data (2)'!AA$126,'Input data (2)'!$BL$1-$C11,0),IF(AND('Input data (2)'!$C$2=2,$B11&gt;=0),OFFSET('Input data (2)'!AA$126,'Input data (2)'!$BL$1-$B11,0),IF(AND('Input data (2)'!$C$2=1,$A11&gt;=0),OFFSET('Input data (2)'!AA$126,'Input data (2)'!$BL$1-$A11,0),""))))</f>
        <v>3224</v>
      </c>
      <c r="U23" s="1">
        <f ca="1">IF(AND('Input data (2)'!$C$2=4,$D11&gt;=0),OFFSET('Input data (2)'!AL$126,'Input data (2)'!$BL$1-$D11,0),IF(AND('Input data (2)'!$C$2=3,$C11&gt;=0),OFFSET('Input data (2)'!AL$126,'Input data (2)'!$BL$1-$C11,0),IF(AND('Input data (2)'!$C$2=2,$B11&gt;=0),OFFSET('Input data (2)'!AL$126,'Input data (2)'!$BL$1-$B11,0),IF(AND('Input data (2)'!$C$2=1,$A11&gt;=0),OFFSET('Input data (2)'!AL$126,'Input data (2)'!$BL$1-$A11,0),""))))</f>
        <v>12885</v>
      </c>
      <c r="V23" s="1">
        <f ca="1">IF(AND('Input data (2)'!$C$2=4,$D11&gt;=0),OFFSET('Input data (2)'!AJ$126,'Input data (2)'!$BL$1-$D11,0),IF(AND('Input data (2)'!$C$2=3,$C11&gt;=0),OFFSET('Input data (2)'!AJ$126,'Input data (2)'!$BL$1-$C11,0),IF(AND('Input data (2)'!$C$2=2,$B11&gt;=0),OFFSET('Input data (2)'!AJ$126,'Input data (2)'!$BL$1-$B11,0),IF(AND('Input data (2)'!$C$2=1,$A11&gt;=0),OFFSET('Input data (2)'!AJ$126,'Input data (2)'!$BL$1-$A11,0),""))))</f>
        <v>9693</v>
      </c>
      <c r="W23" s="1">
        <f ca="1">IF(AND('Input data (2)'!$C$2=4,$D11&gt;=0),OFFSET('Input data (2)'!AK$126,'Input data (2)'!$BL$1-$D11,0),IF(AND('Input data (2)'!$C$2=3,$C11&gt;=0),OFFSET('Input data (2)'!AK$126,'Input data (2)'!$BL$1-$C11,0),IF(AND('Input data (2)'!$C$2=2,$B11&gt;=0),OFFSET('Input data (2)'!AK$126,'Input data (2)'!$BL$1-$B11,0),IF(AND('Input data (2)'!$C$2=1,$A11&gt;=0),OFFSET('Input data (2)'!AK$126,'Input data (2)'!$BL$1-$A11,0),""))))</f>
        <v>3192</v>
      </c>
      <c r="Y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Z23" s="1">
        <f ca="1">IF(AND('Input data (2)'!$C$2=4,$D11&gt;=0),OFFSET('Input data (2)'!S$126,'Input data (2)'!$BL$1-$D11,0),IF(AND('Input data (2)'!$C$2=3,$C11&gt;=0),OFFSET('Input data (2)'!S$126,'Input data (2)'!$BL$1-$C11,0),IF(AND('Input data (2)'!$C$2=2,$B11&gt;=0),OFFSET('Input data (2)'!S$126,'Input data (2)'!$BL$1-$B11,0),IF(AND('Input data (2)'!$C$2=1,$A11&gt;=0),OFFSET('Input data (2)'!S$126,'Input data (2)'!$BL$1-$A11,0),""))))</f>
        <v>7136</v>
      </c>
      <c r="AA23" s="1">
        <f ca="1">IF(AND('Input data (2)'!$C$2=4,$D11&gt;=0),OFFSET('Input data (2)'!T$126,'Input data (2)'!$BL$1-$D11,0),IF(AND('Input data (2)'!$C$2=3,$C11&gt;=0),OFFSET('Input data (2)'!T$126,'Input data (2)'!$BL$1-$C11,0),IF(AND('Input data (2)'!$C$2=2,$B11&gt;=0),OFFSET('Input data (2)'!T$126,'Input data (2)'!$BL$1-$B11,0),IF(AND('Input data (2)'!$C$2=1,$A11&gt;=0),OFFSET('Input data (2)'!T$126,'Input data (2)'!$BL$1-$A11,0),""))))</f>
        <v>79.29769974441605</v>
      </c>
      <c r="AB23" s="1">
        <f ca="1">IF(AND('Input data (2)'!$C$2=4,$D11&gt;=0),OFFSET('Input data (2)'!U$126,'Input data (2)'!$BL$1-$D11,0),IF(AND('Input data (2)'!$C$2=3,$C11&gt;=0),OFFSET('Input data (2)'!U$126,'Input data (2)'!$BL$1-$C11,0),IF(AND('Input data (2)'!$C$2=2,$B11&gt;=0),OFFSET('Input data (2)'!U$126,'Input data (2)'!$BL$1-$B11,0),IF(AND('Input data (2)'!$C$2=1,$A11&gt;=0),OFFSET('Input data (2)'!U$126,'Input data (2)'!$BL$1-$A11,0),""))))</f>
        <v>1863</v>
      </c>
      <c r="AC23" s="1">
        <f ca="1">IF(AND('Input data (2)'!$C$2=4,$D11&gt;=0),OFFSET('Input data (2)'!V$126,'Input data (2)'!$BL$1-$D11,0),IF(AND('Input data (2)'!$C$2=3,$C11&gt;=0),OFFSET('Input data (2)'!V$126,'Input data (2)'!$BL$1-$C11,0),IF(AND('Input data (2)'!$C$2=2,$B11&gt;=0),OFFSET('Input data (2)'!V$126,'Input data (2)'!$BL$1-$B11,0),IF(AND('Input data (2)'!$C$2=1,$A11&gt;=0),OFFSET('Input data (2)'!V$126,'Input data (2)'!$BL$1-$A11,0),""))))</f>
        <v>20.702300255583953</v>
      </c>
      <c r="AD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AE23" s="1">
        <f ca="1">IF(AND('Input data (2)'!$C$2=4,$D11&gt;=0),OFFSET('Input data (2)'!W$126,'Input data (2)'!$BL$1-$D11,0),IF(AND('Input data (2)'!$C$2=3,$C11&gt;=0),OFFSET('Input data (2)'!W$126,'Input data (2)'!$BL$1-$C11,0),IF(AND('Input data (2)'!$C$2=2,$B11&gt;=0),OFFSET('Input data (2)'!W$126,'Input data (2)'!$BL$1-$B11,0),IF(AND('Input data (2)'!$C$2=1,$A11&gt;=0),OFFSET('Input data (2)'!W$126,'Input data (2)'!$BL$1-$A11,0),""))))</f>
        <v>2372</v>
      </c>
      <c r="AF23" s="1">
        <f ca="1">IF(AND('Input data (2)'!$C$2=4,$D11&gt;=0),OFFSET('Input data (2)'!X$126,'Input data (2)'!$BL$1-$D11,0),IF(AND('Input data (2)'!$C$2=3,$C11&gt;=0),OFFSET('Input data (2)'!X$126,'Input data (2)'!$BL$1-$C11,0),IF(AND('Input data (2)'!$C$2=2,$B11&gt;=0),OFFSET('Input data (2)'!X$126,'Input data (2)'!$BL$1-$B11,0),IF(AND('Input data (2)'!$C$2=1,$A11&gt;=0),OFFSET('Input data (2)'!X$126,'Input data (2)'!$BL$1-$A11,0),""))))</f>
        <v>26.358484276030669</v>
      </c>
      <c r="AG23" s="1">
        <f ca="1">IF(AND('Input data (2)'!$C$2=4,$D11&gt;=0),OFFSET('Input data (2)'!Y$126,'Input data (2)'!$BL$1-$D11,0),IF(AND('Input data (2)'!$C$2=3,$C11&gt;=0),OFFSET('Input data (2)'!Y$126,'Input data (2)'!$BL$1-$C11,0),IF(AND('Input data (2)'!$C$2=2,$B11&gt;=0),OFFSET('Input data (2)'!Y$126,'Input data (2)'!$BL$1-$B11,0),IF(AND('Input data (2)'!$C$2=1,$A11&gt;=0),OFFSET('Input data (2)'!Y$126,'Input data (2)'!$BL$1-$A11,0),""))))</f>
        <v>6627</v>
      </c>
      <c r="AH23" s="1">
        <f ca="1">IF(AND('Input data (2)'!$C$2=4,$D11&gt;=0),OFFSET('Input data (2)'!Z$126,'Input data (2)'!$BL$1-$D11,0),IF(AND('Input data (2)'!$C$2=3,$C11&gt;=0),OFFSET('Input data (2)'!Z$126,'Input data (2)'!$BL$1-$C11,0),IF(AND('Input data (2)'!$C$2=2,$B11&gt;=0),OFFSET('Input data (2)'!Z$126,'Input data (2)'!$BL$1-$B11,0),IF(AND('Input data (2)'!$C$2=1,$A11&gt;=0),OFFSET('Input data (2)'!Z$126,'Input data (2)'!$BL$1-$A11,0),""))))</f>
        <v>73.641515723969334</v>
      </c>
      <c r="AI23" s="3"/>
      <c r="AJ23" s="124">
        <f ca="1">IF(AND('Input data (2)'!$C$2=4,$D11&gt;=0),OFFSET('Input data (2)'!AF$126,'Input data (2)'!$BL$1-$D11,0),IF(AND('Input data (2)'!$C$2=3,$C11&gt;=0),OFFSET('Input data (2)'!AF$126,'Input data (2)'!$BL$1-$C11,0),IF(AND('Input data (2)'!$C$2=2,$B11&gt;=0),OFFSET('Input data (2)'!AF$126,'Input data (2)'!$BL$1-$B11,0),IF(AND('Input data (2)'!$C$2=1,$A11&gt;=0),OFFSET('Input data (2)'!AF$126,'Input data (2)'!$BL$1-$A11,0),""))))</f>
        <v>2058</v>
      </c>
      <c r="AK23" s="124">
        <f ca="1">IF(AND('Input data (2)'!$C$2=4,$D11&gt;=0),OFFSET('Input data (2)'!AD$126,'Input data (2)'!$BL$1-$D11,0),IF(AND('Input data (2)'!$C$2=3,$C11&gt;=0),OFFSET('Input data (2)'!AD$126,'Input data (2)'!$BL$1-$C11,0),IF(AND('Input data (2)'!$C$2=2,$B11&gt;=0),OFFSET('Input data (2)'!AD$126,'Input data (2)'!$BL$1-$B11,0),IF(AND('Input data (2)'!$C$2=1,$A11&gt;=0),OFFSET('Input data (2)'!AD$126,'Input data (2)'!$BL$1-$A11,0),""))))</f>
        <v>26</v>
      </c>
      <c r="AL23" s="124">
        <f ca="1">IF(AND('Input data (2)'!$C$2=4,$D11&gt;=0),OFFSET('Input data (2)'!AE$126,'Input data (2)'!$BL$1-$D11,0),IF(AND('Input data (2)'!$C$2=3,$C11&gt;=0),OFFSET('Input data (2)'!AE$126,'Input data (2)'!$BL$1-$C11,0),IF(AND('Input data (2)'!$C$2=2,$B11&gt;=0),OFFSET('Input data (2)'!AE$126,'Input data (2)'!$BL$1-$B11,0),IF(AND('Input data (2)'!$C$2=1,$A11&gt;=0),OFFSET('Input data (2)'!AE$126,'Input data (2)'!$BL$1-$A11,0),""))))</f>
        <v>2032</v>
      </c>
      <c r="AW23" s="1">
        <f ca="1">IF(AND('Input data (2)'!$C$2=4,$D11&gt;=0),OFFSET('Input data (2)'!L$126,'Input data (2)'!$BL$1-$D11,0),IF(AND('Input data (2)'!$C$2=3,$C11&gt;=0),OFFSET('Input data (2)'!L$126,'Input data (2)'!$BL$1-$C11,0),IF(AND('Input data (2)'!$C$2=2,$B11&gt;=0),OFFSET('Input data (2)'!L$126,'Input data (2)'!$BL$1-$B11,0),IF(AND('Input data (2)'!$C$2=1,$A11&gt;=0),OFFSET('Input data (2)'!L$126,'Input data (2)'!$BL$1-$A11,0),""))))</f>
        <v>238</v>
      </c>
      <c r="AX23" s="1">
        <f ca="1">IF(AND('Input data (2)'!$C$2=4,$D11&gt;=0),OFFSET('Input data (2)'!M$126,'Input data (2)'!$BL$1-$D11,0),IF(AND('Input data (2)'!$C$2=3,$C11&gt;=0),OFFSET('Input data (2)'!M$126,'Input data (2)'!$BL$1-$C11,0),IF(AND('Input data (2)'!$C$2=2,$B11&gt;=0),OFFSET('Input data (2)'!M$126,'Input data (2)'!$BL$1-$B11,0),IF(AND('Input data (2)'!$C$2=1,$A11&gt;=0),OFFSET('Input data (2)'!M$126,'Input data (2)'!$BL$1-$A11,0),""))))</f>
        <v>0</v>
      </c>
      <c r="AY23" s="1">
        <f ca="1">IF(AND('Input data (2)'!$C$2=4,$D11&gt;=0),OFFSET('Input data (2)'!N$126,'Input data (2)'!$BL$1-$D11,0),IF(AND('Input data (2)'!$C$2=3,$C11&gt;=0),OFFSET('Input data (2)'!N$126,'Input data (2)'!$BL$1-$C11,0),IF(AND('Input data (2)'!$C$2=2,$B11&gt;=0),OFFSET('Input data (2)'!N$126,'Input data (2)'!$BL$1-$B11,0),IF(AND('Input data (2)'!$C$2=1,$A11&gt;=0),OFFSET('Input data (2)'!N$126,'Input data (2)'!$BL$1-$A11,0),""))))</f>
        <v>457</v>
      </c>
      <c r="AZ23" s="1">
        <f ca="1">IF(AND('Input data (2)'!$C$2=4,$D11&gt;=0),OFFSET('Input data (2)'!P$126,'Input data (2)'!$BL$1-$D11,0),IF(AND('Input data (2)'!$C$2=3,$C11&gt;=0),OFFSET('Input data (2)'!P$126,'Input data (2)'!$BL$1-$C11,0),IF(AND('Input data (2)'!$C$2=2,$B11&gt;=0),OFFSET('Input data (2)'!P$126,'Input data (2)'!$BL$1-$B11,0),IF(AND('Input data (2)'!$C$2=1,$A11&gt;=0),OFFSET('Input data (2)'!P$126,'Input data (2)'!$BL$1-$A11,0),""))))</f>
        <v>130</v>
      </c>
      <c r="BB23" s="1">
        <f ca="1">IF(AND('Input data (2)'!$C$2=4,$D11&gt;=0),OFFSET('Input data (2)'!BB$126,'Input data (2)'!$BL$1-$D11,0),IF(AND('Input data (2)'!$C$2=3,$C11&gt;=0),OFFSET('Input data (2)'!BB$126,'Input data (2)'!$BL$1-$C11,0),IF(AND('Input data (2)'!$C$2=2,$B11&gt;=0),OFFSET('Input data (2)'!BB$126,'Input data (2)'!$BL$1-$B11,0),IF(AND('Input data (2)'!$C$2=1,$A11&gt;=0),OFFSET('Input data (2)'!BB$126,'Input data (2)'!$BL$1-$A11,0),""))))</f>
        <v>2566</v>
      </c>
      <c r="BC23" s="1">
        <f ca="1">IF(AND('Input data (2)'!$C$2=4,$D11&gt;=0),OFFSET('Input data (2)'!AY$126,'Input data (2)'!$BL$1-$D11,0),IF(AND('Input data (2)'!$C$2=3,$C11&gt;=0),OFFSET('Input data (2)'!AY$126,'Input data (2)'!$BL$1-$C11,0),IF(AND('Input data (2)'!$C$2=2,$B11&gt;=0),OFFSET('Input data (2)'!AY$126,'Input data (2)'!$BL$1-$B11,0),IF(AND('Input data (2)'!$C$2=1,$A11&gt;=0),OFFSET('Input data (2)'!AY$126,'Input data (2)'!$BL$1-$A11,0),""))))</f>
        <v>803</v>
      </c>
      <c r="BD23" s="1" t="str">
        <f ca="1">IF(AND('Input data (2)'!$C$2=4,$D11&gt;=0),OFFSET('Input data (2)'!AZ$126,'Input data (2)'!$BL$1-$D11,0),IF(AND('Input data (2)'!$C$2=3,$C11&gt;=0),OFFSET('Input data (2)'!AZ$126,'Input data (2)'!$BL$1-$C11,0),IF(AND('Input data (2)'!$C$2=2,$B11&gt;=0),OFFSET('Input data (2)'!AZ$126,'Input data (2)'!$BL$1-$B11,0),IF(AND('Input data (2)'!$C$2=1,$A11&gt;=0),OFFSET('Input data (2)'!AZ$126,'Input data (2)'!$BL$1-$A11,0),""))))</f>
        <v>:</v>
      </c>
      <c r="BE23" s="1">
        <f ca="1">IF(AND('Input data (2)'!$C$2=4,$D11&gt;=0),OFFSET('Input data (2)'!BA$126,'Input data (2)'!$BL$1-$D11,0),IF(AND('Input data (2)'!$C$2=3,$C11&gt;=0),OFFSET('Input data (2)'!BA$126,'Input data (2)'!$BL$1-$C11,0),IF(AND('Input data (2)'!$C$2=2,$B11&gt;=0),OFFSET('Input data (2)'!BA$126,'Input data (2)'!$BL$1-$B11,0),IF(AND('Input data (2)'!$C$2=1,$A11&gt;=0),OFFSET('Input data (2)'!BA$126,'Input data (2)'!$BL$1-$A11,0),""))))</f>
        <v>1763</v>
      </c>
      <c r="BF23" s="1">
        <f ca="1">IF(AND('Input data (2)'!$C$2=4,$D11&gt;=0),OFFSET('Input data (2)'!AP$126,'Input data (2)'!$BL$1-$D11,0),IF(AND('Input data (2)'!$C$2=3,$C11&gt;=0),OFFSET('Input data (2)'!AP$126,'Input data (2)'!$BL$1-$C11,0),IF(AND('Input data (2)'!$C$2=2,$B11&gt;=0),OFFSET('Input data (2)'!AP$126,'Input data (2)'!$BL$1-$B11,0),IF(AND('Input data (2)'!$C$2=1,$A11&gt;=0),OFFSET('Input data (2)'!AP$126,'Input data (2)'!$BL$1-$A11,0),""))))</f>
        <v>153</v>
      </c>
      <c r="BG23" s="1">
        <f ca="1">IF(AND('Input data (2)'!$C$2=4,$D11&gt;=0),OFFSET('Input data (2)'!AN$126,'Input data (2)'!$BL$1-$D11,0),IF(AND('Input data (2)'!$C$2=3,$C11&gt;=0),OFFSET('Input data (2)'!AN$126,'Input data (2)'!$BL$1-$C11,0),IF(AND('Input data (2)'!$C$2=2,$B11&gt;=0),OFFSET('Input data (2)'!AN$126,'Input data (2)'!$BL$1-$B11,0),IF(AND('Input data (2)'!$C$2=1,$A11&gt;=0),OFFSET('Input data (2)'!AN$126,'Input data (2)'!$BL$1-$A11,0),""))))</f>
        <v>113</v>
      </c>
      <c r="BH23" s="1">
        <f ca="1">IF(AND('Input data (2)'!$C$2=4,$D11&gt;=0),OFFSET('Input data (2)'!AO$126,'Input data (2)'!$BL$1-$D11,0),IF(AND('Input data (2)'!$C$2=3,$C11&gt;=0),OFFSET('Input data (2)'!AO$126,'Input data (2)'!$BL$1-$C11,0),IF(AND('Input data (2)'!$C$2=2,$B11&gt;=0),OFFSET('Input data (2)'!AO$126,'Input data (2)'!$BL$1-$B11,0),IF(AND('Input data (2)'!$C$2=1,$A11&gt;=0),OFFSET('Input data (2)'!AO$126,'Input data (2)'!$BL$1-$A11,0),""))))</f>
        <v>40</v>
      </c>
      <c r="BJ23" s="1">
        <f ca="1">IF(AND('Input data (2)'!$C$2=4,$D11&gt;=0),OFFSET('Input data (2)'!AU$126,'Input data (2)'!$BL$1-$D11,0),IF(AND('Input data (2)'!$C$2=3,$C11&gt;=0),OFFSET('Input data (2)'!AU$126,'Input data (2)'!$BL$1-$C11,0),IF(AND('Input data (2)'!$C$2=2,$B11&gt;=0),OFFSET('Input data (2)'!AU$126,'Input data (2)'!$BL$1-$B11,0),IF(AND('Input data (2)'!$C$2=1,$A11&gt;=0),OFFSET('Input data (2)'!AU$126,'Input data (2)'!$BL$1-$A11,0),""))))</f>
        <v>16</v>
      </c>
      <c r="BK23" s="1">
        <f ca="1">IF(AND('Input data (2)'!$C$2=4,$D11&gt;=0),OFFSET('Input data (2)'!AV$126,'Input data (2)'!$BL$1-$D11,0),IF(AND('Input data (2)'!$C$2=3,$C11&gt;=0),OFFSET('Input data (2)'!AV$126,'Input data (2)'!$BL$1-$C11,0),IF(AND('Input data (2)'!$C$2=2,$B11&gt;=0),OFFSET('Input data (2)'!AV$126,'Input data (2)'!$BL$1-$B11,0),IF(AND('Input data (2)'!$C$2=1,$A11&gt;=0),OFFSET('Input data (2)'!AV$126,'Input data (2)'!$BL$1-$A11,0),""))))</f>
        <v>0</v>
      </c>
      <c r="BL23" s="1">
        <f ca="1">IF(AND('Input data (2)'!$C$2=4,$D11&gt;=0),OFFSET('Input data (2)'!AW$126,'Input data (2)'!$BL$1-$D11,0),IF(AND('Input data (2)'!$C$2=3,$C11&gt;=0),OFFSET('Input data (2)'!AW$126,'Input data (2)'!$BL$1-$C11,0),IF(AND('Input data (2)'!$C$2=2,$B11&gt;=0),OFFSET('Input data (2)'!AW$126,'Input data (2)'!$BL$1-$B11,0),IF(AND('Input data (2)'!$C$2=1,$A11&gt;=0),OFFSET('Input data (2)'!AW$126,'Input data (2)'!$BL$1-$A11,0),""))))</f>
        <v>4</v>
      </c>
      <c r="BM23" s="1">
        <f ca="1">IF(AND('Input data (2)'!$C$2=4,$D11&gt;=0),OFFSET('Input data (2)'!AX$126,'Input data (2)'!$BL$1-$D11,0),IF(AND('Input data (2)'!$C$2=3,$C11&gt;=0),OFFSET('Input data (2)'!AX$126,'Input data (2)'!$BL$1-$C11,0),IF(AND('Input data (2)'!$C$2=2,$B11&gt;=0),OFFSET('Input data (2)'!AX$126,'Input data (2)'!$BL$1-$B11,0),IF(AND('Input data (2)'!$C$2=1,$A11&gt;=0),OFFSET('Input data (2)'!AX$126,'Input data (2)'!$BL$1-$A11,0),""))))</f>
        <v>1</v>
      </c>
      <c r="BO23" s="1">
        <f ca="1">IF(AND('Input data (2)'!$C$2=4,$D11&gt;=0),OFFSET('Input data (2)'!BL$126,'Input data (2)'!$BL$1-$D11,0),IF(AND('Input data (2)'!$C$2=3,$C11&gt;=0),OFFSET('Input data (2)'!BL$126,'Input data (2)'!$BL$1-$C11,0),IF(AND('Input data (2)'!$C$2=2,$B11&gt;=0),OFFSET('Input data (2)'!BL$126,'Input data (2)'!$BL$1-$B11,0),IF(AND('Input data (2)'!$C$2=1,$A11&gt;=0),OFFSET('Input data (2)'!BL$126,'Input data (2)'!$BL$1-$A11,0),""))))</f>
        <v>294</v>
      </c>
      <c r="BP23" s="1">
        <f ca="1">IF(AND('Input data (2)'!$C$2=4,$D11&gt;=0),OFFSET('Input data (2)'!BI$126,'Input data (2)'!$BL$1-$D11,0),IF(AND('Input data (2)'!$C$2=3,$C11&gt;=0),OFFSET('Input data (2)'!BI$126,'Input data (2)'!$BL$1-$C11,0),IF(AND('Input data (2)'!$C$2=2,$B11&gt;=0),OFFSET('Input data (2)'!BI$126,'Input data (2)'!$BL$1-$B11,0),IF(AND('Input data (2)'!$C$2=1,$A11&gt;=0),OFFSET('Input data (2)'!BI$126,'Input data (2)'!$BL$1-$A11,0),""))))</f>
        <v>173</v>
      </c>
      <c r="BQ23" s="1" t="str">
        <f ca="1">IF(AND('Input data (2)'!$C$2=4,$D11&gt;=0),OFFSET('Input data (2)'!BK$126,'Input data (2)'!$BL$1-$D11,0),IF(AND('Input data (2)'!$C$2=3,$C11&gt;=0),OFFSET('Input data (2)'!BK$126,'Input data (2)'!$BL$1-$C11,0),IF(AND('Input data (2)'!$C$2=2,$B11&gt;=0),OFFSET('Input data (2)'!BK$126,'Input data (2)'!$BL$1-$B11,0),IF(AND('Input data (2)'!$C$2=1,$A11&gt;=0),OFFSET('Input data (2)'!BK$126,'Input data (2)'!$BL$1-$A11,0),""))))</f>
        <v>..</v>
      </c>
      <c r="BR23" s="1">
        <f ca="1">IF(AND('Input data (2)'!$C$2=4,$D11&gt;=0),OFFSET('Input data (2)'!BJ$126,'Input data (2)'!$BL$1-$D11,0),IF(AND('Input data (2)'!$C$2=3,$C11&gt;=0),OFFSET('Input data (2)'!BJ$126,'Input data (2)'!$BL$1-$C11,0),IF(AND('Input data (2)'!$C$2=2,$B11&gt;=0),OFFSET('Input data (2)'!BJ$126,'Input data (2)'!$BL$1-$B11,0),IF(AND('Input data (2)'!$C$2=1,$A11&gt;=0),OFFSET('Input data (2)'!BJ$126,'Input data (2)'!$BL$1-$A11,0),""))))</f>
        <v>121</v>
      </c>
      <c r="BS23" s="1">
        <f ca="1">IF(AND('Input data (2)'!$C$2=4,$D11&gt;=0),OFFSET('Input data (2)'!BF$126,'Input data (2)'!$BL$1-$D11,0),IF(AND('Input data (2)'!$C$2=3,$C11&gt;=0),OFFSET('Input data (2)'!BF$126,'Input data (2)'!$BL$1-$C11,0),IF(AND('Input data (2)'!$C$2=2,$B11&gt;=0),OFFSET('Input data (2)'!BF$126,'Input data (2)'!$BL$1-$B11,0),IF(AND('Input data (2)'!$C$2=1,$A11&gt;=0),OFFSET('Input data (2)'!BF$126,'Input data (2)'!$BL$1-$A11,0),""))))</f>
        <v>19</v>
      </c>
      <c r="BT23" s="1">
        <f ca="1">IF(AND('Input data (2)'!$C$2=4,$D11&gt;=0),OFFSET('Input data (2)'!BD$126,'Input data (2)'!$BL$1-$D11,0),IF(AND('Input data (2)'!$C$2=3,$C11&gt;=0),OFFSET('Input data (2)'!BD$126,'Input data (2)'!$BL$1-$C11,0),IF(AND('Input data (2)'!$C$2=2,$B11&gt;=0),OFFSET('Input data (2)'!BD$126,'Input data (2)'!$BL$1-$B11,0),IF(AND('Input data (2)'!$C$2=1,$A11&gt;=0),OFFSET('Input data (2)'!BD$126,'Input data (2)'!$BL$1-$A11,0),""))))</f>
        <v>10</v>
      </c>
      <c r="BU23" s="1">
        <f ca="1">IF(AND('Input data (2)'!$C$2=4,$D11&gt;=0),OFFSET('Input data (2)'!BE$126,'Input data (2)'!$BL$1-$D11,0),IF(AND('Input data (2)'!$C$2=3,$C11&gt;=0),OFFSET('Input data (2)'!BE$126,'Input data (2)'!$BL$1-$C11,0),IF(AND('Input data (2)'!$C$2=2,$B11&gt;=0),OFFSET('Input data (2)'!BE$126,'Input data (2)'!$BL$1-$B11,0),IF(AND('Input data (2)'!$C$2=1,$A11&gt;=0),OFFSET('Input data (2)'!BE$126,'Input data (2)'!$BL$1-$A11,0),""))))</f>
        <v>9</v>
      </c>
      <c r="BW23" s="7">
        <f ca="1">IF(AND('Input data (2)'!$C$2=4,$D11&gt;=0),OFFSET('Input data (2)'!J$126,'Input data (2)'!$BL$1-$D11,0),IF(AND('Input data (2)'!$C$2=3,$C11&gt;=0),OFFSET('Input data (2)'!J$126,'Input data (2)'!$BL$1-$C11,0),IF(AND('Input data (2)'!$C$2=2,$B11&gt;=0),OFFSET('Input data (2)'!J$126,'Input data (2)'!$BL$1-$B11,0),IF(AND('Input data (2)'!$C$2=1,$A11&gt;=0),OFFSET('Input data (2)'!J$126,'Input data (2)'!$BL$1-$A11,0),""))))</f>
        <v>0.69674313369776864</v>
      </c>
      <c r="BX23" s="7">
        <f ca="1">IF(AND('Input data (2)'!$C$2=4,$D11&gt;=0),OFFSET('Input data (2)'!K$126,'Input data (2)'!$BL$1-$D11,0),IF(AND('Input data (2)'!$C$2=3,$C11&gt;=0),OFFSET('Input data (2)'!K$126,'Input data (2)'!$BL$1-$C11,0),IF(AND('Input data (2)'!$C$2=2,$B11&gt;=0),OFFSET('Input data (2)'!K$126,'Input data (2)'!$BL$1-$B11,0),IF(AND('Input data (2)'!$C$2=1,$A11&gt;=0),OFFSET('Input data (2)'!K$126,'Input data (2)'!$BL$1-$A11,0),""))))</f>
        <v>0.63644494294996701</v>
      </c>
      <c r="BY23" s="7">
        <f ca="1">IF(AND('Input data (2)'!$C$2=4,$D11&gt;=0),OFFSET('Input data (2)'!AS$126,'Input data (2)'!$BL$1-$D11,0),IF(AND('Input data (2)'!$C$2=3,$C11&gt;=0),OFFSET('Input data (2)'!AS$126,'Input data (2)'!$BL$1-$C11,0),IF(AND('Input data (2)'!$C$2=2,$B11&gt;=0),OFFSET('Input data (2)'!AS$126,'Input data (2)'!$BL$1-$B11,0),IF(AND('Input data (2)'!$C$2=1,$A11&gt;=0),OFFSET('Input data (2)'!AS$126,'Input data (2)'!$BL$1-$A11,0),""))))</f>
        <v>0.61488846977677114</v>
      </c>
      <c r="BZ23" s="7">
        <f ca="1">IF(AND('Input data (2)'!$C$2=4,$D11&gt;=0),OFFSET('Input data (2)'!AT$126,'Input data (2)'!$BL$1-$D11,0),IF(AND('Input data (2)'!$C$2=3,$C11&gt;=0),OFFSET('Input data (2)'!AT$126,'Input data (2)'!$BL$1-$C11,0),IF(AND('Input data (2)'!$C$2=2,$B11&gt;=0),OFFSET('Input data (2)'!AT$126,'Input data (2)'!$BL$1-$B11,0),IF(AND('Input data (2)'!$C$2=1,$A11&gt;=0),OFFSET('Input data (2)'!AT$126,'Input data (2)'!$BL$1-$A11,0),""))))</f>
        <v>0.56435216392930876</v>
      </c>
      <c r="CB23" s="122"/>
      <c r="CC23" s="122"/>
      <c r="CD23" s="122"/>
      <c r="CE23" s="122"/>
      <c r="CG23" s="1">
        <v>21</v>
      </c>
      <c r="CI23" s="1">
        <f t="shared" ca="1" si="24"/>
        <v>2008</v>
      </c>
      <c r="CJ23" s="1" t="str">
        <f t="shared" si="25"/>
        <v>Q1</v>
      </c>
      <c r="CK23" s="1" t="str">
        <f t="shared" ca="1" si="12"/>
        <v>08</v>
      </c>
      <c r="CL23" s="1" t="str">
        <f t="shared" ca="1" si="13"/>
        <v>Q1 08</v>
      </c>
      <c r="CM23" s="1">
        <f ca="1">OFFSET('Input data (2)'!AJ$126,'Input data (2)'!$BL$1-'Output data - DO NOT TOUCH (2)'!$CG23,0)/1000</f>
        <v>15.481999999999999</v>
      </c>
      <c r="CN23" s="1">
        <f ca="1">OFFSET('Input data (2)'!AK$126,'Input data (2)'!$BL$1-'Output data - DO NOT TOUCH (2)'!$CG23,0)/1000</f>
        <v>9.641</v>
      </c>
      <c r="CO23" s="1">
        <f ca="1">OFFSET('Input data (2)'!AL$126,'Input data (2)'!$BL$1-'Output data - DO NOT TOUCH (2)'!$CG23,0)/1000</f>
        <v>25.123000000000001</v>
      </c>
      <c r="CP23" s="1"/>
      <c r="CQ23" s="1">
        <f ca="1">OFFSET('Input data (2)'!AG$126,'Input data (2)'!$BL$1-'Output data - DO NOT TOUCH (2)'!$CG23,0)/1000</f>
        <v>1.1659999999999999</v>
      </c>
      <c r="CR23" s="1">
        <f ca="1">OFFSET('Input data (2)'!AH$126,'Input data (2)'!$BL$1-'Output data - DO NOT TOUCH (2)'!$CG23,0)/1000</f>
        <v>2.06</v>
      </c>
      <c r="CS23" s="1">
        <f ca="1">OFFSET('Input data (2)'!AI$126,'Input data (2)'!$BL$1-'Output data - DO NOT TOUCH (2)'!$CG23,0)/1000</f>
        <v>3.226</v>
      </c>
      <c r="CT23" s="1"/>
      <c r="CU23" s="1">
        <f ca="1">OFFSET('Input data (2)'!L$126,'Input data (2)'!$BL$1-'Output data - DO NOT TOUCH (2)'!$CG23,0)</f>
        <v>159</v>
      </c>
      <c r="CV23" s="1">
        <f ca="1">OFFSET('Input data (2)'!M$126,'Input data (2)'!$BL$1-'Output data - DO NOT TOUCH (2)'!$CG23,0)</f>
        <v>1</v>
      </c>
      <c r="CW23" s="67">
        <f ca="1">OFFSET('Input data (2)'!N$126,'Input data (2)'!$BL$1-'Output data - DO NOT TOUCH (2)'!$CG23,0)</f>
        <v>858</v>
      </c>
      <c r="CX23" s="1">
        <f ca="1">OFFSET('Input data (2)'!P$126,'Input data (2)'!$BL$1-'Output data - DO NOT TOUCH (2)'!$CG23,0)</f>
        <v>140</v>
      </c>
      <c r="CY23" s="1"/>
      <c r="CZ23" s="1">
        <f ca="1">OFFSET('Input data (2)'!AY$126,'Input data (2)'!$BL$1-'Output data - DO NOT TOUCH (2)'!$CG23,0)/1000</f>
        <v>1.444</v>
      </c>
      <c r="DA23" s="1">
        <f ca="1">OFFSET('Input data (2)'!BA$126,'Input data (2)'!$BL$1-'Output data - DO NOT TOUCH (2)'!$CG23,0)/1000</f>
        <v>1.88</v>
      </c>
      <c r="DB23" s="1">
        <f ca="1">OFFSET('Input data (2)'!BB$126,'Input data (2)'!$BL$1-'Output data - DO NOT TOUCH (2)'!$CG23,0)/1000</f>
        <v>3.3239999999999998</v>
      </c>
      <c r="DD23" s="1">
        <f ca="1">OFFSET('Input data (2)'!AN$126,'Input data (2)'!$BL$1-'Output data - DO NOT TOUCH (2)'!$CG23,0)</f>
        <v>95</v>
      </c>
      <c r="DE23" s="1">
        <f ca="1">OFFSET('Input data (2)'!AO$126,'Input data (2)'!$BL$1-'Output data - DO NOT TOUCH (2)'!$CG23,0)</f>
        <v>7</v>
      </c>
      <c r="DF23" s="1">
        <f ca="1">OFFSET('Input data (2)'!AP$126,'Input data (2)'!$BL$1-'Output data - DO NOT TOUCH (2)'!$CG23,0)</f>
        <v>102</v>
      </c>
      <c r="DG23" s="1"/>
      <c r="DH23" s="1">
        <f ca="1">OFFSET('Input data (2)'!AU$126,'Input data (2)'!$BL$1-'Output data - DO NOT TOUCH (2)'!$CG23,0)</f>
        <v>56</v>
      </c>
      <c r="DI23" s="1">
        <f ca="1">OFFSET('Input data (2)'!AV$126,'Input data (2)'!$BL$1-'Output data - DO NOT TOUCH (2)'!$CG23,0)</f>
        <v>0</v>
      </c>
      <c r="DJ23" s="1">
        <f ca="1">OFFSET('Input data (2)'!AW$126,'Input data (2)'!$BL$1-'Output data - DO NOT TOUCH (2)'!$CG23,0)</f>
        <v>12</v>
      </c>
      <c r="DK23" s="1">
        <f ca="1">OFFSET('Input data (2)'!AX$126,'Input data (2)'!$BL$1-'Output data - DO NOT TOUCH (2)'!$CG23,0)</f>
        <v>0</v>
      </c>
      <c r="DM23" s="1">
        <f ca="1">OFFSET('Input data (2)'!BI$126,'Input data (2)'!$BL$1-'Output data - DO NOT TOUCH (2)'!$CG23,0)</f>
        <v>226</v>
      </c>
      <c r="DN23" s="1">
        <f ca="1">OFFSET('Input data (2)'!BJ$126,'Input data (2)'!$BL$1-'Output data - DO NOT TOUCH (2)'!$CG23,0)</f>
        <v>104</v>
      </c>
      <c r="DO23" s="1">
        <f ca="1">OFFSET('Input data (2)'!BL$126,'Input data (2)'!$BL$1-'Output data - DO NOT TOUCH (2)'!$CG23,0)</f>
        <v>330</v>
      </c>
      <c r="DQ23" s="1">
        <f ca="1">OFFSET('Input data (2)'!BD$126,'Input data (2)'!$BL$1-'Output data - DO NOT TOUCH (2)'!$CG23,0)</f>
        <v>37</v>
      </c>
      <c r="DR23" s="1">
        <f ca="1">OFFSET('Input data (2)'!BE$126,'Input data (2)'!$BL$1-'Output data - DO NOT TOUCH (2)'!$CG23,0)</f>
        <v>5</v>
      </c>
      <c r="DS23" s="1">
        <f ca="1">OFFSET('Input data (2)'!BF$126,'Input data (2)'!$BL$1-'Output data - DO NOT TOUCH (2)'!$CG23,0)</f>
        <v>42</v>
      </c>
      <c r="DU23" s="1">
        <f ca="1">OFFSET('Input data (2)'!B$126,'Input data (2)'!$BL$1-'Output data - DO NOT TOUCH (2)'!$CG23-1,0)</f>
        <v>2007</v>
      </c>
      <c r="DV23" s="1" t="str">
        <f ca="1">OFFSET('Input data (2)'!C$126,'Input data (2)'!$BL$1-'Output data - DO NOT TOUCH (2)'!$CG23-1,0)</f>
        <v>Q4</v>
      </c>
      <c r="DW23" s="1" t="str">
        <f t="shared" ca="1" si="14"/>
        <v>07</v>
      </c>
      <c r="DX23" s="1" t="str">
        <f t="shared" ca="1" si="15"/>
        <v>Q4 07</v>
      </c>
      <c r="DY23" s="1">
        <f ca="1">OFFSET('Input data (2)'!W$126,'Input data (2)'!$BL$1-'Output data - DO NOT TOUCH (2)'!$CG23-1,0)/1000</f>
        <v>1.65</v>
      </c>
      <c r="DZ23" s="1">
        <f ca="1">OFFSET('Input data (2)'!Y$126,'Input data (2)'!$BL$1-'Output data - DO NOT TOUCH (2)'!$CG23-1,0)/1000</f>
        <v>12.804</v>
      </c>
      <c r="EA23" s="1">
        <f ca="1">OFFSET('Input data (2)'!Q$126,'Input data (2)'!$BL$1-'Output data - DO NOT TOUCH (2)'!$CG23-1,0)/1000</f>
        <v>14.454000000000001</v>
      </c>
      <c r="EC23" s="3" t="str">
        <f t="shared" si="26"/>
        <v>Q2 13</v>
      </c>
      <c r="ED23" s="68" t="e">
        <f t="shared" ca="1" si="27"/>
        <v>#VALUE!</v>
      </c>
      <c r="EE23" s="68" t="e">
        <f t="shared" ca="1" si="28"/>
        <v>#VALUE!</v>
      </c>
      <c r="EF23" s="68" t="e">
        <f t="shared" ca="1" si="29"/>
        <v>#VALUE!</v>
      </c>
      <c r="EH23" s="68">
        <f t="shared" ca="1" si="30"/>
        <v>-1.6485100215556585</v>
      </c>
      <c r="EI23" s="68">
        <f t="shared" ca="1" si="31"/>
        <v>-0.47001776370743126</v>
      </c>
      <c r="EJ23" s="68">
        <f t="shared" ca="1" si="32"/>
        <v>-2.1185277852630899</v>
      </c>
    </row>
    <row r="24" spans="1:140" x14ac:dyDescent="0.15">
      <c r="A24" s="1">
        <v>20</v>
      </c>
      <c r="B24" s="1">
        <v>21</v>
      </c>
      <c r="C24" s="1">
        <v>22</v>
      </c>
      <c r="D24" s="1">
        <v>19</v>
      </c>
      <c r="CG24" s="1">
        <v>20</v>
      </c>
      <c r="CI24" s="1">
        <f t="shared" si="24"/>
        <v>2008</v>
      </c>
      <c r="CJ24" s="1" t="str">
        <f t="shared" si="25"/>
        <v>Q2</v>
      </c>
      <c r="CK24" s="1" t="str">
        <f t="shared" si="12"/>
        <v>08</v>
      </c>
      <c r="CL24" s="1" t="str">
        <f t="shared" si="13"/>
        <v>Q2 08</v>
      </c>
      <c r="CM24" s="1">
        <f ca="1">OFFSET('Input data (2)'!AJ$126,'Input data (2)'!$BL$1-'Output data - DO NOT TOUCH (2)'!$CG24,0)/1000</f>
        <v>15.536</v>
      </c>
      <c r="CN24" s="1">
        <f ca="1">OFFSET('Input data (2)'!AK$126,'Input data (2)'!$BL$1-'Output data - DO NOT TOUCH (2)'!$CG24,0)/1000</f>
        <v>9.375</v>
      </c>
      <c r="CO24" s="1">
        <f ca="1">OFFSET('Input data (2)'!AL$126,'Input data (2)'!$BL$1-'Output data - DO NOT TOUCH (2)'!$CG24,0)/1000</f>
        <v>24.911000000000001</v>
      </c>
      <c r="CP24" s="1"/>
      <c r="CQ24" s="1">
        <f ca="1">OFFSET('Input data (2)'!AG$126,'Input data (2)'!$BL$1-'Output data - DO NOT TOUCH (2)'!$CG24,0)/1000</f>
        <v>1.2729999999999999</v>
      </c>
      <c r="CR24" s="1">
        <f ca="1">OFFSET('Input data (2)'!AH$126,'Input data (2)'!$BL$1-'Output data - DO NOT TOUCH (2)'!$CG24,0)/1000</f>
        <v>2.2440000000000002</v>
      </c>
      <c r="CS24" s="1">
        <f ca="1">OFFSET('Input data (2)'!AI$126,'Input data (2)'!$BL$1-'Output data - DO NOT TOUCH (2)'!$CG24,0)/1000</f>
        <v>3.5169999999999999</v>
      </c>
      <c r="CT24" s="1"/>
      <c r="CU24" s="1">
        <f ca="1">OFFSET('Input data (2)'!L$126,'Input data (2)'!$BL$1-'Output data - DO NOT TOUCH (2)'!$CG24,0)</f>
        <v>177</v>
      </c>
      <c r="CV24" s="1">
        <f ca="1">OFFSET('Input data (2)'!M$126,'Input data (2)'!$BL$1-'Output data - DO NOT TOUCH (2)'!$CG24,0)</f>
        <v>0</v>
      </c>
      <c r="CW24" s="67">
        <f ca="1">OFFSET('Input data (2)'!N$126,'Input data (2)'!$BL$1-'Output data - DO NOT TOUCH (2)'!$CG24,0)</f>
        <v>938</v>
      </c>
      <c r="CX24" s="1">
        <f ca="1">OFFSET('Input data (2)'!P$126,'Input data (2)'!$BL$1-'Output data - DO NOT TOUCH (2)'!$CG24,0)</f>
        <v>131</v>
      </c>
      <c r="CY24" s="1"/>
      <c r="CZ24" s="1">
        <f ca="1">OFFSET('Input data (2)'!AY$126,'Input data (2)'!$BL$1-'Output data - DO NOT TOUCH (2)'!$CG24,0)/1000</f>
        <v>2.9319999999999999</v>
      </c>
      <c r="DA24" s="1">
        <f ca="1">OFFSET('Input data (2)'!BA$126,'Input data (2)'!$BL$1-'Output data - DO NOT TOUCH (2)'!$CG24,0)/1000</f>
        <v>1.8819999999999999</v>
      </c>
      <c r="DB24" s="1">
        <f ca="1">OFFSET('Input data (2)'!BB$126,'Input data (2)'!$BL$1-'Output data - DO NOT TOUCH (2)'!$CG24,0)/1000</f>
        <v>4.8140000000000001</v>
      </c>
      <c r="DD24" s="1">
        <f ca="1">OFFSET('Input data (2)'!AN$126,'Input data (2)'!$BL$1-'Output data - DO NOT TOUCH (2)'!$CG24,0)</f>
        <v>111</v>
      </c>
      <c r="DE24" s="1">
        <f ca="1">OFFSET('Input data (2)'!AO$126,'Input data (2)'!$BL$1-'Output data - DO NOT TOUCH (2)'!$CG24,0)</f>
        <v>21</v>
      </c>
      <c r="DF24" s="1">
        <f ca="1">OFFSET('Input data (2)'!AP$126,'Input data (2)'!$BL$1-'Output data - DO NOT TOUCH (2)'!$CG24,0)</f>
        <v>132</v>
      </c>
      <c r="DG24" s="1"/>
      <c r="DH24" s="1">
        <f ca="1">OFFSET('Input data (2)'!AU$126,'Input data (2)'!$BL$1-'Output data - DO NOT TOUCH (2)'!$CG24,0)</f>
        <v>17</v>
      </c>
      <c r="DI24" s="1">
        <f ca="1">OFFSET('Input data (2)'!AV$126,'Input data (2)'!$BL$1-'Output data - DO NOT TOUCH (2)'!$CG24,0)</f>
        <v>0</v>
      </c>
      <c r="DJ24" s="1">
        <f ca="1">OFFSET('Input data (2)'!AW$126,'Input data (2)'!$BL$1-'Output data - DO NOT TOUCH (2)'!$CG24,0)</f>
        <v>35</v>
      </c>
      <c r="DK24" s="1">
        <f ca="1">OFFSET('Input data (2)'!AX$126,'Input data (2)'!$BL$1-'Output data - DO NOT TOUCH (2)'!$CG24,0)</f>
        <v>2</v>
      </c>
      <c r="DM24" s="1">
        <f ca="1">OFFSET('Input data (2)'!BI$126,'Input data (2)'!$BL$1-'Output data - DO NOT TOUCH (2)'!$CG24,0)</f>
        <v>331</v>
      </c>
      <c r="DN24" s="1">
        <f ca="1">OFFSET('Input data (2)'!BJ$126,'Input data (2)'!$BL$1-'Output data - DO NOT TOUCH (2)'!$CG24,0)</f>
        <v>148</v>
      </c>
      <c r="DO24" s="1">
        <f ca="1">OFFSET('Input data (2)'!BL$126,'Input data (2)'!$BL$1-'Output data - DO NOT TOUCH (2)'!$CG24,0)</f>
        <v>479</v>
      </c>
      <c r="DQ24" s="1">
        <f ca="1">OFFSET('Input data (2)'!BD$126,'Input data (2)'!$BL$1-'Output data - DO NOT TOUCH (2)'!$CG24,0)</f>
        <v>42</v>
      </c>
      <c r="DR24" s="1">
        <f ca="1">OFFSET('Input data (2)'!BE$126,'Input data (2)'!$BL$1-'Output data - DO NOT TOUCH (2)'!$CG24,0)</f>
        <v>15</v>
      </c>
      <c r="DS24" s="1">
        <f ca="1">OFFSET('Input data (2)'!BF$126,'Input data (2)'!$BL$1-'Output data - DO NOT TOUCH (2)'!$CG24,0)</f>
        <v>57</v>
      </c>
      <c r="DU24" s="1">
        <f ca="1">OFFSET('Input data (2)'!B$126,'Input data (2)'!$BL$1-'Output data - DO NOT TOUCH (2)'!$CG24-1,0)</f>
        <v>2008</v>
      </c>
      <c r="DV24" s="1" t="str">
        <f ca="1">OFFSET('Input data (2)'!C$126,'Input data (2)'!$BL$1-'Output data - DO NOT TOUCH (2)'!$CG24-1,0)</f>
        <v>Q1</v>
      </c>
      <c r="DW24" s="1" t="str">
        <f t="shared" ca="1" si="14"/>
        <v>08</v>
      </c>
      <c r="DX24" s="1" t="str">
        <f t="shared" ca="1" si="15"/>
        <v>Q1 08</v>
      </c>
      <c r="DY24" s="1">
        <f ca="1">OFFSET('Input data (2)'!W$126,'Input data (2)'!$BL$1-'Output data - DO NOT TOUCH (2)'!$CG24-1,0)/1000</f>
        <v>1.915</v>
      </c>
      <c r="DZ24" s="1">
        <f ca="1">OFFSET('Input data (2)'!Y$126,'Input data (2)'!$BL$1-'Output data - DO NOT TOUCH (2)'!$CG24-1,0)/1000</f>
        <v>13.898999999999999</v>
      </c>
      <c r="EA24" s="1">
        <f ca="1">OFFSET('Input data (2)'!Q$126,'Input data (2)'!$BL$1-'Output data - DO NOT TOUCH (2)'!$CG24-1,0)/1000</f>
        <v>15.814</v>
      </c>
    </row>
    <row r="25" spans="1:140" x14ac:dyDescent="0.15">
      <c r="A25" s="1">
        <v>19</v>
      </c>
      <c r="B25" s="1">
        <v>20</v>
      </c>
      <c r="C25" s="1">
        <v>21</v>
      </c>
      <c r="D25" s="1">
        <v>18</v>
      </c>
      <c r="E25" s="1" t="str">
        <f>F25&amp;G25</f>
        <v>2005Q1</v>
      </c>
      <c r="F25" s="1">
        <f>F20+1</f>
        <v>2005</v>
      </c>
      <c r="G25" s="1" t="s">
        <v>1</v>
      </c>
      <c r="H25" s="1">
        <f>VLOOKUP($E25,'Input data (2)'!$A:$BL,'Output data - DO NOT TOUCH (2)'!H$71,FALSE)</f>
        <v>3010</v>
      </c>
      <c r="I25" s="1">
        <f>VLOOKUP($E25,'Input data (2)'!$A:$BL,'Output data - DO NOT TOUCH (2)'!I$71,FALSE)</f>
        <v>1101</v>
      </c>
      <c r="J25" s="1">
        <f>VLOOKUP($E25,'Input data (2)'!$A:$BL,'Output data - DO NOT TOUCH (2)'!J$71,FALSE)</f>
        <v>1909</v>
      </c>
      <c r="K25" s="1">
        <f>VLOOKUP($E25,'Input data (2)'!$A:$BL,'Output data - DO NOT TOUCH (2)'!K$71,FALSE)</f>
        <v>3036</v>
      </c>
      <c r="L25" s="1">
        <f>VLOOKUP($E25,'Input data (2)'!$A:$BL,'Output data - DO NOT TOUCH (2)'!L$71,FALSE)</f>
        <v>1182</v>
      </c>
      <c r="M25" s="1">
        <f>VLOOKUP($E25,'Input data (2)'!$A:$BL,'Output data - DO NOT TOUCH (2)'!M$71,FALSE)</f>
        <v>1854</v>
      </c>
      <c r="O25" s="119">
        <f ca="1">IF(AND('Input data (2)'!$C$2=4,$D12&gt;=0),OFFSET('Input data (2)'!O$126,'Input data (2)'!$BL$1-$D12,0),IF(AND('Input data (2)'!$C$2=3,$C12&gt;=0),OFFSET('Input data (2)'!O$126,'Input data (2)'!$BL$1-$C12,0),IF(AND('Input data (2)'!$C$2=2,$B12&gt;=0),OFFSET('Input data (2)'!O$126,'Input data (2)'!$BL$1-$B12,0),IF(AND('Input data (2)'!$C$2=1,$A12&gt;=0),OFFSET('Input data (2)'!O$126,'Input data (2)'!$BL$1-$A12,0),""))))</f>
        <v>204</v>
      </c>
      <c r="Q25" s="1">
        <f ca="1">IF(AND('Input data (2)'!$C$2=4,$D12&gt;=0),OFFSET('Input data (2)'!AC$126,'Input data (2)'!$BL$1-$D12,0),IF(AND('Input data (2)'!$C$2=3,$C12&gt;=0),OFFSET('Input data (2)'!AC$126,'Input data (2)'!$BL$1-$C12,0),IF(AND('Input data (2)'!$C$2=2,$B12&gt;=0),OFFSET('Input data (2)'!AC$126,'Input data (2)'!$BL$1-$B12,0),IF(AND('Input data (2)'!$C$2=1,$A12&gt;=0),OFFSET('Input data (2)'!AC$126,'Input data (2)'!$BL$1-$A12,0),""))))</f>
        <v>13190</v>
      </c>
      <c r="R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S25" s="1" t="str">
        <f ca="1">IF(AND('Input data (2)'!$C$2=4,$D12&gt;=0),OFFSET('Input data (2)'!R$126,'Input data (2)'!$BL$1-$D12,0),IF(AND('Input data (2)'!$C$2=3,$C12&gt;=0),OFFSET('Input data (2)'!R$126,'Input data (2)'!$BL$1-$C12,0),IF(AND('Input data (2)'!$C$2=2,$B12&gt;=0),OFFSET('Input data (2)'!R$126,'Input data (2)'!$BL$1-$B12,0),IF(AND('Input data (2)'!$C$2=1,$A12&gt;=0),OFFSET('Input data (2)'!R$126,'Input data (2)'!$BL$1-$A12,0),""))))</f>
        <v>:</v>
      </c>
      <c r="T25" s="1">
        <f ca="1">IF(AND('Input data (2)'!$C$2=4,$D12&gt;=0),OFFSET('Input data (2)'!AA$126,'Input data (2)'!$BL$1-$D12,0),IF(AND('Input data (2)'!$C$2=3,$C12&gt;=0),OFFSET('Input data (2)'!AA$126,'Input data (2)'!$BL$1-$C12,0),IF(AND('Input data (2)'!$C$2=2,$B12&gt;=0),OFFSET('Input data (2)'!AA$126,'Input data (2)'!$BL$1-$B12,0),IF(AND('Input data (2)'!$C$2=1,$A12&gt;=0),OFFSET('Input data (2)'!AA$126,'Input data (2)'!$BL$1-$A12,0),""))))</f>
        <v>3002</v>
      </c>
      <c r="U25" s="1">
        <f ca="1">IF(AND('Input data (2)'!$C$2=4,$D12&gt;=0),OFFSET('Input data (2)'!AL$126,'Input data (2)'!$BL$1-$D12,0),IF(AND('Input data (2)'!$C$2=3,$C12&gt;=0),OFFSET('Input data (2)'!AL$126,'Input data (2)'!$BL$1-$C12,0),IF(AND('Input data (2)'!$C$2=2,$B12&gt;=0),OFFSET('Input data (2)'!AL$126,'Input data (2)'!$BL$1-$B12,0),IF(AND('Input data (2)'!$C$2=1,$A12&gt;=0),OFFSET('Input data (2)'!AL$126,'Input data (2)'!$BL$1-$A12,0),""))))</f>
        <v>13451</v>
      </c>
      <c r="V25" s="1">
        <f ca="1">IF(AND('Input data (2)'!$C$2=4,$D12&gt;=0),OFFSET('Input data (2)'!AJ$126,'Input data (2)'!$BL$1-$D12,0),IF(AND('Input data (2)'!$C$2=3,$C12&gt;=0),OFFSET('Input data (2)'!AJ$126,'Input data (2)'!$BL$1-$C12,0),IF(AND('Input data (2)'!$C$2=2,$B12&gt;=0),OFFSET('Input data (2)'!AJ$126,'Input data (2)'!$BL$1-$B12,0),IF(AND('Input data (2)'!$C$2=1,$A12&gt;=0),OFFSET('Input data (2)'!AJ$126,'Input data (2)'!$BL$1-$A12,0),""))))</f>
        <v>10089</v>
      </c>
      <c r="W25" s="1">
        <f ca="1">IF(AND('Input data (2)'!$C$2=4,$D12&gt;=0),OFFSET('Input data (2)'!AK$126,'Input data (2)'!$BL$1-$D12,0),IF(AND('Input data (2)'!$C$2=3,$C12&gt;=0),OFFSET('Input data (2)'!AK$126,'Input data (2)'!$BL$1-$C12,0),IF(AND('Input data (2)'!$C$2=2,$B12&gt;=0),OFFSET('Input data (2)'!AK$126,'Input data (2)'!$BL$1-$B12,0),IF(AND('Input data (2)'!$C$2=1,$A12&gt;=0),OFFSET('Input data (2)'!AK$126,'Input data (2)'!$BL$1-$A12,0),""))))</f>
        <v>3362</v>
      </c>
      <c r="Y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Z25" s="1">
        <f ca="1">IF(AND('Input data (2)'!$C$2=4,$D12&gt;=0),OFFSET('Input data (2)'!S$126,'Input data (2)'!$BL$1-$D12,0),IF(AND('Input data (2)'!$C$2=3,$C12&gt;=0),OFFSET('Input data (2)'!S$126,'Input data (2)'!$BL$1-$C12,0),IF(AND('Input data (2)'!$C$2=2,$B12&gt;=0),OFFSET('Input data (2)'!S$126,'Input data (2)'!$BL$1-$B12,0),IF(AND('Input data (2)'!$C$2=1,$A12&gt;=0),OFFSET('Input data (2)'!S$126,'Input data (2)'!$BL$1-$A12,0),""))))</f>
        <v>8219</v>
      </c>
      <c r="AA25" s="1">
        <f ca="1">IF(AND('Input data (2)'!$C$2=4,$D12&gt;=0),OFFSET('Input data (2)'!T$126,'Input data (2)'!$BL$1-$D12,0),IF(AND('Input data (2)'!$C$2=3,$C12&gt;=0),OFFSET('Input data (2)'!T$126,'Input data (2)'!$BL$1-$C12,0),IF(AND('Input data (2)'!$C$2=2,$B12&gt;=0),OFFSET('Input data (2)'!T$126,'Input data (2)'!$BL$1-$B12,0),IF(AND('Input data (2)'!$C$2=1,$A12&gt;=0),OFFSET('Input data (2)'!T$126,'Input data (2)'!$BL$1-$A12,0),""))))</f>
        <v>80.673341185708679</v>
      </c>
      <c r="AB25" s="1">
        <f ca="1">IF(AND('Input data (2)'!$C$2=4,$D12&gt;=0),OFFSET('Input data (2)'!U$126,'Input data (2)'!$BL$1-$D12,0),IF(AND('Input data (2)'!$C$2=3,$C12&gt;=0),OFFSET('Input data (2)'!U$126,'Input data (2)'!$BL$1-$C12,0),IF(AND('Input data (2)'!$C$2=2,$B12&gt;=0),OFFSET('Input data (2)'!U$126,'Input data (2)'!$BL$1-$B12,0),IF(AND('Input data (2)'!$C$2=1,$A12&gt;=0),OFFSET('Input data (2)'!U$126,'Input data (2)'!$BL$1-$A12,0),""))))</f>
        <v>1969</v>
      </c>
      <c r="AC25" s="1">
        <f ca="1">IF(AND('Input data (2)'!$C$2=4,$D12&gt;=0),OFFSET('Input data (2)'!V$126,'Input data (2)'!$BL$1-$D12,0),IF(AND('Input data (2)'!$C$2=3,$C12&gt;=0),OFFSET('Input data (2)'!V$126,'Input data (2)'!$BL$1-$C12,0),IF(AND('Input data (2)'!$C$2=2,$B12&gt;=0),OFFSET('Input data (2)'!V$126,'Input data (2)'!$BL$1-$B12,0),IF(AND('Input data (2)'!$C$2=1,$A12&gt;=0),OFFSET('Input data (2)'!V$126,'Input data (2)'!$BL$1-$A12,0),""))))</f>
        <v>19.326658814291324</v>
      </c>
      <c r="AD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AE25" s="1">
        <f ca="1">IF(AND('Input data (2)'!$C$2=4,$D12&gt;=0),OFFSET('Input data (2)'!W$126,'Input data (2)'!$BL$1-$D12,0),IF(AND('Input data (2)'!$C$2=3,$C12&gt;=0),OFFSET('Input data (2)'!W$126,'Input data (2)'!$BL$1-$C12,0),IF(AND('Input data (2)'!$C$2=2,$B12&gt;=0),OFFSET('Input data (2)'!W$126,'Input data (2)'!$BL$1-$B12,0),IF(AND('Input data (2)'!$C$2=1,$A12&gt;=0),OFFSET('Input data (2)'!W$126,'Input data (2)'!$BL$1-$A12,0),""))))</f>
        <v>2446</v>
      </c>
      <c r="AF25" s="1">
        <f ca="1">IF(AND('Input data (2)'!$C$2=4,$D12&gt;=0),OFFSET('Input data (2)'!X$126,'Input data (2)'!$BL$1-$D12,0),IF(AND('Input data (2)'!$C$2=3,$C12&gt;=0),OFFSET('Input data (2)'!X$126,'Input data (2)'!$BL$1-$C12,0),IF(AND('Input data (2)'!$C$2=2,$B12&gt;=0),OFFSET('Input data (2)'!X$126,'Input data (2)'!$BL$1-$B12,0),IF(AND('Input data (2)'!$C$2=1,$A12&gt;=0),OFFSET('Input data (2)'!X$126,'Input data (2)'!$BL$1-$A12,0),""))))</f>
        <v>24.008637612877894</v>
      </c>
      <c r="AG25" s="1">
        <f ca="1">IF(AND('Input data (2)'!$C$2=4,$D12&gt;=0),OFFSET('Input data (2)'!Y$126,'Input data (2)'!$BL$1-$D12,0),IF(AND('Input data (2)'!$C$2=3,$C12&gt;=0),OFFSET('Input data (2)'!Y$126,'Input data (2)'!$BL$1-$C12,0),IF(AND('Input data (2)'!$C$2=2,$B12&gt;=0),OFFSET('Input data (2)'!Y$126,'Input data (2)'!$BL$1-$B12,0),IF(AND('Input data (2)'!$C$2=1,$A12&gt;=0),OFFSET('Input data (2)'!Y$126,'Input data (2)'!$BL$1-$A12,0),""))))</f>
        <v>7742</v>
      </c>
      <c r="AH25" s="1">
        <f ca="1">IF(AND('Input data (2)'!$C$2=4,$D12&gt;=0),OFFSET('Input data (2)'!Z$126,'Input data (2)'!$BL$1-$D12,0),IF(AND('Input data (2)'!$C$2=3,$C12&gt;=0),OFFSET('Input data (2)'!Z$126,'Input data (2)'!$BL$1-$C12,0),IF(AND('Input data (2)'!$C$2=2,$B12&gt;=0),OFFSET('Input data (2)'!Z$126,'Input data (2)'!$BL$1-$B12,0),IF(AND('Input data (2)'!$C$2=1,$A12&gt;=0),OFFSET('Input data (2)'!Z$126,'Input data (2)'!$BL$1-$A12,0),""))))</f>
        <v>75.991362387122109</v>
      </c>
      <c r="AI25" s="3"/>
      <c r="AJ25" s="124">
        <f ca="1">IF(AND('Input data (2)'!$C$2=4,$D12&gt;=0),OFFSET('Input data (2)'!AF$126,'Input data (2)'!$BL$1-$D12,0),IF(AND('Input data (2)'!$C$2=3,$C12&gt;=0),OFFSET('Input data (2)'!AF$126,'Input data (2)'!$BL$1-$C12,0),IF(AND('Input data (2)'!$C$2=2,$B12&gt;=0),OFFSET('Input data (2)'!AF$126,'Input data (2)'!$BL$1-$B12,0),IF(AND('Input data (2)'!$C$2=1,$A12&gt;=0),OFFSET('Input data (2)'!AF$126,'Input data (2)'!$BL$1-$A12,0),""))))</f>
        <v>1430</v>
      </c>
      <c r="AK25" s="124">
        <f ca="1">IF(AND('Input data (2)'!$C$2=4,$D12&gt;=0),OFFSET('Input data (2)'!AD$126,'Input data (2)'!$BL$1-$D12,0),IF(AND('Input data (2)'!$C$2=3,$C12&gt;=0),OFFSET('Input data (2)'!AD$126,'Input data (2)'!$BL$1-$C12,0),IF(AND('Input data (2)'!$C$2=2,$B12&gt;=0),OFFSET('Input data (2)'!AD$126,'Input data (2)'!$BL$1-$B12,0),IF(AND('Input data (2)'!$C$2=1,$A12&gt;=0),OFFSET('Input data (2)'!AD$126,'Input data (2)'!$BL$1-$A12,0),""))))</f>
        <v>25</v>
      </c>
      <c r="AL25" s="124">
        <f ca="1">IF(AND('Input data (2)'!$C$2=4,$D12&gt;=0),OFFSET('Input data (2)'!AE$126,'Input data (2)'!$BL$1-$D12,0),IF(AND('Input data (2)'!$C$2=3,$C12&gt;=0),OFFSET('Input data (2)'!AE$126,'Input data (2)'!$BL$1-$C12,0),IF(AND('Input data (2)'!$C$2=2,$B12&gt;=0),OFFSET('Input data (2)'!AE$126,'Input data (2)'!$BL$1-$B12,0),IF(AND('Input data (2)'!$C$2=1,$A12&gt;=0),OFFSET('Input data (2)'!AE$126,'Input data (2)'!$BL$1-$A12,0),""))))</f>
        <v>1405</v>
      </c>
      <c r="AW25" s="1">
        <f ca="1">IF(AND('Input data (2)'!$C$2=4,$D12&gt;=0),OFFSET('Input data (2)'!L$126,'Input data (2)'!$BL$1-$D12,0),IF(AND('Input data (2)'!$C$2=3,$C12&gt;=0),OFFSET('Input data (2)'!L$126,'Input data (2)'!$BL$1-$C12,0),IF(AND('Input data (2)'!$C$2=2,$B12&gt;=0),OFFSET('Input data (2)'!L$126,'Input data (2)'!$BL$1-$B12,0),IF(AND('Input data (2)'!$C$2=1,$A12&gt;=0),OFFSET('Input data (2)'!L$126,'Input data (2)'!$BL$1-$A12,0),""))))</f>
        <v>114</v>
      </c>
      <c r="AX25" s="1">
        <f ca="1">IF(AND('Input data (2)'!$C$2=4,$D12&gt;=0),OFFSET('Input data (2)'!M$126,'Input data (2)'!$BL$1-$D12,0),IF(AND('Input data (2)'!$C$2=3,$C12&gt;=0),OFFSET('Input data (2)'!M$126,'Input data (2)'!$BL$1-$C12,0),IF(AND('Input data (2)'!$C$2=2,$B12&gt;=0),OFFSET('Input data (2)'!M$126,'Input data (2)'!$BL$1-$B12,0),IF(AND('Input data (2)'!$C$2=1,$A12&gt;=0),OFFSET('Input data (2)'!M$126,'Input data (2)'!$BL$1-$A12,0),""))))</f>
        <v>0</v>
      </c>
      <c r="AY25" s="1">
        <f ca="1">IF(AND('Input data (2)'!$C$2=4,$D12&gt;=0),OFFSET('Input data (2)'!N$126,'Input data (2)'!$BL$1-$D12,0),IF(AND('Input data (2)'!$C$2=3,$C12&gt;=0),OFFSET('Input data (2)'!N$126,'Input data (2)'!$BL$1-$C12,0),IF(AND('Input data (2)'!$C$2=2,$B12&gt;=0),OFFSET('Input data (2)'!N$126,'Input data (2)'!$BL$1-$B12,0),IF(AND('Input data (2)'!$C$2=1,$A12&gt;=0),OFFSET('Input data (2)'!N$126,'Input data (2)'!$BL$1-$A12,0),""))))</f>
        <v>489</v>
      </c>
      <c r="AZ25" s="1">
        <f ca="1">IF(AND('Input data (2)'!$C$2=4,$D12&gt;=0),OFFSET('Input data (2)'!P$126,'Input data (2)'!$BL$1-$D12,0),IF(AND('Input data (2)'!$C$2=3,$C12&gt;=0),OFFSET('Input data (2)'!P$126,'Input data (2)'!$BL$1-$C12,0),IF(AND('Input data (2)'!$C$2=2,$B12&gt;=0),OFFSET('Input data (2)'!P$126,'Input data (2)'!$BL$1-$B12,0),IF(AND('Input data (2)'!$C$2=1,$A12&gt;=0),OFFSET('Input data (2)'!P$126,'Input data (2)'!$BL$1-$A12,0),""))))</f>
        <v>179</v>
      </c>
      <c r="BB25" s="1">
        <f ca="1">IF(AND('Input data (2)'!$C$2=4,$D12&gt;=0),OFFSET('Input data (2)'!BB$126,'Input data (2)'!$BL$1-$D12,0),IF(AND('Input data (2)'!$C$2=3,$C12&gt;=0),OFFSET('Input data (2)'!BB$126,'Input data (2)'!$BL$1-$C12,0),IF(AND('Input data (2)'!$C$2=2,$B12&gt;=0),OFFSET('Input data (2)'!BB$126,'Input data (2)'!$BL$1-$B12,0),IF(AND('Input data (2)'!$C$2=1,$A12&gt;=0),OFFSET('Input data (2)'!BB$126,'Input data (2)'!$BL$1-$A12,0),""))))</f>
        <v>2462</v>
      </c>
      <c r="BC25" s="1">
        <f ca="1">IF(AND('Input data (2)'!$C$2=4,$D12&gt;=0),OFFSET('Input data (2)'!AY$126,'Input data (2)'!$BL$1-$D12,0),IF(AND('Input data (2)'!$C$2=3,$C12&gt;=0),OFFSET('Input data (2)'!AY$126,'Input data (2)'!$BL$1-$C12,0),IF(AND('Input data (2)'!$C$2=2,$B12&gt;=0),OFFSET('Input data (2)'!AY$126,'Input data (2)'!$BL$1-$B12,0),IF(AND('Input data (2)'!$C$2=1,$A12&gt;=0),OFFSET('Input data (2)'!AY$126,'Input data (2)'!$BL$1-$A12,0),""))))</f>
        <v>908</v>
      </c>
      <c r="BD25" s="1" t="str">
        <f ca="1">IF(AND('Input data (2)'!$C$2=4,$D12&gt;=0),OFFSET('Input data (2)'!AZ$126,'Input data (2)'!$BL$1-$D12,0),IF(AND('Input data (2)'!$C$2=3,$C12&gt;=0),OFFSET('Input data (2)'!AZ$126,'Input data (2)'!$BL$1-$C12,0),IF(AND('Input data (2)'!$C$2=2,$B12&gt;=0),OFFSET('Input data (2)'!AZ$126,'Input data (2)'!$BL$1-$B12,0),IF(AND('Input data (2)'!$C$2=1,$A12&gt;=0),OFFSET('Input data (2)'!AZ$126,'Input data (2)'!$BL$1-$A12,0),""))))</f>
        <v>:</v>
      </c>
      <c r="BE25" s="1">
        <f ca="1">IF(AND('Input data (2)'!$C$2=4,$D12&gt;=0),OFFSET('Input data (2)'!BA$126,'Input data (2)'!$BL$1-$D12,0),IF(AND('Input data (2)'!$C$2=3,$C12&gt;=0),OFFSET('Input data (2)'!BA$126,'Input data (2)'!$BL$1-$C12,0),IF(AND('Input data (2)'!$C$2=2,$B12&gt;=0),OFFSET('Input data (2)'!BA$126,'Input data (2)'!$BL$1-$B12,0),IF(AND('Input data (2)'!$C$2=1,$A12&gt;=0),OFFSET('Input data (2)'!BA$126,'Input data (2)'!$BL$1-$A12,0),""))))</f>
        <v>1554</v>
      </c>
      <c r="BF25" s="1">
        <f ca="1">IF(AND('Input data (2)'!$C$2=4,$D12&gt;=0),OFFSET('Input data (2)'!AP$126,'Input data (2)'!$BL$1-$D12,0),IF(AND('Input data (2)'!$C$2=3,$C12&gt;=0),OFFSET('Input data (2)'!AP$126,'Input data (2)'!$BL$1-$C12,0),IF(AND('Input data (2)'!$C$2=2,$B12&gt;=0),OFFSET('Input data (2)'!AP$126,'Input data (2)'!$BL$1-$B12,0),IF(AND('Input data (2)'!$C$2=1,$A12&gt;=0),OFFSET('Input data (2)'!AP$126,'Input data (2)'!$BL$1-$A12,0),""))))</f>
        <v>140</v>
      </c>
      <c r="BG25" s="1">
        <f ca="1">IF(AND('Input data (2)'!$C$2=4,$D12&gt;=0),OFFSET('Input data (2)'!AN$126,'Input data (2)'!$BL$1-$D12,0),IF(AND('Input data (2)'!$C$2=3,$C12&gt;=0),OFFSET('Input data (2)'!AN$126,'Input data (2)'!$BL$1-$C12,0),IF(AND('Input data (2)'!$C$2=2,$B12&gt;=0),OFFSET('Input data (2)'!AN$126,'Input data (2)'!$BL$1-$B12,0),IF(AND('Input data (2)'!$C$2=1,$A12&gt;=0),OFFSET('Input data (2)'!AN$126,'Input data (2)'!$BL$1-$A12,0),""))))</f>
        <v>103</v>
      </c>
      <c r="BH25" s="1">
        <f ca="1">IF(AND('Input data (2)'!$C$2=4,$D12&gt;=0),OFFSET('Input data (2)'!AO$126,'Input data (2)'!$BL$1-$D12,0),IF(AND('Input data (2)'!$C$2=3,$C12&gt;=0),OFFSET('Input data (2)'!AO$126,'Input data (2)'!$BL$1-$C12,0),IF(AND('Input data (2)'!$C$2=2,$B12&gt;=0),OFFSET('Input data (2)'!AO$126,'Input data (2)'!$BL$1-$B12,0),IF(AND('Input data (2)'!$C$2=1,$A12&gt;=0),OFFSET('Input data (2)'!AO$126,'Input data (2)'!$BL$1-$A12,0),""))))</f>
        <v>37</v>
      </c>
      <c r="BJ25" s="1">
        <f ca="1">IF(AND('Input data (2)'!$C$2=4,$D12&gt;=0),OFFSET('Input data (2)'!AU$126,'Input data (2)'!$BL$1-$D12,0),IF(AND('Input data (2)'!$C$2=3,$C12&gt;=0),OFFSET('Input data (2)'!AU$126,'Input data (2)'!$BL$1-$C12,0),IF(AND('Input data (2)'!$C$2=2,$B12&gt;=0),OFFSET('Input data (2)'!AU$126,'Input data (2)'!$BL$1-$B12,0),IF(AND('Input data (2)'!$C$2=1,$A12&gt;=0),OFFSET('Input data (2)'!AU$126,'Input data (2)'!$BL$1-$A12,0),""))))</f>
        <v>27</v>
      </c>
      <c r="BK25" s="1">
        <f ca="1">IF(AND('Input data (2)'!$C$2=4,$D12&gt;=0),OFFSET('Input data (2)'!AV$126,'Input data (2)'!$BL$1-$D12,0),IF(AND('Input data (2)'!$C$2=3,$C12&gt;=0),OFFSET('Input data (2)'!AV$126,'Input data (2)'!$BL$1-$C12,0),IF(AND('Input data (2)'!$C$2=2,$B12&gt;=0),OFFSET('Input data (2)'!AV$126,'Input data (2)'!$BL$1-$B12,0),IF(AND('Input data (2)'!$C$2=1,$A12&gt;=0),OFFSET('Input data (2)'!AV$126,'Input data (2)'!$BL$1-$A12,0),""))))</f>
        <v>0</v>
      </c>
      <c r="BL25" s="1">
        <f ca="1">IF(AND('Input data (2)'!$C$2=4,$D12&gt;=0),OFFSET('Input data (2)'!AW$126,'Input data (2)'!$BL$1-$D12,0),IF(AND('Input data (2)'!$C$2=3,$C12&gt;=0),OFFSET('Input data (2)'!AW$126,'Input data (2)'!$BL$1-$C12,0),IF(AND('Input data (2)'!$C$2=2,$B12&gt;=0),OFFSET('Input data (2)'!AW$126,'Input data (2)'!$BL$1-$B12,0),IF(AND('Input data (2)'!$C$2=1,$A12&gt;=0),OFFSET('Input data (2)'!AW$126,'Input data (2)'!$BL$1-$A12,0),""))))</f>
        <v>8</v>
      </c>
      <c r="BM25" s="1">
        <f ca="1">IF(AND('Input data (2)'!$C$2=4,$D12&gt;=0),OFFSET('Input data (2)'!AX$126,'Input data (2)'!$BL$1-$D12,0),IF(AND('Input data (2)'!$C$2=3,$C12&gt;=0),OFFSET('Input data (2)'!AX$126,'Input data (2)'!$BL$1-$C12,0),IF(AND('Input data (2)'!$C$2=2,$B12&gt;=0),OFFSET('Input data (2)'!AX$126,'Input data (2)'!$BL$1-$B12,0),IF(AND('Input data (2)'!$C$2=1,$A12&gt;=0),OFFSET('Input data (2)'!AX$126,'Input data (2)'!$BL$1-$A12,0),""))))</f>
        <v>1</v>
      </c>
      <c r="BO25" s="1">
        <f ca="1">IF(AND('Input data (2)'!$C$2=4,$D12&gt;=0),OFFSET('Input data (2)'!BL$126,'Input data (2)'!$BL$1-$D12,0),IF(AND('Input data (2)'!$C$2=3,$C12&gt;=0),OFFSET('Input data (2)'!BL$126,'Input data (2)'!$BL$1-$C12,0),IF(AND('Input data (2)'!$C$2=2,$B12&gt;=0),OFFSET('Input data (2)'!BL$126,'Input data (2)'!$BL$1-$B12,0),IF(AND('Input data (2)'!$C$2=1,$A12&gt;=0),OFFSET('Input data (2)'!BL$126,'Input data (2)'!$BL$1-$A12,0),""))))</f>
        <v>302</v>
      </c>
      <c r="BP25" s="1">
        <f ca="1">IF(AND('Input data (2)'!$C$2=4,$D12&gt;=0),OFFSET('Input data (2)'!BI$126,'Input data (2)'!$BL$1-$D12,0),IF(AND('Input data (2)'!$C$2=3,$C12&gt;=0),OFFSET('Input data (2)'!BI$126,'Input data (2)'!$BL$1-$C12,0),IF(AND('Input data (2)'!$C$2=2,$B12&gt;=0),OFFSET('Input data (2)'!BI$126,'Input data (2)'!$BL$1-$B12,0),IF(AND('Input data (2)'!$C$2=1,$A12&gt;=0),OFFSET('Input data (2)'!BI$126,'Input data (2)'!$BL$1-$A12,0),""))))</f>
        <v>174</v>
      </c>
      <c r="BQ25" s="1" t="str">
        <f ca="1">IF(AND('Input data (2)'!$C$2=4,$D12&gt;=0),OFFSET('Input data (2)'!BK$126,'Input data (2)'!$BL$1-$D12,0),IF(AND('Input data (2)'!$C$2=3,$C12&gt;=0),OFFSET('Input data (2)'!BK$126,'Input data (2)'!$BL$1-$C12,0),IF(AND('Input data (2)'!$C$2=2,$B12&gt;=0),OFFSET('Input data (2)'!BK$126,'Input data (2)'!$BL$1-$B12,0),IF(AND('Input data (2)'!$C$2=1,$A12&gt;=0),OFFSET('Input data (2)'!BK$126,'Input data (2)'!$BL$1-$A12,0),""))))</f>
        <v>..</v>
      </c>
      <c r="BR25" s="1">
        <f ca="1">IF(AND('Input data (2)'!$C$2=4,$D12&gt;=0),OFFSET('Input data (2)'!BJ$126,'Input data (2)'!$BL$1-$D12,0),IF(AND('Input data (2)'!$C$2=3,$C12&gt;=0),OFFSET('Input data (2)'!BJ$126,'Input data (2)'!$BL$1-$C12,0),IF(AND('Input data (2)'!$C$2=2,$B12&gt;=0),OFFSET('Input data (2)'!BJ$126,'Input data (2)'!$BL$1-$B12,0),IF(AND('Input data (2)'!$C$2=1,$A12&gt;=0),OFFSET('Input data (2)'!BJ$126,'Input data (2)'!$BL$1-$A12,0),""))))</f>
        <v>128</v>
      </c>
      <c r="BS25" s="1">
        <f ca="1">IF(AND('Input data (2)'!$C$2=4,$D12&gt;=0),OFFSET('Input data (2)'!BF$126,'Input data (2)'!$BL$1-$D12,0),IF(AND('Input data (2)'!$C$2=3,$C12&gt;=0),OFFSET('Input data (2)'!BF$126,'Input data (2)'!$BL$1-$C12,0),IF(AND('Input data (2)'!$C$2=2,$B12&gt;=0),OFFSET('Input data (2)'!BF$126,'Input data (2)'!$BL$1-$B12,0),IF(AND('Input data (2)'!$C$2=1,$A12&gt;=0),OFFSET('Input data (2)'!BF$126,'Input data (2)'!$BL$1-$A12,0),""))))</f>
        <v>29</v>
      </c>
      <c r="BT25" s="1">
        <f ca="1">IF(AND('Input data (2)'!$C$2=4,$D12&gt;=0),OFFSET('Input data (2)'!BD$126,'Input data (2)'!$BL$1-$D12,0),IF(AND('Input data (2)'!$C$2=3,$C12&gt;=0),OFFSET('Input data (2)'!BD$126,'Input data (2)'!$BL$1-$C12,0),IF(AND('Input data (2)'!$C$2=2,$B12&gt;=0),OFFSET('Input data (2)'!BD$126,'Input data (2)'!$BL$1-$B12,0),IF(AND('Input data (2)'!$C$2=1,$A12&gt;=0),OFFSET('Input data (2)'!BD$126,'Input data (2)'!$BL$1-$A12,0),""))))</f>
        <v>15</v>
      </c>
      <c r="BU25" s="1">
        <f ca="1">IF(AND('Input data (2)'!$C$2=4,$D12&gt;=0),OFFSET('Input data (2)'!BE$126,'Input data (2)'!$BL$1-$D12,0),IF(AND('Input data (2)'!$C$2=3,$C12&gt;=0),OFFSET('Input data (2)'!BE$126,'Input data (2)'!$BL$1-$C12,0),IF(AND('Input data (2)'!$C$2=2,$B12&gt;=0),OFFSET('Input data (2)'!BE$126,'Input data (2)'!$BL$1-$B12,0),IF(AND('Input data (2)'!$C$2=1,$A12&gt;=0),OFFSET('Input data (2)'!BE$126,'Input data (2)'!$BL$1-$A12,0),""))))</f>
        <v>14</v>
      </c>
      <c r="BW25" s="7">
        <f ca="1">IF(AND('Input data (2)'!$C$2=4,$D12&gt;=0),OFFSET('Input data (2)'!J$126,'Input data (2)'!$BL$1-$D12,0),IF(AND('Input data (2)'!$C$2=3,$C12&gt;=0),OFFSET('Input data (2)'!J$126,'Input data (2)'!$BL$1-$C12,0),IF(AND('Input data (2)'!$C$2=2,$B12&gt;=0),OFFSET('Input data (2)'!J$126,'Input data (2)'!$BL$1-$B12,0),IF(AND('Input data (2)'!$C$2=1,$A12&gt;=0),OFFSET('Input data (2)'!J$126,'Input data (2)'!$BL$1-$A12,0),""))))</f>
        <v>0.68180107964759951</v>
      </c>
      <c r="BX25" s="7">
        <f ca="1">IF(AND('Input data (2)'!$C$2=4,$D12&gt;=0),OFFSET('Input data (2)'!K$126,'Input data (2)'!$BL$1-$D12,0),IF(AND('Input data (2)'!$C$2=3,$C12&gt;=0),OFFSET('Input data (2)'!K$126,'Input data (2)'!$BL$1-$C12,0),IF(AND('Input data (2)'!$C$2=2,$B12&gt;=0),OFFSET('Input data (2)'!K$126,'Input data (2)'!$BL$1-$B12,0),IF(AND('Input data (2)'!$C$2=1,$A12&gt;=0),OFFSET('Input data (2)'!K$126,'Input data (2)'!$BL$1-$A12,0),""))))</f>
        <v>0.62312497987250892</v>
      </c>
      <c r="BY25" s="7">
        <f ca="1">IF(AND('Input data (2)'!$C$2=4,$D12&gt;=0),OFFSET('Input data (2)'!AS$126,'Input data (2)'!$BL$1-$D12,0),IF(AND('Input data (2)'!$C$2=3,$C12&gt;=0),OFFSET('Input data (2)'!AS$126,'Input data (2)'!$BL$1-$C12,0),IF(AND('Input data (2)'!$C$2=2,$B12&gt;=0),OFFSET('Input data (2)'!AS$126,'Input data (2)'!$BL$1-$B12,0),IF(AND('Input data (2)'!$C$2=1,$A12&gt;=0),OFFSET('Input data (2)'!AS$126,'Input data (2)'!$BL$1-$A12,0),""))))</f>
        <v>0.59163100480230679</v>
      </c>
      <c r="BZ25" s="7">
        <f ca="1">IF(AND('Input data (2)'!$C$2=4,$D12&gt;=0),OFFSET('Input data (2)'!AT$126,'Input data (2)'!$BL$1-$D12,0),IF(AND('Input data (2)'!$C$2=3,$C12&gt;=0),OFFSET('Input data (2)'!AT$126,'Input data (2)'!$BL$1-$C12,0),IF(AND('Input data (2)'!$C$2=2,$B12&gt;=0),OFFSET('Input data (2)'!AT$126,'Input data (2)'!$BL$1-$B12,0),IF(AND('Input data (2)'!$C$2=1,$A12&gt;=0),OFFSET('Input data (2)'!AT$126,'Input data (2)'!$BL$1-$A12,0),""))))</f>
        <v>0.54312300641809708</v>
      </c>
      <c r="CB25" s="122"/>
      <c r="CC25" s="122"/>
      <c r="CD25" s="122"/>
      <c r="CE25" s="122"/>
      <c r="CG25" s="1">
        <v>19</v>
      </c>
      <c r="CI25" s="1">
        <f t="shared" ca="1" si="24"/>
        <v>2008</v>
      </c>
      <c r="CJ25" s="1" t="str">
        <f t="shared" si="25"/>
        <v>Q3</v>
      </c>
      <c r="CK25" s="1" t="str">
        <f t="shared" ca="1" si="12"/>
        <v>08</v>
      </c>
      <c r="CL25" s="1" t="str">
        <f t="shared" ca="1" si="13"/>
        <v>Q3 08</v>
      </c>
      <c r="CM25" s="1">
        <f ca="1">OFFSET('Input data (2)'!AJ$126,'Input data (2)'!$BL$1-'Output data - DO NOT TOUCH (2)'!$CG25,0)/1000</f>
        <v>17.474</v>
      </c>
      <c r="CN25" s="1">
        <f ca="1">OFFSET('Input data (2)'!AK$126,'Input data (2)'!$BL$1-'Output data - DO NOT TOUCH (2)'!$CG25,0)/1000</f>
        <v>9.8019999999999996</v>
      </c>
      <c r="CO25" s="1">
        <f ca="1">OFFSET('Input data (2)'!AL$126,'Input data (2)'!$BL$1-'Output data - DO NOT TOUCH (2)'!$CG25,0)/1000</f>
        <v>27.276</v>
      </c>
      <c r="CP25" s="1"/>
      <c r="CQ25" s="1">
        <f ca="1">OFFSET('Input data (2)'!AG$126,'Input data (2)'!$BL$1-'Output data - DO NOT TOUCH (2)'!$CG25,0)/1000</f>
        <v>1.5369999999999999</v>
      </c>
      <c r="CR25" s="1">
        <f ca="1">OFFSET('Input data (2)'!AH$126,'Input data (2)'!$BL$1-'Output data - DO NOT TOUCH (2)'!$CG25,0)/1000</f>
        <v>2.6150000000000002</v>
      </c>
      <c r="CS25" s="1">
        <f ca="1">OFFSET('Input data (2)'!AI$126,'Input data (2)'!$BL$1-'Output data - DO NOT TOUCH (2)'!$CG25,0)/1000</f>
        <v>4.1520000000000001</v>
      </c>
      <c r="CT25" s="1"/>
      <c r="CU25" s="1">
        <f ca="1">OFFSET('Input data (2)'!L$126,'Input data (2)'!$BL$1-'Output data - DO NOT TOUCH (2)'!$CG25,0)</f>
        <v>270</v>
      </c>
      <c r="CV25" s="1">
        <f ca="1">OFFSET('Input data (2)'!M$126,'Input data (2)'!$BL$1-'Output data - DO NOT TOUCH (2)'!$CG25,0)</f>
        <v>1</v>
      </c>
      <c r="CW25" s="67">
        <f ca="1">OFFSET('Input data (2)'!N$126,'Input data (2)'!$BL$1-'Output data - DO NOT TOUCH (2)'!$CG25,0)</f>
        <v>1006</v>
      </c>
      <c r="CX25" s="1">
        <f ca="1">OFFSET('Input data (2)'!P$126,'Input data (2)'!$BL$1-'Output data - DO NOT TOUCH (2)'!$CG25,0)</f>
        <v>167</v>
      </c>
      <c r="CY25" s="1"/>
      <c r="CZ25" s="1">
        <f ca="1">OFFSET('Input data (2)'!AY$126,'Input data (2)'!$BL$1-'Output data - DO NOT TOUCH (2)'!$CG25,0)/1000</f>
        <v>4.077</v>
      </c>
      <c r="DA25" s="1">
        <f ca="1">OFFSET('Input data (2)'!BA$126,'Input data (2)'!$BL$1-'Output data - DO NOT TOUCH (2)'!$CG25,0)/1000</f>
        <v>1.9430000000000001</v>
      </c>
      <c r="DB25" s="1">
        <f ca="1">OFFSET('Input data (2)'!BB$126,'Input data (2)'!$BL$1-'Output data - DO NOT TOUCH (2)'!$CG25,0)/1000</f>
        <v>6.02</v>
      </c>
      <c r="DD25" s="1">
        <f ca="1">OFFSET('Input data (2)'!AN$126,'Input data (2)'!$BL$1-'Output data - DO NOT TOUCH (2)'!$CG25,0)</f>
        <v>111</v>
      </c>
      <c r="DE25" s="1">
        <f ca="1">OFFSET('Input data (2)'!AO$126,'Input data (2)'!$BL$1-'Output data - DO NOT TOUCH (2)'!$CG25,0)</f>
        <v>16</v>
      </c>
      <c r="DF25" s="1">
        <f ca="1">OFFSET('Input data (2)'!AP$126,'Input data (2)'!$BL$1-'Output data - DO NOT TOUCH (2)'!$CG25,0)</f>
        <v>127</v>
      </c>
      <c r="DG25" s="1"/>
      <c r="DH25" s="1">
        <f ca="1">OFFSET('Input data (2)'!AU$126,'Input data (2)'!$BL$1-'Output data - DO NOT TOUCH (2)'!$CG25,0)</f>
        <v>43</v>
      </c>
      <c r="DI25" s="1">
        <f ca="1">OFFSET('Input data (2)'!AV$126,'Input data (2)'!$BL$1-'Output data - DO NOT TOUCH (2)'!$CG25,0)</f>
        <v>0</v>
      </c>
      <c r="DJ25" s="1">
        <f ca="1">OFFSET('Input data (2)'!AW$126,'Input data (2)'!$BL$1-'Output data - DO NOT TOUCH (2)'!$CG25,0)</f>
        <v>21</v>
      </c>
      <c r="DK25" s="1">
        <f ca="1">OFFSET('Input data (2)'!AX$126,'Input data (2)'!$BL$1-'Output data - DO NOT TOUCH (2)'!$CG25,0)</f>
        <v>0</v>
      </c>
      <c r="DM25" s="1">
        <f ca="1">OFFSET('Input data (2)'!BI$126,'Input data (2)'!$BL$1-'Output data - DO NOT TOUCH (2)'!$CG25,0)</f>
        <v>229</v>
      </c>
      <c r="DN25" s="1">
        <f ca="1">OFFSET('Input data (2)'!BJ$126,'Input data (2)'!$BL$1-'Output data - DO NOT TOUCH (2)'!$CG25,0)</f>
        <v>157</v>
      </c>
      <c r="DO25" s="1">
        <f ca="1">OFFSET('Input data (2)'!BL$126,'Input data (2)'!$BL$1-'Output data - DO NOT TOUCH (2)'!$CG25,0)</f>
        <v>386</v>
      </c>
      <c r="DQ25" s="1">
        <f ca="1">OFFSET('Input data (2)'!BD$126,'Input data (2)'!$BL$1-'Output data - DO NOT TOUCH (2)'!$CG25,0)</f>
        <v>27</v>
      </c>
      <c r="DR25" s="1">
        <f ca="1">OFFSET('Input data (2)'!BE$126,'Input data (2)'!$BL$1-'Output data - DO NOT TOUCH (2)'!$CG25,0)</f>
        <v>17</v>
      </c>
      <c r="DS25" s="1">
        <f ca="1">OFFSET('Input data (2)'!BF$126,'Input data (2)'!$BL$1-'Output data - DO NOT TOUCH (2)'!$CG25,0)</f>
        <v>44</v>
      </c>
      <c r="DU25" s="1">
        <f ca="1">OFFSET('Input data (2)'!B$126,'Input data (2)'!$BL$1-'Output data - DO NOT TOUCH (2)'!$CG25-1,0)</f>
        <v>2008</v>
      </c>
      <c r="DV25" s="1" t="str">
        <f ca="1">OFFSET('Input data (2)'!C$126,'Input data (2)'!$BL$1-'Output data - DO NOT TOUCH (2)'!$CG25-1,0)</f>
        <v>Q2</v>
      </c>
      <c r="DW25" s="1" t="str">
        <f t="shared" ca="1" si="14"/>
        <v>08</v>
      </c>
      <c r="DX25" s="1" t="str">
        <f t="shared" ca="1" si="15"/>
        <v>Q2 08</v>
      </c>
      <c r="DY25" s="1">
        <f ca="1">OFFSET('Input data (2)'!W$126,'Input data (2)'!$BL$1-'Output data - DO NOT TOUCH (2)'!$CG25-1,0)/1000</f>
        <v>1.8280000000000001</v>
      </c>
      <c r="DZ25" s="1">
        <f ca="1">OFFSET('Input data (2)'!Y$126,'Input data (2)'!$BL$1-'Output data - DO NOT TOUCH (2)'!$CG25-1,0)/1000</f>
        <v>14.545</v>
      </c>
      <c r="EA25" s="1">
        <f ca="1">OFFSET('Input data (2)'!Q$126,'Input data (2)'!$BL$1-'Output data - DO NOT TOUCH (2)'!$CG25-1,0)/1000</f>
        <v>16.373000000000001</v>
      </c>
    </row>
    <row r="26" spans="1:140" x14ac:dyDescent="0.15">
      <c r="A26" s="1">
        <v>18</v>
      </c>
      <c r="B26" s="1">
        <v>19</v>
      </c>
      <c r="C26" s="1">
        <v>20</v>
      </c>
      <c r="D26" s="1">
        <v>17</v>
      </c>
      <c r="E26" s="1" t="str">
        <f>F26&amp;G26</f>
        <v>2005Q2</v>
      </c>
      <c r="F26" s="1">
        <f>F21+1</f>
        <v>2005</v>
      </c>
      <c r="G26" s="1" t="s">
        <v>2</v>
      </c>
      <c r="H26" s="1">
        <f>VLOOKUP($E26,'Input data (2)'!$A:$BL,'Output data - DO NOT TOUCH (2)'!H$71,FALSE)</f>
        <v>3407</v>
      </c>
      <c r="I26" s="1">
        <f>VLOOKUP($E26,'Input data (2)'!$A:$BL,'Output data - DO NOT TOUCH (2)'!I$71,FALSE)</f>
        <v>1422</v>
      </c>
      <c r="J26" s="1">
        <f>VLOOKUP($E26,'Input data (2)'!$A:$BL,'Output data - DO NOT TOUCH (2)'!J$71,FALSE)</f>
        <v>1985</v>
      </c>
      <c r="K26" s="1">
        <f>VLOOKUP($E26,'Input data (2)'!$A:$BL,'Output data - DO NOT TOUCH (2)'!K$71,FALSE)</f>
        <v>3230</v>
      </c>
      <c r="L26" s="1">
        <f>VLOOKUP($E26,'Input data (2)'!$A:$BL,'Output data - DO NOT TOUCH (2)'!L$71,FALSE)</f>
        <v>1270</v>
      </c>
      <c r="M26" s="1">
        <f>VLOOKUP($E26,'Input data (2)'!$A:$BL,'Output data - DO NOT TOUCH (2)'!M$71,FALSE)</f>
        <v>1960</v>
      </c>
      <c r="O26" s="119">
        <f ca="1">IF(AND('Input data (2)'!$C$2=4,$D13&gt;=0),OFFSET('Input data (2)'!O$126,'Input data (2)'!$BL$1-$D13,0),IF(AND('Input data (2)'!$C$2=3,$C13&gt;=0),OFFSET('Input data (2)'!O$126,'Input data (2)'!$BL$1-$C13,0),IF(AND('Input data (2)'!$C$2=2,$B13&gt;=0),OFFSET('Input data (2)'!O$126,'Input data (2)'!$BL$1-$B13,0),IF(AND('Input data (2)'!$C$2=1,$A13&gt;=0),OFFSET('Input data (2)'!O$126,'Input data (2)'!$BL$1-$A13,0),""))))</f>
        <v>147</v>
      </c>
      <c r="Q26" s="1">
        <f ca="1">IF(AND('Input data (2)'!$C$2=4,$D13&gt;=0),OFFSET('Input data (2)'!AC$126,'Input data (2)'!$BL$1-$D13,0),IF(AND('Input data (2)'!$C$2=3,$C13&gt;=0),OFFSET('Input data (2)'!AC$126,'Input data (2)'!$BL$1-$C13,0),IF(AND('Input data (2)'!$C$2=2,$B13&gt;=0),OFFSET('Input data (2)'!AC$126,'Input data (2)'!$BL$1-$B13,0),IF(AND('Input data (2)'!$C$2=1,$A13&gt;=0),OFFSET('Input data (2)'!AC$126,'Input data (2)'!$BL$1-$A13,0),""))))</f>
        <v>16873</v>
      </c>
      <c r="R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S26" s="1" t="str">
        <f ca="1">IF(AND('Input data (2)'!$C$2=4,$D13&gt;=0),OFFSET('Input data (2)'!R$126,'Input data (2)'!$BL$1-$D13,0),IF(AND('Input data (2)'!$C$2=3,$C13&gt;=0),OFFSET('Input data (2)'!R$126,'Input data (2)'!$BL$1-$C13,0),IF(AND('Input data (2)'!$C$2=2,$B13&gt;=0),OFFSET('Input data (2)'!R$126,'Input data (2)'!$BL$1-$B13,0),IF(AND('Input data (2)'!$C$2=1,$A13&gt;=0),OFFSET('Input data (2)'!R$126,'Input data (2)'!$BL$1-$A13,0),""))))</f>
        <v>:</v>
      </c>
      <c r="T26" s="1">
        <f ca="1">IF(AND('Input data (2)'!$C$2=4,$D13&gt;=0),OFFSET('Input data (2)'!AA$126,'Input data (2)'!$BL$1-$D13,0),IF(AND('Input data (2)'!$C$2=3,$C13&gt;=0),OFFSET('Input data (2)'!AA$126,'Input data (2)'!$BL$1-$C13,0),IF(AND('Input data (2)'!$C$2=2,$B13&gt;=0),OFFSET('Input data (2)'!AA$126,'Input data (2)'!$BL$1-$B13,0),IF(AND('Input data (2)'!$C$2=1,$A13&gt;=0),OFFSET('Input data (2)'!AA$126,'Input data (2)'!$BL$1-$A13,0),""))))</f>
        <v>4535</v>
      </c>
      <c r="U26" s="1">
        <f ca="1">IF(AND('Input data (2)'!$C$2=4,$D13&gt;=0),OFFSET('Input data (2)'!AL$126,'Input data (2)'!$BL$1-$D13,0),IF(AND('Input data (2)'!$C$2=3,$C13&gt;=0),OFFSET('Input data (2)'!AL$126,'Input data (2)'!$BL$1-$C13,0),IF(AND('Input data (2)'!$C$2=2,$B13&gt;=0),OFFSET('Input data (2)'!AL$126,'Input data (2)'!$BL$1-$B13,0),IF(AND('Input data (2)'!$C$2=1,$A13&gt;=0),OFFSET('Input data (2)'!AL$126,'Input data (2)'!$BL$1-$A13,0),""))))</f>
        <v>15883</v>
      </c>
      <c r="V26" s="1">
        <f ca="1">IF(AND('Input data (2)'!$C$2=4,$D13&gt;=0),OFFSET('Input data (2)'!AJ$126,'Input data (2)'!$BL$1-$D13,0),IF(AND('Input data (2)'!$C$2=3,$C13&gt;=0),OFFSET('Input data (2)'!AJ$126,'Input data (2)'!$BL$1-$C13,0),IF(AND('Input data (2)'!$C$2=2,$B13&gt;=0),OFFSET('Input data (2)'!AJ$126,'Input data (2)'!$BL$1-$B13,0),IF(AND('Input data (2)'!$C$2=1,$A13&gt;=0),OFFSET('Input data (2)'!AJ$126,'Input data (2)'!$BL$1-$A13,0),""))))</f>
        <v>11424</v>
      </c>
      <c r="W26" s="1">
        <f ca="1">IF(AND('Input data (2)'!$C$2=4,$D13&gt;=0),OFFSET('Input data (2)'!AK$126,'Input data (2)'!$BL$1-$D13,0),IF(AND('Input data (2)'!$C$2=3,$C13&gt;=0),OFFSET('Input data (2)'!AK$126,'Input data (2)'!$BL$1-$C13,0),IF(AND('Input data (2)'!$C$2=2,$B13&gt;=0),OFFSET('Input data (2)'!AK$126,'Input data (2)'!$BL$1-$B13,0),IF(AND('Input data (2)'!$C$2=1,$A13&gt;=0),OFFSET('Input data (2)'!AK$126,'Input data (2)'!$BL$1-$A13,0),""))))</f>
        <v>4459</v>
      </c>
      <c r="Y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Z26" s="1">
        <f ca="1">IF(AND('Input data (2)'!$C$2=4,$D13&gt;=0),OFFSET('Input data (2)'!S$126,'Input data (2)'!$BL$1-$D13,0),IF(AND('Input data (2)'!$C$2=3,$C13&gt;=0),OFFSET('Input data (2)'!S$126,'Input data (2)'!$BL$1-$C13,0),IF(AND('Input data (2)'!$C$2=2,$B13&gt;=0),OFFSET('Input data (2)'!S$126,'Input data (2)'!$BL$1-$B13,0),IF(AND('Input data (2)'!$C$2=1,$A13&gt;=0),OFFSET('Input data (2)'!S$126,'Input data (2)'!$BL$1-$A13,0),""))))</f>
        <v>9840</v>
      </c>
      <c r="AA26" s="1">
        <f ca="1">IF(AND('Input data (2)'!$C$2=4,$D13&gt;=0),OFFSET('Input data (2)'!T$126,'Input data (2)'!$BL$1-$D13,0),IF(AND('Input data (2)'!$C$2=3,$C13&gt;=0),OFFSET('Input data (2)'!T$126,'Input data (2)'!$BL$1-$C13,0),IF(AND('Input data (2)'!$C$2=2,$B13&gt;=0),OFFSET('Input data (2)'!T$126,'Input data (2)'!$BL$1-$B13,0),IF(AND('Input data (2)'!$C$2=1,$A13&gt;=0),OFFSET('Input data (2)'!T$126,'Input data (2)'!$BL$1-$A13,0),""))))</f>
        <v>79.753606743394386</v>
      </c>
      <c r="AB26" s="1">
        <f ca="1">IF(AND('Input data (2)'!$C$2=4,$D13&gt;=0),OFFSET('Input data (2)'!U$126,'Input data (2)'!$BL$1-$D13,0),IF(AND('Input data (2)'!$C$2=3,$C13&gt;=0),OFFSET('Input data (2)'!U$126,'Input data (2)'!$BL$1-$C13,0),IF(AND('Input data (2)'!$C$2=2,$B13&gt;=0),OFFSET('Input data (2)'!U$126,'Input data (2)'!$BL$1-$B13,0),IF(AND('Input data (2)'!$C$2=1,$A13&gt;=0),OFFSET('Input data (2)'!U$126,'Input data (2)'!$BL$1-$A13,0),""))))</f>
        <v>2498</v>
      </c>
      <c r="AC26" s="1">
        <f ca="1">IF(AND('Input data (2)'!$C$2=4,$D13&gt;=0),OFFSET('Input data (2)'!V$126,'Input data (2)'!$BL$1-$D13,0),IF(AND('Input data (2)'!$C$2=3,$C13&gt;=0),OFFSET('Input data (2)'!V$126,'Input data (2)'!$BL$1-$C13,0),IF(AND('Input data (2)'!$C$2=2,$B13&gt;=0),OFFSET('Input data (2)'!V$126,'Input data (2)'!$BL$1-$B13,0),IF(AND('Input data (2)'!$C$2=1,$A13&gt;=0),OFFSET('Input data (2)'!V$126,'Input data (2)'!$BL$1-$A13,0),""))))</f>
        <v>20.246393256605607</v>
      </c>
      <c r="AD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AE26" s="1">
        <f ca="1">IF(AND('Input data (2)'!$C$2=4,$D13&gt;=0),OFFSET('Input data (2)'!W$126,'Input data (2)'!$BL$1-$D13,0),IF(AND('Input data (2)'!$C$2=3,$C13&gt;=0),OFFSET('Input data (2)'!W$126,'Input data (2)'!$BL$1-$C13,0),IF(AND('Input data (2)'!$C$2=2,$B13&gt;=0),OFFSET('Input data (2)'!W$126,'Input data (2)'!$BL$1-$B13,0),IF(AND('Input data (2)'!$C$2=1,$A13&gt;=0),OFFSET('Input data (2)'!W$126,'Input data (2)'!$BL$1-$A13,0),""))))</f>
        <v>2835</v>
      </c>
      <c r="AF26" s="1">
        <f ca="1">IF(AND('Input data (2)'!$C$2=4,$D13&gt;=0),OFFSET('Input data (2)'!X$126,'Input data (2)'!$BL$1-$D13,0),IF(AND('Input data (2)'!$C$2=3,$C13&gt;=0),OFFSET('Input data (2)'!X$126,'Input data (2)'!$BL$1-$C13,0),IF(AND('Input data (2)'!$C$2=2,$B13&gt;=0),OFFSET('Input data (2)'!X$126,'Input data (2)'!$BL$1-$B13,0),IF(AND('Input data (2)'!$C$2=1,$A13&gt;=0),OFFSET('Input data (2)'!X$126,'Input data (2)'!$BL$1-$A13,0),""))))</f>
        <v>22.977792186740153</v>
      </c>
      <c r="AG26" s="1">
        <f ca="1">IF(AND('Input data (2)'!$C$2=4,$D13&gt;=0),OFFSET('Input data (2)'!Y$126,'Input data (2)'!$BL$1-$D13,0),IF(AND('Input data (2)'!$C$2=3,$C13&gt;=0),OFFSET('Input data (2)'!Y$126,'Input data (2)'!$BL$1-$C13,0),IF(AND('Input data (2)'!$C$2=2,$B13&gt;=0),OFFSET('Input data (2)'!Y$126,'Input data (2)'!$BL$1-$B13,0),IF(AND('Input data (2)'!$C$2=1,$A13&gt;=0),OFFSET('Input data (2)'!Y$126,'Input data (2)'!$BL$1-$A13,0),""))))</f>
        <v>9503</v>
      </c>
      <c r="AH26" s="1">
        <f ca="1">IF(AND('Input data (2)'!$C$2=4,$D13&gt;=0),OFFSET('Input data (2)'!Z$126,'Input data (2)'!$BL$1-$D13,0),IF(AND('Input data (2)'!$C$2=3,$C13&gt;=0),OFFSET('Input data (2)'!Z$126,'Input data (2)'!$BL$1-$C13,0),IF(AND('Input data (2)'!$C$2=2,$B13&gt;=0),OFFSET('Input data (2)'!Z$126,'Input data (2)'!$BL$1-$B13,0),IF(AND('Input data (2)'!$C$2=1,$A13&gt;=0),OFFSET('Input data (2)'!Z$126,'Input data (2)'!$BL$1-$A13,0),""))))</f>
        <v>77.02220781325984</v>
      </c>
      <c r="AI26" s="3"/>
      <c r="AJ26" s="124">
        <f ca="1">IF(AND('Input data (2)'!$C$2=4,$D13&gt;=0),OFFSET('Input data (2)'!AF$126,'Input data (2)'!$BL$1-$D13,0),IF(AND('Input data (2)'!$C$2=3,$C13&gt;=0),OFFSET('Input data (2)'!AF$126,'Input data (2)'!$BL$1-$C13,0),IF(AND('Input data (2)'!$C$2=2,$B13&gt;=0),OFFSET('Input data (2)'!AF$126,'Input data (2)'!$BL$1-$B13,0),IF(AND('Input data (2)'!$C$2=1,$A13&gt;=0),OFFSET('Input data (2)'!AF$126,'Input data (2)'!$BL$1-$A13,0),""))))</f>
        <v>1882</v>
      </c>
      <c r="AK26" s="124">
        <f ca="1">IF(AND('Input data (2)'!$C$2=4,$D13&gt;=0),OFFSET('Input data (2)'!AD$126,'Input data (2)'!$BL$1-$D13,0),IF(AND('Input data (2)'!$C$2=3,$C13&gt;=0),OFFSET('Input data (2)'!AD$126,'Input data (2)'!$BL$1-$C13,0),IF(AND('Input data (2)'!$C$2=2,$B13&gt;=0),OFFSET('Input data (2)'!AD$126,'Input data (2)'!$BL$1-$B13,0),IF(AND('Input data (2)'!$C$2=1,$A13&gt;=0),OFFSET('Input data (2)'!AD$126,'Input data (2)'!$BL$1-$A13,0),""))))</f>
        <v>11</v>
      </c>
      <c r="AL26" s="124">
        <f ca="1">IF(AND('Input data (2)'!$C$2=4,$D13&gt;=0),OFFSET('Input data (2)'!AE$126,'Input data (2)'!$BL$1-$D13,0),IF(AND('Input data (2)'!$C$2=3,$C13&gt;=0),OFFSET('Input data (2)'!AE$126,'Input data (2)'!$BL$1-$C13,0),IF(AND('Input data (2)'!$C$2=2,$B13&gt;=0),OFFSET('Input data (2)'!AE$126,'Input data (2)'!$BL$1-$B13,0),IF(AND('Input data (2)'!$C$2=1,$A13&gt;=0),OFFSET('Input data (2)'!AE$126,'Input data (2)'!$BL$1-$A13,0),""))))</f>
        <v>1871</v>
      </c>
      <c r="AW26" s="1">
        <f ca="1">IF(AND('Input data (2)'!$C$2=4,$D13&gt;=0),OFFSET('Input data (2)'!L$126,'Input data (2)'!$BL$1-$D13,0),IF(AND('Input data (2)'!$C$2=3,$C13&gt;=0),OFFSET('Input data (2)'!L$126,'Input data (2)'!$BL$1-$C13,0),IF(AND('Input data (2)'!$C$2=2,$B13&gt;=0),OFFSET('Input data (2)'!L$126,'Input data (2)'!$BL$1-$B13,0),IF(AND('Input data (2)'!$C$2=1,$A13&gt;=0),OFFSET('Input data (2)'!L$126,'Input data (2)'!$BL$1-$A13,0),""))))</f>
        <v>167</v>
      </c>
      <c r="AX26" s="1">
        <f ca="1">IF(AND('Input data (2)'!$C$2=4,$D13&gt;=0),OFFSET('Input data (2)'!M$126,'Input data (2)'!$BL$1-$D13,0),IF(AND('Input data (2)'!$C$2=3,$C13&gt;=0),OFFSET('Input data (2)'!M$126,'Input data (2)'!$BL$1-$C13,0),IF(AND('Input data (2)'!$C$2=2,$B13&gt;=0),OFFSET('Input data (2)'!M$126,'Input data (2)'!$BL$1-$B13,0),IF(AND('Input data (2)'!$C$2=1,$A13&gt;=0),OFFSET('Input data (2)'!M$126,'Input data (2)'!$BL$1-$A13,0),""))))</f>
        <v>4</v>
      </c>
      <c r="AY26" s="1">
        <f ca="1">IF(AND('Input data (2)'!$C$2=4,$D13&gt;=0),OFFSET('Input data (2)'!N$126,'Input data (2)'!$BL$1-$D13,0),IF(AND('Input data (2)'!$C$2=3,$C13&gt;=0),OFFSET('Input data (2)'!N$126,'Input data (2)'!$BL$1-$C13,0),IF(AND('Input data (2)'!$C$2=2,$B13&gt;=0),OFFSET('Input data (2)'!N$126,'Input data (2)'!$BL$1-$B13,0),IF(AND('Input data (2)'!$C$2=1,$A13&gt;=0),OFFSET('Input data (2)'!N$126,'Input data (2)'!$BL$1-$A13,0),""))))</f>
        <v>568</v>
      </c>
      <c r="AZ26" s="1">
        <f ca="1">IF(AND('Input data (2)'!$C$2=4,$D13&gt;=0),OFFSET('Input data (2)'!P$126,'Input data (2)'!$BL$1-$D13,0),IF(AND('Input data (2)'!$C$2=3,$C13&gt;=0),OFFSET('Input data (2)'!P$126,'Input data (2)'!$BL$1-$C13,0),IF(AND('Input data (2)'!$C$2=2,$B13&gt;=0),OFFSET('Input data (2)'!P$126,'Input data (2)'!$BL$1-$B13,0),IF(AND('Input data (2)'!$C$2=1,$A13&gt;=0),OFFSET('Input data (2)'!P$126,'Input data (2)'!$BL$1-$A13,0),""))))</f>
        <v>183</v>
      </c>
      <c r="BB26" s="1">
        <f ca="1">IF(AND('Input data (2)'!$C$2=4,$D13&gt;=0),OFFSET('Input data (2)'!BB$126,'Input data (2)'!$BL$1-$D13,0),IF(AND('Input data (2)'!$C$2=3,$C13&gt;=0),OFFSET('Input data (2)'!BB$126,'Input data (2)'!$BL$1-$C13,0),IF(AND('Input data (2)'!$C$2=2,$B13&gt;=0),OFFSET('Input data (2)'!BB$126,'Input data (2)'!$BL$1-$B13,0),IF(AND('Input data (2)'!$C$2=1,$A13&gt;=0),OFFSET('Input data (2)'!BB$126,'Input data (2)'!$BL$1-$A13,0),""))))</f>
        <v>2857</v>
      </c>
      <c r="BC26" s="1">
        <f ca="1">IF(AND('Input data (2)'!$C$2=4,$D13&gt;=0),OFFSET('Input data (2)'!AY$126,'Input data (2)'!$BL$1-$D13,0),IF(AND('Input data (2)'!$C$2=3,$C13&gt;=0),OFFSET('Input data (2)'!AY$126,'Input data (2)'!$BL$1-$C13,0),IF(AND('Input data (2)'!$C$2=2,$B13&gt;=0),OFFSET('Input data (2)'!AY$126,'Input data (2)'!$BL$1-$B13,0),IF(AND('Input data (2)'!$C$2=1,$A13&gt;=0),OFFSET('Input data (2)'!AY$126,'Input data (2)'!$BL$1-$A13,0),""))))</f>
        <v>1334</v>
      </c>
      <c r="BD26" s="1" t="str">
        <f ca="1">IF(AND('Input data (2)'!$C$2=4,$D13&gt;=0),OFFSET('Input data (2)'!AZ$126,'Input data (2)'!$BL$1-$D13,0),IF(AND('Input data (2)'!$C$2=3,$C13&gt;=0),OFFSET('Input data (2)'!AZ$126,'Input data (2)'!$BL$1-$C13,0),IF(AND('Input data (2)'!$C$2=2,$B13&gt;=0),OFFSET('Input data (2)'!AZ$126,'Input data (2)'!$BL$1-$B13,0),IF(AND('Input data (2)'!$C$2=1,$A13&gt;=0),OFFSET('Input data (2)'!AZ$126,'Input data (2)'!$BL$1-$A13,0),""))))</f>
        <v>:</v>
      </c>
      <c r="BE26" s="1">
        <f ca="1">IF(AND('Input data (2)'!$C$2=4,$D13&gt;=0),OFFSET('Input data (2)'!BA$126,'Input data (2)'!$BL$1-$D13,0),IF(AND('Input data (2)'!$C$2=3,$C13&gt;=0),OFFSET('Input data (2)'!BA$126,'Input data (2)'!$BL$1-$C13,0),IF(AND('Input data (2)'!$C$2=2,$B13&gt;=0),OFFSET('Input data (2)'!BA$126,'Input data (2)'!$BL$1-$B13,0),IF(AND('Input data (2)'!$C$2=1,$A13&gt;=0),OFFSET('Input data (2)'!BA$126,'Input data (2)'!$BL$1-$A13,0),""))))</f>
        <v>1523</v>
      </c>
      <c r="BF26" s="1">
        <f ca="1">IF(AND('Input data (2)'!$C$2=4,$D13&gt;=0),OFFSET('Input data (2)'!AP$126,'Input data (2)'!$BL$1-$D13,0),IF(AND('Input data (2)'!$C$2=3,$C13&gt;=0),OFFSET('Input data (2)'!AP$126,'Input data (2)'!$BL$1-$C13,0),IF(AND('Input data (2)'!$C$2=2,$B13&gt;=0),OFFSET('Input data (2)'!AP$126,'Input data (2)'!$BL$1-$B13,0),IF(AND('Input data (2)'!$C$2=1,$A13&gt;=0),OFFSET('Input data (2)'!AP$126,'Input data (2)'!$BL$1-$A13,0),""))))</f>
        <v>159</v>
      </c>
      <c r="BG26" s="1">
        <f ca="1">IF(AND('Input data (2)'!$C$2=4,$D13&gt;=0),OFFSET('Input data (2)'!AN$126,'Input data (2)'!$BL$1-$D13,0),IF(AND('Input data (2)'!$C$2=3,$C13&gt;=0),OFFSET('Input data (2)'!AN$126,'Input data (2)'!$BL$1-$C13,0),IF(AND('Input data (2)'!$C$2=2,$B13&gt;=0),OFFSET('Input data (2)'!AN$126,'Input data (2)'!$BL$1-$B13,0),IF(AND('Input data (2)'!$C$2=1,$A13&gt;=0),OFFSET('Input data (2)'!AN$126,'Input data (2)'!$BL$1-$A13,0),""))))</f>
        <v>120</v>
      </c>
      <c r="BH26" s="1">
        <f ca="1">IF(AND('Input data (2)'!$C$2=4,$D13&gt;=0),OFFSET('Input data (2)'!AO$126,'Input data (2)'!$BL$1-$D13,0),IF(AND('Input data (2)'!$C$2=3,$C13&gt;=0),OFFSET('Input data (2)'!AO$126,'Input data (2)'!$BL$1-$C13,0),IF(AND('Input data (2)'!$C$2=2,$B13&gt;=0),OFFSET('Input data (2)'!AO$126,'Input data (2)'!$BL$1-$B13,0),IF(AND('Input data (2)'!$C$2=1,$A13&gt;=0),OFFSET('Input data (2)'!AO$126,'Input data (2)'!$BL$1-$A13,0),""))))</f>
        <v>39</v>
      </c>
      <c r="BJ26" s="1">
        <f ca="1">IF(AND('Input data (2)'!$C$2=4,$D13&gt;=0),OFFSET('Input data (2)'!AU$126,'Input data (2)'!$BL$1-$D13,0),IF(AND('Input data (2)'!$C$2=3,$C13&gt;=0),OFFSET('Input data (2)'!AU$126,'Input data (2)'!$BL$1-$C13,0),IF(AND('Input data (2)'!$C$2=2,$B13&gt;=0),OFFSET('Input data (2)'!AU$126,'Input data (2)'!$BL$1-$B13,0),IF(AND('Input data (2)'!$C$2=1,$A13&gt;=0),OFFSET('Input data (2)'!AU$126,'Input data (2)'!$BL$1-$A13,0),""))))</f>
        <v>9</v>
      </c>
      <c r="BK26" s="1">
        <f ca="1">IF(AND('Input data (2)'!$C$2=4,$D13&gt;=0),OFFSET('Input data (2)'!AV$126,'Input data (2)'!$BL$1-$D13,0),IF(AND('Input data (2)'!$C$2=3,$C13&gt;=0),OFFSET('Input data (2)'!AV$126,'Input data (2)'!$BL$1-$C13,0),IF(AND('Input data (2)'!$C$2=2,$B13&gt;=0),OFFSET('Input data (2)'!AV$126,'Input data (2)'!$BL$1-$B13,0),IF(AND('Input data (2)'!$C$2=1,$A13&gt;=0),OFFSET('Input data (2)'!AV$126,'Input data (2)'!$BL$1-$A13,0),""))))</f>
        <v>0</v>
      </c>
      <c r="BL26" s="1">
        <f ca="1">IF(AND('Input data (2)'!$C$2=4,$D13&gt;=0),OFFSET('Input data (2)'!AW$126,'Input data (2)'!$BL$1-$D13,0),IF(AND('Input data (2)'!$C$2=3,$C13&gt;=0),OFFSET('Input data (2)'!AW$126,'Input data (2)'!$BL$1-$C13,0),IF(AND('Input data (2)'!$C$2=2,$B13&gt;=0),OFFSET('Input data (2)'!AW$126,'Input data (2)'!$BL$1-$B13,0),IF(AND('Input data (2)'!$C$2=1,$A13&gt;=0),OFFSET('Input data (2)'!AW$126,'Input data (2)'!$BL$1-$A13,0),""))))</f>
        <v>7</v>
      </c>
      <c r="BM26" s="1">
        <f ca="1">IF(AND('Input data (2)'!$C$2=4,$D13&gt;=0),OFFSET('Input data (2)'!AX$126,'Input data (2)'!$BL$1-$D13,0),IF(AND('Input data (2)'!$C$2=3,$C13&gt;=0),OFFSET('Input data (2)'!AX$126,'Input data (2)'!$BL$1-$C13,0),IF(AND('Input data (2)'!$C$2=2,$B13&gt;=0),OFFSET('Input data (2)'!AX$126,'Input data (2)'!$BL$1-$B13,0),IF(AND('Input data (2)'!$C$2=1,$A13&gt;=0),OFFSET('Input data (2)'!AX$126,'Input data (2)'!$BL$1-$A13,0),""))))</f>
        <v>4</v>
      </c>
      <c r="BO26" s="1">
        <f ca="1">IF(AND('Input data (2)'!$C$2=4,$D13&gt;=0),OFFSET('Input data (2)'!BL$126,'Input data (2)'!$BL$1-$D13,0),IF(AND('Input data (2)'!$C$2=3,$C13&gt;=0),OFFSET('Input data (2)'!BL$126,'Input data (2)'!$BL$1-$C13,0),IF(AND('Input data (2)'!$C$2=2,$B13&gt;=0),OFFSET('Input data (2)'!BL$126,'Input data (2)'!$BL$1-$B13,0),IF(AND('Input data (2)'!$C$2=1,$A13&gt;=0),OFFSET('Input data (2)'!BL$126,'Input data (2)'!$BL$1-$A13,0),""))))</f>
        <v>438</v>
      </c>
      <c r="BP26" s="1">
        <f ca="1">IF(AND('Input data (2)'!$C$2=4,$D13&gt;=0),OFFSET('Input data (2)'!BI$126,'Input data (2)'!$BL$1-$D13,0),IF(AND('Input data (2)'!$C$2=3,$C13&gt;=0),OFFSET('Input data (2)'!BI$126,'Input data (2)'!$BL$1-$C13,0),IF(AND('Input data (2)'!$C$2=2,$B13&gt;=0),OFFSET('Input data (2)'!BI$126,'Input data (2)'!$BL$1-$B13,0),IF(AND('Input data (2)'!$C$2=1,$A13&gt;=0),OFFSET('Input data (2)'!BI$126,'Input data (2)'!$BL$1-$A13,0),""))))</f>
        <v>241</v>
      </c>
      <c r="BQ26" s="1" t="str">
        <f ca="1">IF(AND('Input data (2)'!$C$2=4,$D13&gt;=0),OFFSET('Input data (2)'!BK$126,'Input data (2)'!$BL$1-$D13,0),IF(AND('Input data (2)'!$C$2=3,$C13&gt;=0),OFFSET('Input data (2)'!BK$126,'Input data (2)'!$BL$1-$C13,0),IF(AND('Input data (2)'!$C$2=2,$B13&gt;=0),OFFSET('Input data (2)'!BK$126,'Input data (2)'!$BL$1-$B13,0),IF(AND('Input data (2)'!$C$2=1,$A13&gt;=0),OFFSET('Input data (2)'!BK$126,'Input data (2)'!$BL$1-$A13,0),""))))</f>
        <v>..</v>
      </c>
      <c r="BR26" s="1">
        <f ca="1">IF(AND('Input data (2)'!$C$2=4,$D13&gt;=0),OFFSET('Input data (2)'!BJ$126,'Input data (2)'!$BL$1-$D13,0),IF(AND('Input data (2)'!$C$2=3,$C13&gt;=0),OFFSET('Input data (2)'!BJ$126,'Input data (2)'!$BL$1-$C13,0),IF(AND('Input data (2)'!$C$2=2,$B13&gt;=0),OFFSET('Input data (2)'!BJ$126,'Input data (2)'!$BL$1-$B13,0),IF(AND('Input data (2)'!$C$2=1,$A13&gt;=0),OFFSET('Input data (2)'!BJ$126,'Input data (2)'!$BL$1-$A13,0),""))))</f>
        <v>197</v>
      </c>
      <c r="BS26" s="1">
        <f ca="1">IF(AND('Input data (2)'!$C$2=4,$D13&gt;=0),OFFSET('Input data (2)'!BF$126,'Input data (2)'!$BL$1-$D13,0),IF(AND('Input data (2)'!$C$2=3,$C13&gt;=0),OFFSET('Input data (2)'!BF$126,'Input data (2)'!$BL$1-$C13,0),IF(AND('Input data (2)'!$C$2=2,$B13&gt;=0),OFFSET('Input data (2)'!BF$126,'Input data (2)'!$BL$1-$B13,0),IF(AND('Input data (2)'!$C$2=1,$A13&gt;=0),OFFSET('Input data (2)'!BF$126,'Input data (2)'!$BL$1-$A13,0),""))))</f>
        <v>47</v>
      </c>
      <c r="BT26" s="1">
        <f ca="1">IF(AND('Input data (2)'!$C$2=4,$D13&gt;=0),OFFSET('Input data (2)'!BD$126,'Input data (2)'!$BL$1-$D13,0),IF(AND('Input data (2)'!$C$2=3,$C13&gt;=0),OFFSET('Input data (2)'!BD$126,'Input data (2)'!$BL$1-$C13,0),IF(AND('Input data (2)'!$C$2=2,$B13&gt;=0),OFFSET('Input data (2)'!BD$126,'Input data (2)'!$BL$1-$B13,0),IF(AND('Input data (2)'!$C$2=1,$A13&gt;=0),OFFSET('Input data (2)'!BD$126,'Input data (2)'!$BL$1-$A13,0),""))))</f>
        <v>28</v>
      </c>
      <c r="BU26" s="1">
        <f ca="1">IF(AND('Input data (2)'!$C$2=4,$D13&gt;=0),OFFSET('Input data (2)'!BE$126,'Input data (2)'!$BL$1-$D13,0),IF(AND('Input data (2)'!$C$2=3,$C13&gt;=0),OFFSET('Input data (2)'!BE$126,'Input data (2)'!$BL$1-$C13,0),IF(AND('Input data (2)'!$C$2=2,$B13&gt;=0),OFFSET('Input data (2)'!BE$126,'Input data (2)'!$BL$1-$B13,0),IF(AND('Input data (2)'!$C$2=1,$A13&gt;=0),OFFSET('Input data (2)'!BE$126,'Input data (2)'!$BL$1-$A13,0),""))))</f>
        <v>19</v>
      </c>
      <c r="BW26" s="7">
        <f ca="1">IF(AND('Input data (2)'!$C$2=4,$D13&gt;=0),OFFSET('Input data (2)'!J$126,'Input data (2)'!$BL$1-$D13,0),IF(AND('Input data (2)'!$C$2=3,$C13&gt;=0),OFFSET('Input data (2)'!J$126,'Input data (2)'!$BL$1-$C13,0),IF(AND('Input data (2)'!$C$2=2,$B13&gt;=0),OFFSET('Input data (2)'!J$126,'Input data (2)'!$BL$1-$B13,0),IF(AND('Input data (2)'!$C$2=1,$A13&gt;=0),OFFSET('Input data (2)'!J$126,'Input data (2)'!$BL$1-$A13,0),""))))</f>
        <v>0.69321966250449174</v>
      </c>
      <c r="BX26" s="7">
        <f ca="1">IF(AND('Input data (2)'!$C$2=4,$D13&gt;=0),OFFSET('Input data (2)'!K$126,'Input data (2)'!$BL$1-$D13,0),IF(AND('Input data (2)'!$C$2=3,$C13&gt;=0),OFFSET('Input data (2)'!K$126,'Input data (2)'!$BL$1-$C13,0),IF(AND('Input data (2)'!$C$2=2,$B13&gt;=0),OFFSET('Input data (2)'!K$126,'Input data (2)'!$BL$1-$B13,0),IF(AND('Input data (2)'!$C$2=1,$A13&gt;=0),OFFSET('Input data (2)'!K$126,'Input data (2)'!$BL$1-$A13,0),""))))</f>
        <v>0.63364780781435626</v>
      </c>
      <c r="BY26" s="7">
        <f ca="1">IF(AND('Input data (2)'!$C$2=4,$D13&gt;=0),OFFSET('Input data (2)'!AS$126,'Input data (2)'!$BL$1-$D13,0),IF(AND('Input data (2)'!$C$2=3,$C13&gt;=0),OFFSET('Input data (2)'!AS$126,'Input data (2)'!$BL$1-$C13,0),IF(AND('Input data (2)'!$C$2=2,$B13&gt;=0),OFFSET('Input data (2)'!AS$126,'Input data (2)'!$BL$1-$B13,0),IF(AND('Input data (2)'!$C$2=1,$A13&gt;=0),OFFSET('Input data (2)'!AS$126,'Input data (2)'!$BL$1-$A13,0),""))))</f>
        <v>0.59294912716453918</v>
      </c>
      <c r="BZ26" s="7">
        <f ca="1">IF(AND('Input data (2)'!$C$2=4,$D13&gt;=0),OFFSET('Input data (2)'!AT$126,'Input data (2)'!$BL$1-$D13,0),IF(AND('Input data (2)'!$C$2=3,$C13&gt;=0),OFFSET('Input data (2)'!AT$126,'Input data (2)'!$BL$1-$C13,0),IF(AND('Input data (2)'!$C$2=2,$B13&gt;=0),OFFSET('Input data (2)'!AT$126,'Input data (2)'!$BL$1-$B13,0),IF(AND('Input data (2)'!$C$2=1,$A13&gt;=0),OFFSET('Input data (2)'!AT$126,'Input data (2)'!$BL$1-$A13,0),""))))</f>
        <v>0.54445421461678223</v>
      </c>
      <c r="CB26" s="122"/>
      <c r="CC26" s="122"/>
      <c r="CD26" s="122"/>
      <c r="CE26" s="122"/>
      <c r="CG26" s="1">
        <v>18</v>
      </c>
      <c r="CI26" s="1">
        <f t="shared" ca="1" si="24"/>
        <v>2008</v>
      </c>
      <c r="CJ26" s="1" t="str">
        <f t="shared" si="25"/>
        <v>Q4</v>
      </c>
      <c r="CK26" s="1" t="str">
        <f t="shared" ca="1" si="12"/>
        <v>08</v>
      </c>
      <c r="CL26" s="1" t="str">
        <f t="shared" ca="1" si="13"/>
        <v>Q4 08</v>
      </c>
      <c r="CM26" s="1">
        <f ca="1">OFFSET('Input data (2)'!AJ$126,'Input data (2)'!$BL$1-'Output data - DO NOT TOUCH (2)'!$CG26,0)/1000</f>
        <v>18.936</v>
      </c>
      <c r="CN26" s="1">
        <f ca="1">OFFSET('Input data (2)'!AK$126,'Input data (2)'!$BL$1-'Output data - DO NOT TOUCH (2)'!$CG26,0)/1000</f>
        <v>10.298</v>
      </c>
      <c r="CO26" s="1">
        <f ca="1">OFFSET('Input data (2)'!AL$126,'Input data (2)'!$BL$1-'Output data - DO NOT TOUCH (2)'!$CG26,0)/1000</f>
        <v>29.234000000000002</v>
      </c>
      <c r="CP26" s="1"/>
      <c r="CQ26" s="1">
        <f ca="1">OFFSET('Input data (2)'!AG$126,'Input data (2)'!$BL$1-'Output data - DO NOT TOUCH (2)'!$CG26,0)/1000</f>
        <v>1.518</v>
      </c>
      <c r="CR26" s="1">
        <f ca="1">OFFSET('Input data (2)'!AH$126,'Input data (2)'!$BL$1-'Output data - DO NOT TOUCH (2)'!$CG26,0)/1000</f>
        <v>3.1219999999999999</v>
      </c>
      <c r="CS26" s="1">
        <f ca="1">OFFSET('Input data (2)'!AI$126,'Input data (2)'!$BL$1-'Output data - DO NOT TOUCH (2)'!$CG26,0)/1000</f>
        <v>4.6399999999999997</v>
      </c>
      <c r="CT26" s="1"/>
      <c r="CU26" s="1">
        <f ca="1">OFFSET('Input data (2)'!L$126,'Input data (2)'!$BL$1-'Output data - DO NOT TOUCH (2)'!$CG26,0)</f>
        <v>261</v>
      </c>
      <c r="CV26" s="1">
        <f ca="1">OFFSET('Input data (2)'!M$126,'Input data (2)'!$BL$1-'Output data - DO NOT TOUCH (2)'!$CG26,0)</f>
        <v>0</v>
      </c>
      <c r="CW26" s="67">
        <f ca="1">OFFSET('Input data (2)'!N$126,'Input data (2)'!$BL$1-'Output data - DO NOT TOUCH (2)'!$CG26,0)</f>
        <v>2018</v>
      </c>
      <c r="CX26" s="1">
        <f ca="1">OFFSET('Input data (2)'!P$126,'Input data (2)'!$BL$1-'Output data - DO NOT TOUCH (2)'!$CG26,0)</f>
        <v>149</v>
      </c>
      <c r="CY26" s="1"/>
      <c r="CZ26" s="1">
        <f ca="1">OFFSET('Input data (2)'!AY$126,'Input data (2)'!$BL$1-'Output data - DO NOT TOUCH (2)'!$CG26,0)/1000</f>
        <v>3.996</v>
      </c>
      <c r="DA26" s="1">
        <f ca="1">OFFSET('Input data (2)'!BA$126,'Input data (2)'!$BL$1-'Output data - DO NOT TOUCH (2)'!$CG26,0)/1000</f>
        <v>1.837</v>
      </c>
      <c r="DB26" s="1">
        <f ca="1">OFFSET('Input data (2)'!BB$126,'Input data (2)'!$BL$1-'Output data - DO NOT TOUCH (2)'!$CG26,0)/1000</f>
        <v>5.8330000000000002</v>
      </c>
      <c r="DD26" s="1">
        <f ca="1">OFFSET('Input data (2)'!AN$126,'Input data (2)'!$BL$1-'Output data - DO NOT TOUCH (2)'!$CG26,0)</f>
        <v>120</v>
      </c>
      <c r="DE26" s="1">
        <f ca="1">OFFSET('Input data (2)'!AO$126,'Input data (2)'!$BL$1-'Output data - DO NOT TOUCH (2)'!$CG26,0)</f>
        <v>43</v>
      </c>
      <c r="DF26" s="1">
        <f ca="1">OFFSET('Input data (2)'!AP$126,'Input data (2)'!$BL$1-'Output data - DO NOT TOUCH (2)'!$CG26,0)</f>
        <v>163</v>
      </c>
      <c r="DG26" s="1"/>
      <c r="DH26" s="1">
        <f ca="1">OFFSET('Input data (2)'!AU$126,'Input data (2)'!$BL$1-'Output data - DO NOT TOUCH (2)'!$CG26,0)</f>
        <v>5</v>
      </c>
      <c r="DI26" s="1">
        <f ca="1">OFFSET('Input data (2)'!AV$126,'Input data (2)'!$BL$1-'Output data - DO NOT TOUCH (2)'!$CG26,0)</f>
        <v>0</v>
      </c>
      <c r="DJ26" s="1">
        <f ca="1">OFFSET('Input data (2)'!AW$126,'Input data (2)'!$BL$1-'Output data - DO NOT TOUCH (2)'!$CG26,0)</f>
        <v>55</v>
      </c>
      <c r="DK26" s="1">
        <f ca="1">OFFSET('Input data (2)'!AX$126,'Input data (2)'!$BL$1-'Output data - DO NOT TOUCH (2)'!$CG26,0)</f>
        <v>2</v>
      </c>
      <c r="DM26" s="1">
        <f ca="1">OFFSET('Input data (2)'!BI$126,'Input data (2)'!$BL$1-'Output data - DO NOT TOUCH (2)'!$CG26,0)</f>
        <v>293</v>
      </c>
      <c r="DN26" s="1">
        <f ca="1">OFFSET('Input data (2)'!BJ$126,'Input data (2)'!$BL$1-'Output data - DO NOT TOUCH (2)'!$CG26,0)</f>
        <v>150</v>
      </c>
      <c r="DO26" s="1">
        <f ca="1">OFFSET('Input data (2)'!BL$126,'Input data (2)'!$BL$1-'Output data - DO NOT TOUCH (2)'!$CG26,0)</f>
        <v>443</v>
      </c>
      <c r="DQ26" s="1">
        <f ca="1">OFFSET('Input data (2)'!BD$126,'Input data (2)'!$BL$1-'Output data - DO NOT TOUCH (2)'!$CG26,0)</f>
        <v>52</v>
      </c>
      <c r="DR26" s="1">
        <f ca="1">OFFSET('Input data (2)'!BE$126,'Input data (2)'!$BL$1-'Output data - DO NOT TOUCH (2)'!$CG26,0)</f>
        <v>14</v>
      </c>
      <c r="DS26" s="1">
        <f ca="1">OFFSET('Input data (2)'!BF$126,'Input data (2)'!$BL$1-'Output data - DO NOT TOUCH (2)'!$CG26,0)</f>
        <v>66</v>
      </c>
      <c r="DU26" s="1">
        <f ca="1">OFFSET('Input data (2)'!B$126,'Input data (2)'!$BL$1-'Output data - DO NOT TOUCH (2)'!$CG26-1,0)</f>
        <v>2008</v>
      </c>
      <c r="DV26" s="1" t="str">
        <f ca="1">OFFSET('Input data (2)'!C$126,'Input data (2)'!$BL$1-'Output data - DO NOT TOUCH (2)'!$CG26-1,0)</f>
        <v>Q3</v>
      </c>
      <c r="DW26" s="1" t="str">
        <f t="shared" ca="1" si="14"/>
        <v>08</v>
      </c>
      <c r="DX26" s="1" t="str">
        <f t="shared" ca="1" si="15"/>
        <v>Q3 08</v>
      </c>
      <c r="DY26" s="1">
        <f ca="1">OFFSET('Input data (2)'!W$126,'Input data (2)'!$BL$1-'Output data - DO NOT TOUCH (2)'!$CG26-1,0)/1000</f>
        <v>2.1150000000000002</v>
      </c>
      <c r="DZ26" s="1">
        <f ca="1">OFFSET('Input data (2)'!Y$126,'Input data (2)'!$BL$1-'Output data - DO NOT TOUCH (2)'!$CG26-1,0)/1000</f>
        <v>15.122</v>
      </c>
      <c r="EA26" s="1">
        <f ca="1">OFFSET('Input data (2)'!Q$126,'Input data (2)'!$BL$1-'Output data - DO NOT TOUCH (2)'!$CG26-1,0)/1000</f>
        <v>17.236999999999998</v>
      </c>
    </row>
    <row r="27" spans="1:140" x14ac:dyDescent="0.15">
      <c r="A27" s="1">
        <v>17</v>
      </c>
      <c r="B27" s="1">
        <v>18</v>
      </c>
      <c r="C27" s="1">
        <v>19</v>
      </c>
      <c r="D27" s="1">
        <v>16</v>
      </c>
      <c r="E27" s="1" t="str">
        <f>F27&amp;G27</f>
        <v>2005Q3</v>
      </c>
      <c r="F27" s="1">
        <f>F22+1</f>
        <v>2005</v>
      </c>
      <c r="G27" s="1" t="s">
        <v>3</v>
      </c>
      <c r="H27" s="1">
        <f>VLOOKUP($E27,'Input data (2)'!$A:$BL,'Output data - DO NOT TOUCH (2)'!H$71,FALSE)</f>
        <v>3306</v>
      </c>
      <c r="I27" s="1">
        <f>VLOOKUP($E27,'Input data (2)'!$A:$BL,'Output data - DO NOT TOUCH (2)'!I$71,FALSE)</f>
        <v>1454</v>
      </c>
      <c r="J27" s="1">
        <f>VLOOKUP($E27,'Input data (2)'!$A:$BL,'Output data - DO NOT TOUCH (2)'!J$71,FALSE)</f>
        <v>1852</v>
      </c>
      <c r="K27" s="1">
        <f>VLOOKUP($E27,'Input data (2)'!$A:$BL,'Output data - DO NOT TOUCH (2)'!K$71,FALSE)</f>
        <v>3408</v>
      </c>
      <c r="L27" s="1">
        <f>VLOOKUP($E27,'Input data (2)'!$A:$BL,'Output data - DO NOT TOUCH (2)'!L$71,FALSE)</f>
        <v>1527</v>
      </c>
      <c r="M27" s="1">
        <f>VLOOKUP($E27,'Input data (2)'!$A:$BL,'Output data - DO NOT TOUCH (2)'!M$71,FALSE)</f>
        <v>1881</v>
      </c>
      <c r="O27" s="119">
        <f ca="1">IF(AND('Input data (2)'!$C$2=4,$D14&gt;=0),OFFSET('Input data (2)'!O$126,'Input data (2)'!$BL$1-$D14,0),IF(AND('Input data (2)'!$C$2=3,$C14&gt;=0),OFFSET('Input data (2)'!O$126,'Input data (2)'!$BL$1-$C14,0),IF(AND('Input data (2)'!$C$2=2,$B14&gt;=0),OFFSET('Input data (2)'!O$126,'Input data (2)'!$BL$1-$B14,0),IF(AND('Input data (2)'!$C$2=1,$A14&gt;=0),OFFSET('Input data (2)'!O$126,'Input data (2)'!$BL$1-$A14,0),""))))</f>
        <v>149</v>
      </c>
      <c r="Q27" s="1">
        <f ca="1">IF(AND('Input data (2)'!$C$2=4,$D14&gt;=0),OFFSET('Input data (2)'!AC$126,'Input data (2)'!$BL$1-$D14,0),IF(AND('Input data (2)'!$C$2=3,$C14&gt;=0),OFFSET('Input data (2)'!AC$126,'Input data (2)'!$BL$1-$C14,0),IF(AND('Input data (2)'!$C$2=2,$B14&gt;=0),OFFSET('Input data (2)'!AC$126,'Input data (2)'!$BL$1-$B14,0),IF(AND('Input data (2)'!$C$2=1,$A14&gt;=0),OFFSET('Input data (2)'!AC$126,'Input data (2)'!$BL$1-$A14,0),""))))</f>
        <v>18010</v>
      </c>
      <c r="R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S27" s="1" t="str">
        <f ca="1">IF(AND('Input data (2)'!$C$2=4,$D14&gt;=0),OFFSET('Input data (2)'!R$126,'Input data (2)'!$BL$1-$D14,0),IF(AND('Input data (2)'!$C$2=3,$C14&gt;=0),OFFSET('Input data (2)'!R$126,'Input data (2)'!$BL$1-$C14,0),IF(AND('Input data (2)'!$C$2=2,$B14&gt;=0),OFFSET('Input data (2)'!R$126,'Input data (2)'!$BL$1-$B14,0),IF(AND('Input data (2)'!$C$2=1,$A14&gt;=0),OFFSET('Input data (2)'!R$126,'Input data (2)'!$BL$1-$A14,0),""))))</f>
        <v>:</v>
      </c>
      <c r="T27" s="1">
        <f ca="1">IF(AND('Input data (2)'!$C$2=4,$D14&gt;=0),OFFSET('Input data (2)'!AA$126,'Input data (2)'!$BL$1-$D14,0),IF(AND('Input data (2)'!$C$2=3,$C14&gt;=0),OFFSET('Input data (2)'!AA$126,'Input data (2)'!$BL$1-$C14,0),IF(AND('Input data (2)'!$C$2=2,$B14&gt;=0),OFFSET('Input data (2)'!AA$126,'Input data (2)'!$BL$1-$B14,0),IF(AND('Input data (2)'!$C$2=1,$A14&gt;=0),OFFSET('Input data (2)'!AA$126,'Input data (2)'!$BL$1-$A14,0),""))))</f>
        <v>5754</v>
      </c>
      <c r="U27" s="1">
        <f ca="1">IF(AND('Input data (2)'!$C$2=4,$D14&gt;=0),OFFSET('Input data (2)'!AL$126,'Input data (2)'!$BL$1-$D14,0),IF(AND('Input data (2)'!$C$2=3,$C14&gt;=0),OFFSET('Input data (2)'!AL$126,'Input data (2)'!$BL$1-$C14,0),IF(AND('Input data (2)'!$C$2=2,$B14&gt;=0),OFFSET('Input data (2)'!AL$126,'Input data (2)'!$BL$1-$B14,0),IF(AND('Input data (2)'!$C$2=1,$A14&gt;=0),OFFSET('Input data (2)'!AL$126,'Input data (2)'!$BL$1-$A14,0),""))))</f>
        <v>17898</v>
      </c>
      <c r="V27" s="1">
        <f ca="1">IF(AND('Input data (2)'!$C$2=4,$D14&gt;=0),OFFSET('Input data (2)'!AJ$126,'Input data (2)'!$BL$1-$D14,0),IF(AND('Input data (2)'!$C$2=3,$C14&gt;=0),OFFSET('Input data (2)'!AJ$126,'Input data (2)'!$BL$1-$C14,0),IF(AND('Input data (2)'!$C$2=2,$B14&gt;=0),OFFSET('Input data (2)'!AJ$126,'Input data (2)'!$BL$1-$B14,0),IF(AND('Input data (2)'!$C$2=1,$A14&gt;=0),OFFSET('Input data (2)'!AJ$126,'Input data (2)'!$BL$1-$A14,0),""))))</f>
        <v>12383</v>
      </c>
      <c r="W27" s="1">
        <f ca="1">IF(AND('Input data (2)'!$C$2=4,$D14&gt;=0),OFFSET('Input data (2)'!AK$126,'Input data (2)'!$BL$1-$D14,0),IF(AND('Input data (2)'!$C$2=3,$C14&gt;=0),OFFSET('Input data (2)'!AK$126,'Input data (2)'!$BL$1-$C14,0),IF(AND('Input data (2)'!$C$2=2,$B14&gt;=0),OFFSET('Input data (2)'!AK$126,'Input data (2)'!$BL$1-$B14,0),IF(AND('Input data (2)'!$C$2=1,$A14&gt;=0),OFFSET('Input data (2)'!AK$126,'Input data (2)'!$BL$1-$A14,0),""))))</f>
        <v>5515</v>
      </c>
      <c r="Y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Z27" s="1">
        <f ca="1">IF(AND('Input data (2)'!$C$2=4,$D14&gt;=0),OFFSET('Input data (2)'!S$126,'Input data (2)'!$BL$1-$D14,0),IF(AND('Input data (2)'!$C$2=3,$C14&gt;=0),OFFSET('Input data (2)'!S$126,'Input data (2)'!$BL$1-$C14,0),IF(AND('Input data (2)'!$C$2=2,$B14&gt;=0),OFFSET('Input data (2)'!S$126,'Input data (2)'!$BL$1-$B14,0),IF(AND('Input data (2)'!$C$2=1,$A14&gt;=0),OFFSET('Input data (2)'!S$126,'Input data (2)'!$BL$1-$A14,0),""))))</f>
        <v>9902</v>
      </c>
      <c r="AA27" s="1">
        <f ca="1">IF(AND('Input data (2)'!$C$2=4,$D14&gt;=0),OFFSET('Input data (2)'!T$126,'Input data (2)'!$BL$1-$D14,0),IF(AND('Input data (2)'!$C$2=3,$C14&gt;=0),OFFSET('Input data (2)'!T$126,'Input data (2)'!$BL$1-$C14,0),IF(AND('Input data (2)'!$C$2=2,$B14&gt;=0),OFFSET('Input data (2)'!T$126,'Input data (2)'!$BL$1-$B14,0),IF(AND('Input data (2)'!$C$2=1,$A14&gt;=0),OFFSET('Input data (2)'!T$126,'Input data (2)'!$BL$1-$A14,0),""))))</f>
        <v>80.793080939947785</v>
      </c>
      <c r="AB27" s="1">
        <f ca="1">IF(AND('Input data (2)'!$C$2=4,$D14&gt;=0),OFFSET('Input data (2)'!U$126,'Input data (2)'!$BL$1-$D14,0),IF(AND('Input data (2)'!$C$2=3,$C14&gt;=0),OFFSET('Input data (2)'!U$126,'Input data (2)'!$BL$1-$C14,0),IF(AND('Input data (2)'!$C$2=2,$B14&gt;=0),OFFSET('Input data (2)'!U$126,'Input data (2)'!$BL$1-$B14,0),IF(AND('Input data (2)'!$C$2=1,$A14&gt;=0),OFFSET('Input data (2)'!U$126,'Input data (2)'!$BL$1-$A14,0),""))))</f>
        <v>2354</v>
      </c>
      <c r="AC27" s="1">
        <f ca="1">IF(AND('Input data (2)'!$C$2=4,$D14&gt;=0),OFFSET('Input data (2)'!V$126,'Input data (2)'!$BL$1-$D14,0),IF(AND('Input data (2)'!$C$2=3,$C14&gt;=0),OFFSET('Input data (2)'!V$126,'Input data (2)'!$BL$1-$C14,0),IF(AND('Input data (2)'!$C$2=2,$B14&gt;=0),OFFSET('Input data (2)'!V$126,'Input data (2)'!$BL$1-$B14,0),IF(AND('Input data (2)'!$C$2=1,$A14&gt;=0),OFFSET('Input data (2)'!V$126,'Input data (2)'!$BL$1-$A14,0),""))))</f>
        <v>19.206919060052218</v>
      </c>
      <c r="AD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AE27" s="1">
        <f ca="1">IF(AND('Input data (2)'!$C$2=4,$D14&gt;=0),OFFSET('Input data (2)'!W$126,'Input data (2)'!$BL$1-$D14,0),IF(AND('Input data (2)'!$C$2=3,$C14&gt;=0),OFFSET('Input data (2)'!W$126,'Input data (2)'!$BL$1-$C14,0),IF(AND('Input data (2)'!$C$2=2,$B14&gt;=0),OFFSET('Input data (2)'!W$126,'Input data (2)'!$BL$1-$B14,0),IF(AND('Input data (2)'!$C$2=1,$A14&gt;=0),OFFSET('Input data (2)'!W$126,'Input data (2)'!$BL$1-$A14,0),""))))</f>
        <v>2850</v>
      </c>
      <c r="AF27" s="1">
        <f ca="1">IF(AND('Input data (2)'!$C$2=4,$D14&gt;=0),OFFSET('Input data (2)'!X$126,'Input data (2)'!$BL$1-$D14,0),IF(AND('Input data (2)'!$C$2=3,$C14&gt;=0),OFFSET('Input data (2)'!X$126,'Input data (2)'!$BL$1-$C14,0),IF(AND('Input data (2)'!$C$2=2,$B14&gt;=0),OFFSET('Input data (2)'!X$126,'Input data (2)'!$BL$1-$B14,0),IF(AND('Input data (2)'!$C$2=1,$A14&gt;=0),OFFSET('Input data (2)'!X$126,'Input data (2)'!$BL$1-$A14,0),""))))</f>
        <v>23.253916449086162</v>
      </c>
      <c r="AG27" s="1">
        <f ca="1">IF(AND('Input data (2)'!$C$2=4,$D14&gt;=0),OFFSET('Input data (2)'!Y$126,'Input data (2)'!$BL$1-$D14,0),IF(AND('Input data (2)'!$C$2=3,$C14&gt;=0),OFFSET('Input data (2)'!Y$126,'Input data (2)'!$BL$1-$C14,0),IF(AND('Input data (2)'!$C$2=2,$B14&gt;=0),OFFSET('Input data (2)'!Y$126,'Input data (2)'!$BL$1-$B14,0),IF(AND('Input data (2)'!$C$2=1,$A14&gt;=0),OFFSET('Input data (2)'!Y$126,'Input data (2)'!$BL$1-$A14,0),""))))</f>
        <v>9406</v>
      </c>
      <c r="AH27" s="1">
        <f ca="1">IF(AND('Input data (2)'!$C$2=4,$D14&gt;=0),OFFSET('Input data (2)'!Z$126,'Input data (2)'!$BL$1-$D14,0),IF(AND('Input data (2)'!$C$2=3,$C14&gt;=0),OFFSET('Input data (2)'!Z$126,'Input data (2)'!$BL$1-$C14,0),IF(AND('Input data (2)'!$C$2=2,$B14&gt;=0),OFFSET('Input data (2)'!Z$126,'Input data (2)'!$BL$1-$B14,0),IF(AND('Input data (2)'!$C$2=1,$A14&gt;=0),OFFSET('Input data (2)'!Z$126,'Input data (2)'!$BL$1-$A14,0),""))))</f>
        <v>76.746083550913838</v>
      </c>
      <c r="AI27" s="3"/>
      <c r="AJ27" s="124">
        <f ca="1">IF(AND('Input data (2)'!$C$2=4,$D14&gt;=0),OFFSET('Input data (2)'!AF$126,'Input data (2)'!$BL$1-$D14,0),IF(AND('Input data (2)'!$C$2=3,$C14&gt;=0),OFFSET('Input data (2)'!AF$126,'Input data (2)'!$BL$1-$C14,0),IF(AND('Input data (2)'!$C$2=2,$B14&gt;=0),OFFSET('Input data (2)'!AF$126,'Input data (2)'!$BL$1-$B14,0),IF(AND('Input data (2)'!$C$2=1,$A14&gt;=0),OFFSET('Input data (2)'!AF$126,'Input data (2)'!$BL$1-$A14,0),""))))</f>
        <v>2900</v>
      </c>
      <c r="AK27" s="124">
        <f ca="1">IF(AND('Input data (2)'!$C$2=4,$D14&gt;=0),OFFSET('Input data (2)'!AD$126,'Input data (2)'!$BL$1-$D14,0),IF(AND('Input data (2)'!$C$2=3,$C14&gt;=0),OFFSET('Input data (2)'!AD$126,'Input data (2)'!$BL$1-$C14,0),IF(AND('Input data (2)'!$C$2=2,$B14&gt;=0),OFFSET('Input data (2)'!AD$126,'Input data (2)'!$BL$1-$B14,0),IF(AND('Input data (2)'!$C$2=1,$A14&gt;=0),OFFSET('Input data (2)'!AD$126,'Input data (2)'!$BL$1-$A14,0),""))))</f>
        <v>12</v>
      </c>
      <c r="AL27" s="124">
        <f ca="1">IF(AND('Input data (2)'!$C$2=4,$D14&gt;=0),OFFSET('Input data (2)'!AE$126,'Input data (2)'!$BL$1-$D14,0),IF(AND('Input data (2)'!$C$2=3,$C14&gt;=0),OFFSET('Input data (2)'!AE$126,'Input data (2)'!$BL$1-$C14,0),IF(AND('Input data (2)'!$C$2=2,$B14&gt;=0),OFFSET('Input data (2)'!AE$126,'Input data (2)'!$BL$1-$B14,0),IF(AND('Input data (2)'!$C$2=1,$A14&gt;=0),OFFSET('Input data (2)'!AE$126,'Input data (2)'!$BL$1-$A14,0),""))))</f>
        <v>2888</v>
      </c>
      <c r="AW27" s="1">
        <f ca="1">IF(AND('Input data (2)'!$C$2=4,$D14&gt;=0),OFFSET('Input data (2)'!L$126,'Input data (2)'!$BL$1-$D14,0),IF(AND('Input data (2)'!$C$2=3,$C14&gt;=0),OFFSET('Input data (2)'!L$126,'Input data (2)'!$BL$1-$C14,0),IF(AND('Input data (2)'!$C$2=2,$B14&gt;=0),OFFSET('Input data (2)'!L$126,'Input data (2)'!$BL$1-$B14,0),IF(AND('Input data (2)'!$C$2=1,$A14&gt;=0),OFFSET('Input data (2)'!L$126,'Input data (2)'!$BL$1-$A14,0),""))))</f>
        <v>170</v>
      </c>
      <c r="AX27" s="1">
        <f ca="1">IF(AND('Input data (2)'!$C$2=4,$D14&gt;=0),OFFSET('Input data (2)'!M$126,'Input data (2)'!$BL$1-$D14,0),IF(AND('Input data (2)'!$C$2=3,$C14&gt;=0),OFFSET('Input data (2)'!M$126,'Input data (2)'!$BL$1-$C14,0),IF(AND('Input data (2)'!$C$2=2,$B14&gt;=0),OFFSET('Input data (2)'!M$126,'Input data (2)'!$BL$1-$B14,0),IF(AND('Input data (2)'!$C$2=1,$A14&gt;=0),OFFSET('Input data (2)'!M$126,'Input data (2)'!$BL$1-$A14,0),""))))</f>
        <v>0</v>
      </c>
      <c r="AY27" s="1">
        <f ca="1">IF(AND('Input data (2)'!$C$2=4,$D14&gt;=0),OFFSET('Input data (2)'!N$126,'Input data (2)'!$BL$1-$D14,0),IF(AND('Input data (2)'!$C$2=3,$C14&gt;=0),OFFSET('Input data (2)'!N$126,'Input data (2)'!$BL$1-$C14,0),IF(AND('Input data (2)'!$C$2=2,$B14&gt;=0),OFFSET('Input data (2)'!N$126,'Input data (2)'!$BL$1-$B14,0),IF(AND('Input data (2)'!$C$2=1,$A14&gt;=0),OFFSET('Input data (2)'!N$126,'Input data (2)'!$BL$1-$A14,0),""))))</f>
        <v>620</v>
      </c>
      <c r="AZ27" s="1">
        <f ca="1">IF(AND('Input data (2)'!$C$2=4,$D14&gt;=0),OFFSET('Input data (2)'!P$126,'Input data (2)'!$BL$1-$D14,0),IF(AND('Input data (2)'!$C$2=3,$C14&gt;=0),OFFSET('Input data (2)'!P$126,'Input data (2)'!$BL$1-$C14,0),IF(AND('Input data (2)'!$C$2=2,$B14&gt;=0),OFFSET('Input data (2)'!P$126,'Input data (2)'!$BL$1-$B14,0),IF(AND('Input data (2)'!$C$2=1,$A14&gt;=0),OFFSET('Input data (2)'!P$126,'Input data (2)'!$BL$1-$A14,0),""))))</f>
        <v>130</v>
      </c>
      <c r="BB27" s="1">
        <f ca="1">IF(AND('Input data (2)'!$C$2=4,$D14&gt;=0),OFFSET('Input data (2)'!BB$126,'Input data (2)'!$BL$1-$D14,0),IF(AND('Input data (2)'!$C$2=3,$C14&gt;=0),OFFSET('Input data (2)'!BB$126,'Input data (2)'!$BL$1-$C14,0),IF(AND('Input data (2)'!$C$2=2,$B14&gt;=0),OFFSET('Input data (2)'!BB$126,'Input data (2)'!$BL$1-$B14,0),IF(AND('Input data (2)'!$C$2=1,$A14&gt;=0),OFFSET('Input data (2)'!BB$126,'Input data (2)'!$BL$1-$A14,0),""))))</f>
        <v>3628</v>
      </c>
      <c r="BC27" s="1">
        <f ca="1">IF(AND('Input data (2)'!$C$2=4,$D14&gt;=0),OFFSET('Input data (2)'!AY$126,'Input data (2)'!$BL$1-$D14,0),IF(AND('Input data (2)'!$C$2=3,$C14&gt;=0),OFFSET('Input data (2)'!AY$126,'Input data (2)'!$BL$1-$C14,0),IF(AND('Input data (2)'!$C$2=2,$B14&gt;=0),OFFSET('Input data (2)'!AY$126,'Input data (2)'!$BL$1-$B14,0),IF(AND('Input data (2)'!$C$2=1,$A14&gt;=0),OFFSET('Input data (2)'!AY$126,'Input data (2)'!$BL$1-$A14,0),""))))</f>
        <v>1496</v>
      </c>
      <c r="BD27" s="1" t="str">
        <f ca="1">IF(AND('Input data (2)'!$C$2=4,$D14&gt;=0),OFFSET('Input data (2)'!AZ$126,'Input data (2)'!$BL$1-$D14,0),IF(AND('Input data (2)'!$C$2=3,$C14&gt;=0),OFFSET('Input data (2)'!AZ$126,'Input data (2)'!$BL$1-$C14,0),IF(AND('Input data (2)'!$C$2=2,$B14&gt;=0),OFFSET('Input data (2)'!AZ$126,'Input data (2)'!$BL$1-$B14,0),IF(AND('Input data (2)'!$C$2=1,$A14&gt;=0),OFFSET('Input data (2)'!AZ$126,'Input data (2)'!$BL$1-$A14,0),""))))</f>
        <v>:</v>
      </c>
      <c r="BE27" s="1">
        <f ca="1">IF(AND('Input data (2)'!$C$2=4,$D14&gt;=0),OFFSET('Input data (2)'!BA$126,'Input data (2)'!$BL$1-$D14,0),IF(AND('Input data (2)'!$C$2=3,$C14&gt;=0),OFFSET('Input data (2)'!BA$126,'Input data (2)'!$BL$1-$C14,0),IF(AND('Input data (2)'!$C$2=2,$B14&gt;=0),OFFSET('Input data (2)'!BA$126,'Input data (2)'!$BL$1-$B14,0),IF(AND('Input data (2)'!$C$2=1,$A14&gt;=0),OFFSET('Input data (2)'!BA$126,'Input data (2)'!$BL$1-$A14,0),""))))</f>
        <v>2132</v>
      </c>
      <c r="BF27" s="1">
        <f ca="1">IF(AND('Input data (2)'!$C$2=4,$D14&gt;=0),OFFSET('Input data (2)'!AP$126,'Input data (2)'!$BL$1-$D14,0),IF(AND('Input data (2)'!$C$2=3,$C14&gt;=0),OFFSET('Input data (2)'!AP$126,'Input data (2)'!$BL$1-$C14,0),IF(AND('Input data (2)'!$C$2=2,$B14&gt;=0),OFFSET('Input data (2)'!AP$126,'Input data (2)'!$BL$1-$B14,0),IF(AND('Input data (2)'!$C$2=1,$A14&gt;=0),OFFSET('Input data (2)'!AP$126,'Input data (2)'!$BL$1-$A14,0),""))))</f>
        <v>151</v>
      </c>
      <c r="BG27" s="1">
        <f ca="1">IF(AND('Input data (2)'!$C$2=4,$D14&gt;=0),OFFSET('Input data (2)'!AN$126,'Input data (2)'!$BL$1-$D14,0),IF(AND('Input data (2)'!$C$2=3,$C14&gt;=0),OFFSET('Input data (2)'!AN$126,'Input data (2)'!$BL$1-$C14,0),IF(AND('Input data (2)'!$C$2=2,$B14&gt;=0),OFFSET('Input data (2)'!AN$126,'Input data (2)'!$BL$1-$B14,0),IF(AND('Input data (2)'!$C$2=1,$A14&gt;=0),OFFSET('Input data (2)'!AN$126,'Input data (2)'!$BL$1-$A14,0),""))))</f>
        <v>115</v>
      </c>
      <c r="BH27" s="1">
        <f ca="1">IF(AND('Input data (2)'!$C$2=4,$D14&gt;=0),OFFSET('Input data (2)'!AO$126,'Input data (2)'!$BL$1-$D14,0),IF(AND('Input data (2)'!$C$2=3,$C14&gt;=0),OFFSET('Input data (2)'!AO$126,'Input data (2)'!$BL$1-$C14,0),IF(AND('Input data (2)'!$C$2=2,$B14&gt;=0),OFFSET('Input data (2)'!AO$126,'Input data (2)'!$BL$1-$B14,0),IF(AND('Input data (2)'!$C$2=1,$A14&gt;=0),OFFSET('Input data (2)'!AO$126,'Input data (2)'!$BL$1-$A14,0),""))))</f>
        <v>36</v>
      </c>
      <c r="BJ27" s="1">
        <f ca="1">IF(AND('Input data (2)'!$C$2=4,$D14&gt;=0),OFFSET('Input data (2)'!AU$126,'Input data (2)'!$BL$1-$D14,0),IF(AND('Input data (2)'!$C$2=3,$C14&gt;=0),OFFSET('Input data (2)'!AU$126,'Input data (2)'!$BL$1-$C14,0),IF(AND('Input data (2)'!$C$2=2,$B14&gt;=0),OFFSET('Input data (2)'!AU$126,'Input data (2)'!$BL$1-$B14,0),IF(AND('Input data (2)'!$C$2=1,$A14&gt;=0),OFFSET('Input data (2)'!AU$126,'Input data (2)'!$BL$1-$A14,0),""))))</f>
        <v>12</v>
      </c>
      <c r="BK27" s="1">
        <f ca="1">IF(AND('Input data (2)'!$C$2=4,$D14&gt;=0),OFFSET('Input data (2)'!AV$126,'Input data (2)'!$BL$1-$D14,0),IF(AND('Input data (2)'!$C$2=3,$C14&gt;=0),OFFSET('Input data (2)'!AV$126,'Input data (2)'!$BL$1-$C14,0),IF(AND('Input data (2)'!$C$2=2,$B14&gt;=0),OFFSET('Input data (2)'!AV$126,'Input data (2)'!$BL$1-$B14,0),IF(AND('Input data (2)'!$C$2=1,$A14&gt;=0),OFFSET('Input data (2)'!AV$126,'Input data (2)'!$BL$1-$A14,0),""))))</f>
        <v>0</v>
      </c>
      <c r="BL27" s="1">
        <f ca="1">IF(AND('Input data (2)'!$C$2=4,$D14&gt;=0),OFFSET('Input data (2)'!AW$126,'Input data (2)'!$BL$1-$D14,0),IF(AND('Input data (2)'!$C$2=3,$C14&gt;=0),OFFSET('Input data (2)'!AW$126,'Input data (2)'!$BL$1-$C14,0),IF(AND('Input data (2)'!$C$2=2,$B14&gt;=0),OFFSET('Input data (2)'!AW$126,'Input data (2)'!$BL$1-$B14,0),IF(AND('Input data (2)'!$C$2=1,$A14&gt;=0),OFFSET('Input data (2)'!AW$126,'Input data (2)'!$BL$1-$A14,0),""))))</f>
        <v>19</v>
      </c>
      <c r="BM27" s="1">
        <f ca="1">IF(AND('Input data (2)'!$C$2=4,$D14&gt;=0),OFFSET('Input data (2)'!AX$126,'Input data (2)'!$BL$1-$D14,0),IF(AND('Input data (2)'!$C$2=3,$C14&gt;=0),OFFSET('Input data (2)'!AX$126,'Input data (2)'!$BL$1-$C14,0),IF(AND('Input data (2)'!$C$2=2,$B14&gt;=0),OFFSET('Input data (2)'!AX$126,'Input data (2)'!$BL$1-$B14,0),IF(AND('Input data (2)'!$C$2=1,$A14&gt;=0),OFFSET('Input data (2)'!AX$126,'Input data (2)'!$BL$1-$A14,0),""))))</f>
        <v>2</v>
      </c>
      <c r="BO27" s="1">
        <f ca="1">IF(AND('Input data (2)'!$C$2=4,$D14&gt;=0),OFFSET('Input data (2)'!BL$126,'Input data (2)'!$BL$1-$D14,0),IF(AND('Input data (2)'!$C$2=3,$C14&gt;=0),OFFSET('Input data (2)'!BL$126,'Input data (2)'!$BL$1-$C14,0),IF(AND('Input data (2)'!$C$2=2,$B14&gt;=0),OFFSET('Input data (2)'!BL$126,'Input data (2)'!$BL$1-$B14,0),IF(AND('Input data (2)'!$C$2=1,$A14&gt;=0),OFFSET('Input data (2)'!BL$126,'Input data (2)'!$BL$1-$A14,0),""))))</f>
        <v>320</v>
      </c>
      <c r="BP27" s="1">
        <f ca="1">IF(AND('Input data (2)'!$C$2=4,$D14&gt;=0),OFFSET('Input data (2)'!BI$126,'Input data (2)'!$BL$1-$D14,0),IF(AND('Input data (2)'!$C$2=3,$C14&gt;=0),OFFSET('Input data (2)'!BI$126,'Input data (2)'!$BL$1-$C14,0),IF(AND('Input data (2)'!$C$2=2,$B14&gt;=0),OFFSET('Input data (2)'!BI$126,'Input data (2)'!$BL$1-$B14,0),IF(AND('Input data (2)'!$C$2=1,$A14&gt;=0),OFFSET('Input data (2)'!BI$126,'Input data (2)'!$BL$1-$A14,0),""))))</f>
        <v>193</v>
      </c>
      <c r="BQ27" s="1" t="str">
        <f ca="1">IF(AND('Input data (2)'!$C$2=4,$D14&gt;=0),OFFSET('Input data (2)'!BK$126,'Input data (2)'!$BL$1-$D14,0),IF(AND('Input data (2)'!$C$2=3,$C14&gt;=0),OFFSET('Input data (2)'!BK$126,'Input data (2)'!$BL$1-$C14,0),IF(AND('Input data (2)'!$C$2=2,$B14&gt;=0),OFFSET('Input data (2)'!BK$126,'Input data (2)'!$BL$1-$B14,0),IF(AND('Input data (2)'!$C$2=1,$A14&gt;=0),OFFSET('Input data (2)'!BK$126,'Input data (2)'!$BL$1-$A14,0),""))))</f>
        <v>..</v>
      </c>
      <c r="BR27" s="1">
        <f ca="1">IF(AND('Input data (2)'!$C$2=4,$D14&gt;=0),OFFSET('Input data (2)'!BJ$126,'Input data (2)'!$BL$1-$D14,0),IF(AND('Input data (2)'!$C$2=3,$C14&gt;=0),OFFSET('Input data (2)'!BJ$126,'Input data (2)'!$BL$1-$C14,0),IF(AND('Input data (2)'!$C$2=2,$B14&gt;=0),OFFSET('Input data (2)'!BJ$126,'Input data (2)'!$BL$1-$B14,0),IF(AND('Input data (2)'!$C$2=1,$A14&gt;=0),OFFSET('Input data (2)'!BJ$126,'Input data (2)'!$BL$1-$A14,0),""))))</f>
        <v>127</v>
      </c>
      <c r="BS27" s="1">
        <f ca="1">IF(AND('Input data (2)'!$C$2=4,$D14&gt;=0),OFFSET('Input data (2)'!BF$126,'Input data (2)'!$BL$1-$D14,0),IF(AND('Input data (2)'!$C$2=3,$C14&gt;=0),OFFSET('Input data (2)'!BF$126,'Input data (2)'!$BL$1-$C14,0),IF(AND('Input data (2)'!$C$2=2,$B14&gt;=0),OFFSET('Input data (2)'!BF$126,'Input data (2)'!$BL$1-$B14,0),IF(AND('Input data (2)'!$C$2=1,$A14&gt;=0),OFFSET('Input data (2)'!BF$126,'Input data (2)'!$BL$1-$A14,0),""))))</f>
        <v>31</v>
      </c>
      <c r="BT27" s="1">
        <f ca="1">IF(AND('Input data (2)'!$C$2=4,$D14&gt;=0),OFFSET('Input data (2)'!BD$126,'Input data (2)'!$BL$1-$D14,0),IF(AND('Input data (2)'!$C$2=3,$C14&gt;=0),OFFSET('Input data (2)'!BD$126,'Input data (2)'!$BL$1-$C14,0),IF(AND('Input data (2)'!$C$2=2,$B14&gt;=0),OFFSET('Input data (2)'!BD$126,'Input data (2)'!$BL$1-$B14,0),IF(AND('Input data (2)'!$C$2=1,$A14&gt;=0),OFFSET('Input data (2)'!BD$126,'Input data (2)'!$BL$1-$A14,0),""))))</f>
        <v>19</v>
      </c>
      <c r="BU27" s="1">
        <f ca="1">IF(AND('Input data (2)'!$C$2=4,$D14&gt;=0),OFFSET('Input data (2)'!BE$126,'Input data (2)'!$BL$1-$D14,0),IF(AND('Input data (2)'!$C$2=3,$C14&gt;=0),OFFSET('Input data (2)'!BE$126,'Input data (2)'!$BL$1-$C14,0),IF(AND('Input data (2)'!$C$2=2,$B14&gt;=0),OFFSET('Input data (2)'!BE$126,'Input data (2)'!$BL$1-$B14,0),IF(AND('Input data (2)'!$C$2=1,$A14&gt;=0),OFFSET('Input data (2)'!BE$126,'Input data (2)'!$BL$1-$A14,0),""))))</f>
        <v>12</v>
      </c>
      <c r="BW27" s="7">
        <f ca="1">IF(AND('Input data (2)'!$C$2=4,$D14&gt;=0),OFFSET('Input data (2)'!J$126,'Input data (2)'!$BL$1-$D14,0),IF(AND('Input data (2)'!$C$2=3,$C14&gt;=0),OFFSET('Input data (2)'!J$126,'Input data (2)'!$BL$1-$C14,0),IF(AND('Input data (2)'!$C$2=2,$B14&gt;=0),OFFSET('Input data (2)'!J$126,'Input data (2)'!$BL$1-$B14,0),IF(AND('Input data (2)'!$C$2=1,$A14&gt;=0),OFFSET('Input data (2)'!J$126,'Input data (2)'!$BL$1-$A14,0),""))))</f>
        <v>0.70890811605551629</v>
      </c>
      <c r="BX27" s="7">
        <f ca="1">IF(AND('Input data (2)'!$C$2=4,$D14&gt;=0),OFFSET('Input data (2)'!K$126,'Input data (2)'!$BL$1-$D14,0),IF(AND('Input data (2)'!$C$2=3,$C14&gt;=0),OFFSET('Input data (2)'!K$126,'Input data (2)'!$BL$1-$C14,0),IF(AND('Input data (2)'!$C$2=2,$B14&gt;=0),OFFSET('Input data (2)'!K$126,'Input data (2)'!$BL$1-$B14,0),IF(AND('Input data (2)'!$C$2=1,$A14&gt;=0),OFFSET('Input data (2)'!K$126,'Input data (2)'!$BL$1-$A14,0),""))))</f>
        <v>0.64815787596640084</v>
      </c>
      <c r="BY27" s="7">
        <f ca="1">IF(AND('Input data (2)'!$C$2=4,$D14&gt;=0),OFFSET('Input data (2)'!AS$126,'Input data (2)'!$BL$1-$D14,0),IF(AND('Input data (2)'!$C$2=3,$C14&gt;=0),OFFSET('Input data (2)'!AS$126,'Input data (2)'!$BL$1-$C14,0),IF(AND('Input data (2)'!$C$2=2,$B14&gt;=0),OFFSET('Input data (2)'!AS$126,'Input data (2)'!$BL$1-$B14,0),IF(AND('Input data (2)'!$C$2=1,$A14&gt;=0),OFFSET('Input data (2)'!AS$126,'Input data (2)'!$BL$1-$A14,0),""))))</f>
        <v>0.56725397992635862</v>
      </c>
      <c r="BZ27" s="7">
        <f ca="1">IF(AND('Input data (2)'!$C$2=4,$D14&gt;=0),OFFSET('Input data (2)'!AT$126,'Input data (2)'!$BL$1-$D14,0),IF(AND('Input data (2)'!$C$2=3,$C14&gt;=0),OFFSET('Input data (2)'!AT$126,'Input data (2)'!$BL$1-$C14,0),IF(AND('Input data (2)'!$C$2=2,$B14&gt;=0),OFFSET('Input data (2)'!AT$126,'Input data (2)'!$BL$1-$B14,0),IF(AND('Input data (2)'!$C$2=1,$A14&gt;=0),OFFSET('Input data (2)'!AT$126,'Input data (2)'!$BL$1-$A14,0),""))))</f>
        <v>0.5204646731042738</v>
      </c>
      <c r="CB27" s="122"/>
      <c r="CC27" s="122"/>
      <c r="CD27" s="122"/>
      <c r="CE27" s="122"/>
      <c r="CG27" s="1">
        <v>17</v>
      </c>
      <c r="CI27" s="1">
        <f t="shared" ca="1" si="24"/>
        <v>2009</v>
      </c>
      <c r="CJ27" s="1" t="str">
        <f t="shared" si="25"/>
        <v>Q1</v>
      </c>
      <c r="CK27" s="1" t="str">
        <f t="shared" ca="1" si="12"/>
        <v>09</v>
      </c>
      <c r="CL27" s="1" t="str">
        <f t="shared" ca="1" si="13"/>
        <v>Q1 09</v>
      </c>
      <c r="CM27" s="1">
        <f ca="1">OFFSET('Input data (2)'!AJ$126,'Input data (2)'!$BL$1-'Output data - DO NOT TOUCH (2)'!$CG27,0)/1000</f>
        <v>18.957999999999998</v>
      </c>
      <c r="CN27" s="1">
        <f ca="1">OFFSET('Input data (2)'!AK$126,'Input data (2)'!$BL$1-'Output data - DO NOT TOUCH (2)'!$CG27,0)/1000</f>
        <v>10.722</v>
      </c>
      <c r="CO27" s="1">
        <f ca="1">OFFSET('Input data (2)'!AL$126,'Input data (2)'!$BL$1-'Output data - DO NOT TOUCH (2)'!$CG27,0)/1000</f>
        <v>29.68</v>
      </c>
      <c r="CP27" s="1"/>
      <c r="CQ27" s="1">
        <f ca="1">OFFSET('Input data (2)'!AG$126,'Input data (2)'!$BL$1-'Output data - DO NOT TOUCH (2)'!$CG27,0)/1000</f>
        <v>1.522</v>
      </c>
      <c r="CR27" s="1">
        <f ca="1">OFFSET('Input data (2)'!AH$126,'Input data (2)'!$BL$1-'Output data - DO NOT TOUCH (2)'!$CG27,0)/1000</f>
        <v>3.3610000000000002</v>
      </c>
      <c r="CS27" s="1">
        <f ca="1">OFFSET('Input data (2)'!AI$126,'Input data (2)'!$BL$1-'Output data - DO NOT TOUCH (2)'!$CG27,0)/1000</f>
        <v>4.883</v>
      </c>
      <c r="CT27" s="1"/>
      <c r="CU27" s="1">
        <f ca="1">OFFSET('Input data (2)'!L$126,'Input data (2)'!$BL$1-'Output data - DO NOT TOUCH (2)'!$CG27,0)</f>
        <v>316</v>
      </c>
      <c r="CV27" s="1">
        <f ca="1">OFFSET('Input data (2)'!M$126,'Input data (2)'!$BL$1-'Output data - DO NOT TOUCH (2)'!$CG27,0)</f>
        <v>0</v>
      </c>
      <c r="CW27" s="67">
        <f ca="1">OFFSET('Input data (2)'!N$126,'Input data (2)'!$BL$1-'Output data - DO NOT TOUCH (2)'!$CG27,0)</f>
        <v>1311</v>
      </c>
      <c r="CX27" s="1">
        <f ca="1">OFFSET('Input data (2)'!P$126,'Input data (2)'!$BL$1-'Output data - DO NOT TOUCH (2)'!$CG27,0)</f>
        <v>156</v>
      </c>
      <c r="CY27" s="1"/>
      <c r="CZ27" s="1">
        <f ca="1">OFFSET('Input data (2)'!AY$126,'Input data (2)'!$BL$1-'Output data - DO NOT TOUCH (2)'!$CG27,0)/1000</f>
        <v>3.7719999999999998</v>
      </c>
      <c r="DA27" s="1">
        <f ca="1">OFFSET('Input data (2)'!BA$126,'Input data (2)'!$BL$1-'Output data - DO NOT TOUCH (2)'!$CG27,0)/1000</f>
        <v>1.9710000000000001</v>
      </c>
      <c r="DB27" s="1">
        <f ca="1">OFFSET('Input data (2)'!BB$126,'Input data (2)'!$BL$1-'Output data - DO NOT TOUCH (2)'!$CG27,0)/1000</f>
        <v>5.7430000000000003</v>
      </c>
      <c r="DD27" s="1">
        <f ca="1">OFFSET('Input data (2)'!AN$126,'Input data (2)'!$BL$1-'Output data - DO NOT TOUCH (2)'!$CG27,0)</f>
        <v>124</v>
      </c>
      <c r="DE27" s="1">
        <f ca="1">OFFSET('Input data (2)'!AO$126,'Input data (2)'!$BL$1-'Output data - DO NOT TOUCH (2)'!$CG27,0)</f>
        <v>37</v>
      </c>
      <c r="DF27" s="1">
        <f ca="1">OFFSET('Input data (2)'!AP$126,'Input data (2)'!$BL$1-'Output data - DO NOT TOUCH (2)'!$CG27,0)</f>
        <v>161</v>
      </c>
      <c r="DG27" s="1"/>
      <c r="DH27" s="1">
        <f ca="1">OFFSET('Input data (2)'!AU$126,'Input data (2)'!$BL$1-'Output data - DO NOT TOUCH (2)'!$CG27,0)</f>
        <v>9</v>
      </c>
      <c r="DI27" s="1">
        <f ca="1">OFFSET('Input data (2)'!AV$126,'Input data (2)'!$BL$1-'Output data - DO NOT TOUCH (2)'!$CG27,0)</f>
        <v>0</v>
      </c>
      <c r="DJ27" s="1">
        <f ca="1">OFFSET('Input data (2)'!AW$126,'Input data (2)'!$BL$1-'Output data - DO NOT TOUCH (2)'!$CG27,0)</f>
        <v>67</v>
      </c>
      <c r="DK27" s="1">
        <f ca="1">OFFSET('Input data (2)'!AX$126,'Input data (2)'!$BL$1-'Output data - DO NOT TOUCH (2)'!$CG27,0)</f>
        <v>2</v>
      </c>
      <c r="DM27" s="1">
        <f ca="1">OFFSET('Input data (2)'!BI$126,'Input data (2)'!$BL$1-'Output data - DO NOT TOUCH (2)'!$CG27,0)</f>
        <v>302</v>
      </c>
      <c r="DN27" s="1">
        <f ca="1">OFFSET('Input data (2)'!BJ$126,'Input data (2)'!$BL$1-'Output data - DO NOT TOUCH (2)'!$CG27,0)</f>
        <v>144</v>
      </c>
      <c r="DO27" s="1">
        <f ca="1">OFFSET('Input data (2)'!BL$126,'Input data (2)'!$BL$1-'Output data - DO NOT TOUCH (2)'!$CG27,0)</f>
        <v>446</v>
      </c>
      <c r="DQ27" s="1">
        <f ca="1">OFFSET('Input data (2)'!BD$126,'Input data (2)'!$BL$1-'Output data - DO NOT TOUCH (2)'!$CG27,0)</f>
        <v>34</v>
      </c>
      <c r="DR27" s="1">
        <f ca="1">OFFSET('Input data (2)'!BE$126,'Input data (2)'!$BL$1-'Output data - DO NOT TOUCH (2)'!$CG27,0)</f>
        <v>23</v>
      </c>
      <c r="DS27" s="1">
        <f ca="1">OFFSET('Input data (2)'!BF$126,'Input data (2)'!$BL$1-'Output data - DO NOT TOUCH (2)'!$CG27,0)</f>
        <v>57</v>
      </c>
      <c r="DU27" s="1">
        <f ca="1">OFFSET('Input data (2)'!B$126,'Input data (2)'!$BL$1-'Output data - DO NOT TOUCH (2)'!$CG27-1,0)</f>
        <v>2008</v>
      </c>
      <c r="DV27" s="1" t="str">
        <f ca="1">OFFSET('Input data (2)'!C$126,'Input data (2)'!$BL$1-'Output data - DO NOT TOUCH (2)'!$CG27-1,0)</f>
        <v>Q4</v>
      </c>
      <c r="DW27" s="1" t="str">
        <f t="shared" ca="1" si="14"/>
        <v>08</v>
      </c>
      <c r="DX27" s="1" t="str">
        <f t="shared" ca="1" si="15"/>
        <v>Q4 08</v>
      </c>
      <c r="DY27" s="1">
        <f ca="1">OFFSET('Input data (2)'!W$126,'Input data (2)'!$BL$1-'Output data - DO NOT TOUCH (2)'!$CG27-1,0)/1000</f>
        <v>2.3250000000000002</v>
      </c>
      <c r="DZ27" s="1">
        <f ca="1">OFFSET('Input data (2)'!Y$126,'Input data (2)'!$BL$1-'Output data - DO NOT TOUCH (2)'!$CG27-1,0)/1000</f>
        <v>15.679</v>
      </c>
      <c r="EA27" s="1">
        <f ca="1">OFFSET('Input data (2)'!Q$126,'Input data (2)'!$BL$1-'Output data - DO NOT TOUCH (2)'!$CG27-1,0)/1000</f>
        <v>18.004000000000001</v>
      </c>
    </row>
    <row r="28" spans="1:140" x14ac:dyDescent="0.15">
      <c r="A28" s="1">
        <v>16</v>
      </c>
      <c r="B28" s="1">
        <v>17</v>
      </c>
      <c r="C28" s="1">
        <v>18</v>
      </c>
      <c r="D28" s="1">
        <v>15</v>
      </c>
      <c r="E28" s="1" t="str">
        <f>F28&amp;G28</f>
        <v>2005Q4</v>
      </c>
      <c r="F28" s="1">
        <f>F23+1</f>
        <v>2005</v>
      </c>
      <c r="G28" s="1" t="s">
        <v>4</v>
      </c>
      <c r="H28" s="1">
        <f>VLOOKUP($E28,'Input data (2)'!$A:$BL,'Output data - DO NOT TOUCH (2)'!H$71,FALSE)</f>
        <v>3170</v>
      </c>
      <c r="I28" s="1">
        <f>VLOOKUP($E28,'Input data (2)'!$A:$BL,'Output data - DO NOT TOUCH (2)'!I$71,FALSE)</f>
        <v>1256</v>
      </c>
      <c r="J28" s="1">
        <f>VLOOKUP($E28,'Input data (2)'!$A:$BL,'Output data - DO NOT TOUCH (2)'!J$71,FALSE)</f>
        <v>1914</v>
      </c>
      <c r="K28" s="1">
        <f>VLOOKUP($E28,'Input data (2)'!$A:$BL,'Output data - DO NOT TOUCH (2)'!K$71,FALSE)</f>
        <v>3220</v>
      </c>
      <c r="L28" s="1">
        <f>VLOOKUP($E28,'Input data (2)'!$A:$BL,'Output data - DO NOT TOUCH (2)'!L$71,FALSE)</f>
        <v>1254</v>
      </c>
      <c r="M28" s="1">
        <f>VLOOKUP($E28,'Input data (2)'!$A:$BL,'Output data - DO NOT TOUCH (2)'!M$71,FALSE)</f>
        <v>1966</v>
      </c>
      <c r="O28" s="119">
        <f ca="1">IF(AND('Input data (2)'!$C$2=4,$D15&gt;=0),OFFSET('Input data (2)'!O$126,'Input data (2)'!$BL$1-$D15,0),IF(AND('Input data (2)'!$C$2=3,$C15&gt;=0),OFFSET('Input data (2)'!O$126,'Input data (2)'!$BL$1-$C15,0),IF(AND('Input data (2)'!$C$2=2,$B15&gt;=0),OFFSET('Input data (2)'!O$126,'Input data (2)'!$BL$1-$B15,0),IF(AND('Input data (2)'!$C$2=1,$A15&gt;=0),OFFSET('Input data (2)'!O$126,'Input data (2)'!$BL$1-$A15,0),""))))</f>
        <v>181</v>
      </c>
      <c r="Q28" s="1">
        <f ca="1">IF(AND('Input data (2)'!$C$2=4,$D15&gt;=0),OFFSET('Input data (2)'!AC$126,'Input data (2)'!$BL$1-$D15,0),IF(AND('Input data (2)'!$C$2=3,$C15&gt;=0),OFFSET('Input data (2)'!AC$126,'Input data (2)'!$BL$1-$C15,0),IF(AND('Input data (2)'!$C$2=2,$B15&gt;=0),OFFSET('Input data (2)'!AC$126,'Input data (2)'!$BL$1-$B15,0),IF(AND('Input data (2)'!$C$2=1,$A15&gt;=0),OFFSET('Input data (2)'!AC$126,'Input data (2)'!$BL$1-$A15,0),""))))</f>
        <v>19511</v>
      </c>
      <c r="R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S28" s="1" t="str">
        <f ca="1">IF(AND('Input data (2)'!$C$2=4,$D15&gt;=0),OFFSET('Input data (2)'!R$126,'Input data (2)'!$BL$1-$D15,0),IF(AND('Input data (2)'!$C$2=3,$C15&gt;=0),OFFSET('Input data (2)'!R$126,'Input data (2)'!$BL$1-$C15,0),IF(AND('Input data (2)'!$C$2=2,$B15&gt;=0),OFFSET('Input data (2)'!R$126,'Input data (2)'!$BL$1-$B15,0),IF(AND('Input data (2)'!$C$2=1,$A15&gt;=0),OFFSET('Input data (2)'!R$126,'Input data (2)'!$BL$1-$A15,0),""))))</f>
        <v>:</v>
      </c>
      <c r="T28" s="1">
        <f ca="1">IF(AND('Input data (2)'!$C$2=4,$D15&gt;=0),OFFSET('Input data (2)'!AA$126,'Input data (2)'!$BL$1-$D15,0),IF(AND('Input data (2)'!$C$2=3,$C15&gt;=0),OFFSET('Input data (2)'!AA$126,'Input data (2)'!$BL$1-$C15,0),IF(AND('Input data (2)'!$C$2=2,$B15&gt;=0),OFFSET('Input data (2)'!AA$126,'Input data (2)'!$BL$1-$B15,0),IF(AND('Input data (2)'!$C$2=1,$A15&gt;=0),OFFSET('Input data (2)'!AA$126,'Input data (2)'!$BL$1-$A15,0),""))))</f>
        <v>7002</v>
      </c>
      <c r="U28" s="1">
        <f ca="1">IF(AND('Input data (2)'!$C$2=4,$D15&gt;=0),OFFSET('Input data (2)'!AL$126,'Input data (2)'!$BL$1-$D15,0),IF(AND('Input data (2)'!$C$2=3,$C15&gt;=0),OFFSET('Input data (2)'!AL$126,'Input data (2)'!$BL$1-$C15,0),IF(AND('Input data (2)'!$C$2=2,$B15&gt;=0),OFFSET('Input data (2)'!AL$126,'Input data (2)'!$BL$1-$B15,0),IF(AND('Input data (2)'!$C$2=1,$A15&gt;=0),OFFSET('Input data (2)'!AL$126,'Input data (2)'!$BL$1-$A15,0),""))))</f>
        <v>20352</v>
      </c>
      <c r="V28" s="1">
        <f ca="1">IF(AND('Input data (2)'!$C$2=4,$D15&gt;=0),OFFSET('Input data (2)'!AJ$126,'Input data (2)'!$BL$1-$D15,0),IF(AND('Input data (2)'!$C$2=3,$C15&gt;=0),OFFSET('Input data (2)'!AJ$126,'Input data (2)'!$BL$1-$C15,0),IF(AND('Input data (2)'!$C$2=2,$B15&gt;=0),OFFSET('Input data (2)'!AJ$126,'Input data (2)'!$BL$1-$B15,0),IF(AND('Input data (2)'!$C$2=1,$A15&gt;=0),OFFSET('Input data (2)'!AJ$126,'Input data (2)'!$BL$1-$A15,0),""))))</f>
        <v>13395</v>
      </c>
      <c r="W28" s="1">
        <f ca="1">IF(AND('Input data (2)'!$C$2=4,$D15&gt;=0),OFFSET('Input data (2)'!AK$126,'Input data (2)'!$BL$1-$D15,0),IF(AND('Input data (2)'!$C$2=3,$C15&gt;=0),OFFSET('Input data (2)'!AK$126,'Input data (2)'!$BL$1-$C15,0),IF(AND('Input data (2)'!$C$2=2,$B15&gt;=0),OFFSET('Input data (2)'!AK$126,'Input data (2)'!$BL$1-$B15,0),IF(AND('Input data (2)'!$C$2=1,$A15&gt;=0),OFFSET('Input data (2)'!AK$126,'Input data (2)'!$BL$1-$A15,0),""))))</f>
        <v>6957</v>
      </c>
      <c r="Y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Z28" s="1">
        <f ca="1">IF(AND('Input data (2)'!$C$2=4,$D15&gt;=0),OFFSET('Input data (2)'!S$126,'Input data (2)'!$BL$1-$D15,0),IF(AND('Input data (2)'!$C$2=3,$C15&gt;=0),OFFSET('Input data (2)'!S$126,'Input data (2)'!$BL$1-$C15,0),IF(AND('Input data (2)'!$C$2=2,$B15&gt;=0),OFFSET('Input data (2)'!S$126,'Input data (2)'!$BL$1-$B15,0),IF(AND('Input data (2)'!$C$2=1,$A15&gt;=0),OFFSET('Input data (2)'!S$126,'Input data (2)'!$BL$1-$A15,0),""))))</f>
        <v>10170</v>
      </c>
      <c r="AA28" s="1">
        <f ca="1">IF(AND('Input data (2)'!$C$2=4,$D15&gt;=0),OFFSET('Input data (2)'!T$126,'Input data (2)'!$BL$1-$D15,0),IF(AND('Input data (2)'!$C$2=3,$C15&gt;=0),OFFSET('Input data (2)'!T$126,'Input data (2)'!$BL$1-$C15,0),IF(AND('Input data (2)'!$C$2=2,$B15&gt;=0),OFFSET('Input data (2)'!T$126,'Input data (2)'!$BL$1-$B15,0),IF(AND('Input data (2)'!$C$2=1,$A15&gt;=0),OFFSET('Input data (2)'!T$126,'Input data (2)'!$BL$1-$A15,0),""))))</f>
        <v>81.301462946678399</v>
      </c>
      <c r="AB28" s="1">
        <f ca="1">IF(AND('Input data (2)'!$C$2=4,$D15&gt;=0),OFFSET('Input data (2)'!U$126,'Input data (2)'!$BL$1-$D15,0),IF(AND('Input data (2)'!$C$2=3,$C15&gt;=0),OFFSET('Input data (2)'!U$126,'Input data (2)'!$BL$1-$C15,0),IF(AND('Input data (2)'!$C$2=2,$B15&gt;=0),OFFSET('Input data (2)'!U$126,'Input data (2)'!$BL$1-$B15,0),IF(AND('Input data (2)'!$C$2=1,$A15&gt;=0),OFFSET('Input data (2)'!U$126,'Input data (2)'!$BL$1-$A15,0),""))))</f>
        <v>2339</v>
      </c>
      <c r="AC28" s="1">
        <f ca="1">IF(AND('Input data (2)'!$C$2=4,$D15&gt;=0),OFFSET('Input data (2)'!V$126,'Input data (2)'!$BL$1-$D15,0),IF(AND('Input data (2)'!$C$2=3,$C15&gt;=0),OFFSET('Input data (2)'!V$126,'Input data (2)'!$BL$1-$C15,0),IF(AND('Input data (2)'!$C$2=2,$B15&gt;=0),OFFSET('Input data (2)'!V$126,'Input data (2)'!$BL$1-$B15,0),IF(AND('Input data (2)'!$C$2=1,$A15&gt;=0),OFFSET('Input data (2)'!V$126,'Input data (2)'!$BL$1-$A15,0),""))))</f>
        <v>18.698537053321608</v>
      </c>
      <c r="AD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AE28" s="1">
        <f ca="1">IF(AND('Input data (2)'!$C$2=4,$D15&gt;=0),OFFSET('Input data (2)'!W$126,'Input data (2)'!$BL$1-$D15,0),IF(AND('Input data (2)'!$C$2=3,$C15&gt;=0),OFFSET('Input data (2)'!W$126,'Input data (2)'!$BL$1-$C15,0),IF(AND('Input data (2)'!$C$2=2,$B15&gt;=0),OFFSET('Input data (2)'!W$126,'Input data (2)'!$BL$1-$B15,0),IF(AND('Input data (2)'!$C$2=1,$A15&gt;=0),OFFSET('Input data (2)'!W$126,'Input data (2)'!$BL$1-$A15,0),""))))</f>
        <v>2708</v>
      </c>
      <c r="AF28" s="1">
        <f ca="1">IF(AND('Input data (2)'!$C$2=4,$D15&gt;=0),OFFSET('Input data (2)'!X$126,'Input data (2)'!$BL$1-$D15,0),IF(AND('Input data (2)'!$C$2=3,$C15&gt;=0),OFFSET('Input data (2)'!X$126,'Input data (2)'!$BL$1-$C15,0),IF(AND('Input data (2)'!$C$2=2,$B15&gt;=0),OFFSET('Input data (2)'!X$126,'Input data (2)'!$BL$1-$B15,0),IF(AND('Input data (2)'!$C$2=1,$A15&gt;=0),OFFSET('Input data (2)'!X$126,'Input data (2)'!$BL$1-$A15,0),""))))</f>
        <v>21.648413142537372</v>
      </c>
      <c r="AG28" s="1">
        <f ca="1">IF(AND('Input data (2)'!$C$2=4,$D15&gt;=0),OFFSET('Input data (2)'!Y$126,'Input data (2)'!$BL$1-$D15,0),IF(AND('Input data (2)'!$C$2=3,$C15&gt;=0),OFFSET('Input data (2)'!Y$126,'Input data (2)'!$BL$1-$C15,0),IF(AND('Input data (2)'!$C$2=2,$B15&gt;=0),OFFSET('Input data (2)'!Y$126,'Input data (2)'!$BL$1-$B15,0),IF(AND('Input data (2)'!$C$2=1,$A15&gt;=0),OFFSET('Input data (2)'!Y$126,'Input data (2)'!$BL$1-$A15,0),""))))</f>
        <v>9801</v>
      </c>
      <c r="AH28" s="1">
        <f ca="1">IF(AND('Input data (2)'!$C$2=4,$D15&gt;=0),OFFSET('Input data (2)'!Z$126,'Input data (2)'!$BL$1-$D15,0),IF(AND('Input data (2)'!$C$2=3,$C15&gt;=0),OFFSET('Input data (2)'!Z$126,'Input data (2)'!$BL$1-$C15,0),IF(AND('Input data (2)'!$C$2=2,$B15&gt;=0),OFFSET('Input data (2)'!Z$126,'Input data (2)'!$BL$1-$B15,0),IF(AND('Input data (2)'!$C$2=1,$A15&gt;=0),OFFSET('Input data (2)'!Z$126,'Input data (2)'!$BL$1-$A15,0),""))))</f>
        <v>78.351586857462635</v>
      </c>
      <c r="AI28" s="3"/>
      <c r="AJ28" s="124">
        <f ca="1">IF(AND('Input data (2)'!$C$2=4,$D15&gt;=0),OFFSET('Input data (2)'!AF$126,'Input data (2)'!$BL$1-$D15,0),IF(AND('Input data (2)'!$C$2=3,$C15&gt;=0),OFFSET('Input data (2)'!AF$126,'Input data (2)'!$BL$1-$C15,0),IF(AND('Input data (2)'!$C$2=2,$B15&gt;=0),OFFSET('Input data (2)'!AF$126,'Input data (2)'!$BL$1-$B15,0),IF(AND('Input data (2)'!$C$2=1,$A15&gt;=0),OFFSET('Input data (2)'!AF$126,'Input data (2)'!$BL$1-$A15,0),""))))</f>
        <v>2890</v>
      </c>
      <c r="AK28" s="124">
        <f ca="1">IF(AND('Input data (2)'!$C$2=4,$D15&gt;=0),OFFSET('Input data (2)'!AD$126,'Input data (2)'!$BL$1-$D15,0),IF(AND('Input data (2)'!$C$2=3,$C15&gt;=0),OFFSET('Input data (2)'!AD$126,'Input data (2)'!$BL$1-$C15,0),IF(AND('Input data (2)'!$C$2=2,$B15&gt;=0),OFFSET('Input data (2)'!AD$126,'Input data (2)'!$BL$1-$B15,0),IF(AND('Input data (2)'!$C$2=1,$A15&gt;=0),OFFSET('Input data (2)'!AD$126,'Input data (2)'!$BL$1-$A15,0),""))))</f>
        <v>21</v>
      </c>
      <c r="AL28" s="124">
        <f ca="1">IF(AND('Input data (2)'!$C$2=4,$D15&gt;=0),OFFSET('Input data (2)'!AE$126,'Input data (2)'!$BL$1-$D15,0),IF(AND('Input data (2)'!$C$2=3,$C15&gt;=0),OFFSET('Input data (2)'!AE$126,'Input data (2)'!$BL$1-$C15,0),IF(AND('Input data (2)'!$C$2=2,$B15&gt;=0),OFFSET('Input data (2)'!AE$126,'Input data (2)'!$BL$1-$B15,0),IF(AND('Input data (2)'!$C$2=1,$A15&gt;=0),OFFSET('Input data (2)'!AE$126,'Input data (2)'!$BL$1-$A15,0),""))))</f>
        <v>2869</v>
      </c>
      <c r="AW28" s="1">
        <f ca="1">IF(AND('Input data (2)'!$C$2=4,$D15&gt;=0),OFFSET('Input data (2)'!L$126,'Input data (2)'!$BL$1-$D15,0),IF(AND('Input data (2)'!$C$2=3,$C15&gt;=0),OFFSET('Input data (2)'!L$126,'Input data (2)'!$BL$1-$C15,0),IF(AND('Input data (2)'!$C$2=2,$B15&gt;=0),OFFSET('Input data (2)'!L$126,'Input data (2)'!$BL$1-$B15,0),IF(AND('Input data (2)'!$C$2=1,$A15&gt;=0),OFFSET('Input data (2)'!L$126,'Input data (2)'!$BL$1-$A15,0),""))))</f>
        <v>139</v>
      </c>
      <c r="AX28" s="1">
        <f ca="1">IF(AND('Input data (2)'!$C$2=4,$D15&gt;=0),OFFSET('Input data (2)'!M$126,'Input data (2)'!$BL$1-$D15,0),IF(AND('Input data (2)'!$C$2=3,$C15&gt;=0),OFFSET('Input data (2)'!M$126,'Input data (2)'!$BL$1-$C15,0),IF(AND('Input data (2)'!$C$2=2,$B15&gt;=0),OFFSET('Input data (2)'!M$126,'Input data (2)'!$BL$1-$B15,0),IF(AND('Input data (2)'!$C$2=1,$A15&gt;=0),OFFSET('Input data (2)'!M$126,'Input data (2)'!$BL$1-$A15,0),""))))</f>
        <v>0</v>
      </c>
      <c r="AY28" s="1">
        <f ca="1">IF(AND('Input data (2)'!$C$2=4,$D15&gt;=0),OFFSET('Input data (2)'!N$126,'Input data (2)'!$BL$1-$D15,0),IF(AND('Input data (2)'!$C$2=3,$C15&gt;=0),OFFSET('Input data (2)'!N$126,'Input data (2)'!$BL$1-$C15,0),IF(AND('Input data (2)'!$C$2=2,$B15&gt;=0),OFFSET('Input data (2)'!N$126,'Input data (2)'!$BL$1-$B15,0),IF(AND('Input data (2)'!$C$2=1,$A15&gt;=0),OFFSET('Input data (2)'!N$126,'Input data (2)'!$BL$1-$A15,0),""))))</f>
        <v>580</v>
      </c>
      <c r="AZ28" s="1">
        <f ca="1">IF(AND('Input data (2)'!$C$2=4,$D15&gt;=0),OFFSET('Input data (2)'!P$126,'Input data (2)'!$BL$1-$D15,0),IF(AND('Input data (2)'!$C$2=3,$C15&gt;=0),OFFSET('Input data (2)'!P$126,'Input data (2)'!$BL$1-$C15,0),IF(AND('Input data (2)'!$C$2=2,$B15&gt;=0),OFFSET('Input data (2)'!P$126,'Input data (2)'!$BL$1-$B15,0),IF(AND('Input data (2)'!$C$2=1,$A15&gt;=0),OFFSET('Input data (2)'!P$126,'Input data (2)'!$BL$1-$A15,0),""))))</f>
        <v>112</v>
      </c>
      <c r="BB28" s="1">
        <f ca="1">IF(AND('Input data (2)'!$C$2=4,$D15&gt;=0),OFFSET('Input data (2)'!BB$126,'Input data (2)'!$BL$1-$D15,0),IF(AND('Input data (2)'!$C$2=3,$C15&gt;=0),OFFSET('Input data (2)'!BB$126,'Input data (2)'!$BL$1-$C15,0),IF(AND('Input data (2)'!$C$2=2,$B15&gt;=0),OFFSET('Input data (2)'!BB$126,'Input data (2)'!$BL$1-$B15,0),IF(AND('Input data (2)'!$C$2=1,$A15&gt;=0),OFFSET('Input data (2)'!BB$126,'Input data (2)'!$BL$1-$A15,0),""))))</f>
        <v>2950</v>
      </c>
      <c r="BC28" s="1">
        <f ca="1">IF(AND('Input data (2)'!$C$2=4,$D15&gt;=0),OFFSET('Input data (2)'!AY$126,'Input data (2)'!$BL$1-$D15,0),IF(AND('Input data (2)'!$C$2=3,$C15&gt;=0),OFFSET('Input data (2)'!AY$126,'Input data (2)'!$BL$1-$C15,0),IF(AND('Input data (2)'!$C$2=2,$B15&gt;=0),OFFSET('Input data (2)'!AY$126,'Input data (2)'!$BL$1-$B15,0),IF(AND('Input data (2)'!$C$2=1,$A15&gt;=0),OFFSET('Input data (2)'!AY$126,'Input data (2)'!$BL$1-$A15,0),""))))</f>
        <v>1295</v>
      </c>
      <c r="BD28" s="1" t="str">
        <f ca="1">IF(AND('Input data (2)'!$C$2=4,$D15&gt;=0),OFFSET('Input data (2)'!AZ$126,'Input data (2)'!$BL$1-$D15,0),IF(AND('Input data (2)'!$C$2=3,$C15&gt;=0),OFFSET('Input data (2)'!AZ$126,'Input data (2)'!$BL$1-$C15,0),IF(AND('Input data (2)'!$C$2=2,$B15&gt;=0),OFFSET('Input data (2)'!AZ$126,'Input data (2)'!$BL$1-$B15,0),IF(AND('Input data (2)'!$C$2=1,$A15&gt;=0),OFFSET('Input data (2)'!AZ$126,'Input data (2)'!$BL$1-$A15,0),""))))</f>
        <v>:</v>
      </c>
      <c r="BE28" s="1">
        <f ca="1">IF(AND('Input data (2)'!$C$2=4,$D15&gt;=0),OFFSET('Input data (2)'!BA$126,'Input data (2)'!$BL$1-$D15,0),IF(AND('Input data (2)'!$C$2=3,$C15&gt;=0),OFFSET('Input data (2)'!BA$126,'Input data (2)'!$BL$1-$C15,0),IF(AND('Input data (2)'!$C$2=2,$B15&gt;=0),OFFSET('Input data (2)'!BA$126,'Input data (2)'!$BL$1-$B15,0),IF(AND('Input data (2)'!$C$2=1,$A15&gt;=0),OFFSET('Input data (2)'!BA$126,'Input data (2)'!$BL$1-$A15,0),""))))</f>
        <v>1655</v>
      </c>
      <c r="BF28" s="1">
        <f ca="1">IF(AND('Input data (2)'!$C$2=4,$D15&gt;=0),OFFSET('Input data (2)'!AP$126,'Input data (2)'!$BL$1-$D15,0),IF(AND('Input data (2)'!$C$2=3,$C15&gt;=0),OFFSET('Input data (2)'!AP$126,'Input data (2)'!$BL$1-$C15,0),IF(AND('Input data (2)'!$C$2=2,$B15&gt;=0),OFFSET('Input data (2)'!AP$126,'Input data (2)'!$BL$1-$B15,0),IF(AND('Input data (2)'!$C$2=1,$A15&gt;=0),OFFSET('Input data (2)'!AP$126,'Input data (2)'!$BL$1-$A15,0),""))))</f>
        <v>119</v>
      </c>
      <c r="BG28" s="1">
        <f ca="1">IF(AND('Input data (2)'!$C$2=4,$D15&gt;=0),OFFSET('Input data (2)'!AN$126,'Input data (2)'!$BL$1-$D15,0),IF(AND('Input data (2)'!$C$2=3,$C15&gt;=0),OFFSET('Input data (2)'!AN$126,'Input data (2)'!$BL$1-$C15,0),IF(AND('Input data (2)'!$C$2=2,$B15&gt;=0),OFFSET('Input data (2)'!AN$126,'Input data (2)'!$BL$1-$B15,0),IF(AND('Input data (2)'!$C$2=1,$A15&gt;=0),OFFSET('Input data (2)'!AN$126,'Input data (2)'!$BL$1-$A15,0),""))))</f>
        <v>82</v>
      </c>
      <c r="BH28" s="1">
        <f ca="1">IF(AND('Input data (2)'!$C$2=4,$D15&gt;=0),OFFSET('Input data (2)'!AO$126,'Input data (2)'!$BL$1-$D15,0),IF(AND('Input data (2)'!$C$2=3,$C15&gt;=0),OFFSET('Input data (2)'!AO$126,'Input data (2)'!$BL$1-$C15,0),IF(AND('Input data (2)'!$C$2=2,$B15&gt;=0),OFFSET('Input data (2)'!AO$126,'Input data (2)'!$BL$1-$B15,0),IF(AND('Input data (2)'!$C$2=1,$A15&gt;=0),OFFSET('Input data (2)'!AO$126,'Input data (2)'!$BL$1-$A15,0),""))))</f>
        <v>37</v>
      </c>
      <c r="BJ28" s="1">
        <f ca="1">IF(AND('Input data (2)'!$C$2=4,$D15&gt;=0),OFFSET('Input data (2)'!AU$126,'Input data (2)'!$BL$1-$D15,0),IF(AND('Input data (2)'!$C$2=3,$C15&gt;=0),OFFSET('Input data (2)'!AU$126,'Input data (2)'!$BL$1-$C15,0),IF(AND('Input data (2)'!$C$2=2,$B15&gt;=0),OFFSET('Input data (2)'!AU$126,'Input data (2)'!$BL$1-$B15,0),IF(AND('Input data (2)'!$C$2=1,$A15&gt;=0),OFFSET('Input data (2)'!AU$126,'Input data (2)'!$BL$1-$A15,0),""))))</f>
        <v>8</v>
      </c>
      <c r="BK28" s="1">
        <f ca="1">IF(AND('Input data (2)'!$C$2=4,$D15&gt;=0),OFFSET('Input data (2)'!AV$126,'Input data (2)'!$BL$1-$D15,0),IF(AND('Input data (2)'!$C$2=3,$C15&gt;=0),OFFSET('Input data (2)'!AV$126,'Input data (2)'!$BL$1-$C15,0),IF(AND('Input data (2)'!$C$2=2,$B15&gt;=0),OFFSET('Input data (2)'!AV$126,'Input data (2)'!$BL$1-$B15,0),IF(AND('Input data (2)'!$C$2=1,$A15&gt;=0),OFFSET('Input data (2)'!AV$126,'Input data (2)'!$BL$1-$A15,0),""))))</f>
        <v>0</v>
      </c>
      <c r="BL28" s="1">
        <f ca="1">IF(AND('Input data (2)'!$C$2=4,$D15&gt;=0),OFFSET('Input data (2)'!AW$126,'Input data (2)'!$BL$1-$D15,0),IF(AND('Input data (2)'!$C$2=3,$C15&gt;=0),OFFSET('Input data (2)'!AW$126,'Input data (2)'!$BL$1-$C15,0),IF(AND('Input data (2)'!$C$2=2,$B15&gt;=0),OFFSET('Input data (2)'!AW$126,'Input data (2)'!$BL$1-$B15,0),IF(AND('Input data (2)'!$C$2=1,$A15&gt;=0),OFFSET('Input data (2)'!AW$126,'Input data (2)'!$BL$1-$A15,0),""))))</f>
        <v>21</v>
      </c>
      <c r="BM28" s="1">
        <f ca="1">IF(AND('Input data (2)'!$C$2=4,$D15&gt;=0),OFFSET('Input data (2)'!AX$126,'Input data (2)'!$BL$1-$D15,0),IF(AND('Input data (2)'!$C$2=3,$C15&gt;=0),OFFSET('Input data (2)'!AX$126,'Input data (2)'!$BL$1-$C15,0),IF(AND('Input data (2)'!$C$2=2,$B15&gt;=0),OFFSET('Input data (2)'!AX$126,'Input data (2)'!$BL$1-$B15,0),IF(AND('Input data (2)'!$C$2=1,$A15&gt;=0),OFFSET('Input data (2)'!AX$126,'Input data (2)'!$BL$1-$A15,0),""))))</f>
        <v>1</v>
      </c>
      <c r="BO28" s="1">
        <f ca="1">IF(AND('Input data (2)'!$C$2=4,$D15&gt;=0),OFFSET('Input data (2)'!BL$126,'Input data (2)'!$BL$1-$D15,0),IF(AND('Input data (2)'!$C$2=3,$C15&gt;=0),OFFSET('Input data (2)'!BL$126,'Input data (2)'!$BL$1-$C15,0),IF(AND('Input data (2)'!$C$2=2,$B15&gt;=0),OFFSET('Input data (2)'!BL$126,'Input data (2)'!$BL$1-$B15,0),IF(AND('Input data (2)'!$C$2=1,$A15&gt;=0),OFFSET('Input data (2)'!BL$126,'Input data (2)'!$BL$1-$A15,0),""))))</f>
        <v>394</v>
      </c>
      <c r="BP28" s="1">
        <f ca="1">IF(AND('Input data (2)'!$C$2=4,$D15&gt;=0),OFFSET('Input data (2)'!BI$126,'Input data (2)'!$BL$1-$D15,0),IF(AND('Input data (2)'!$C$2=3,$C15&gt;=0),OFFSET('Input data (2)'!BI$126,'Input data (2)'!$BL$1-$C15,0),IF(AND('Input data (2)'!$C$2=2,$B15&gt;=0),OFFSET('Input data (2)'!BI$126,'Input data (2)'!$BL$1-$B15,0),IF(AND('Input data (2)'!$C$2=1,$A15&gt;=0),OFFSET('Input data (2)'!BI$126,'Input data (2)'!$BL$1-$A15,0),""))))</f>
        <v>213</v>
      </c>
      <c r="BQ28" s="1" t="str">
        <f ca="1">IF(AND('Input data (2)'!$C$2=4,$D15&gt;=0),OFFSET('Input data (2)'!BK$126,'Input data (2)'!$BL$1-$D15,0),IF(AND('Input data (2)'!$C$2=3,$C15&gt;=0),OFFSET('Input data (2)'!BK$126,'Input data (2)'!$BL$1-$C15,0),IF(AND('Input data (2)'!$C$2=2,$B15&gt;=0),OFFSET('Input data (2)'!BK$126,'Input data (2)'!$BL$1-$B15,0),IF(AND('Input data (2)'!$C$2=1,$A15&gt;=0),OFFSET('Input data (2)'!BK$126,'Input data (2)'!$BL$1-$A15,0),""))))</f>
        <v>..</v>
      </c>
      <c r="BR28" s="1">
        <f ca="1">IF(AND('Input data (2)'!$C$2=4,$D15&gt;=0),OFFSET('Input data (2)'!BJ$126,'Input data (2)'!$BL$1-$D15,0),IF(AND('Input data (2)'!$C$2=3,$C15&gt;=0),OFFSET('Input data (2)'!BJ$126,'Input data (2)'!$BL$1-$C15,0),IF(AND('Input data (2)'!$C$2=2,$B15&gt;=0),OFFSET('Input data (2)'!BJ$126,'Input data (2)'!$BL$1-$B15,0),IF(AND('Input data (2)'!$C$2=1,$A15&gt;=0),OFFSET('Input data (2)'!BJ$126,'Input data (2)'!$BL$1-$A15,0),""))))</f>
        <v>181</v>
      </c>
      <c r="BS28" s="1">
        <f ca="1">IF(AND('Input data (2)'!$C$2=4,$D15&gt;=0),OFFSET('Input data (2)'!BF$126,'Input data (2)'!$BL$1-$D15,0),IF(AND('Input data (2)'!$C$2=3,$C15&gt;=0),OFFSET('Input data (2)'!BF$126,'Input data (2)'!$BL$1-$C15,0),IF(AND('Input data (2)'!$C$2=2,$B15&gt;=0),OFFSET('Input data (2)'!BF$126,'Input data (2)'!$BL$1-$B15,0),IF(AND('Input data (2)'!$C$2=1,$A15&gt;=0),OFFSET('Input data (2)'!BF$126,'Input data (2)'!$BL$1-$A15,0),""))))</f>
        <v>31</v>
      </c>
      <c r="BT28" s="1">
        <f ca="1">IF(AND('Input data (2)'!$C$2=4,$D15&gt;=0),OFFSET('Input data (2)'!BD$126,'Input data (2)'!$BL$1-$D15,0),IF(AND('Input data (2)'!$C$2=3,$C15&gt;=0),OFFSET('Input data (2)'!BD$126,'Input data (2)'!$BL$1-$C15,0),IF(AND('Input data (2)'!$C$2=2,$B15&gt;=0),OFFSET('Input data (2)'!BD$126,'Input data (2)'!$BL$1-$B15,0),IF(AND('Input data (2)'!$C$2=1,$A15&gt;=0),OFFSET('Input data (2)'!BD$126,'Input data (2)'!$BL$1-$A15,0),""))))</f>
        <v>23</v>
      </c>
      <c r="BU28" s="1">
        <f ca="1">IF(AND('Input data (2)'!$C$2=4,$D15&gt;=0),OFFSET('Input data (2)'!BE$126,'Input data (2)'!$BL$1-$D15,0),IF(AND('Input data (2)'!$C$2=3,$C15&gt;=0),OFFSET('Input data (2)'!BE$126,'Input data (2)'!$BL$1-$C15,0),IF(AND('Input data (2)'!$C$2=2,$B15&gt;=0),OFFSET('Input data (2)'!BE$126,'Input data (2)'!$BL$1-$B15,0),IF(AND('Input data (2)'!$C$2=1,$A15&gt;=0),OFFSET('Input data (2)'!BE$126,'Input data (2)'!$BL$1-$A15,0),""))))</f>
        <v>8</v>
      </c>
      <c r="BW28" s="7">
        <f ca="1">IF(AND('Input data (2)'!$C$2=4,$D15&gt;=0),OFFSET('Input data (2)'!J$126,'Input data (2)'!$BL$1-$D15,0),IF(AND('Input data (2)'!$C$2=3,$C15&gt;=0),OFFSET('Input data (2)'!J$126,'Input data (2)'!$BL$1-$C15,0),IF(AND('Input data (2)'!$C$2=2,$B15&gt;=0),OFFSET('Input data (2)'!J$126,'Input data (2)'!$BL$1-$B15,0),IF(AND('Input data (2)'!$C$2=1,$A15&gt;=0),OFFSET('Input data (2)'!J$126,'Input data (2)'!$BL$1-$A15,0),""))))</f>
        <v>0.71288095774248972</v>
      </c>
      <c r="BX28" s="7">
        <f ca="1">IF(AND('Input data (2)'!$C$2=4,$D15&gt;=0),OFFSET('Input data (2)'!K$126,'Input data (2)'!$BL$1-$D15,0),IF(AND('Input data (2)'!$C$2=3,$C15&gt;=0),OFFSET('Input data (2)'!K$126,'Input data (2)'!$BL$1-$C15,0),IF(AND('Input data (2)'!$C$2=2,$B15&gt;=0),OFFSET('Input data (2)'!K$126,'Input data (2)'!$BL$1-$B15,0),IF(AND('Input data (2)'!$C$2=1,$A15&gt;=0),OFFSET('Input data (2)'!K$126,'Input data (2)'!$BL$1-$A15,0),""))))</f>
        <v>0.65246801811974287</v>
      </c>
      <c r="BY28" s="7">
        <f ca="1">IF(AND('Input data (2)'!$C$2=4,$D15&gt;=0),OFFSET('Input data (2)'!AS$126,'Input data (2)'!$BL$1-$D15,0),IF(AND('Input data (2)'!$C$2=3,$C15&gt;=0),OFFSET('Input data (2)'!AS$126,'Input data (2)'!$BL$1-$C15,0),IF(AND('Input data (2)'!$C$2=2,$B15&gt;=0),OFFSET('Input data (2)'!AS$126,'Input data (2)'!$BL$1-$B15,0),IF(AND('Input data (2)'!$C$2=1,$A15&gt;=0),OFFSET('Input data (2)'!AS$126,'Input data (2)'!$BL$1-$A15,0),""))))</f>
        <v>0.52678560531022101</v>
      </c>
      <c r="BZ28" s="7">
        <f ca="1">IF(AND('Input data (2)'!$C$2=4,$D15&gt;=0),OFFSET('Input data (2)'!AT$126,'Input data (2)'!$BL$1-$D15,0),IF(AND('Input data (2)'!$C$2=3,$C15&gt;=0),OFFSET('Input data (2)'!AT$126,'Input data (2)'!$BL$1-$C15,0),IF(AND('Input data (2)'!$C$2=2,$B15&gt;=0),OFFSET('Input data (2)'!AT$126,'Input data (2)'!$BL$1-$B15,0),IF(AND('Input data (2)'!$C$2=1,$A15&gt;=0),OFFSET('Input data (2)'!AT$126,'Input data (2)'!$BL$1-$A15,0),""))))</f>
        <v>0.48246609193611839</v>
      </c>
      <c r="CB28" s="122"/>
      <c r="CC28" s="122"/>
      <c r="CD28" s="122"/>
      <c r="CE28" s="122"/>
      <c r="CG28" s="1">
        <v>16</v>
      </c>
      <c r="CI28" s="1">
        <f t="shared" si="24"/>
        <v>2009</v>
      </c>
      <c r="CJ28" s="1" t="str">
        <f t="shared" si="25"/>
        <v>Q2</v>
      </c>
      <c r="CK28" s="1" t="str">
        <f t="shared" si="12"/>
        <v>09</v>
      </c>
      <c r="CL28" s="1" t="str">
        <f t="shared" si="13"/>
        <v>Q2 09</v>
      </c>
      <c r="CM28" s="1">
        <f ca="1">OFFSET('Input data (2)'!AJ$126,'Input data (2)'!$BL$1-'Output data - DO NOT TOUCH (2)'!$CG28,0)/1000</f>
        <v>19.120999999999999</v>
      </c>
      <c r="CN28" s="1">
        <f ca="1">OFFSET('Input data (2)'!AK$126,'Input data (2)'!$BL$1-'Output data - DO NOT TOUCH (2)'!$CG28,0)/1000</f>
        <v>12.032999999999999</v>
      </c>
      <c r="CO28" s="1" t="e">
        <f ca="1">OFFSET('Input data (2)'!AL$126,'Input data (2)'!$BL$1-'Output data - DO NOT TOUCH (2)'!$CG28,0)/1000</f>
        <v>#VALUE!</v>
      </c>
      <c r="CP28" s="1"/>
      <c r="CQ28" s="1">
        <f ca="1">OFFSET('Input data (2)'!AG$126,'Input data (2)'!$BL$1-'Output data - DO NOT TOUCH (2)'!$CG28,0)/1000</f>
        <v>1.5169999999999999</v>
      </c>
      <c r="CR28" s="1">
        <f ca="1">OFFSET('Input data (2)'!AH$126,'Input data (2)'!$BL$1-'Output data - DO NOT TOUCH (2)'!$CG28,0)/1000</f>
        <v>3.516</v>
      </c>
      <c r="CS28" s="1">
        <f ca="1">OFFSET('Input data (2)'!AI$126,'Input data (2)'!$BL$1-'Output data - DO NOT TOUCH (2)'!$CG28,0)/1000</f>
        <v>5.0330000000000004</v>
      </c>
      <c r="CT28" s="1"/>
      <c r="CU28" s="1">
        <f ca="1">OFFSET('Input data (2)'!L$126,'Input data (2)'!$BL$1-'Output data - DO NOT TOUCH (2)'!$CG28,0)</f>
        <v>345</v>
      </c>
      <c r="CV28" s="1">
        <f ca="1">OFFSET('Input data (2)'!M$126,'Input data (2)'!$BL$1-'Output data - DO NOT TOUCH (2)'!$CG28,0)</f>
        <v>0</v>
      </c>
      <c r="CW28" s="67">
        <f ca="1">OFFSET('Input data (2)'!N$126,'Input data (2)'!$BL$1-'Output data - DO NOT TOUCH (2)'!$CG28,0)</f>
        <v>1027</v>
      </c>
      <c r="CX28" s="1">
        <f ca="1">OFFSET('Input data (2)'!P$126,'Input data (2)'!$BL$1-'Output data - DO NOT TOUCH (2)'!$CG28,0)</f>
        <v>157</v>
      </c>
      <c r="CY28" s="1"/>
      <c r="CZ28" s="1">
        <f ca="1">OFFSET('Input data (2)'!AY$126,'Input data (2)'!$BL$1-'Output data - DO NOT TOUCH (2)'!$CG28,0)/1000</f>
        <v>3.7639999999999998</v>
      </c>
      <c r="DA28" s="1">
        <f ca="1">OFFSET('Input data (2)'!BA$126,'Input data (2)'!$BL$1-'Output data - DO NOT TOUCH (2)'!$CG28,0)/1000</f>
        <v>2.5640000000000001</v>
      </c>
      <c r="DB28" s="1">
        <f ca="1">OFFSET('Input data (2)'!BB$126,'Input data (2)'!$BL$1-'Output data - DO NOT TOUCH (2)'!$CG28,0)/1000</f>
        <v>6.3280000000000003</v>
      </c>
      <c r="DD28" s="1">
        <f ca="1">OFFSET('Input data (2)'!AN$126,'Input data (2)'!$BL$1-'Output data - DO NOT TOUCH (2)'!$CG28,0)</f>
        <v>107</v>
      </c>
      <c r="DE28" s="1">
        <f ca="1">OFFSET('Input data (2)'!AO$126,'Input data (2)'!$BL$1-'Output data - DO NOT TOUCH (2)'!$CG28,0)</f>
        <v>39</v>
      </c>
      <c r="DF28" s="1">
        <f ca="1">OFFSET('Input data (2)'!AP$126,'Input data (2)'!$BL$1-'Output data - DO NOT TOUCH (2)'!$CG28,0)</f>
        <v>146</v>
      </c>
      <c r="DG28" s="1"/>
      <c r="DH28" s="1">
        <f ca="1">OFFSET('Input data (2)'!AU$126,'Input data (2)'!$BL$1-'Output data - DO NOT TOUCH (2)'!$CG28,0)</f>
        <v>8</v>
      </c>
      <c r="DI28" s="1">
        <f ca="1">OFFSET('Input data (2)'!AV$126,'Input data (2)'!$BL$1-'Output data - DO NOT TOUCH (2)'!$CG28,0)</f>
        <v>0</v>
      </c>
      <c r="DJ28" s="1">
        <f ca="1">OFFSET('Input data (2)'!AW$126,'Input data (2)'!$BL$1-'Output data - DO NOT TOUCH (2)'!$CG28,0)</f>
        <v>30</v>
      </c>
      <c r="DK28" s="1">
        <f ca="1">OFFSET('Input data (2)'!AX$126,'Input data (2)'!$BL$1-'Output data - DO NOT TOUCH (2)'!$CG28,0)</f>
        <v>2</v>
      </c>
      <c r="DM28" s="1">
        <f ca="1">OFFSET('Input data (2)'!BI$126,'Input data (2)'!$BL$1-'Output data - DO NOT TOUCH (2)'!$CG28,0)</f>
        <v>355</v>
      </c>
      <c r="DN28" s="1">
        <f ca="1">OFFSET('Input data (2)'!BJ$126,'Input data (2)'!$BL$1-'Output data - DO NOT TOUCH (2)'!$CG28,0)</f>
        <v>205</v>
      </c>
      <c r="DO28" s="1">
        <f ca="1">OFFSET('Input data (2)'!BL$126,'Input data (2)'!$BL$1-'Output data - DO NOT TOUCH (2)'!$CG28,0)</f>
        <v>560</v>
      </c>
      <c r="DQ28" s="1">
        <f ca="1">OFFSET('Input data (2)'!BD$126,'Input data (2)'!$BL$1-'Output data - DO NOT TOUCH (2)'!$CG28,0)</f>
        <v>46</v>
      </c>
      <c r="DR28" s="1">
        <f ca="1">OFFSET('Input data (2)'!BE$126,'Input data (2)'!$BL$1-'Output data - DO NOT TOUCH (2)'!$CG28,0)</f>
        <v>19</v>
      </c>
      <c r="DS28" s="1">
        <f ca="1">OFFSET('Input data (2)'!BF$126,'Input data (2)'!$BL$1-'Output data - DO NOT TOUCH (2)'!$CG28,0)</f>
        <v>65</v>
      </c>
      <c r="DU28" s="1">
        <f ca="1">OFFSET('Input data (2)'!B$126,'Input data (2)'!$BL$1-'Output data - DO NOT TOUCH (2)'!$CG28-1,0)</f>
        <v>2009</v>
      </c>
      <c r="DV28" s="1" t="str">
        <f ca="1">OFFSET('Input data (2)'!C$126,'Input data (2)'!$BL$1-'Output data - DO NOT TOUCH (2)'!$CG28-1,0)</f>
        <v>Q1</v>
      </c>
      <c r="DW28" s="1" t="str">
        <f t="shared" ca="1" si="14"/>
        <v>09</v>
      </c>
      <c r="DX28" s="1" t="str">
        <f t="shared" ca="1" si="15"/>
        <v>Q1 09</v>
      </c>
      <c r="DY28" s="1">
        <f ca="1">OFFSET('Input data (2)'!W$126,'Input data (2)'!$BL$1-'Output data - DO NOT TOUCH (2)'!$CG28-1,0)/1000</f>
        <v>2.798</v>
      </c>
      <c r="DZ28" s="1">
        <f ca="1">OFFSET('Input data (2)'!Y$126,'Input data (2)'!$BL$1-'Output data - DO NOT TOUCH (2)'!$CG28-1,0)/1000</f>
        <v>17.648</v>
      </c>
      <c r="EA28" s="1">
        <f ca="1">OFFSET('Input data (2)'!Q$126,'Input data (2)'!$BL$1-'Output data - DO NOT TOUCH (2)'!$CG28-1,0)/1000</f>
        <v>20.446000000000002</v>
      </c>
    </row>
    <row r="29" spans="1:140" x14ac:dyDescent="0.15">
      <c r="A29" s="1">
        <v>15</v>
      </c>
      <c r="B29" s="1">
        <v>16</v>
      </c>
      <c r="C29" s="1">
        <v>17</v>
      </c>
      <c r="D29" s="1">
        <v>14</v>
      </c>
      <c r="CG29" s="1">
        <v>15</v>
      </c>
      <c r="CI29" s="1">
        <f t="shared" ca="1" si="24"/>
        <v>2009</v>
      </c>
      <c r="CJ29" s="1" t="str">
        <f t="shared" si="25"/>
        <v>Q3</v>
      </c>
      <c r="CK29" s="1" t="str">
        <f t="shared" ca="1" si="12"/>
        <v>09</v>
      </c>
      <c r="CL29" s="1" t="str">
        <f t="shared" ca="1" si="13"/>
        <v>Q3 09</v>
      </c>
      <c r="CM29" s="1">
        <f ca="1">OFFSET('Input data (2)'!AJ$126,'Input data (2)'!$BL$1-'Output data - DO NOT TOUCH (2)'!$CG29,0)/1000</f>
        <v>18.658999999999999</v>
      </c>
      <c r="CN29" s="1">
        <f ca="1">OFFSET('Input data (2)'!AK$126,'Input data (2)'!$BL$1-'Output data - DO NOT TOUCH (2)'!$CG29,0)/1000</f>
        <v>11.868</v>
      </c>
      <c r="CO29" s="1" t="e">
        <f ca="1">OFFSET('Input data (2)'!AL$126,'Input data (2)'!$BL$1-'Output data - DO NOT TOUCH (2)'!$CG29,0)/1000</f>
        <v>#VALUE!</v>
      </c>
      <c r="CP29" s="1"/>
      <c r="CQ29" s="1">
        <f ca="1">OFFSET('Input data (2)'!AG$126,'Input data (2)'!$BL$1-'Output data - DO NOT TOUCH (2)'!$CG29,0)/1000</f>
        <v>1.3049999999999999</v>
      </c>
      <c r="CR29" s="1">
        <f ca="1">OFFSET('Input data (2)'!AH$126,'Input data (2)'!$BL$1-'Output data - DO NOT TOUCH (2)'!$CG29,0)/1000</f>
        <v>3.3359999999999999</v>
      </c>
      <c r="CS29" s="1">
        <f ca="1">OFFSET('Input data (2)'!AI$126,'Input data (2)'!$BL$1-'Output data - DO NOT TOUCH (2)'!$CG29,0)/1000</f>
        <v>4.641</v>
      </c>
      <c r="CT29" s="1"/>
      <c r="CU29" s="1">
        <f ca="1">OFFSET('Input data (2)'!L$126,'Input data (2)'!$BL$1-'Output data - DO NOT TOUCH (2)'!$CG29,0)</f>
        <v>410</v>
      </c>
      <c r="CV29" s="1">
        <f ca="1">OFFSET('Input data (2)'!M$126,'Input data (2)'!$BL$1-'Output data - DO NOT TOUCH (2)'!$CG29,0)</f>
        <v>0</v>
      </c>
      <c r="CW29" s="67">
        <f ca="1">OFFSET('Input data (2)'!N$126,'Input data (2)'!$BL$1-'Output data - DO NOT TOUCH (2)'!$CG29,0)</f>
        <v>974</v>
      </c>
      <c r="CX29" s="1">
        <f ca="1">OFFSET('Input data (2)'!P$126,'Input data (2)'!$BL$1-'Output data - DO NOT TOUCH (2)'!$CG29,0)</f>
        <v>194</v>
      </c>
      <c r="CY29" s="1"/>
      <c r="CZ29" s="1">
        <f ca="1">OFFSET('Input data (2)'!AY$126,'Input data (2)'!$BL$1-'Output data - DO NOT TOUCH (2)'!$CG29,0)/1000</f>
        <v>3.5139999999999998</v>
      </c>
      <c r="DA29" s="1">
        <f ca="1">OFFSET('Input data (2)'!BA$126,'Input data (2)'!$BL$1-'Output data - DO NOT TOUCH (2)'!$CG29,0)/1000</f>
        <v>2.2629999999999999</v>
      </c>
      <c r="DB29" s="1">
        <f ca="1">OFFSET('Input data (2)'!BB$126,'Input data (2)'!$BL$1-'Output data - DO NOT TOUCH (2)'!$CG29,0)/1000</f>
        <v>5.7770000000000001</v>
      </c>
      <c r="DD29" s="1">
        <f ca="1">OFFSET('Input data (2)'!AN$126,'Input data (2)'!$BL$1-'Output data - DO NOT TOUCH (2)'!$CG29,0)</f>
        <v>95</v>
      </c>
      <c r="DE29" s="1">
        <f ca="1">OFFSET('Input data (2)'!AO$126,'Input data (2)'!$BL$1-'Output data - DO NOT TOUCH (2)'!$CG29,0)</f>
        <v>28</v>
      </c>
      <c r="DF29" s="1">
        <f ca="1">OFFSET('Input data (2)'!AP$126,'Input data (2)'!$BL$1-'Output data - DO NOT TOUCH (2)'!$CG29,0)</f>
        <v>123</v>
      </c>
      <c r="DG29" s="1"/>
      <c r="DH29" s="1">
        <f ca="1">OFFSET('Input data (2)'!AU$126,'Input data (2)'!$BL$1-'Output data - DO NOT TOUCH (2)'!$CG29,0)</f>
        <v>17</v>
      </c>
      <c r="DI29" s="1">
        <f ca="1">OFFSET('Input data (2)'!AV$126,'Input data (2)'!$BL$1-'Output data - DO NOT TOUCH (2)'!$CG29,0)</f>
        <v>0</v>
      </c>
      <c r="DJ29" s="1">
        <f ca="1">OFFSET('Input data (2)'!AW$126,'Input data (2)'!$BL$1-'Output data - DO NOT TOUCH (2)'!$CG29,0)</f>
        <v>14</v>
      </c>
      <c r="DK29" s="1">
        <f ca="1">OFFSET('Input data (2)'!AX$126,'Input data (2)'!$BL$1-'Output data - DO NOT TOUCH (2)'!$CG29,0)</f>
        <v>0</v>
      </c>
      <c r="DM29" s="1">
        <f ca="1">OFFSET('Input data (2)'!BI$126,'Input data (2)'!$BL$1-'Output data - DO NOT TOUCH (2)'!$CG29,0)</f>
        <v>198</v>
      </c>
      <c r="DN29" s="1">
        <f ca="1">OFFSET('Input data (2)'!BJ$126,'Input data (2)'!$BL$1-'Output data - DO NOT TOUCH (2)'!$CG29,0)</f>
        <v>181</v>
      </c>
      <c r="DO29" s="1">
        <f ca="1">OFFSET('Input data (2)'!BL$126,'Input data (2)'!$BL$1-'Output data - DO NOT TOUCH (2)'!$CG29,0)</f>
        <v>379</v>
      </c>
      <c r="DQ29" s="1">
        <f ca="1">OFFSET('Input data (2)'!BD$126,'Input data (2)'!$BL$1-'Output data - DO NOT TOUCH (2)'!$CG29,0)</f>
        <v>27</v>
      </c>
      <c r="DR29" s="1">
        <f ca="1">OFFSET('Input data (2)'!BE$126,'Input data (2)'!$BL$1-'Output data - DO NOT TOUCH (2)'!$CG29,0)</f>
        <v>24</v>
      </c>
      <c r="DS29" s="1">
        <f ca="1">OFFSET('Input data (2)'!BF$126,'Input data (2)'!$BL$1-'Output data - DO NOT TOUCH (2)'!$CG29,0)</f>
        <v>51</v>
      </c>
      <c r="DU29" s="1">
        <f ca="1">OFFSET('Input data (2)'!B$126,'Input data (2)'!$BL$1-'Output data - DO NOT TOUCH (2)'!$CG29-1,0)</f>
        <v>2009</v>
      </c>
      <c r="DV29" s="1" t="str">
        <f ca="1">OFFSET('Input data (2)'!C$126,'Input data (2)'!$BL$1-'Output data - DO NOT TOUCH (2)'!$CG29-1,0)</f>
        <v>Q2</v>
      </c>
      <c r="DW29" s="1" t="str">
        <f t="shared" ca="1" si="14"/>
        <v>09</v>
      </c>
      <c r="DX29" s="1" t="str">
        <f t="shared" ca="1" si="15"/>
        <v>Q2 09</v>
      </c>
      <c r="DY29" s="1">
        <f ca="1">OFFSET('Input data (2)'!W$126,'Input data (2)'!$BL$1-'Output data - DO NOT TOUCH (2)'!$CG29-1,0)/1000</f>
        <v>2.4700000000000002</v>
      </c>
      <c r="DZ29" s="1">
        <f ca="1">OFFSET('Input data (2)'!Y$126,'Input data (2)'!$BL$1-'Output data - DO NOT TOUCH (2)'!$CG29-1,0)/1000</f>
        <v>16.399999999999999</v>
      </c>
      <c r="EA29" s="1">
        <f ca="1">OFFSET('Input data (2)'!Q$126,'Input data (2)'!$BL$1-'Output data - DO NOT TOUCH (2)'!$CG29-1,0)/1000</f>
        <v>18.87</v>
      </c>
    </row>
    <row r="30" spans="1:140" x14ac:dyDescent="0.15">
      <c r="A30" s="1">
        <v>14</v>
      </c>
      <c r="B30" s="1">
        <v>15</v>
      </c>
      <c r="C30" s="1">
        <v>16</v>
      </c>
      <c r="D30" s="1">
        <v>13</v>
      </c>
      <c r="E30" s="1" t="str">
        <f>F30&amp;G30</f>
        <v>2006Q1</v>
      </c>
      <c r="F30" s="1">
        <f>F25+1</f>
        <v>2006</v>
      </c>
      <c r="G30" s="1" t="s">
        <v>1</v>
      </c>
      <c r="H30" s="1">
        <f>VLOOKUP($E30,'Input data (2)'!$A:$BL,'Output data - DO NOT TOUCH (2)'!H$71,FALSE)</f>
        <v>3564</v>
      </c>
      <c r="I30" s="1">
        <f>VLOOKUP($E30,'Input data (2)'!$A:$BL,'Output data - DO NOT TOUCH (2)'!I$71,FALSE)</f>
        <v>1473</v>
      </c>
      <c r="J30" s="1">
        <f>VLOOKUP($E30,'Input data (2)'!$A:$BL,'Output data - DO NOT TOUCH (2)'!J$71,FALSE)</f>
        <v>2091</v>
      </c>
      <c r="K30" s="1">
        <f>VLOOKUP($E30,'Input data (2)'!$A:$BL,'Output data - DO NOT TOUCH (2)'!K$71,FALSE)</f>
        <v>3454</v>
      </c>
      <c r="L30" s="1">
        <f>VLOOKUP($E30,'Input data (2)'!$A:$BL,'Output data - DO NOT TOUCH (2)'!L$71,FALSE)</f>
        <v>1439</v>
      </c>
      <c r="M30" s="1">
        <f>VLOOKUP($E30,'Input data (2)'!$A:$BL,'Output data - DO NOT TOUCH (2)'!M$71,FALSE)</f>
        <v>2015</v>
      </c>
      <c r="O30" s="119">
        <f ca="1">IF(AND('Input data (2)'!$C$2=4,$D16&gt;=0),OFFSET('Input data (2)'!O$126,'Input data (2)'!$BL$1-$D16,0),IF(AND('Input data (2)'!$C$2=3,$C16&gt;=0),OFFSET('Input data (2)'!O$126,'Input data (2)'!$BL$1-$C16,0),IF(AND('Input data (2)'!$C$2=2,$B16&gt;=0),OFFSET('Input data (2)'!O$126,'Input data (2)'!$BL$1-$B16,0),IF(AND('Input data (2)'!$C$2=1,$A16&gt;=0),OFFSET('Input data (2)'!O$126,'Input data (2)'!$BL$1-$A16,0),""))))</f>
        <v>212</v>
      </c>
      <c r="Q30" s="1">
        <f ca="1">IF(AND('Input data (2)'!$C$2=4,$D16&gt;=0),OFFSET('Input data (2)'!AC$126,'Input data (2)'!$BL$1-$D16,0),IF(AND('Input data (2)'!$C$2=3,$C16&gt;=0),OFFSET('Input data (2)'!AC$126,'Input data (2)'!$BL$1-$C16,0),IF(AND('Input data (2)'!$C$2=2,$B16&gt;=0),OFFSET('Input data (2)'!AC$126,'Input data (2)'!$BL$1-$B16,0),IF(AND('Input data (2)'!$C$2=1,$A16&gt;=0),OFFSET('Input data (2)'!AC$126,'Input data (2)'!$BL$1-$A16,0),""))))</f>
        <v>23939</v>
      </c>
      <c r="R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S30" s="1" t="str">
        <f ca="1">IF(AND('Input data (2)'!$C$2=4,$D16&gt;=0),OFFSET('Input data (2)'!R$126,'Input data (2)'!$BL$1-$D16,0),IF(AND('Input data (2)'!$C$2=3,$C16&gt;=0),OFFSET('Input data (2)'!R$126,'Input data (2)'!$BL$1-$C16,0),IF(AND('Input data (2)'!$C$2=2,$B16&gt;=0),OFFSET('Input data (2)'!R$126,'Input data (2)'!$BL$1-$B16,0),IF(AND('Input data (2)'!$C$2=1,$A16&gt;=0),OFFSET('Input data (2)'!R$126,'Input data (2)'!$BL$1-$A16,0),""))))</f>
        <v>:</v>
      </c>
      <c r="T30" s="1">
        <f ca="1">IF(AND('Input data (2)'!$C$2=4,$D16&gt;=0),OFFSET('Input data (2)'!AA$126,'Input data (2)'!$BL$1-$D16,0),IF(AND('Input data (2)'!$C$2=3,$C16&gt;=0),OFFSET('Input data (2)'!AA$126,'Input data (2)'!$BL$1-$C16,0),IF(AND('Input data (2)'!$C$2=2,$B16&gt;=0),OFFSET('Input data (2)'!AA$126,'Input data (2)'!$BL$1-$B16,0),IF(AND('Input data (2)'!$C$2=1,$A16&gt;=0),OFFSET('Input data (2)'!AA$126,'Input data (2)'!$BL$1-$A16,0),""))))</f>
        <v>7656</v>
      </c>
      <c r="U30" s="1">
        <f ca="1">IF(AND('Input data (2)'!$C$2=4,$D16&gt;=0),OFFSET('Input data (2)'!AL$126,'Input data (2)'!$BL$1-$D16,0),IF(AND('Input data (2)'!$C$2=3,$C16&gt;=0),OFFSET('Input data (2)'!AL$126,'Input data (2)'!$BL$1-$C16,0),IF(AND('Input data (2)'!$C$2=2,$B16&gt;=0),OFFSET('Input data (2)'!AL$126,'Input data (2)'!$BL$1-$B16,0),IF(AND('Input data (2)'!$C$2=1,$A16&gt;=0),OFFSET('Input data (2)'!AL$126,'Input data (2)'!$BL$1-$A16,0),""))))</f>
        <v>23805</v>
      </c>
      <c r="V30" s="1">
        <f ca="1">IF(AND('Input data (2)'!$C$2=4,$D16&gt;=0),OFFSET('Input data (2)'!AJ$126,'Input data (2)'!$BL$1-$D16,0),IF(AND('Input data (2)'!$C$2=3,$C16&gt;=0),OFFSET('Input data (2)'!AJ$126,'Input data (2)'!$BL$1-$C16,0),IF(AND('Input data (2)'!$C$2=2,$B16&gt;=0),OFFSET('Input data (2)'!AJ$126,'Input data (2)'!$BL$1-$B16,0),IF(AND('Input data (2)'!$C$2=1,$A16&gt;=0),OFFSET('Input data (2)'!AJ$126,'Input data (2)'!$BL$1-$A16,0),""))))</f>
        <v>15217</v>
      </c>
      <c r="W30" s="1">
        <f ca="1">IF(AND('Input data (2)'!$C$2=4,$D16&gt;=0),OFFSET('Input data (2)'!AK$126,'Input data (2)'!$BL$1-$D16,0),IF(AND('Input data (2)'!$C$2=3,$C16&gt;=0),OFFSET('Input data (2)'!AK$126,'Input data (2)'!$BL$1-$C16,0),IF(AND('Input data (2)'!$C$2=2,$B16&gt;=0),OFFSET('Input data (2)'!AK$126,'Input data (2)'!$BL$1-$B16,0),IF(AND('Input data (2)'!$C$2=1,$A16&gt;=0),OFFSET('Input data (2)'!AK$126,'Input data (2)'!$BL$1-$A16,0),""))))</f>
        <v>8588</v>
      </c>
      <c r="Y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Z30" s="1">
        <f ca="1">IF(AND('Input data (2)'!$C$2=4,$D16&gt;=0),OFFSET('Input data (2)'!S$126,'Input data (2)'!$BL$1-$D16,0),IF(AND('Input data (2)'!$C$2=3,$C16&gt;=0),OFFSET('Input data (2)'!S$126,'Input data (2)'!$BL$1-$C16,0),IF(AND('Input data (2)'!$C$2=2,$B16&gt;=0),OFFSET('Input data (2)'!S$126,'Input data (2)'!$BL$1-$B16,0),IF(AND('Input data (2)'!$C$2=1,$A16&gt;=0),OFFSET('Input data (2)'!S$126,'Input data (2)'!$BL$1-$A16,0),""))))</f>
        <v>13492</v>
      </c>
      <c r="AA30" s="1">
        <f ca="1">IF(AND('Input data (2)'!$C$2=4,$D16&gt;=0),OFFSET('Input data (2)'!T$126,'Input data (2)'!$BL$1-$D16,0),IF(AND('Input data (2)'!$C$2=3,$C16&gt;=0),OFFSET('Input data (2)'!T$126,'Input data (2)'!$BL$1-$C16,0),IF(AND('Input data (2)'!$C$2=2,$B16&gt;=0),OFFSET('Input data (2)'!T$126,'Input data (2)'!$BL$1-$B16,0),IF(AND('Input data (2)'!$C$2=1,$A16&gt;=0),OFFSET('Input data (2)'!T$126,'Input data (2)'!$BL$1-$A16,0),""))))</f>
        <v>82.859423939077573</v>
      </c>
      <c r="AB30" s="1">
        <f ca="1">IF(AND('Input data (2)'!$C$2=4,$D16&gt;=0),OFFSET('Input data (2)'!U$126,'Input data (2)'!$BL$1-$D16,0),IF(AND('Input data (2)'!$C$2=3,$C16&gt;=0),OFFSET('Input data (2)'!U$126,'Input data (2)'!$BL$1-$C16,0),IF(AND('Input data (2)'!$C$2=2,$B16&gt;=0),OFFSET('Input data (2)'!U$126,'Input data (2)'!$BL$1-$B16,0),IF(AND('Input data (2)'!$C$2=1,$A16&gt;=0),OFFSET('Input data (2)'!U$126,'Input data (2)'!$BL$1-$A16,0),""))))</f>
        <v>2791</v>
      </c>
      <c r="AC30" s="1">
        <f ca="1">IF(AND('Input data (2)'!$C$2=4,$D16&gt;=0),OFFSET('Input data (2)'!V$126,'Input data (2)'!$BL$1-$D16,0),IF(AND('Input data (2)'!$C$2=3,$C16&gt;=0),OFFSET('Input data (2)'!V$126,'Input data (2)'!$BL$1-$C16,0),IF(AND('Input data (2)'!$C$2=2,$B16&gt;=0),OFFSET('Input data (2)'!V$126,'Input data (2)'!$BL$1-$B16,0),IF(AND('Input data (2)'!$C$2=1,$A16&gt;=0),OFFSET('Input data (2)'!V$126,'Input data (2)'!$BL$1-$A16,0),""))))</f>
        <v>17.140576060922434</v>
      </c>
      <c r="AD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AE30" s="1">
        <f ca="1">IF(AND('Input data (2)'!$C$2=4,$D16&gt;=0),OFFSET('Input data (2)'!W$126,'Input data (2)'!$BL$1-$D16,0),IF(AND('Input data (2)'!$C$2=3,$C16&gt;=0),OFFSET('Input data (2)'!W$126,'Input data (2)'!$BL$1-$C16,0),IF(AND('Input data (2)'!$C$2=2,$B16&gt;=0),OFFSET('Input data (2)'!W$126,'Input data (2)'!$BL$1-$B16,0),IF(AND('Input data (2)'!$C$2=1,$A16&gt;=0),OFFSET('Input data (2)'!W$126,'Input data (2)'!$BL$1-$A16,0),""))))</f>
        <v>3150</v>
      </c>
      <c r="AF30" s="1">
        <f ca="1">IF(AND('Input data (2)'!$C$2=4,$D16&gt;=0),OFFSET('Input data (2)'!X$126,'Input data (2)'!$BL$1-$D16,0),IF(AND('Input data (2)'!$C$2=3,$C16&gt;=0),OFFSET('Input data (2)'!X$126,'Input data (2)'!$BL$1-$C16,0),IF(AND('Input data (2)'!$C$2=2,$B16&gt;=0),OFFSET('Input data (2)'!X$126,'Input data (2)'!$BL$1-$B16,0),IF(AND('Input data (2)'!$C$2=1,$A16&gt;=0),OFFSET('Input data (2)'!X$126,'Input data (2)'!$BL$1-$A16,0),""))))</f>
        <v>19.345329484738684</v>
      </c>
      <c r="AG30" s="1">
        <f ca="1">IF(AND('Input data (2)'!$C$2=4,$D16&gt;=0),OFFSET('Input data (2)'!Y$126,'Input data (2)'!$BL$1-$D16,0),IF(AND('Input data (2)'!$C$2=3,$C16&gt;=0),OFFSET('Input data (2)'!Y$126,'Input data (2)'!$BL$1-$C16,0),IF(AND('Input data (2)'!$C$2=2,$B16&gt;=0),OFFSET('Input data (2)'!Y$126,'Input data (2)'!$BL$1-$B16,0),IF(AND('Input data (2)'!$C$2=1,$A16&gt;=0),OFFSET('Input data (2)'!Y$126,'Input data (2)'!$BL$1-$A16,0),""))))</f>
        <v>13133</v>
      </c>
      <c r="AH30" s="1">
        <f ca="1">IF(AND('Input data (2)'!$C$2=4,$D16&gt;=0),OFFSET('Input data (2)'!Z$126,'Input data (2)'!$BL$1-$D16,0),IF(AND('Input data (2)'!$C$2=3,$C16&gt;=0),OFFSET('Input data (2)'!Z$126,'Input data (2)'!$BL$1-$C16,0),IF(AND('Input data (2)'!$C$2=2,$B16&gt;=0),OFFSET('Input data (2)'!Z$126,'Input data (2)'!$BL$1-$B16,0),IF(AND('Input data (2)'!$C$2=1,$A16&gt;=0),OFFSET('Input data (2)'!Z$126,'Input data (2)'!$BL$1-$A16,0),""))))</f>
        <v>80.654670515261316</v>
      </c>
      <c r="AI30" s="3"/>
      <c r="AJ30" s="124">
        <f ca="1">IF(AND('Input data (2)'!$C$2=4,$D16&gt;=0),OFFSET('Input data (2)'!AF$126,'Input data (2)'!$BL$1-$D16,0),IF(AND('Input data (2)'!$C$2=3,$C16&gt;=0),OFFSET('Input data (2)'!AF$126,'Input data (2)'!$BL$1-$C16,0),IF(AND('Input data (2)'!$C$2=2,$B16&gt;=0),OFFSET('Input data (2)'!AF$126,'Input data (2)'!$BL$1-$B16,0),IF(AND('Input data (2)'!$C$2=1,$A16&gt;=0),OFFSET('Input data (2)'!AF$126,'Input data (2)'!$BL$1-$A16,0),""))))</f>
        <v>1973</v>
      </c>
      <c r="AK30" s="124">
        <f ca="1">IF(AND('Input data (2)'!$C$2=4,$D16&gt;=0),OFFSET('Input data (2)'!AD$126,'Input data (2)'!$BL$1-$D16,0),IF(AND('Input data (2)'!$C$2=3,$C16&gt;=0),OFFSET('Input data (2)'!AD$126,'Input data (2)'!$BL$1-$C16,0),IF(AND('Input data (2)'!$C$2=2,$B16&gt;=0),OFFSET('Input data (2)'!AD$126,'Input data (2)'!$BL$1-$B16,0),IF(AND('Input data (2)'!$C$2=1,$A16&gt;=0),OFFSET('Input data (2)'!AD$126,'Input data (2)'!$BL$1-$A16,0),""))))</f>
        <v>29</v>
      </c>
      <c r="AL30" s="124">
        <f ca="1">IF(AND('Input data (2)'!$C$2=4,$D16&gt;=0),OFFSET('Input data (2)'!AE$126,'Input data (2)'!$BL$1-$D16,0),IF(AND('Input data (2)'!$C$2=3,$C16&gt;=0),OFFSET('Input data (2)'!AE$126,'Input data (2)'!$BL$1-$C16,0),IF(AND('Input data (2)'!$C$2=2,$B16&gt;=0),OFFSET('Input data (2)'!AE$126,'Input data (2)'!$BL$1-$B16,0),IF(AND('Input data (2)'!$C$2=1,$A16&gt;=0),OFFSET('Input data (2)'!AE$126,'Input data (2)'!$BL$1-$A16,0),""))))</f>
        <v>1944</v>
      </c>
      <c r="AW30" s="1">
        <f ca="1">IF(AND('Input data (2)'!$C$2=4,$D16&gt;=0),OFFSET('Input data (2)'!L$126,'Input data (2)'!$BL$1-$D16,0),IF(AND('Input data (2)'!$C$2=3,$C16&gt;=0),OFFSET('Input data (2)'!L$126,'Input data (2)'!$BL$1-$C16,0),IF(AND('Input data (2)'!$C$2=2,$B16&gt;=0),OFFSET('Input data (2)'!L$126,'Input data (2)'!$BL$1-$B16,0),IF(AND('Input data (2)'!$C$2=1,$A16&gt;=0),OFFSET('Input data (2)'!L$126,'Input data (2)'!$BL$1-$A16,0),""))))</f>
        <v>180</v>
      </c>
      <c r="AX30" s="1">
        <f ca="1">IF(AND('Input data (2)'!$C$2=4,$D16&gt;=0),OFFSET('Input data (2)'!M$126,'Input data (2)'!$BL$1-$D16,0),IF(AND('Input data (2)'!$C$2=3,$C16&gt;=0),OFFSET('Input data (2)'!M$126,'Input data (2)'!$BL$1-$C16,0),IF(AND('Input data (2)'!$C$2=2,$B16&gt;=0),OFFSET('Input data (2)'!M$126,'Input data (2)'!$BL$1-$B16,0),IF(AND('Input data (2)'!$C$2=1,$A16&gt;=0),OFFSET('Input data (2)'!M$126,'Input data (2)'!$BL$1-$A16,0),""))))</f>
        <v>0</v>
      </c>
      <c r="AY30" s="1">
        <f ca="1">IF(AND('Input data (2)'!$C$2=4,$D16&gt;=0),OFFSET('Input data (2)'!N$126,'Input data (2)'!$BL$1-$D16,0),IF(AND('Input data (2)'!$C$2=3,$C16&gt;=0),OFFSET('Input data (2)'!N$126,'Input data (2)'!$BL$1-$C16,0),IF(AND('Input data (2)'!$C$2=2,$B16&gt;=0),OFFSET('Input data (2)'!N$126,'Input data (2)'!$BL$1-$B16,0),IF(AND('Input data (2)'!$C$2=1,$A16&gt;=0),OFFSET('Input data (2)'!N$126,'Input data (2)'!$BL$1-$A16,0),""))))</f>
        <v>753</v>
      </c>
      <c r="AZ30" s="1">
        <f ca="1">IF(AND('Input data (2)'!$C$2=4,$D16&gt;=0),OFFSET('Input data (2)'!P$126,'Input data (2)'!$BL$1-$D16,0),IF(AND('Input data (2)'!$C$2=3,$C16&gt;=0),OFFSET('Input data (2)'!P$126,'Input data (2)'!$BL$1-$C16,0),IF(AND('Input data (2)'!$C$2=2,$B16&gt;=0),OFFSET('Input data (2)'!P$126,'Input data (2)'!$BL$1-$B16,0),IF(AND('Input data (2)'!$C$2=1,$A16&gt;=0),OFFSET('Input data (2)'!P$126,'Input data (2)'!$BL$1-$A16,0),""))))</f>
        <v>124</v>
      </c>
      <c r="BB30" s="1">
        <f ca="1">IF(AND('Input data (2)'!$C$2=4,$D16&gt;=0),OFFSET('Input data (2)'!BB$126,'Input data (2)'!$BL$1-$D16,0),IF(AND('Input data (2)'!$C$2=3,$C16&gt;=0),OFFSET('Input data (2)'!BB$126,'Input data (2)'!$BL$1-$C16,0),IF(AND('Input data (2)'!$C$2=2,$B16&gt;=0),OFFSET('Input data (2)'!BB$126,'Input data (2)'!$BL$1-$B16,0),IF(AND('Input data (2)'!$C$2=1,$A16&gt;=0),OFFSET('Input data (2)'!BB$126,'Input data (2)'!$BL$1-$A16,0),""))))</f>
        <v>3187</v>
      </c>
      <c r="BC30" s="1">
        <f ca="1">IF(AND('Input data (2)'!$C$2=4,$D16&gt;=0),OFFSET('Input data (2)'!AY$126,'Input data (2)'!$BL$1-$D16,0),IF(AND('Input data (2)'!$C$2=3,$C16&gt;=0),OFFSET('Input data (2)'!AY$126,'Input data (2)'!$BL$1-$C16,0),IF(AND('Input data (2)'!$C$2=2,$B16&gt;=0),OFFSET('Input data (2)'!AY$126,'Input data (2)'!$BL$1-$B16,0),IF(AND('Input data (2)'!$C$2=1,$A16&gt;=0),OFFSET('Input data (2)'!AY$126,'Input data (2)'!$BL$1-$A16,0),""))))</f>
        <v>1298</v>
      </c>
      <c r="BD30" s="1" t="str">
        <f ca="1">IF(AND('Input data (2)'!$C$2=4,$D16&gt;=0),OFFSET('Input data (2)'!AZ$126,'Input data (2)'!$BL$1-$D16,0),IF(AND('Input data (2)'!$C$2=3,$C16&gt;=0),OFFSET('Input data (2)'!AZ$126,'Input data (2)'!$BL$1-$C16,0),IF(AND('Input data (2)'!$C$2=2,$B16&gt;=0),OFFSET('Input data (2)'!AZ$126,'Input data (2)'!$BL$1-$B16,0),IF(AND('Input data (2)'!$C$2=1,$A16&gt;=0),OFFSET('Input data (2)'!AZ$126,'Input data (2)'!$BL$1-$A16,0),""))))</f>
        <v>:</v>
      </c>
      <c r="BE30" s="1">
        <f ca="1">IF(AND('Input data (2)'!$C$2=4,$D16&gt;=0),OFFSET('Input data (2)'!BA$126,'Input data (2)'!$BL$1-$D16,0),IF(AND('Input data (2)'!$C$2=3,$C16&gt;=0),OFFSET('Input data (2)'!BA$126,'Input data (2)'!$BL$1-$C16,0),IF(AND('Input data (2)'!$C$2=2,$B16&gt;=0),OFFSET('Input data (2)'!BA$126,'Input data (2)'!$BL$1-$B16,0),IF(AND('Input data (2)'!$C$2=1,$A16&gt;=0),OFFSET('Input data (2)'!BA$126,'Input data (2)'!$BL$1-$A16,0),""))))</f>
        <v>1889</v>
      </c>
      <c r="BF30" s="1">
        <f ca="1">IF(AND('Input data (2)'!$C$2=4,$D16&gt;=0),OFFSET('Input data (2)'!AP$126,'Input data (2)'!$BL$1-$D16,0),IF(AND('Input data (2)'!$C$2=3,$C16&gt;=0),OFFSET('Input data (2)'!AP$126,'Input data (2)'!$BL$1-$C16,0),IF(AND('Input data (2)'!$C$2=2,$B16&gt;=0),OFFSET('Input data (2)'!AP$126,'Input data (2)'!$BL$1-$B16,0),IF(AND('Input data (2)'!$C$2=1,$A16&gt;=0),OFFSET('Input data (2)'!AP$126,'Input data (2)'!$BL$1-$A16,0),""))))</f>
        <v>128</v>
      </c>
      <c r="BG30" s="1">
        <f ca="1">IF(AND('Input data (2)'!$C$2=4,$D16&gt;=0),OFFSET('Input data (2)'!AN$126,'Input data (2)'!$BL$1-$D16,0),IF(AND('Input data (2)'!$C$2=3,$C16&gt;=0),OFFSET('Input data (2)'!AN$126,'Input data (2)'!$BL$1-$C16,0),IF(AND('Input data (2)'!$C$2=2,$B16&gt;=0),OFFSET('Input data (2)'!AN$126,'Input data (2)'!$BL$1-$B16,0),IF(AND('Input data (2)'!$C$2=1,$A16&gt;=0),OFFSET('Input data (2)'!AN$126,'Input data (2)'!$BL$1-$A16,0),""))))</f>
        <v>96</v>
      </c>
      <c r="BH30" s="1">
        <f ca="1">IF(AND('Input data (2)'!$C$2=4,$D16&gt;=0),OFFSET('Input data (2)'!AO$126,'Input data (2)'!$BL$1-$D16,0),IF(AND('Input data (2)'!$C$2=3,$C16&gt;=0),OFFSET('Input data (2)'!AO$126,'Input data (2)'!$BL$1-$C16,0),IF(AND('Input data (2)'!$C$2=2,$B16&gt;=0),OFFSET('Input data (2)'!AO$126,'Input data (2)'!$BL$1-$B16,0),IF(AND('Input data (2)'!$C$2=1,$A16&gt;=0),OFFSET('Input data (2)'!AO$126,'Input data (2)'!$BL$1-$A16,0),""))))</f>
        <v>32</v>
      </c>
      <c r="BJ30" s="1">
        <f ca="1">IF(AND('Input data (2)'!$C$2=4,$D16&gt;=0),OFFSET('Input data (2)'!AU$126,'Input data (2)'!$BL$1-$D16,0),IF(AND('Input data (2)'!$C$2=3,$C16&gt;=0),OFFSET('Input data (2)'!AU$126,'Input data (2)'!$BL$1-$C16,0),IF(AND('Input data (2)'!$C$2=2,$B16&gt;=0),OFFSET('Input data (2)'!AU$126,'Input data (2)'!$BL$1-$B16,0),IF(AND('Input data (2)'!$C$2=1,$A16&gt;=0),OFFSET('Input data (2)'!AU$126,'Input data (2)'!$BL$1-$A16,0),""))))</f>
        <v>11</v>
      </c>
      <c r="BK30" s="1">
        <f ca="1">IF(AND('Input data (2)'!$C$2=4,$D16&gt;=0),OFFSET('Input data (2)'!AV$126,'Input data (2)'!$BL$1-$D16,0),IF(AND('Input data (2)'!$C$2=3,$C16&gt;=0),OFFSET('Input data (2)'!AV$126,'Input data (2)'!$BL$1-$C16,0),IF(AND('Input data (2)'!$C$2=2,$B16&gt;=0),OFFSET('Input data (2)'!AV$126,'Input data (2)'!$BL$1-$B16,0),IF(AND('Input data (2)'!$C$2=1,$A16&gt;=0),OFFSET('Input data (2)'!AV$126,'Input data (2)'!$BL$1-$A16,0),""))))</f>
        <v>0</v>
      </c>
      <c r="BL30" s="1">
        <f ca="1">IF(AND('Input data (2)'!$C$2=4,$D16&gt;=0),OFFSET('Input data (2)'!AW$126,'Input data (2)'!$BL$1-$D16,0),IF(AND('Input data (2)'!$C$2=3,$C16&gt;=0),OFFSET('Input data (2)'!AW$126,'Input data (2)'!$BL$1-$C16,0),IF(AND('Input data (2)'!$C$2=2,$B16&gt;=0),OFFSET('Input data (2)'!AW$126,'Input data (2)'!$BL$1-$B16,0),IF(AND('Input data (2)'!$C$2=1,$A16&gt;=0),OFFSET('Input data (2)'!AW$126,'Input data (2)'!$BL$1-$A16,0),""))))</f>
        <v>28</v>
      </c>
      <c r="BM30" s="1">
        <f ca="1">IF(AND('Input data (2)'!$C$2=4,$D16&gt;=0),OFFSET('Input data (2)'!AX$126,'Input data (2)'!$BL$1-$D16,0),IF(AND('Input data (2)'!$C$2=3,$C16&gt;=0),OFFSET('Input data (2)'!AX$126,'Input data (2)'!$BL$1-$C16,0),IF(AND('Input data (2)'!$C$2=2,$B16&gt;=0),OFFSET('Input data (2)'!AX$126,'Input data (2)'!$BL$1-$B16,0),IF(AND('Input data (2)'!$C$2=1,$A16&gt;=0),OFFSET('Input data (2)'!AX$126,'Input data (2)'!$BL$1-$A16,0),""))))</f>
        <v>2</v>
      </c>
      <c r="BO30" s="1">
        <f ca="1">IF(AND('Input data (2)'!$C$2=4,$D16&gt;=0),OFFSET('Input data (2)'!BL$126,'Input data (2)'!$BL$1-$D16,0),IF(AND('Input data (2)'!$C$2=3,$C16&gt;=0),OFFSET('Input data (2)'!BL$126,'Input data (2)'!$BL$1-$C16,0),IF(AND('Input data (2)'!$C$2=2,$B16&gt;=0),OFFSET('Input data (2)'!BL$126,'Input data (2)'!$BL$1-$B16,0),IF(AND('Input data (2)'!$C$2=1,$A16&gt;=0),OFFSET('Input data (2)'!BL$126,'Input data (2)'!$BL$1-$A16,0),""))))</f>
        <v>408</v>
      </c>
      <c r="BP30" s="1">
        <f ca="1">IF(AND('Input data (2)'!$C$2=4,$D16&gt;=0),OFFSET('Input data (2)'!BI$126,'Input data (2)'!$BL$1-$D16,0),IF(AND('Input data (2)'!$C$2=3,$C16&gt;=0),OFFSET('Input data (2)'!BI$126,'Input data (2)'!$BL$1-$C16,0),IF(AND('Input data (2)'!$C$2=2,$B16&gt;=0),OFFSET('Input data (2)'!BI$126,'Input data (2)'!$BL$1-$B16,0),IF(AND('Input data (2)'!$C$2=1,$A16&gt;=0),OFFSET('Input data (2)'!BI$126,'Input data (2)'!$BL$1-$A16,0),""))))</f>
        <v>245</v>
      </c>
      <c r="BQ30" s="1" t="str">
        <f ca="1">IF(AND('Input data (2)'!$C$2=4,$D16&gt;=0),OFFSET('Input data (2)'!BK$126,'Input data (2)'!$BL$1-$D16,0),IF(AND('Input data (2)'!$C$2=3,$C16&gt;=0),OFFSET('Input data (2)'!BK$126,'Input data (2)'!$BL$1-$C16,0),IF(AND('Input data (2)'!$C$2=2,$B16&gt;=0),OFFSET('Input data (2)'!BK$126,'Input data (2)'!$BL$1-$B16,0),IF(AND('Input data (2)'!$C$2=1,$A16&gt;=0),OFFSET('Input data (2)'!BK$126,'Input data (2)'!$BL$1-$A16,0),""))))</f>
        <v>..</v>
      </c>
      <c r="BR30" s="1">
        <f ca="1">IF(AND('Input data (2)'!$C$2=4,$D16&gt;=0),OFFSET('Input data (2)'!BJ$126,'Input data (2)'!$BL$1-$D16,0),IF(AND('Input data (2)'!$C$2=3,$C16&gt;=0),OFFSET('Input data (2)'!BJ$126,'Input data (2)'!$BL$1-$C16,0),IF(AND('Input data (2)'!$C$2=2,$B16&gt;=0),OFFSET('Input data (2)'!BJ$126,'Input data (2)'!$BL$1-$B16,0),IF(AND('Input data (2)'!$C$2=1,$A16&gt;=0),OFFSET('Input data (2)'!BJ$126,'Input data (2)'!$BL$1-$A16,0),""))))</f>
        <v>163</v>
      </c>
      <c r="BS30" s="1">
        <f ca="1">IF(AND('Input data (2)'!$C$2=4,$D16&gt;=0),OFFSET('Input data (2)'!BF$126,'Input data (2)'!$BL$1-$D16,0),IF(AND('Input data (2)'!$C$2=3,$C16&gt;=0),OFFSET('Input data (2)'!BF$126,'Input data (2)'!$BL$1-$C16,0),IF(AND('Input data (2)'!$C$2=2,$B16&gt;=0),OFFSET('Input data (2)'!BF$126,'Input data (2)'!$BL$1-$B16,0),IF(AND('Input data (2)'!$C$2=1,$A16&gt;=0),OFFSET('Input data (2)'!BF$126,'Input data (2)'!$BL$1-$A16,0),""))))</f>
        <v>29</v>
      </c>
      <c r="BT30" s="1">
        <f ca="1">IF(AND('Input data (2)'!$C$2=4,$D16&gt;=0),OFFSET('Input data (2)'!BD$126,'Input data (2)'!$BL$1-$D16,0),IF(AND('Input data (2)'!$C$2=3,$C16&gt;=0),OFFSET('Input data (2)'!BD$126,'Input data (2)'!$BL$1-$C16,0),IF(AND('Input data (2)'!$C$2=2,$B16&gt;=0),OFFSET('Input data (2)'!BD$126,'Input data (2)'!$BL$1-$B16,0),IF(AND('Input data (2)'!$C$2=1,$A16&gt;=0),OFFSET('Input data (2)'!BD$126,'Input data (2)'!$BL$1-$A16,0),""))))</f>
        <v>19</v>
      </c>
      <c r="BU30" s="1">
        <f ca="1">IF(AND('Input data (2)'!$C$2=4,$D16&gt;=0),OFFSET('Input data (2)'!BE$126,'Input data (2)'!$BL$1-$D16,0),IF(AND('Input data (2)'!$C$2=3,$C16&gt;=0),OFFSET('Input data (2)'!BE$126,'Input data (2)'!$BL$1-$C16,0),IF(AND('Input data (2)'!$C$2=2,$B16&gt;=0),OFFSET('Input data (2)'!BE$126,'Input data (2)'!$BL$1-$B16,0),IF(AND('Input data (2)'!$C$2=1,$A16&gt;=0),OFFSET('Input data (2)'!BE$126,'Input data (2)'!$BL$1-$A16,0),""))))</f>
        <v>10</v>
      </c>
      <c r="BW30" s="7">
        <f ca="1">IF(AND('Input data (2)'!$C$2=4,$D16&gt;=0),OFFSET('Input data (2)'!J$126,'Input data (2)'!$BL$1-$D16,0),IF(AND('Input data (2)'!$C$2=3,$C16&gt;=0),OFFSET('Input data (2)'!J$126,'Input data (2)'!$BL$1-$C16,0),IF(AND('Input data (2)'!$C$2=2,$B16&gt;=0),OFFSET('Input data (2)'!J$126,'Input data (2)'!$BL$1-$B16,0),IF(AND('Input data (2)'!$C$2=1,$A16&gt;=0),OFFSET('Input data (2)'!J$126,'Input data (2)'!$BL$1-$A16,0),""))))</f>
        <v>0.72935246247973418</v>
      </c>
      <c r="BX30" s="7">
        <f ca="1">IF(AND('Input data (2)'!$C$2=4,$D16&gt;=0),OFFSET('Input data (2)'!K$126,'Input data (2)'!$BL$1-$D16,0),IF(AND('Input data (2)'!$C$2=3,$C16&gt;=0),OFFSET('Input data (2)'!K$126,'Input data (2)'!$BL$1-$C16,0),IF(AND('Input data (2)'!$C$2=2,$B16&gt;=0),OFFSET('Input data (2)'!K$126,'Input data (2)'!$BL$1-$B16,0),IF(AND('Input data (2)'!$C$2=1,$A16&gt;=0),OFFSET('Input data (2)'!K$126,'Input data (2)'!$BL$1-$A16,0),""))))</f>
        <v>0.66792567117184309</v>
      </c>
      <c r="BY30" s="7">
        <f ca="1">IF(AND('Input data (2)'!$C$2=4,$D16&gt;=0),OFFSET('Input data (2)'!AS$126,'Input data (2)'!$BL$1-$D16,0),IF(AND('Input data (2)'!$C$2=3,$C16&gt;=0),OFFSET('Input data (2)'!AS$126,'Input data (2)'!$BL$1-$C16,0),IF(AND('Input data (2)'!$C$2=2,$B16&gt;=0),OFFSET('Input data (2)'!AS$126,'Input data (2)'!$BL$1-$B16,0),IF(AND('Input data (2)'!$C$2=1,$A16&gt;=0),OFFSET('Input data (2)'!AS$126,'Input data (2)'!$BL$1-$A16,0),""))))</f>
        <v>0.50799576904277888</v>
      </c>
      <c r="BZ30" s="7">
        <f ca="1">IF(AND('Input data (2)'!$C$2=4,$D16&gt;=0),OFFSET('Input data (2)'!AT$126,'Input data (2)'!$BL$1-$D16,0),IF(AND('Input data (2)'!$C$2=3,$C16&gt;=0),OFFSET('Input data (2)'!AT$126,'Input data (2)'!$BL$1-$C16,0),IF(AND('Input data (2)'!$C$2=2,$B16&gt;=0),OFFSET('Input data (2)'!AT$126,'Input data (2)'!$BL$1-$B16,0),IF(AND('Input data (2)'!$C$2=1,$A16&gt;=0),OFFSET('Input data (2)'!AT$126,'Input data (2)'!$BL$1-$A16,0),""))))</f>
        <v>0.4642224410586997</v>
      </c>
      <c r="CB30" s="122"/>
      <c r="CC30" s="122"/>
      <c r="CD30" s="122"/>
      <c r="CE30" s="122"/>
      <c r="CG30" s="1">
        <v>14</v>
      </c>
      <c r="CI30" s="1">
        <f t="shared" ca="1" si="24"/>
        <v>2009</v>
      </c>
      <c r="CJ30" s="1" t="str">
        <f t="shared" si="25"/>
        <v>Q4</v>
      </c>
      <c r="CK30" s="1" t="str">
        <f t="shared" ca="1" si="12"/>
        <v>09</v>
      </c>
      <c r="CL30" s="1" t="str">
        <f t="shared" ca="1" si="13"/>
        <v>Q4 09</v>
      </c>
      <c r="CM30" s="1">
        <f ca="1">OFFSET('Input data (2)'!AJ$126,'Input data (2)'!$BL$1-'Output data - DO NOT TOUCH (2)'!$CG30,0)/1000</f>
        <v>17.933</v>
      </c>
      <c r="CN30" s="1">
        <f ca="1">OFFSET('Input data (2)'!AK$126,'Input data (2)'!$BL$1-'Output data - DO NOT TOUCH (2)'!$CG30,0)/1000</f>
        <v>13.018000000000001</v>
      </c>
      <c r="CO30" s="1" t="e">
        <f ca="1">OFFSET('Input data (2)'!AL$126,'Input data (2)'!$BL$1-'Output data - DO NOT TOUCH (2)'!$CG30,0)/1000</f>
        <v>#VALUE!</v>
      </c>
      <c r="CP30" s="1"/>
      <c r="CQ30" s="1">
        <f ca="1">OFFSET('Input data (2)'!AG$126,'Input data (2)'!$BL$1-'Output data - DO NOT TOUCH (2)'!$CG30,0)/1000</f>
        <v>1.2989999999999999</v>
      </c>
      <c r="CR30" s="1">
        <f ca="1">OFFSET('Input data (2)'!AH$126,'Input data (2)'!$BL$1-'Output data - DO NOT TOUCH (2)'!$CG30,0)/1000</f>
        <v>3.2210000000000001</v>
      </c>
      <c r="CS30" s="1">
        <f ca="1">OFFSET('Input data (2)'!AI$126,'Input data (2)'!$BL$1-'Output data - DO NOT TOUCH (2)'!$CG30,0)/1000</f>
        <v>4.5199999999999996</v>
      </c>
      <c r="CT30" s="1"/>
      <c r="CU30" s="1">
        <f ca="1">OFFSET('Input data (2)'!L$126,'Input data (2)'!$BL$1-'Output data - DO NOT TOUCH (2)'!$CG30,0)</f>
        <v>397</v>
      </c>
      <c r="CV30" s="1">
        <f ca="1">OFFSET('Input data (2)'!M$126,'Input data (2)'!$BL$1-'Output data - DO NOT TOUCH (2)'!$CG30,0)</f>
        <v>0</v>
      </c>
      <c r="CW30" s="67">
        <f ca="1">OFFSET('Input data (2)'!N$126,'Input data (2)'!$BL$1-'Output data - DO NOT TOUCH (2)'!$CG30,0)</f>
        <v>849</v>
      </c>
      <c r="CX30" s="1">
        <f ca="1">OFFSET('Input data (2)'!P$126,'Input data (2)'!$BL$1-'Output data - DO NOT TOUCH (2)'!$CG30,0)</f>
        <v>219</v>
      </c>
      <c r="CY30" s="1"/>
      <c r="CZ30" s="1">
        <f ca="1">OFFSET('Input data (2)'!AY$126,'Input data (2)'!$BL$1-'Output data - DO NOT TOUCH (2)'!$CG30,0)/1000</f>
        <v>3.3650000000000002</v>
      </c>
      <c r="DA30" s="1">
        <f ca="1">OFFSET('Input data (2)'!BA$126,'Input data (2)'!$BL$1-'Output data - DO NOT TOUCH (2)'!$CG30,0)/1000</f>
        <v>2.3279999999999998</v>
      </c>
      <c r="DB30" s="1">
        <f ca="1">OFFSET('Input data (2)'!BB$126,'Input data (2)'!$BL$1-'Output data - DO NOT TOUCH (2)'!$CG30,0)/1000</f>
        <v>5.6929999999999996</v>
      </c>
      <c r="DD30" s="1">
        <f ca="1">OFFSET('Input data (2)'!AN$126,'Input data (2)'!$BL$1-'Output data - DO NOT TOUCH (2)'!$CG30,0)</f>
        <v>106</v>
      </c>
      <c r="DE30" s="1">
        <f ca="1">OFFSET('Input data (2)'!AO$126,'Input data (2)'!$BL$1-'Output data - DO NOT TOUCH (2)'!$CG30,0)</f>
        <v>48</v>
      </c>
      <c r="DF30" s="1">
        <f ca="1">OFFSET('Input data (2)'!AP$126,'Input data (2)'!$BL$1-'Output data - DO NOT TOUCH (2)'!$CG30,0)</f>
        <v>154</v>
      </c>
      <c r="DG30" s="1"/>
      <c r="DH30" s="1">
        <f ca="1">OFFSET('Input data (2)'!AU$126,'Input data (2)'!$BL$1-'Output data - DO NOT TOUCH (2)'!$CG30,0)</f>
        <v>6</v>
      </c>
      <c r="DI30" s="1">
        <f ca="1">OFFSET('Input data (2)'!AV$126,'Input data (2)'!$BL$1-'Output data - DO NOT TOUCH (2)'!$CG30,0)</f>
        <v>0</v>
      </c>
      <c r="DJ30" s="1">
        <f ca="1">OFFSET('Input data (2)'!AW$126,'Input data (2)'!$BL$1-'Output data - DO NOT TOUCH (2)'!$CG30,0)</f>
        <v>23</v>
      </c>
      <c r="DK30" s="1">
        <f ca="1">OFFSET('Input data (2)'!AX$126,'Input data (2)'!$BL$1-'Output data - DO NOT TOUCH (2)'!$CG30,0)</f>
        <v>2</v>
      </c>
      <c r="DM30" s="1">
        <f ca="1">OFFSET('Input data (2)'!BI$126,'Input data (2)'!$BL$1-'Output data - DO NOT TOUCH (2)'!$CG30,0)</f>
        <v>381</v>
      </c>
      <c r="DN30" s="1">
        <f ca="1">OFFSET('Input data (2)'!BJ$126,'Input data (2)'!$BL$1-'Output data - DO NOT TOUCH (2)'!$CG30,0)</f>
        <v>192</v>
      </c>
      <c r="DO30" s="1">
        <f ca="1">OFFSET('Input data (2)'!BL$126,'Input data (2)'!$BL$1-'Output data - DO NOT TOUCH (2)'!$CG30,0)</f>
        <v>573</v>
      </c>
      <c r="DQ30" s="1">
        <f ca="1">OFFSET('Input data (2)'!BD$126,'Input data (2)'!$BL$1-'Output data - DO NOT TOUCH (2)'!$CG30,0)</f>
        <v>57</v>
      </c>
      <c r="DR30" s="1">
        <f ca="1">OFFSET('Input data (2)'!BE$126,'Input data (2)'!$BL$1-'Output data - DO NOT TOUCH (2)'!$CG30,0)</f>
        <v>17</v>
      </c>
      <c r="DS30" s="1">
        <f ca="1">OFFSET('Input data (2)'!BF$126,'Input data (2)'!$BL$1-'Output data - DO NOT TOUCH (2)'!$CG30,0)</f>
        <v>74</v>
      </c>
      <c r="DU30" s="1">
        <f ca="1">OFFSET('Input data (2)'!B$126,'Input data (2)'!$BL$1-'Output data - DO NOT TOUCH (2)'!$CG30-1,0)</f>
        <v>2009</v>
      </c>
      <c r="DV30" s="1" t="str">
        <f ca="1">OFFSET('Input data (2)'!C$126,'Input data (2)'!$BL$1-'Output data - DO NOT TOUCH (2)'!$CG30-1,0)</f>
        <v>Q3</v>
      </c>
      <c r="DW30" s="1" t="str">
        <f t="shared" ca="1" si="14"/>
        <v>09</v>
      </c>
      <c r="DX30" s="1" t="str">
        <f t="shared" ca="1" si="15"/>
        <v>Q3 09</v>
      </c>
      <c r="DY30" s="1">
        <f ca="1">OFFSET('Input data (2)'!W$126,'Input data (2)'!$BL$1-'Output data - DO NOT TOUCH (2)'!$CG30-1,0)/1000</f>
        <v>2.2799999999999998</v>
      </c>
      <c r="DZ30" s="1">
        <f ca="1">OFFSET('Input data (2)'!Y$126,'Input data (2)'!$BL$1-'Output data - DO NOT TOUCH (2)'!$CG30-1,0)/1000</f>
        <v>16.067</v>
      </c>
      <c r="EA30" s="1">
        <f ca="1">OFFSET('Input data (2)'!Q$126,'Input data (2)'!$BL$1-'Output data - DO NOT TOUCH (2)'!$CG30-1,0)/1000</f>
        <v>18.347000000000001</v>
      </c>
    </row>
    <row r="31" spans="1:140" x14ac:dyDescent="0.15">
      <c r="A31" s="1">
        <v>13</v>
      </c>
      <c r="B31" s="1">
        <v>14</v>
      </c>
      <c r="C31" s="1">
        <v>15</v>
      </c>
      <c r="D31" s="1">
        <v>12</v>
      </c>
      <c r="E31" s="1" t="str">
        <f>F31&amp;G31</f>
        <v>2006Q2</v>
      </c>
      <c r="F31" s="1">
        <f>F26+1</f>
        <v>2006</v>
      </c>
      <c r="G31" s="1" t="s">
        <v>2</v>
      </c>
      <c r="H31" s="1">
        <f>VLOOKUP($E31,'Input data (2)'!$A:$BL,'Output data - DO NOT TOUCH (2)'!H$71,FALSE)</f>
        <v>3235</v>
      </c>
      <c r="I31" s="1">
        <f>VLOOKUP($E31,'Input data (2)'!$A:$BL,'Output data - DO NOT TOUCH (2)'!I$71,FALSE)</f>
        <v>1263</v>
      </c>
      <c r="J31" s="1">
        <f>VLOOKUP($E31,'Input data (2)'!$A:$BL,'Output data - DO NOT TOUCH (2)'!J$71,FALSE)</f>
        <v>1972</v>
      </c>
      <c r="K31" s="1">
        <f>VLOOKUP($E31,'Input data (2)'!$A:$BL,'Output data - DO NOT TOUCH (2)'!K$71,FALSE)</f>
        <v>3194</v>
      </c>
      <c r="L31" s="1">
        <f>VLOOKUP($E31,'Input data (2)'!$A:$BL,'Output data - DO NOT TOUCH (2)'!L$71,FALSE)</f>
        <v>1241</v>
      </c>
      <c r="M31" s="1">
        <f>VLOOKUP($E31,'Input data (2)'!$A:$BL,'Output data - DO NOT TOUCH (2)'!M$71,FALSE)</f>
        <v>1953</v>
      </c>
      <c r="O31" s="119">
        <f ca="1">IF(AND('Input data (2)'!$C$2=4,$D17&gt;=0),OFFSET('Input data (2)'!O$126,'Input data (2)'!$BL$1-$D17,0),IF(AND('Input data (2)'!$C$2=3,$C17&gt;=0),OFFSET('Input data (2)'!O$126,'Input data (2)'!$BL$1-$C17,0),IF(AND('Input data (2)'!$C$2=2,$B17&gt;=0),OFFSET('Input data (2)'!O$126,'Input data (2)'!$BL$1-$B17,0),IF(AND('Input data (2)'!$C$2=1,$A17&gt;=0),OFFSET('Input data (2)'!O$126,'Input data (2)'!$BL$1-$A17,0),""))))</f>
        <v>216</v>
      </c>
      <c r="Q31" s="1">
        <f ca="1">IF(AND('Input data (2)'!$C$2=4,$D17&gt;=0),OFFSET('Input data (2)'!AC$126,'Input data (2)'!$BL$1-$D17,0),IF(AND('Input data (2)'!$C$2=3,$C17&gt;=0),OFFSET('Input data (2)'!AC$126,'Input data (2)'!$BL$1-$C17,0),IF(AND('Input data (2)'!$C$2=2,$B17&gt;=0),OFFSET('Input data (2)'!AC$126,'Input data (2)'!$BL$1-$B17,0),IF(AND('Input data (2)'!$C$2=1,$A17&gt;=0),OFFSET('Input data (2)'!AC$126,'Input data (2)'!$BL$1-$A17,0),""))))</f>
        <v>26722</v>
      </c>
      <c r="R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S31" s="1" t="str">
        <f ca="1">IF(AND('Input data (2)'!$C$2=4,$D17&gt;=0),OFFSET('Input data (2)'!R$126,'Input data (2)'!$BL$1-$D17,0),IF(AND('Input data (2)'!$C$2=3,$C17&gt;=0),OFFSET('Input data (2)'!R$126,'Input data (2)'!$BL$1-$C17,0),IF(AND('Input data (2)'!$C$2=2,$B17&gt;=0),OFFSET('Input data (2)'!R$126,'Input data (2)'!$BL$1-$B17,0),IF(AND('Input data (2)'!$C$2=1,$A17&gt;=0),OFFSET('Input data (2)'!R$126,'Input data (2)'!$BL$1-$A17,0),""))))</f>
        <v>:</v>
      </c>
      <c r="T31" s="1">
        <f ca="1">IF(AND('Input data (2)'!$C$2=4,$D17&gt;=0),OFFSET('Input data (2)'!AA$126,'Input data (2)'!$BL$1-$D17,0),IF(AND('Input data (2)'!$C$2=3,$C17&gt;=0),OFFSET('Input data (2)'!AA$126,'Input data (2)'!$BL$1-$C17,0),IF(AND('Input data (2)'!$C$2=2,$B17&gt;=0),OFFSET('Input data (2)'!AA$126,'Input data (2)'!$BL$1-$B17,0),IF(AND('Input data (2)'!$C$2=1,$A17&gt;=0),OFFSET('Input data (2)'!AA$126,'Input data (2)'!$BL$1-$A17,0),""))))</f>
        <v>11233</v>
      </c>
      <c r="U31" s="1">
        <f ca="1">IF(AND('Input data (2)'!$C$2=4,$D17&gt;=0),OFFSET('Input data (2)'!AL$126,'Input data (2)'!$BL$1-$D17,0),IF(AND('Input data (2)'!$C$2=3,$C17&gt;=0),OFFSET('Input data (2)'!AL$126,'Input data (2)'!$BL$1-$C17,0),IF(AND('Input data (2)'!$C$2=2,$B17&gt;=0),OFFSET('Input data (2)'!AL$126,'Input data (2)'!$BL$1-$B17,0),IF(AND('Input data (2)'!$C$2=1,$A17&gt;=0),OFFSET('Input data (2)'!AL$126,'Input data (2)'!$BL$1-$A17,0),""))))</f>
        <v>26296</v>
      </c>
      <c r="V31" s="1">
        <f ca="1">IF(AND('Input data (2)'!$C$2=4,$D17&gt;=0),OFFSET('Input data (2)'!AJ$126,'Input data (2)'!$BL$1-$D17,0),IF(AND('Input data (2)'!$C$2=3,$C17&gt;=0),OFFSET('Input data (2)'!AJ$126,'Input data (2)'!$BL$1-$C17,0),IF(AND('Input data (2)'!$C$2=2,$B17&gt;=0),OFFSET('Input data (2)'!AJ$126,'Input data (2)'!$BL$1-$B17,0),IF(AND('Input data (2)'!$C$2=1,$A17&gt;=0),OFFSET('Input data (2)'!AJ$126,'Input data (2)'!$BL$1-$A17,0),""))))</f>
        <v>15265</v>
      </c>
      <c r="W31" s="1">
        <f ca="1">IF(AND('Input data (2)'!$C$2=4,$D17&gt;=0),OFFSET('Input data (2)'!AK$126,'Input data (2)'!$BL$1-$D17,0),IF(AND('Input data (2)'!$C$2=3,$C17&gt;=0),OFFSET('Input data (2)'!AK$126,'Input data (2)'!$BL$1-$C17,0),IF(AND('Input data (2)'!$C$2=2,$B17&gt;=0),OFFSET('Input data (2)'!AK$126,'Input data (2)'!$BL$1-$B17,0),IF(AND('Input data (2)'!$C$2=1,$A17&gt;=0),OFFSET('Input data (2)'!AK$126,'Input data (2)'!$BL$1-$A17,0),""))))</f>
        <v>11031</v>
      </c>
      <c r="Y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Z31" s="1">
        <f ca="1">IF(AND('Input data (2)'!$C$2=4,$D17&gt;=0),OFFSET('Input data (2)'!S$126,'Input data (2)'!$BL$1-$D17,0),IF(AND('Input data (2)'!$C$2=3,$C17&gt;=0),OFFSET('Input data (2)'!S$126,'Input data (2)'!$BL$1-$C17,0),IF(AND('Input data (2)'!$C$2=2,$B17&gt;=0),OFFSET('Input data (2)'!S$126,'Input data (2)'!$BL$1-$B17,0),IF(AND('Input data (2)'!$C$2=1,$A17&gt;=0),OFFSET('Input data (2)'!S$126,'Input data (2)'!$BL$1-$A17,0),""))))</f>
        <v>13086</v>
      </c>
      <c r="AA31" s="1">
        <f ca="1">IF(AND('Input data (2)'!$C$2=4,$D17&gt;=0),OFFSET('Input data (2)'!T$126,'Input data (2)'!$BL$1-$D17,0),IF(AND('Input data (2)'!$C$2=3,$C17&gt;=0),OFFSET('Input data (2)'!T$126,'Input data (2)'!$BL$1-$C17,0),IF(AND('Input data (2)'!$C$2=2,$B17&gt;=0),OFFSET('Input data (2)'!T$126,'Input data (2)'!$BL$1-$B17,0),IF(AND('Input data (2)'!$C$2=1,$A17&gt;=0),OFFSET('Input data (2)'!T$126,'Input data (2)'!$BL$1-$A17,0),""))))</f>
        <v>84.485764090644977</v>
      </c>
      <c r="AB31" s="1">
        <f ca="1">IF(AND('Input data (2)'!$C$2=4,$D17&gt;=0),OFFSET('Input data (2)'!U$126,'Input data (2)'!$BL$1-$D17,0),IF(AND('Input data (2)'!$C$2=3,$C17&gt;=0),OFFSET('Input data (2)'!U$126,'Input data (2)'!$BL$1-$C17,0),IF(AND('Input data (2)'!$C$2=2,$B17&gt;=0),OFFSET('Input data (2)'!U$126,'Input data (2)'!$BL$1-$B17,0),IF(AND('Input data (2)'!$C$2=1,$A17&gt;=0),OFFSET('Input data (2)'!U$126,'Input data (2)'!$BL$1-$A17,0),""))))</f>
        <v>2403</v>
      </c>
      <c r="AC31" s="1">
        <f ca="1">IF(AND('Input data (2)'!$C$2=4,$D17&gt;=0),OFFSET('Input data (2)'!V$126,'Input data (2)'!$BL$1-$D17,0),IF(AND('Input data (2)'!$C$2=3,$C17&gt;=0),OFFSET('Input data (2)'!V$126,'Input data (2)'!$BL$1-$C17,0),IF(AND('Input data (2)'!$C$2=2,$B17&gt;=0),OFFSET('Input data (2)'!V$126,'Input data (2)'!$BL$1-$B17,0),IF(AND('Input data (2)'!$C$2=1,$A17&gt;=0),OFFSET('Input data (2)'!V$126,'Input data (2)'!$BL$1-$A17,0),""))))</f>
        <v>15.514235909355026</v>
      </c>
      <c r="AD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AE31" s="1">
        <f ca="1">IF(AND('Input data (2)'!$C$2=4,$D17&gt;=0),OFFSET('Input data (2)'!W$126,'Input data (2)'!$BL$1-$D17,0),IF(AND('Input data (2)'!$C$2=3,$C17&gt;=0),OFFSET('Input data (2)'!W$126,'Input data (2)'!$BL$1-$C17,0),IF(AND('Input data (2)'!$C$2=2,$B17&gt;=0),OFFSET('Input data (2)'!W$126,'Input data (2)'!$BL$1-$B17,0),IF(AND('Input data (2)'!$C$2=1,$A17&gt;=0),OFFSET('Input data (2)'!W$126,'Input data (2)'!$BL$1-$A17,0),""))))</f>
        <v>2898</v>
      </c>
      <c r="AF31" s="1">
        <f ca="1">IF(AND('Input data (2)'!$C$2=4,$D17&gt;=0),OFFSET('Input data (2)'!X$126,'Input data (2)'!$BL$1-$D17,0),IF(AND('Input data (2)'!$C$2=3,$C17&gt;=0),OFFSET('Input data (2)'!X$126,'Input data (2)'!$BL$1-$C17,0),IF(AND('Input data (2)'!$C$2=2,$B17&gt;=0),OFFSET('Input data (2)'!X$126,'Input data (2)'!$BL$1-$B17,0),IF(AND('Input data (2)'!$C$2=1,$A17&gt;=0),OFFSET('Input data (2)'!X$126,'Input data (2)'!$BL$1-$A17,0),""))))</f>
        <v>18.710052295177224</v>
      </c>
      <c r="AG31" s="1">
        <f ca="1">IF(AND('Input data (2)'!$C$2=4,$D17&gt;=0),OFFSET('Input data (2)'!Y$126,'Input data (2)'!$BL$1-$D17,0),IF(AND('Input data (2)'!$C$2=3,$C17&gt;=0),OFFSET('Input data (2)'!Y$126,'Input data (2)'!$BL$1-$C17,0),IF(AND('Input data (2)'!$C$2=2,$B17&gt;=0),OFFSET('Input data (2)'!Y$126,'Input data (2)'!$BL$1-$B17,0),IF(AND('Input data (2)'!$C$2=1,$A17&gt;=0),OFFSET('Input data (2)'!Y$126,'Input data (2)'!$BL$1-$A17,0),""))))</f>
        <v>12591</v>
      </c>
      <c r="AH31" s="1">
        <f ca="1">IF(AND('Input data (2)'!$C$2=4,$D17&gt;=0),OFFSET('Input data (2)'!Z$126,'Input data (2)'!$BL$1-$D17,0),IF(AND('Input data (2)'!$C$2=3,$C17&gt;=0),OFFSET('Input data (2)'!Z$126,'Input data (2)'!$BL$1-$C17,0),IF(AND('Input data (2)'!$C$2=2,$B17&gt;=0),OFFSET('Input data (2)'!Z$126,'Input data (2)'!$BL$1-$B17,0),IF(AND('Input data (2)'!$C$2=1,$A17&gt;=0),OFFSET('Input data (2)'!Z$126,'Input data (2)'!$BL$1-$A17,0),""))))</f>
        <v>81.289947704822779</v>
      </c>
      <c r="AI31" s="3"/>
      <c r="AJ31" s="124">
        <f ca="1">IF(AND('Input data (2)'!$C$2=4,$D17&gt;=0),OFFSET('Input data (2)'!AF$126,'Input data (2)'!$BL$1-$D17,0),IF(AND('Input data (2)'!$C$2=3,$C17&gt;=0),OFFSET('Input data (2)'!AF$126,'Input data (2)'!$BL$1-$C17,0),IF(AND('Input data (2)'!$C$2=2,$B17&gt;=0),OFFSET('Input data (2)'!AF$126,'Input data (2)'!$BL$1-$B17,0),IF(AND('Input data (2)'!$C$2=1,$A17&gt;=0),OFFSET('Input data (2)'!AF$126,'Input data (2)'!$BL$1-$A17,0),""))))</f>
        <v>2532</v>
      </c>
      <c r="AK31" s="124">
        <f ca="1">IF(AND('Input data (2)'!$C$2=4,$D17&gt;=0),OFFSET('Input data (2)'!AD$126,'Input data (2)'!$BL$1-$D17,0),IF(AND('Input data (2)'!$C$2=3,$C17&gt;=0),OFFSET('Input data (2)'!AD$126,'Input data (2)'!$BL$1-$C17,0),IF(AND('Input data (2)'!$C$2=2,$B17&gt;=0),OFFSET('Input data (2)'!AD$126,'Input data (2)'!$BL$1-$B17,0),IF(AND('Input data (2)'!$C$2=1,$A17&gt;=0),OFFSET('Input data (2)'!AD$126,'Input data (2)'!$BL$1-$A17,0),""))))</f>
        <v>21</v>
      </c>
      <c r="AL31" s="124">
        <f ca="1">IF(AND('Input data (2)'!$C$2=4,$D17&gt;=0),OFFSET('Input data (2)'!AE$126,'Input data (2)'!$BL$1-$D17,0),IF(AND('Input data (2)'!$C$2=3,$C17&gt;=0),OFFSET('Input data (2)'!AE$126,'Input data (2)'!$BL$1-$C17,0),IF(AND('Input data (2)'!$C$2=2,$B17&gt;=0),OFFSET('Input data (2)'!AE$126,'Input data (2)'!$BL$1-$B17,0),IF(AND('Input data (2)'!$C$2=1,$A17&gt;=0),OFFSET('Input data (2)'!AE$126,'Input data (2)'!$BL$1-$A17,0),""))))</f>
        <v>2511</v>
      </c>
      <c r="AW31" s="1">
        <f ca="1">IF(AND('Input data (2)'!$C$2=4,$D17&gt;=0),OFFSET('Input data (2)'!L$126,'Input data (2)'!$BL$1-$D17,0),IF(AND('Input data (2)'!$C$2=3,$C17&gt;=0),OFFSET('Input data (2)'!L$126,'Input data (2)'!$BL$1-$C17,0),IF(AND('Input data (2)'!$C$2=2,$B17&gt;=0),OFFSET('Input data (2)'!L$126,'Input data (2)'!$BL$1-$B17,0),IF(AND('Input data (2)'!$C$2=1,$A17&gt;=0),OFFSET('Input data (2)'!L$126,'Input data (2)'!$BL$1-$A17,0),""))))</f>
        <v>153</v>
      </c>
      <c r="AX31" s="1">
        <f ca="1">IF(AND('Input data (2)'!$C$2=4,$D17&gt;=0),OFFSET('Input data (2)'!M$126,'Input data (2)'!$BL$1-$D17,0),IF(AND('Input data (2)'!$C$2=3,$C17&gt;=0),OFFSET('Input data (2)'!M$126,'Input data (2)'!$BL$1-$C17,0),IF(AND('Input data (2)'!$C$2=2,$B17&gt;=0),OFFSET('Input data (2)'!M$126,'Input data (2)'!$BL$1-$B17,0),IF(AND('Input data (2)'!$C$2=1,$A17&gt;=0),OFFSET('Input data (2)'!M$126,'Input data (2)'!$BL$1-$A17,0),""))))</f>
        <v>0</v>
      </c>
      <c r="AY31" s="1">
        <f ca="1">IF(AND('Input data (2)'!$C$2=4,$D17&gt;=0),OFFSET('Input data (2)'!N$126,'Input data (2)'!$BL$1-$D17,0),IF(AND('Input data (2)'!$C$2=3,$C17&gt;=0),OFFSET('Input data (2)'!N$126,'Input data (2)'!$BL$1-$C17,0),IF(AND('Input data (2)'!$C$2=2,$B17&gt;=0),OFFSET('Input data (2)'!N$126,'Input data (2)'!$BL$1-$B17,0),IF(AND('Input data (2)'!$C$2=1,$A17&gt;=0),OFFSET('Input data (2)'!N$126,'Input data (2)'!$BL$1-$A17,0),""))))</f>
        <v>653</v>
      </c>
      <c r="AZ31" s="1">
        <f ca="1">IF(AND('Input data (2)'!$C$2=4,$D17&gt;=0),OFFSET('Input data (2)'!P$126,'Input data (2)'!$BL$1-$D17,0),IF(AND('Input data (2)'!$C$2=3,$C17&gt;=0),OFFSET('Input data (2)'!P$126,'Input data (2)'!$BL$1-$C17,0),IF(AND('Input data (2)'!$C$2=2,$B17&gt;=0),OFFSET('Input data (2)'!P$126,'Input data (2)'!$BL$1-$B17,0),IF(AND('Input data (2)'!$C$2=1,$A17&gt;=0),OFFSET('Input data (2)'!P$126,'Input data (2)'!$BL$1-$A17,0),""))))</f>
        <v>147</v>
      </c>
      <c r="BB31" s="1">
        <f ca="1">IF(AND('Input data (2)'!$C$2=4,$D17&gt;=0),OFFSET('Input data (2)'!BB$126,'Input data (2)'!$BL$1-$D17,0),IF(AND('Input data (2)'!$C$2=3,$C17&gt;=0),OFFSET('Input data (2)'!BB$126,'Input data (2)'!$BL$1-$C17,0),IF(AND('Input data (2)'!$C$2=2,$B17&gt;=0),OFFSET('Input data (2)'!BB$126,'Input data (2)'!$BL$1-$B17,0),IF(AND('Input data (2)'!$C$2=1,$A17&gt;=0),OFFSET('Input data (2)'!BB$126,'Input data (2)'!$BL$1-$A17,0),""))))</f>
        <v>3500</v>
      </c>
      <c r="BC31" s="1">
        <f ca="1">IF(AND('Input data (2)'!$C$2=4,$D17&gt;=0),OFFSET('Input data (2)'!AY$126,'Input data (2)'!$BL$1-$D17,0),IF(AND('Input data (2)'!$C$2=3,$C17&gt;=0),OFFSET('Input data (2)'!AY$126,'Input data (2)'!$BL$1-$C17,0),IF(AND('Input data (2)'!$C$2=2,$B17&gt;=0),OFFSET('Input data (2)'!AY$126,'Input data (2)'!$BL$1-$B17,0),IF(AND('Input data (2)'!$C$2=1,$A17&gt;=0),OFFSET('Input data (2)'!AY$126,'Input data (2)'!$BL$1-$A17,0),""))))</f>
        <v>1263</v>
      </c>
      <c r="BD31" s="1" t="str">
        <f ca="1">IF(AND('Input data (2)'!$C$2=4,$D17&gt;=0),OFFSET('Input data (2)'!AZ$126,'Input data (2)'!$BL$1-$D17,0),IF(AND('Input data (2)'!$C$2=3,$C17&gt;=0),OFFSET('Input data (2)'!AZ$126,'Input data (2)'!$BL$1-$C17,0),IF(AND('Input data (2)'!$C$2=2,$B17&gt;=0),OFFSET('Input data (2)'!AZ$126,'Input data (2)'!$BL$1-$B17,0),IF(AND('Input data (2)'!$C$2=1,$A17&gt;=0),OFFSET('Input data (2)'!AZ$126,'Input data (2)'!$BL$1-$A17,0),""))))</f>
        <v>:</v>
      </c>
      <c r="BE31" s="1">
        <f ca="1">IF(AND('Input data (2)'!$C$2=4,$D17&gt;=0),OFFSET('Input data (2)'!BA$126,'Input data (2)'!$BL$1-$D17,0),IF(AND('Input data (2)'!$C$2=3,$C17&gt;=0),OFFSET('Input data (2)'!BA$126,'Input data (2)'!$BL$1-$C17,0),IF(AND('Input data (2)'!$C$2=2,$B17&gt;=0),OFFSET('Input data (2)'!BA$126,'Input data (2)'!$BL$1-$B17,0),IF(AND('Input data (2)'!$C$2=1,$A17&gt;=0),OFFSET('Input data (2)'!BA$126,'Input data (2)'!$BL$1-$A17,0),""))))</f>
        <v>2237</v>
      </c>
      <c r="BF31" s="1">
        <f ca="1">IF(AND('Input data (2)'!$C$2=4,$D17&gt;=0),OFFSET('Input data (2)'!AP$126,'Input data (2)'!$BL$1-$D17,0),IF(AND('Input data (2)'!$C$2=3,$C17&gt;=0),OFFSET('Input data (2)'!AP$126,'Input data (2)'!$BL$1-$C17,0),IF(AND('Input data (2)'!$C$2=2,$B17&gt;=0),OFFSET('Input data (2)'!AP$126,'Input data (2)'!$BL$1-$B17,0),IF(AND('Input data (2)'!$C$2=1,$A17&gt;=0),OFFSET('Input data (2)'!AP$126,'Input data (2)'!$BL$1-$A17,0),""))))</f>
        <v>133</v>
      </c>
      <c r="BG31" s="1">
        <f ca="1">IF(AND('Input data (2)'!$C$2=4,$D17&gt;=0),OFFSET('Input data (2)'!AN$126,'Input data (2)'!$BL$1-$D17,0),IF(AND('Input data (2)'!$C$2=3,$C17&gt;=0),OFFSET('Input data (2)'!AN$126,'Input data (2)'!$BL$1-$C17,0),IF(AND('Input data (2)'!$C$2=2,$B17&gt;=0),OFFSET('Input data (2)'!AN$126,'Input data (2)'!$BL$1-$B17,0),IF(AND('Input data (2)'!$C$2=1,$A17&gt;=0),OFFSET('Input data (2)'!AN$126,'Input data (2)'!$BL$1-$A17,0),""))))</f>
        <v>99</v>
      </c>
      <c r="BH31" s="1">
        <f ca="1">IF(AND('Input data (2)'!$C$2=4,$D17&gt;=0),OFFSET('Input data (2)'!AO$126,'Input data (2)'!$BL$1-$D17,0),IF(AND('Input data (2)'!$C$2=3,$C17&gt;=0),OFFSET('Input data (2)'!AO$126,'Input data (2)'!$BL$1-$C17,0),IF(AND('Input data (2)'!$C$2=2,$B17&gt;=0),OFFSET('Input data (2)'!AO$126,'Input data (2)'!$BL$1-$B17,0),IF(AND('Input data (2)'!$C$2=1,$A17&gt;=0),OFFSET('Input data (2)'!AO$126,'Input data (2)'!$BL$1-$A17,0),""))))</f>
        <v>34</v>
      </c>
      <c r="BJ31" s="1">
        <f ca="1">IF(AND('Input data (2)'!$C$2=4,$D17&gt;=0),OFFSET('Input data (2)'!AU$126,'Input data (2)'!$BL$1-$D17,0),IF(AND('Input data (2)'!$C$2=3,$C17&gt;=0),OFFSET('Input data (2)'!AU$126,'Input data (2)'!$BL$1-$C17,0),IF(AND('Input data (2)'!$C$2=2,$B17&gt;=0),OFFSET('Input data (2)'!AU$126,'Input data (2)'!$BL$1-$B17,0),IF(AND('Input data (2)'!$C$2=1,$A17&gt;=0),OFFSET('Input data (2)'!AU$126,'Input data (2)'!$BL$1-$A17,0),""))))</f>
        <v>16</v>
      </c>
      <c r="BK31" s="1">
        <f ca="1">IF(AND('Input data (2)'!$C$2=4,$D17&gt;=0),OFFSET('Input data (2)'!AV$126,'Input data (2)'!$BL$1-$D17,0),IF(AND('Input data (2)'!$C$2=3,$C17&gt;=0),OFFSET('Input data (2)'!AV$126,'Input data (2)'!$BL$1-$C17,0),IF(AND('Input data (2)'!$C$2=2,$B17&gt;=0),OFFSET('Input data (2)'!AV$126,'Input data (2)'!$BL$1-$B17,0),IF(AND('Input data (2)'!$C$2=1,$A17&gt;=0),OFFSET('Input data (2)'!AV$126,'Input data (2)'!$BL$1-$A17,0),""))))</f>
        <v>0</v>
      </c>
      <c r="BL31" s="1">
        <f ca="1">IF(AND('Input data (2)'!$C$2=4,$D17&gt;=0),OFFSET('Input data (2)'!AW$126,'Input data (2)'!$BL$1-$D17,0),IF(AND('Input data (2)'!$C$2=3,$C17&gt;=0),OFFSET('Input data (2)'!AW$126,'Input data (2)'!$BL$1-$C17,0),IF(AND('Input data (2)'!$C$2=2,$B17&gt;=0),OFFSET('Input data (2)'!AW$126,'Input data (2)'!$BL$1-$B17,0),IF(AND('Input data (2)'!$C$2=1,$A17&gt;=0),OFFSET('Input data (2)'!AW$126,'Input data (2)'!$BL$1-$A17,0),""))))</f>
        <v>20</v>
      </c>
      <c r="BM31" s="1">
        <f ca="1">IF(AND('Input data (2)'!$C$2=4,$D17&gt;=0),OFFSET('Input data (2)'!AX$126,'Input data (2)'!$BL$1-$D17,0),IF(AND('Input data (2)'!$C$2=3,$C17&gt;=0),OFFSET('Input data (2)'!AX$126,'Input data (2)'!$BL$1-$C17,0),IF(AND('Input data (2)'!$C$2=2,$B17&gt;=0),OFFSET('Input data (2)'!AX$126,'Input data (2)'!$BL$1-$B17,0),IF(AND('Input data (2)'!$C$2=1,$A17&gt;=0),OFFSET('Input data (2)'!AX$126,'Input data (2)'!$BL$1-$A17,0),""))))</f>
        <v>1</v>
      </c>
      <c r="BO31" s="1">
        <f ca="1">IF(AND('Input data (2)'!$C$2=4,$D17&gt;=0),OFFSET('Input data (2)'!BL$126,'Input data (2)'!$BL$1-$D17,0),IF(AND('Input data (2)'!$C$2=3,$C17&gt;=0),OFFSET('Input data (2)'!BL$126,'Input data (2)'!$BL$1-$C17,0),IF(AND('Input data (2)'!$C$2=2,$B17&gt;=0),OFFSET('Input data (2)'!BL$126,'Input data (2)'!$BL$1-$B17,0),IF(AND('Input data (2)'!$C$2=1,$A17&gt;=0),OFFSET('Input data (2)'!BL$126,'Input data (2)'!$BL$1-$A17,0),""))))</f>
        <v>494</v>
      </c>
      <c r="BP31" s="1">
        <f ca="1">IF(AND('Input data (2)'!$C$2=4,$D17&gt;=0),OFFSET('Input data (2)'!BI$126,'Input data (2)'!$BL$1-$D17,0),IF(AND('Input data (2)'!$C$2=3,$C17&gt;=0),OFFSET('Input data (2)'!BI$126,'Input data (2)'!$BL$1-$C17,0),IF(AND('Input data (2)'!$C$2=2,$B17&gt;=0),OFFSET('Input data (2)'!BI$126,'Input data (2)'!$BL$1-$B17,0),IF(AND('Input data (2)'!$C$2=1,$A17&gt;=0),OFFSET('Input data (2)'!BI$126,'Input data (2)'!$BL$1-$A17,0),""))))</f>
        <v>285</v>
      </c>
      <c r="BQ31" s="1" t="str">
        <f ca="1">IF(AND('Input data (2)'!$C$2=4,$D17&gt;=0),OFFSET('Input data (2)'!BK$126,'Input data (2)'!$BL$1-$D17,0),IF(AND('Input data (2)'!$C$2=3,$C17&gt;=0),OFFSET('Input data (2)'!BK$126,'Input data (2)'!$BL$1-$C17,0),IF(AND('Input data (2)'!$C$2=2,$B17&gt;=0),OFFSET('Input data (2)'!BK$126,'Input data (2)'!$BL$1-$B17,0),IF(AND('Input data (2)'!$C$2=1,$A17&gt;=0),OFFSET('Input data (2)'!BK$126,'Input data (2)'!$BL$1-$A17,0),""))))</f>
        <v>..</v>
      </c>
      <c r="BR31" s="1">
        <f ca="1">IF(AND('Input data (2)'!$C$2=4,$D17&gt;=0),OFFSET('Input data (2)'!BJ$126,'Input data (2)'!$BL$1-$D17,0),IF(AND('Input data (2)'!$C$2=3,$C17&gt;=0),OFFSET('Input data (2)'!BJ$126,'Input data (2)'!$BL$1-$C17,0),IF(AND('Input data (2)'!$C$2=2,$B17&gt;=0),OFFSET('Input data (2)'!BJ$126,'Input data (2)'!$BL$1-$B17,0),IF(AND('Input data (2)'!$C$2=1,$A17&gt;=0),OFFSET('Input data (2)'!BJ$126,'Input data (2)'!$BL$1-$A17,0),""))))</f>
        <v>209</v>
      </c>
      <c r="BS31" s="1">
        <f ca="1">IF(AND('Input data (2)'!$C$2=4,$D17&gt;=0),OFFSET('Input data (2)'!BF$126,'Input data (2)'!$BL$1-$D17,0),IF(AND('Input data (2)'!$C$2=3,$C17&gt;=0),OFFSET('Input data (2)'!BF$126,'Input data (2)'!$BL$1-$C17,0),IF(AND('Input data (2)'!$C$2=2,$B17&gt;=0),OFFSET('Input data (2)'!BF$126,'Input data (2)'!$BL$1-$B17,0),IF(AND('Input data (2)'!$C$2=1,$A17&gt;=0),OFFSET('Input data (2)'!BF$126,'Input data (2)'!$BL$1-$A17,0),""))))</f>
        <v>41</v>
      </c>
      <c r="BT31" s="1">
        <f ca="1">IF(AND('Input data (2)'!$C$2=4,$D17&gt;=0),OFFSET('Input data (2)'!BD$126,'Input data (2)'!$BL$1-$D17,0),IF(AND('Input data (2)'!$C$2=3,$C17&gt;=0),OFFSET('Input data (2)'!BD$126,'Input data (2)'!$BL$1-$C17,0),IF(AND('Input data (2)'!$C$2=2,$B17&gt;=0),OFFSET('Input data (2)'!BD$126,'Input data (2)'!$BL$1-$B17,0),IF(AND('Input data (2)'!$C$2=1,$A17&gt;=0),OFFSET('Input data (2)'!BD$126,'Input data (2)'!$BL$1-$A17,0),""))))</f>
        <v>24</v>
      </c>
      <c r="BU31" s="1">
        <f ca="1">IF(AND('Input data (2)'!$C$2=4,$D17&gt;=0),OFFSET('Input data (2)'!BE$126,'Input data (2)'!$BL$1-$D17,0),IF(AND('Input data (2)'!$C$2=3,$C17&gt;=0),OFFSET('Input data (2)'!BE$126,'Input data (2)'!$BL$1-$C17,0),IF(AND('Input data (2)'!$C$2=2,$B17&gt;=0),OFFSET('Input data (2)'!BE$126,'Input data (2)'!$BL$1-$B17,0),IF(AND('Input data (2)'!$C$2=1,$A17&gt;=0),OFFSET('Input data (2)'!BE$126,'Input data (2)'!$BL$1-$A17,0),""))))</f>
        <v>17</v>
      </c>
      <c r="BW31" s="7">
        <f ca="1">IF(AND('Input data (2)'!$C$2=4,$D17&gt;=0),OFFSET('Input data (2)'!J$126,'Input data (2)'!$BL$1-$D17,0),IF(AND('Input data (2)'!$C$2=3,$C17&gt;=0),OFFSET('Input data (2)'!J$126,'Input data (2)'!$BL$1-$C17,0),IF(AND('Input data (2)'!$C$2=2,$B17&gt;=0),OFFSET('Input data (2)'!J$126,'Input data (2)'!$BL$1-$B17,0),IF(AND('Input data (2)'!$C$2=1,$A17&gt;=0),OFFSET('Input data (2)'!J$126,'Input data (2)'!$BL$1-$A17,0),""))))</f>
        <v>0.71025416694802646</v>
      </c>
      <c r="BX31" s="7">
        <f ca="1">IF(AND('Input data (2)'!$C$2=4,$D17&gt;=0),OFFSET('Input data (2)'!K$126,'Input data (2)'!$BL$1-$D17,0),IF(AND('Input data (2)'!$C$2=3,$C17&gt;=0),OFFSET('Input data (2)'!K$126,'Input data (2)'!$BL$1-$C17,0),IF(AND('Input data (2)'!$C$2=2,$B17&gt;=0),OFFSET('Input data (2)'!K$126,'Input data (2)'!$BL$1-$B17,0),IF(AND('Input data (2)'!$C$2=1,$A17&gt;=0),OFFSET('Input data (2)'!K$126,'Input data (2)'!$BL$1-$A17,0),""))))</f>
        <v>0.65101865189546038</v>
      </c>
      <c r="BY31" s="7">
        <f ca="1">IF(AND('Input data (2)'!$C$2=4,$D17&gt;=0),OFFSET('Input data (2)'!AS$126,'Input data (2)'!$BL$1-$D17,0),IF(AND('Input data (2)'!$C$2=3,$C17&gt;=0),OFFSET('Input data (2)'!AS$126,'Input data (2)'!$BL$1-$C17,0),IF(AND('Input data (2)'!$C$2=2,$B17&gt;=0),OFFSET('Input data (2)'!AS$126,'Input data (2)'!$BL$1-$B17,0),IF(AND('Input data (2)'!$C$2=1,$A17&gt;=0),OFFSET('Input data (2)'!AS$126,'Input data (2)'!$BL$1-$A17,0),""))))</f>
        <v>0.47687579002198027</v>
      </c>
      <c r="BZ31" s="7">
        <f ca="1">IF(AND('Input data (2)'!$C$2=4,$D17&gt;=0),OFFSET('Input data (2)'!AT$126,'Input data (2)'!$BL$1-$D17,0),IF(AND('Input data (2)'!$C$2=3,$C17&gt;=0),OFFSET('Input data (2)'!AT$126,'Input data (2)'!$BL$1-$C17,0),IF(AND('Input data (2)'!$C$2=2,$B17&gt;=0),OFFSET('Input data (2)'!AT$126,'Input data (2)'!$BL$1-$B17,0),IF(AND('Input data (2)'!$C$2=1,$A17&gt;=0),OFFSET('Input data (2)'!AT$126,'Input data (2)'!$BL$1-$A17,0),""))))</f>
        <v>0.43492802391694591</v>
      </c>
      <c r="CB31" s="122"/>
      <c r="CC31" s="122"/>
      <c r="CD31" s="122"/>
      <c r="CE31" s="122"/>
      <c r="CG31" s="1">
        <v>13</v>
      </c>
      <c r="CI31" s="1">
        <f t="shared" ca="1" si="24"/>
        <v>2010</v>
      </c>
      <c r="CJ31" s="1" t="str">
        <f t="shared" si="25"/>
        <v>Q1</v>
      </c>
      <c r="CK31" s="1" t="str">
        <f t="shared" ca="1" si="12"/>
        <v>10</v>
      </c>
      <c r="CL31" s="1" t="str">
        <f t="shared" ca="1" si="13"/>
        <v>Q1 10</v>
      </c>
      <c r="CM31" s="1">
        <f ca="1">OFFSET('Input data (2)'!AJ$126,'Input data (2)'!$BL$1-'Output data - DO NOT TOUCH (2)'!$CG31,0)/1000</f>
        <v>17.058</v>
      </c>
      <c r="CN31" s="1">
        <f ca="1">OFFSET('Input data (2)'!AK$126,'Input data (2)'!$BL$1-'Output data - DO NOT TOUCH (2)'!$CG31,0)/1000</f>
        <v>12.754</v>
      </c>
      <c r="CO31" s="1" t="e">
        <f ca="1">OFFSET('Input data (2)'!AL$126,'Input data (2)'!$BL$1-'Output data - DO NOT TOUCH (2)'!$CG31,0)/1000</f>
        <v>#VALUE!</v>
      </c>
      <c r="CP31" s="1"/>
      <c r="CQ31" s="1">
        <f ca="1">OFFSET('Input data (2)'!AG$126,'Input data (2)'!$BL$1-'Output data - DO NOT TOUCH (2)'!$CG31,0)/1000</f>
        <v>1.3009999999999999</v>
      </c>
      <c r="CR31" s="1">
        <f ca="1">OFFSET('Input data (2)'!AH$126,'Input data (2)'!$BL$1-'Output data - DO NOT TOUCH (2)'!$CG31,0)/1000</f>
        <v>2.7130000000000001</v>
      </c>
      <c r="CS31" s="1">
        <f ca="1">OFFSET('Input data (2)'!AI$126,'Input data (2)'!$BL$1-'Output data - DO NOT TOUCH (2)'!$CG31,0)/1000</f>
        <v>4.0140000000000002</v>
      </c>
      <c r="CT31" s="1"/>
      <c r="CU31" s="1">
        <f ca="1">OFFSET('Input data (2)'!L$126,'Input data (2)'!$BL$1-'Output data - DO NOT TOUCH (2)'!$CG31,0)</f>
        <v>356</v>
      </c>
      <c r="CV31" s="1">
        <f ca="1">OFFSET('Input data (2)'!M$126,'Input data (2)'!$BL$1-'Output data - DO NOT TOUCH (2)'!$CG31,0)</f>
        <v>4</v>
      </c>
      <c r="CW31" s="67">
        <f ca="1">OFFSET('Input data (2)'!N$126,'Input data (2)'!$BL$1-'Output data - DO NOT TOUCH (2)'!$CG31,0)</f>
        <v>779</v>
      </c>
      <c r="CX31" s="1">
        <f ca="1">OFFSET('Input data (2)'!P$126,'Input data (2)'!$BL$1-'Output data - DO NOT TOUCH (2)'!$CG31,0)</f>
        <v>204</v>
      </c>
      <c r="CY31" s="1"/>
      <c r="CZ31" s="1">
        <f ca="1">OFFSET('Input data (2)'!AY$126,'Input data (2)'!$BL$1-'Output data - DO NOT TOUCH (2)'!$CG31,0)/1000</f>
        <v>3.1669999999999998</v>
      </c>
      <c r="DA31" s="1">
        <f ca="1">OFFSET('Input data (2)'!BA$126,'Input data (2)'!$BL$1-'Output data - DO NOT TOUCH (2)'!$CG31,0)/1000</f>
        <v>2.0329999999999999</v>
      </c>
      <c r="DB31" s="1">
        <f ca="1">OFFSET('Input data (2)'!BB$126,'Input data (2)'!$BL$1-'Output data - DO NOT TOUCH (2)'!$CG31,0)/1000</f>
        <v>5.2</v>
      </c>
      <c r="DD31" s="1">
        <f ca="1">OFFSET('Input data (2)'!AN$126,'Input data (2)'!$BL$1-'Output data - DO NOT TOUCH (2)'!$CG31,0)</f>
        <v>202</v>
      </c>
      <c r="DE31" s="1">
        <f ca="1">OFFSET('Input data (2)'!AO$126,'Input data (2)'!$BL$1-'Output data - DO NOT TOUCH (2)'!$CG31,0)</f>
        <v>73</v>
      </c>
      <c r="DF31" s="1">
        <f ca="1">OFFSET('Input data (2)'!AP$126,'Input data (2)'!$BL$1-'Output data - DO NOT TOUCH (2)'!$CG31,0)</f>
        <v>275</v>
      </c>
      <c r="DG31" s="1"/>
      <c r="DH31" s="1">
        <f ca="1">OFFSET('Input data (2)'!AU$126,'Input data (2)'!$BL$1-'Output data - DO NOT TOUCH (2)'!$CG31,0)</f>
        <v>6</v>
      </c>
      <c r="DI31" s="1">
        <f ca="1">OFFSET('Input data (2)'!AV$126,'Input data (2)'!$BL$1-'Output data - DO NOT TOUCH (2)'!$CG31,0)</f>
        <v>0</v>
      </c>
      <c r="DJ31" s="1">
        <f ca="1">OFFSET('Input data (2)'!AW$126,'Input data (2)'!$BL$1-'Output data - DO NOT TOUCH (2)'!$CG31,0)</f>
        <v>92</v>
      </c>
      <c r="DK31" s="1">
        <f ca="1">OFFSET('Input data (2)'!AX$126,'Input data (2)'!$BL$1-'Output data - DO NOT TOUCH (2)'!$CG31,0)</f>
        <v>2</v>
      </c>
      <c r="DM31" s="1">
        <f ca="1">OFFSET('Input data (2)'!BI$126,'Input data (2)'!$BL$1-'Output data - DO NOT TOUCH (2)'!$CG31,0)</f>
        <v>316</v>
      </c>
      <c r="DN31" s="1">
        <f ca="1">OFFSET('Input data (2)'!BJ$126,'Input data (2)'!$BL$1-'Output data - DO NOT TOUCH (2)'!$CG31,0)</f>
        <v>238</v>
      </c>
      <c r="DO31" s="1">
        <f ca="1">OFFSET('Input data (2)'!BL$126,'Input data (2)'!$BL$1-'Output data - DO NOT TOUCH (2)'!$CG31,0)</f>
        <v>554</v>
      </c>
      <c r="DQ31" s="1">
        <f ca="1">OFFSET('Input data (2)'!BD$126,'Input data (2)'!$BL$1-'Output data - DO NOT TOUCH (2)'!$CG31,0)</f>
        <v>49</v>
      </c>
      <c r="DR31" s="1">
        <f ca="1">OFFSET('Input data (2)'!BE$126,'Input data (2)'!$BL$1-'Output data - DO NOT TOUCH (2)'!$CG31,0)</f>
        <v>53</v>
      </c>
      <c r="DS31" s="1">
        <f ca="1">OFFSET('Input data (2)'!BF$126,'Input data (2)'!$BL$1-'Output data - DO NOT TOUCH (2)'!$CG31,0)</f>
        <v>102</v>
      </c>
      <c r="DU31" s="1">
        <f ca="1">OFFSET('Input data (2)'!B$126,'Input data (2)'!$BL$1-'Output data - DO NOT TOUCH (2)'!$CG31-1,0)</f>
        <v>2009</v>
      </c>
      <c r="DV31" s="1" t="str">
        <f ca="1">OFFSET('Input data (2)'!C$126,'Input data (2)'!$BL$1-'Output data - DO NOT TOUCH (2)'!$CG31-1,0)</f>
        <v>Q4</v>
      </c>
      <c r="DW31" s="1" t="str">
        <f t="shared" ca="1" si="14"/>
        <v>09</v>
      </c>
      <c r="DX31" s="1" t="str">
        <f t="shared" ca="1" si="15"/>
        <v>Q4 09</v>
      </c>
      <c r="DY31" s="1">
        <f ca="1">OFFSET('Input data (2)'!W$126,'Input data (2)'!$BL$1-'Output data - DO NOT TOUCH (2)'!$CG31-1,0)/1000</f>
        <v>2.2050000000000001</v>
      </c>
      <c r="DZ31" s="1">
        <f ca="1">OFFSET('Input data (2)'!Y$126,'Input data (2)'!$BL$1-'Output data - DO NOT TOUCH (2)'!$CG31-1,0)/1000</f>
        <v>14.802</v>
      </c>
      <c r="EA31" s="1">
        <f ca="1">OFFSET('Input data (2)'!Q$126,'Input data (2)'!$BL$1-'Output data - DO NOT TOUCH (2)'!$CG31-1,0)/1000</f>
        <v>17.007000000000001</v>
      </c>
    </row>
    <row r="32" spans="1:140" x14ac:dyDescent="0.15">
      <c r="A32" s="1">
        <v>12</v>
      </c>
      <c r="B32" s="1">
        <v>13</v>
      </c>
      <c r="C32" s="1">
        <v>14</v>
      </c>
      <c r="D32" s="1">
        <v>11</v>
      </c>
      <c r="E32" s="1" t="str">
        <f>F32&amp;G32</f>
        <v>2006Q3</v>
      </c>
      <c r="F32" s="1">
        <f>F27+1</f>
        <v>2006</v>
      </c>
      <c r="G32" s="1" t="s">
        <v>3</v>
      </c>
      <c r="H32" s="1">
        <f>VLOOKUP($E32,'Input data (2)'!$A:$BL,'Output data - DO NOT TOUCH (2)'!H$71,FALSE)</f>
        <v>3172</v>
      </c>
      <c r="I32" s="1">
        <f>VLOOKUP($E32,'Input data (2)'!$A:$BL,'Output data - DO NOT TOUCH (2)'!I$71,FALSE)</f>
        <v>1286</v>
      </c>
      <c r="J32" s="1">
        <f>VLOOKUP($E32,'Input data (2)'!$A:$BL,'Output data - DO NOT TOUCH (2)'!J$71,FALSE)</f>
        <v>1886</v>
      </c>
      <c r="K32" s="1">
        <f>VLOOKUP($E32,'Input data (2)'!$A:$BL,'Output data - DO NOT TOUCH (2)'!K$71,FALSE)</f>
        <v>3272</v>
      </c>
      <c r="L32" s="1">
        <f>VLOOKUP($E32,'Input data (2)'!$A:$BL,'Output data - DO NOT TOUCH (2)'!L$71,FALSE)</f>
        <v>1353</v>
      </c>
      <c r="M32" s="1">
        <f>VLOOKUP($E32,'Input data (2)'!$A:$BL,'Output data - DO NOT TOUCH (2)'!M$71,FALSE)</f>
        <v>1919</v>
      </c>
      <c r="O32" s="119">
        <f ca="1">IF(AND('Input data (2)'!$C$2=4,$D18&gt;=0),OFFSET('Input data (2)'!O$126,'Input data (2)'!$BL$1-$D18,0),IF(AND('Input data (2)'!$C$2=3,$C18&gt;=0),OFFSET('Input data (2)'!O$126,'Input data (2)'!$BL$1-$C18,0),IF(AND('Input data (2)'!$C$2=2,$B18&gt;=0),OFFSET('Input data (2)'!O$126,'Input data (2)'!$BL$1-$B18,0),IF(AND('Input data (2)'!$C$2=1,$A18&gt;=0),OFFSET('Input data (2)'!O$126,'Input data (2)'!$BL$1-$A18,0),""))))</f>
        <v>244</v>
      </c>
      <c r="Q32" s="1">
        <f ca="1">IF(AND('Input data (2)'!$C$2=4,$D18&gt;=0),OFFSET('Input data (2)'!AC$126,'Input data (2)'!$BL$1-$D18,0),IF(AND('Input data (2)'!$C$2=3,$C18&gt;=0),OFFSET('Input data (2)'!AC$126,'Input data (2)'!$BL$1-$C18,0),IF(AND('Input data (2)'!$C$2=2,$B18&gt;=0),OFFSET('Input data (2)'!AC$126,'Input data (2)'!$BL$1-$B18,0),IF(AND('Input data (2)'!$C$2=1,$A18&gt;=0),OFFSET('Input data (2)'!AC$126,'Input data (2)'!$BL$1-$A18,0),""))))</f>
        <v>28083</v>
      </c>
      <c r="R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S32" s="1" t="str">
        <f ca="1">IF(AND('Input data (2)'!$C$2=4,$D18&gt;=0),OFFSET('Input data (2)'!R$126,'Input data (2)'!$BL$1-$D18,0),IF(AND('Input data (2)'!$C$2=3,$C18&gt;=0),OFFSET('Input data (2)'!R$126,'Input data (2)'!$BL$1-$C18,0),IF(AND('Input data (2)'!$C$2=2,$B18&gt;=0),OFFSET('Input data (2)'!R$126,'Input data (2)'!$BL$1-$B18,0),IF(AND('Input data (2)'!$C$2=1,$A18&gt;=0),OFFSET('Input data (2)'!R$126,'Input data (2)'!$BL$1-$A18,0),""))))</f>
        <v>:</v>
      </c>
      <c r="T32" s="1">
        <f ca="1">IF(AND('Input data (2)'!$C$2=4,$D18&gt;=0),OFFSET('Input data (2)'!AA$126,'Input data (2)'!$BL$1-$D18,0),IF(AND('Input data (2)'!$C$2=3,$C18&gt;=0),OFFSET('Input data (2)'!AA$126,'Input data (2)'!$BL$1-$C18,0),IF(AND('Input data (2)'!$C$2=2,$B18&gt;=0),OFFSET('Input data (2)'!AA$126,'Input data (2)'!$BL$1-$B18,0),IF(AND('Input data (2)'!$C$2=1,$A18&gt;=0),OFFSET('Input data (2)'!AA$126,'Input data (2)'!$BL$1-$A18,0),""))))</f>
        <v>12665</v>
      </c>
      <c r="U32" s="1">
        <f ca="1">IF(AND('Input data (2)'!$C$2=4,$D18&gt;=0),OFFSET('Input data (2)'!AL$126,'Input data (2)'!$BL$1-$D18,0),IF(AND('Input data (2)'!$C$2=3,$C18&gt;=0),OFFSET('Input data (2)'!AL$126,'Input data (2)'!$BL$1-$C18,0),IF(AND('Input data (2)'!$C$2=2,$B18&gt;=0),OFFSET('Input data (2)'!AL$126,'Input data (2)'!$BL$1-$B18,0),IF(AND('Input data (2)'!$C$2=1,$A18&gt;=0),OFFSET('Input data (2)'!AL$126,'Input data (2)'!$BL$1-$A18,0),""))))</f>
        <v>27794</v>
      </c>
      <c r="V32" s="1">
        <f ca="1">IF(AND('Input data (2)'!$C$2=4,$D18&gt;=0),OFFSET('Input data (2)'!AJ$126,'Input data (2)'!$BL$1-$D18,0),IF(AND('Input data (2)'!$C$2=3,$C18&gt;=0),OFFSET('Input data (2)'!AJ$126,'Input data (2)'!$BL$1-$C18,0),IF(AND('Input data (2)'!$C$2=2,$B18&gt;=0),OFFSET('Input data (2)'!AJ$126,'Input data (2)'!$BL$1-$B18,0),IF(AND('Input data (2)'!$C$2=1,$A18&gt;=0),OFFSET('Input data (2)'!AJ$126,'Input data (2)'!$BL$1-$A18,0),""))))</f>
        <v>15657</v>
      </c>
      <c r="W32" s="1">
        <f ca="1">IF(AND('Input data (2)'!$C$2=4,$D18&gt;=0),OFFSET('Input data (2)'!AK$126,'Input data (2)'!$BL$1-$D18,0),IF(AND('Input data (2)'!$C$2=3,$C18&gt;=0),OFFSET('Input data (2)'!AK$126,'Input data (2)'!$BL$1-$C18,0),IF(AND('Input data (2)'!$C$2=2,$B18&gt;=0),OFFSET('Input data (2)'!AK$126,'Input data (2)'!$BL$1-$B18,0),IF(AND('Input data (2)'!$C$2=1,$A18&gt;=0),OFFSET('Input data (2)'!AK$126,'Input data (2)'!$BL$1-$A18,0),""))))</f>
        <v>12137</v>
      </c>
      <c r="Y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Z32" s="1">
        <f ca="1">IF(AND('Input data (2)'!$C$2=4,$D18&gt;=0),OFFSET('Input data (2)'!S$126,'Input data (2)'!$BL$1-$D18,0),IF(AND('Input data (2)'!$C$2=3,$C18&gt;=0),OFFSET('Input data (2)'!S$126,'Input data (2)'!$BL$1-$C18,0),IF(AND('Input data (2)'!$C$2=2,$B18&gt;=0),OFFSET('Input data (2)'!S$126,'Input data (2)'!$BL$1-$B18,0),IF(AND('Input data (2)'!$C$2=1,$A18&gt;=0),OFFSET('Input data (2)'!S$126,'Input data (2)'!$BL$1-$A18,0),""))))</f>
        <v>13036</v>
      </c>
      <c r="AA32" s="1">
        <f ca="1">IF(AND('Input data (2)'!$C$2=4,$D18&gt;=0),OFFSET('Input data (2)'!T$126,'Input data (2)'!$BL$1-$D18,0),IF(AND('Input data (2)'!$C$2=3,$C18&gt;=0),OFFSET('Input data (2)'!T$126,'Input data (2)'!$BL$1-$C18,0),IF(AND('Input data (2)'!$C$2=2,$B18&gt;=0),OFFSET('Input data (2)'!T$126,'Input data (2)'!$BL$1-$B18,0),IF(AND('Input data (2)'!$C$2=1,$A18&gt;=0),OFFSET('Input data (2)'!T$126,'Input data (2)'!$BL$1-$A18,0),""))))</f>
        <v>84.550525359968859</v>
      </c>
      <c r="AB32" s="1">
        <f ca="1">IF(AND('Input data (2)'!$C$2=4,$D18&gt;=0),OFFSET('Input data (2)'!U$126,'Input data (2)'!$BL$1-$D18,0),IF(AND('Input data (2)'!$C$2=3,$C18&gt;=0),OFFSET('Input data (2)'!U$126,'Input data (2)'!$BL$1-$C18,0),IF(AND('Input data (2)'!$C$2=2,$B18&gt;=0),OFFSET('Input data (2)'!U$126,'Input data (2)'!$BL$1-$B18,0),IF(AND('Input data (2)'!$C$2=1,$A18&gt;=0),OFFSET('Input data (2)'!U$126,'Input data (2)'!$BL$1-$A18,0),""))))</f>
        <v>2382</v>
      </c>
      <c r="AC32" s="1">
        <f ca="1">IF(AND('Input data (2)'!$C$2=4,$D18&gt;=0),OFFSET('Input data (2)'!V$126,'Input data (2)'!$BL$1-$D18,0),IF(AND('Input data (2)'!$C$2=3,$C18&gt;=0),OFFSET('Input data (2)'!V$126,'Input data (2)'!$BL$1-$C18,0),IF(AND('Input data (2)'!$C$2=2,$B18&gt;=0),OFFSET('Input data (2)'!V$126,'Input data (2)'!$BL$1-$B18,0),IF(AND('Input data (2)'!$C$2=1,$A18&gt;=0),OFFSET('Input data (2)'!V$126,'Input data (2)'!$BL$1-$A18,0),""))))</f>
        <v>15.449474640031132</v>
      </c>
      <c r="AD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AE32" s="1">
        <f ca="1">IF(AND('Input data (2)'!$C$2=4,$D18&gt;=0),OFFSET('Input data (2)'!W$126,'Input data (2)'!$BL$1-$D18,0),IF(AND('Input data (2)'!$C$2=3,$C18&gt;=0),OFFSET('Input data (2)'!W$126,'Input data (2)'!$BL$1-$C18,0),IF(AND('Input data (2)'!$C$2=2,$B18&gt;=0),OFFSET('Input data (2)'!W$126,'Input data (2)'!$BL$1-$B18,0),IF(AND('Input data (2)'!$C$2=1,$A18&gt;=0),OFFSET('Input data (2)'!W$126,'Input data (2)'!$BL$1-$A18,0),""))))</f>
        <v>2990</v>
      </c>
      <c r="AF32" s="1">
        <f ca="1">IF(AND('Input data (2)'!$C$2=4,$D18&gt;=0),OFFSET('Input data (2)'!X$126,'Input data (2)'!$BL$1-$D18,0),IF(AND('Input data (2)'!$C$2=3,$C18&gt;=0),OFFSET('Input data (2)'!X$126,'Input data (2)'!$BL$1-$C18,0),IF(AND('Input data (2)'!$C$2=2,$B18&gt;=0),OFFSET('Input data (2)'!X$126,'Input data (2)'!$BL$1-$B18,0),IF(AND('Input data (2)'!$C$2=1,$A18&gt;=0),OFFSET('Input data (2)'!X$126,'Input data (2)'!$BL$1-$A18,0),""))))</f>
        <v>19.392917369308602</v>
      </c>
      <c r="AG32" s="1">
        <f ca="1">IF(AND('Input data (2)'!$C$2=4,$D18&gt;=0),OFFSET('Input data (2)'!Y$126,'Input data (2)'!$BL$1-$D18,0),IF(AND('Input data (2)'!$C$2=3,$C18&gt;=0),OFFSET('Input data (2)'!Y$126,'Input data (2)'!$BL$1-$C18,0),IF(AND('Input data (2)'!$C$2=2,$B18&gt;=0),OFFSET('Input data (2)'!Y$126,'Input data (2)'!$BL$1-$B18,0),IF(AND('Input data (2)'!$C$2=1,$A18&gt;=0),OFFSET('Input data (2)'!Y$126,'Input data (2)'!$BL$1-$A18,0),""))))</f>
        <v>12428</v>
      </c>
      <c r="AH32" s="1">
        <f ca="1">IF(AND('Input data (2)'!$C$2=4,$D18&gt;=0),OFFSET('Input data (2)'!Z$126,'Input data (2)'!$BL$1-$D18,0),IF(AND('Input data (2)'!$C$2=3,$C18&gt;=0),OFFSET('Input data (2)'!Z$126,'Input data (2)'!$BL$1-$C18,0),IF(AND('Input data (2)'!$C$2=2,$B18&gt;=0),OFFSET('Input data (2)'!Z$126,'Input data (2)'!$BL$1-$B18,0),IF(AND('Input data (2)'!$C$2=1,$A18&gt;=0),OFFSET('Input data (2)'!Z$126,'Input data (2)'!$BL$1-$A18,0),""))))</f>
        <v>80.607082630691394</v>
      </c>
      <c r="AI32" s="3"/>
      <c r="AJ32" s="124">
        <f ca="1">IF(AND('Input data (2)'!$C$2=4,$D18&gt;=0),OFFSET('Input data (2)'!AF$126,'Input data (2)'!$BL$1-$D18,0),IF(AND('Input data (2)'!$C$2=3,$C18&gt;=0),OFFSET('Input data (2)'!AF$126,'Input data (2)'!$BL$1-$C18,0),IF(AND('Input data (2)'!$C$2=2,$B18&gt;=0),OFFSET('Input data (2)'!AF$126,'Input data (2)'!$BL$1-$B18,0),IF(AND('Input data (2)'!$C$2=1,$A18&gt;=0),OFFSET('Input data (2)'!AF$126,'Input data (2)'!$BL$1-$A18,0),""))))</f>
        <v>3798</v>
      </c>
      <c r="AK32" s="124">
        <f ca="1">IF(AND('Input data (2)'!$C$2=4,$D18&gt;=0),OFFSET('Input data (2)'!AD$126,'Input data (2)'!$BL$1-$D18,0),IF(AND('Input data (2)'!$C$2=3,$C18&gt;=0),OFFSET('Input data (2)'!AD$126,'Input data (2)'!$BL$1-$C18,0),IF(AND('Input data (2)'!$C$2=2,$B18&gt;=0),OFFSET('Input data (2)'!AD$126,'Input data (2)'!$BL$1-$B18,0),IF(AND('Input data (2)'!$C$2=1,$A18&gt;=0),OFFSET('Input data (2)'!AD$126,'Input data (2)'!$BL$1-$A18,0),""))))</f>
        <v>20</v>
      </c>
      <c r="AL32" s="124">
        <f ca="1">IF(AND('Input data (2)'!$C$2=4,$D18&gt;=0),OFFSET('Input data (2)'!AE$126,'Input data (2)'!$BL$1-$D18,0),IF(AND('Input data (2)'!$C$2=3,$C18&gt;=0),OFFSET('Input data (2)'!AE$126,'Input data (2)'!$BL$1-$C18,0),IF(AND('Input data (2)'!$C$2=2,$B18&gt;=0),OFFSET('Input data (2)'!AE$126,'Input data (2)'!$BL$1-$B18,0),IF(AND('Input data (2)'!$C$2=1,$A18&gt;=0),OFFSET('Input data (2)'!AE$126,'Input data (2)'!$BL$1-$A18,0),""))))</f>
        <v>3778</v>
      </c>
      <c r="AW32" s="1">
        <f ca="1">IF(AND('Input data (2)'!$C$2=4,$D18&gt;=0),OFFSET('Input data (2)'!L$126,'Input data (2)'!$BL$1-$D18,0),IF(AND('Input data (2)'!$C$2=3,$C18&gt;=0),OFFSET('Input data (2)'!L$126,'Input data (2)'!$BL$1-$C18,0),IF(AND('Input data (2)'!$C$2=2,$B18&gt;=0),OFFSET('Input data (2)'!L$126,'Input data (2)'!$BL$1-$B18,0),IF(AND('Input data (2)'!$C$2=1,$A18&gt;=0),OFFSET('Input data (2)'!L$126,'Input data (2)'!$BL$1-$A18,0),""))))</f>
        <v>93</v>
      </c>
      <c r="AX32" s="1">
        <f ca="1">IF(AND('Input data (2)'!$C$2=4,$D18&gt;=0),OFFSET('Input data (2)'!M$126,'Input data (2)'!$BL$1-$D18,0),IF(AND('Input data (2)'!$C$2=3,$C18&gt;=0),OFFSET('Input data (2)'!M$126,'Input data (2)'!$BL$1-$C18,0),IF(AND('Input data (2)'!$C$2=2,$B18&gt;=0),OFFSET('Input data (2)'!M$126,'Input data (2)'!$BL$1-$B18,0),IF(AND('Input data (2)'!$C$2=1,$A18&gt;=0),OFFSET('Input data (2)'!M$126,'Input data (2)'!$BL$1-$A18,0),""))))</f>
        <v>0</v>
      </c>
      <c r="AY32" s="1">
        <f ca="1">IF(AND('Input data (2)'!$C$2=4,$D18&gt;=0),OFFSET('Input data (2)'!N$126,'Input data (2)'!$BL$1-$D18,0),IF(AND('Input data (2)'!$C$2=3,$C18&gt;=0),OFFSET('Input data (2)'!N$126,'Input data (2)'!$BL$1-$C18,0),IF(AND('Input data (2)'!$C$2=2,$B18&gt;=0),OFFSET('Input data (2)'!N$126,'Input data (2)'!$BL$1-$B18,0),IF(AND('Input data (2)'!$C$2=1,$A18&gt;=0),OFFSET('Input data (2)'!N$126,'Input data (2)'!$BL$1-$A18,0),""))))</f>
        <v>675</v>
      </c>
      <c r="AZ32" s="1">
        <f ca="1">IF(AND('Input data (2)'!$C$2=4,$D18&gt;=0),OFFSET('Input data (2)'!P$126,'Input data (2)'!$BL$1-$D18,0),IF(AND('Input data (2)'!$C$2=3,$C18&gt;=0),OFFSET('Input data (2)'!P$126,'Input data (2)'!$BL$1-$C18,0),IF(AND('Input data (2)'!$C$2=2,$B18&gt;=0),OFFSET('Input data (2)'!P$126,'Input data (2)'!$BL$1-$B18,0),IF(AND('Input data (2)'!$C$2=1,$A18&gt;=0),OFFSET('Input data (2)'!P$126,'Input data (2)'!$BL$1-$A18,0),""))))</f>
        <v>157</v>
      </c>
      <c r="BB32" s="1">
        <f ca="1">IF(AND('Input data (2)'!$C$2=4,$D18&gt;=0),OFFSET('Input data (2)'!BB$126,'Input data (2)'!$BL$1-$D18,0),IF(AND('Input data (2)'!$C$2=3,$C18&gt;=0),OFFSET('Input data (2)'!BB$126,'Input data (2)'!$BL$1-$C18,0),IF(AND('Input data (2)'!$C$2=2,$B18&gt;=0),OFFSET('Input data (2)'!BB$126,'Input data (2)'!$BL$1-$B18,0),IF(AND('Input data (2)'!$C$2=1,$A18&gt;=0),OFFSET('Input data (2)'!BB$126,'Input data (2)'!$BL$1-$A18,0),""))))</f>
        <v>3562</v>
      </c>
      <c r="BC32" s="1">
        <f ca="1">IF(AND('Input data (2)'!$C$2=4,$D18&gt;=0),OFFSET('Input data (2)'!AY$126,'Input data (2)'!$BL$1-$D18,0),IF(AND('Input data (2)'!$C$2=3,$C18&gt;=0),OFFSET('Input data (2)'!AY$126,'Input data (2)'!$BL$1-$C18,0),IF(AND('Input data (2)'!$C$2=2,$B18&gt;=0),OFFSET('Input data (2)'!AY$126,'Input data (2)'!$BL$1-$B18,0),IF(AND('Input data (2)'!$C$2=1,$A18&gt;=0),OFFSET('Input data (2)'!AY$126,'Input data (2)'!$BL$1-$A18,0),""))))</f>
        <v>1489</v>
      </c>
      <c r="BD32" s="1" t="str">
        <f ca="1">IF(AND('Input data (2)'!$C$2=4,$D18&gt;=0),OFFSET('Input data (2)'!AZ$126,'Input data (2)'!$BL$1-$D18,0),IF(AND('Input data (2)'!$C$2=3,$C18&gt;=0),OFFSET('Input data (2)'!AZ$126,'Input data (2)'!$BL$1-$C18,0),IF(AND('Input data (2)'!$C$2=2,$B18&gt;=0),OFFSET('Input data (2)'!AZ$126,'Input data (2)'!$BL$1-$B18,0),IF(AND('Input data (2)'!$C$2=1,$A18&gt;=0),OFFSET('Input data (2)'!AZ$126,'Input data (2)'!$BL$1-$A18,0),""))))</f>
        <v>:</v>
      </c>
      <c r="BE32" s="1">
        <f ca="1">IF(AND('Input data (2)'!$C$2=4,$D18&gt;=0),OFFSET('Input data (2)'!BA$126,'Input data (2)'!$BL$1-$D18,0),IF(AND('Input data (2)'!$C$2=3,$C18&gt;=0),OFFSET('Input data (2)'!BA$126,'Input data (2)'!$BL$1-$C18,0),IF(AND('Input data (2)'!$C$2=2,$B18&gt;=0),OFFSET('Input data (2)'!BA$126,'Input data (2)'!$BL$1-$B18,0),IF(AND('Input data (2)'!$C$2=1,$A18&gt;=0),OFFSET('Input data (2)'!BA$126,'Input data (2)'!$BL$1-$A18,0),""))))</f>
        <v>2073</v>
      </c>
      <c r="BF32" s="1">
        <f ca="1">IF(AND('Input data (2)'!$C$2=4,$D18&gt;=0),OFFSET('Input data (2)'!AP$126,'Input data (2)'!$BL$1-$D18,0),IF(AND('Input data (2)'!$C$2=3,$C18&gt;=0),OFFSET('Input data (2)'!AP$126,'Input data (2)'!$BL$1-$C18,0),IF(AND('Input data (2)'!$C$2=2,$B18&gt;=0),OFFSET('Input data (2)'!AP$126,'Input data (2)'!$BL$1-$B18,0),IF(AND('Input data (2)'!$C$2=1,$A18&gt;=0),OFFSET('Input data (2)'!AP$126,'Input data (2)'!$BL$1-$A18,0),""))))</f>
        <v>156</v>
      </c>
      <c r="BG32" s="1">
        <f ca="1">IF(AND('Input data (2)'!$C$2=4,$D18&gt;=0),OFFSET('Input data (2)'!AN$126,'Input data (2)'!$BL$1-$D18,0),IF(AND('Input data (2)'!$C$2=3,$C18&gt;=0),OFFSET('Input data (2)'!AN$126,'Input data (2)'!$BL$1-$C18,0),IF(AND('Input data (2)'!$C$2=2,$B18&gt;=0),OFFSET('Input data (2)'!AN$126,'Input data (2)'!$BL$1-$B18,0),IF(AND('Input data (2)'!$C$2=1,$A18&gt;=0),OFFSET('Input data (2)'!AN$126,'Input data (2)'!$BL$1-$A18,0),""))))</f>
        <v>132</v>
      </c>
      <c r="BH32" s="1">
        <f ca="1">IF(AND('Input data (2)'!$C$2=4,$D18&gt;=0),OFFSET('Input data (2)'!AO$126,'Input data (2)'!$BL$1-$D18,0),IF(AND('Input data (2)'!$C$2=3,$C18&gt;=0),OFFSET('Input data (2)'!AO$126,'Input data (2)'!$BL$1-$C18,0),IF(AND('Input data (2)'!$C$2=2,$B18&gt;=0),OFFSET('Input data (2)'!AO$126,'Input data (2)'!$BL$1-$B18,0),IF(AND('Input data (2)'!$C$2=1,$A18&gt;=0),OFFSET('Input data (2)'!AO$126,'Input data (2)'!$BL$1-$A18,0),""))))</f>
        <v>24</v>
      </c>
      <c r="BJ32" s="1">
        <f ca="1">IF(AND('Input data (2)'!$C$2=4,$D18&gt;=0),OFFSET('Input data (2)'!AU$126,'Input data (2)'!$BL$1-$D18,0),IF(AND('Input data (2)'!$C$2=3,$C18&gt;=0),OFFSET('Input data (2)'!AU$126,'Input data (2)'!$BL$1-$C18,0),IF(AND('Input data (2)'!$C$2=2,$B18&gt;=0),OFFSET('Input data (2)'!AU$126,'Input data (2)'!$BL$1-$B18,0),IF(AND('Input data (2)'!$C$2=1,$A18&gt;=0),OFFSET('Input data (2)'!AU$126,'Input data (2)'!$BL$1-$A18,0),""))))</f>
        <v>3</v>
      </c>
      <c r="BK32" s="1">
        <f ca="1">IF(AND('Input data (2)'!$C$2=4,$D18&gt;=0),OFFSET('Input data (2)'!AV$126,'Input data (2)'!$BL$1-$D18,0),IF(AND('Input data (2)'!$C$2=3,$C18&gt;=0),OFFSET('Input data (2)'!AV$126,'Input data (2)'!$BL$1-$C18,0),IF(AND('Input data (2)'!$C$2=2,$B18&gt;=0),OFFSET('Input data (2)'!AV$126,'Input data (2)'!$BL$1-$B18,0),IF(AND('Input data (2)'!$C$2=1,$A18&gt;=0),OFFSET('Input data (2)'!AV$126,'Input data (2)'!$BL$1-$A18,0),""))))</f>
        <v>0</v>
      </c>
      <c r="BL32" s="1">
        <f ca="1">IF(AND('Input data (2)'!$C$2=4,$D18&gt;=0),OFFSET('Input data (2)'!AW$126,'Input data (2)'!$BL$1-$D18,0),IF(AND('Input data (2)'!$C$2=3,$C18&gt;=0),OFFSET('Input data (2)'!AW$126,'Input data (2)'!$BL$1-$C18,0),IF(AND('Input data (2)'!$C$2=2,$B18&gt;=0),OFFSET('Input data (2)'!AW$126,'Input data (2)'!$BL$1-$B18,0),IF(AND('Input data (2)'!$C$2=1,$A18&gt;=0),OFFSET('Input data (2)'!AW$126,'Input data (2)'!$BL$1-$A18,0),""))))</f>
        <v>18</v>
      </c>
      <c r="BM32" s="1">
        <f ca="1">IF(AND('Input data (2)'!$C$2=4,$D18&gt;=0),OFFSET('Input data (2)'!AX$126,'Input data (2)'!$BL$1-$D18,0),IF(AND('Input data (2)'!$C$2=3,$C18&gt;=0),OFFSET('Input data (2)'!AX$126,'Input data (2)'!$BL$1-$C18,0),IF(AND('Input data (2)'!$C$2=2,$B18&gt;=0),OFFSET('Input data (2)'!AX$126,'Input data (2)'!$BL$1-$B18,0),IF(AND('Input data (2)'!$C$2=1,$A18&gt;=0),OFFSET('Input data (2)'!AX$126,'Input data (2)'!$BL$1-$A18,0),""))))</f>
        <v>1</v>
      </c>
      <c r="BO32" s="1">
        <f ca="1">IF(AND('Input data (2)'!$C$2=4,$D18&gt;=0),OFFSET('Input data (2)'!BL$126,'Input data (2)'!$BL$1-$D18,0),IF(AND('Input data (2)'!$C$2=3,$C18&gt;=0),OFFSET('Input data (2)'!BL$126,'Input data (2)'!$BL$1-$C18,0),IF(AND('Input data (2)'!$C$2=2,$B18&gt;=0),OFFSET('Input data (2)'!BL$126,'Input data (2)'!$BL$1-$B18,0),IF(AND('Input data (2)'!$C$2=1,$A18&gt;=0),OFFSET('Input data (2)'!BL$126,'Input data (2)'!$BL$1-$A18,0),""))))</f>
        <v>425</v>
      </c>
      <c r="BP32" s="1">
        <f ca="1">IF(AND('Input data (2)'!$C$2=4,$D18&gt;=0),OFFSET('Input data (2)'!BI$126,'Input data (2)'!$BL$1-$D18,0),IF(AND('Input data (2)'!$C$2=3,$C18&gt;=0),OFFSET('Input data (2)'!BI$126,'Input data (2)'!$BL$1-$C18,0),IF(AND('Input data (2)'!$C$2=2,$B18&gt;=0),OFFSET('Input data (2)'!BI$126,'Input data (2)'!$BL$1-$B18,0),IF(AND('Input data (2)'!$C$2=1,$A18&gt;=0),OFFSET('Input data (2)'!BI$126,'Input data (2)'!$BL$1-$A18,0),""))))</f>
        <v>241</v>
      </c>
      <c r="BQ32" s="1" t="str">
        <f ca="1">IF(AND('Input data (2)'!$C$2=4,$D18&gt;=0),OFFSET('Input data (2)'!BK$126,'Input data (2)'!$BL$1-$D18,0),IF(AND('Input data (2)'!$C$2=3,$C18&gt;=0),OFFSET('Input data (2)'!BK$126,'Input data (2)'!$BL$1-$C18,0),IF(AND('Input data (2)'!$C$2=2,$B18&gt;=0),OFFSET('Input data (2)'!BK$126,'Input data (2)'!$BL$1-$B18,0),IF(AND('Input data (2)'!$C$2=1,$A18&gt;=0),OFFSET('Input data (2)'!BK$126,'Input data (2)'!$BL$1-$A18,0),""))))</f>
        <v>..</v>
      </c>
      <c r="BR32" s="1">
        <f ca="1">IF(AND('Input data (2)'!$C$2=4,$D18&gt;=0),OFFSET('Input data (2)'!BJ$126,'Input data (2)'!$BL$1-$D18,0),IF(AND('Input data (2)'!$C$2=3,$C18&gt;=0),OFFSET('Input data (2)'!BJ$126,'Input data (2)'!$BL$1-$C18,0),IF(AND('Input data (2)'!$C$2=2,$B18&gt;=0),OFFSET('Input data (2)'!BJ$126,'Input data (2)'!$BL$1-$B18,0),IF(AND('Input data (2)'!$C$2=1,$A18&gt;=0),OFFSET('Input data (2)'!BJ$126,'Input data (2)'!$BL$1-$A18,0),""))))</f>
        <v>184</v>
      </c>
      <c r="BS32" s="1">
        <f ca="1">IF(AND('Input data (2)'!$C$2=4,$D18&gt;=0),OFFSET('Input data (2)'!BF$126,'Input data (2)'!$BL$1-$D18,0),IF(AND('Input data (2)'!$C$2=3,$C18&gt;=0),OFFSET('Input data (2)'!BF$126,'Input data (2)'!$BL$1-$C18,0),IF(AND('Input data (2)'!$C$2=2,$B18&gt;=0),OFFSET('Input data (2)'!BF$126,'Input data (2)'!$BL$1-$B18,0),IF(AND('Input data (2)'!$C$2=1,$A18&gt;=0),OFFSET('Input data (2)'!BF$126,'Input data (2)'!$BL$1-$A18,0),""))))</f>
        <v>28</v>
      </c>
      <c r="BT32" s="1">
        <f ca="1">IF(AND('Input data (2)'!$C$2=4,$D18&gt;=0),OFFSET('Input data (2)'!BD$126,'Input data (2)'!$BL$1-$D18,0),IF(AND('Input data (2)'!$C$2=3,$C18&gt;=0),OFFSET('Input data (2)'!BD$126,'Input data (2)'!$BL$1-$C18,0),IF(AND('Input data (2)'!$C$2=2,$B18&gt;=0),OFFSET('Input data (2)'!BD$126,'Input data (2)'!$BL$1-$B18,0),IF(AND('Input data (2)'!$C$2=1,$A18&gt;=0),OFFSET('Input data (2)'!BD$126,'Input data (2)'!$BL$1-$A18,0),""))))</f>
        <v>15</v>
      </c>
      <c r="BU32" s="1">
        <f ca="1">IF(AND('Input data (2)'!$C$2=4,$D18&gt;=0),OFFSET('Input data (2)'!BE$126,'Input data (2)'!$BL$1-$D18,0),IF(AND('Input data (2)'!$C$2=3,$C18&gt;=0),OFFSET('Input data (2)'!BE$126,'Input data (2)'!$BL$1-$C18,0),IF(AND('Input data (2)'!$C$2=2,$B18&gt;=0),OFFSET('Input data (2)'!BE$126,'Input data (2)'!$BL$1-$B18,0),IF(AND('Input data (2)'!$C$2=1,$A18&gt;=0),OFFSET('Input data (2)'!BE$126,'Input data (2)'!$BL$1-$A18,0),""))))</f>
        <v>13</v>
      </c>
      <c r="BW32" s="7">
        <f ca="1">IF(AND('Input data (2)'!$C$2=4,$D18&gt;=0),OFFSET('Input data (2)'!J$126,'Input data (2)'!$BL$1-$D18,0),IF(AND('Input data (2)'!$C$2=3,$C18&gt;=0),OFFSET('Input data (2)'!J$126,'Input data (2)'!$BL$1-$C18,0),IF(AND('Input data (2)'!$C$2=2,$B18&gt;=0),OFFSET('Input data (2)'!J$126,'Input data (2)'!$BL$1-$B18,0),IF(AND('Input data (2)'!$C$2=1,$A18&gt;=0),OFFSET('Input data (2)'!J$126,'Input data (2)'!$BL$1-$A18,0),""))))</f>
        <v>0.69489836809287286</v>
      </c>
      <c r="BX32" s="7">
        <f ca="1">IF(AND('Input data (2)'!$C$2=4,$D18&gt;=0),OFFSET('Input data (2)'!K$126,'Input data (2)'!$BL$1-$D18,0),IF(AND('Input data (2)'!$C$2=3,$C18&gt;=0),OFFSET('Input data (2)'!K$126,'Input data (2)'!$BL$1-$C18,0),IF(AND('Input data (2)'!$C$2=2,$B18&gt;=0),OFFSET('Input data (2)'!K$126,'Input data (2)'!$BL$1-$B18,0),IF(AND('Input data (2)'!$C$2=1,$A18&gt;=0),OFFSET('Input data (2)'!K$126,'Input data (2)'!$BL$1-$A18,0),""))))</f>
        <v>0.63730284667099502</v>
      </c>
      <c r="BY32" s="7">
        <f ca="1">IF(AND('Input data (2)'!$C$2=4,$D18&gt;=0),OFFSET('Input data (2)'!AS$126,'Input data (2)'!$BL$1-$D18,0),IF(AND('Input data (2)'!$C$2=3,$C18&gt;=0),OFFSET('Input data (2)'!AS$126,'Input data (2)'!$BL$1-$C18,0),IF(AND('Input data (2)'!$C$2=2,$B18&gt;=0),OFFSET('Input data (2)'!AS$126,'Input data (2)'!$BL$1-$B18,0),IF(AND('Input data (2)'!$C$2=1,$A18&gt;=0),OFFSET('Input data (2)'!AS$126,'Input data (2)'!$BL$1-$A18,0),""))))</f>
        <v>0.47383972989956685</v>
      </c>
      <c r="BZ32" s="7">
        <f ca="1">IF(AND('Input data (2)'!$C$2=4,$D18&gt;=0),OFFSET('Input data (2)'!AT$126,'Input data (2)'!$BL$1-$D18,0),IF(AND('Input data (2)'!$C$2=3,$C18&gt;=0),OFFSET('Input data (2)'!AT$126,'Input data (2)'!$BL$1-$C18,0),IF(AND('Input data (2)'!$C$2=2,$B18&gt;=0),OFFSET('Input data (2)'!AT$126,'Input data (2)'!$BL$1-$B18,0),IF(AND('Input data (2)'!$C$2=1,$A18&gt;=0),OFFSET('Input data (2)'!AT$126,'Input data (2)'!$BL$1-$A18,0),""))))</f>
        <v>0.43188393924886309</v>
      </c>
      <c r="CB32" s="122"/>
      <c r="CC32" s="122"/>
      <c r="CD32" s="122"/>
      <c r="CE32" s="122"/>
      <c r="CG32" s="1">
        <v>12</v>
      </c>
      <c r="CI32" s="1">
        <f t="shared" si="24"/>
        <v>2010</v>
      </c>
      <c r="CJ32" s="1" t="str">
        <f t="shared" si="25"/>
        <v>Q2</v>
      </c>
      <c r="CK32" s="1" t="str">
        <f t="shared" si="12"/>
        <v>10</v>
      </c>
      <c r="CL32" s="1" t="str">
        <f t="shared" si="13"/>
        <v>Q2 10</v>
      </c>
      <c r="CM32" s="1">
        <f ca="1">OFFSET('Input data (2)'!AJ$126,'Input data (2)'!$BL$1-'Output data - DO NOT TOUCH (2)'!$CG32,0)/1000</f>
        <v>15.256</v>
      </c>
      <c r="CN32" s="1">
        <f ca="1">OFFSET('Input data (2)'!AK$126,'Input data (2)'!$BL$1-'Output data - DO NOT TOUCH (2)'!$CG32,0)/1000</f>
        <v>13.262</v>
      </c>
      <c r="CO32" s="1" t="e">
        <f ca="1">OFFSET('Input data (2)'!AL$126,'Input data (2)'!$BL$1-'Output data - DO NOT TOUCH (2)'!$CG32,0)/1000</f>
        <v>#VALUE!</v>
      </c>
      <c r="CP32" s="1"/>
      <c r="CQ32" s="1">
        <f ca="1">OFFSET('Input data (2)'!AG$126,'Input data (2)'!$BL$1-'Output data - DO NOT TOUCH (2)'!$CG32,0)/1000</f>
        <v>1.1839999999999999</v>
      </c>
      <c r="CR32" s="1">
        <f ca="1">OFFSET('Input data (2)'!AH$126,'Input data (2)'!$BL$1-'Output data - DO NOT TOUCH (2)'!$CG32,0)/1000</f>
        <v>2.879</v>
      </c>
      <c r="CS32" s="1">
        <f ca="1">OFFSET('Input data (2)'!AI$126,'Input data (2)'!$BL$1-'Output data - DO NOT TOUCH (2)'!$CG32,0)/1000</f>
        <v>4.0629999999999997</v>
      </c>
      <c r="CT32" s="1"/>
      <c r="CU32" s="1">
        <f ca="1">OFFSET('Input data (2)'!L$126,'Input data (2)'!$BL$1-'Output data - DO NOT TOUCH (2)'!$CG32,0)</f>
        <v>302</v>
      </c>
      <c r="CV32" s="1">
        <f ca="1">OFFSET('Input data (2)'!M$126,'Input data (2)'!$BL$1-'Output data - DO NOT TOUCH (2)'!$CG32,0)</f>
        <v>0</v>
      </c>
      <c r="CW32" s="67">
        <f ca="1">OFFSET('Input data (2)'!N$126,'Input data (2)'!$BL$1-'Output data - DO NOT TOUCH (2)'!$CG32,0)</f>
        <v>777</v>
      </c>
      <c r="CX32" s="1">
        <f ca="1">OFFSET('Input data (2)'!P$126,'Input data (2)'!$BL$1-'Output data - DO NOT TOUCH (2)'!$CG32,0)</f>
        <v>232</v>
      </c>
      <c r="CY32" s="1"/>
      <c r="CZ32" s="1">
        <f ca="1">OFFSET('Input data (2)'!AY$126,'Input data (2)'!$BL$1-'Output data - DO NOT TOUCH (2)'!$CG32,0)/1000</f>
        <v>3.1389999999999998</v>
      </c>
      <c r="DA32" s="1">
        <f ca="1">OFFSET('Input data (2)'!BA$126,'Input data (2)'!$BL$1-'Output data - DO NOT TOUCH (2)'!$CG32,0)/1000</f>
        <v>2.2389999999999999</v>
      </c>
      <c r="DB32" s="1">
        <f ca="1">OFFSET('Input data (2)'!BB$126,'Input data (2)'!$BL$1-'Output data - DO NOT TOUCH (2)'!$CG32,0)/1000</f>
        <v>5.3780000000000001</v>
      </c>
      <c r="DD32" s="1">
        <f ca="1">OFFSET('Input data (2)'!AN$126,'Input data (2)'!$BL$1-'Output data - DO NOT TOUCH (2)'!$CG32,0)</f>
        <v>215</v>
      </c>
      <c r="DE32" s="1">
        <f ca="1">OFFSET('Input data (2)'!AO$126,'Input data (2)'!$BL$1-'Output data - DO NOT TOUCH (2)'!$CG32,0)</f>
        <v>82</v>
      </c>
      <c r="DF32" s="1">
        <f ca="1">OFFSET('Input data (2)'!AP$126,'Input data (2)'!$BL$1-'Output data - DO NOT TOUCH (2)'!$CG32,0)</f>
        <v>297</v>
      </c>
      <c r="DG32" s="1"/>
      <c r="DH32" s="1">
        <f ca="1">OFFSET('Input data (2)'!AU$126,'Input data (2)'!$BL$1-'Output data - DO NOT TOUCH (2)'!$CG32,0)</f>
        <v>22</v>
      </c>
      <c r="DI32" s="1">
        <f ca="1">OFFSET('Input data (2)'!AV$126,'Input data (2)'!$BL$1-'Output data - DO NOT TOUCH (2)'!$CG32,0)</f>
        <v>1</v>
      </c>
      <c r="DJ32" s="1">
        <f ca="1">OFFSET('Input data (2)'!AW$126,'Input data (2)'!$BL$1-'Output data - DO NOT TOUCH (2)'!$CG32,0)</f>
        <v>51</v>
      </c>
      <c r="DK32" s="1">
        <f ca="1">OFFSET('Input data (2)'!AX$126,'Input data (2)'!$BL$1-'Output data - DO NOT TOUCH (2)'!$CG32,0)</f>
        <v>1</v>
      </c>
      <c r="DM32" s="1">
        <f ca="1">OFFSET('Input data (2)'!BI$126,'Input data (2)'!$BL$1-'Output data - DO NOT TOUCH (2)'!$CG32,0)</f>
        <v>363</v>
      </c>
      <c r="DN32" s="1">
        <f ca="1">OFFSET('Input data (2)'!BJ$126,'Input data (2)'!$BL$1-'Output data - DO NOT TOUCH (2)'!$CG32,0)</f>
        <v>273</v>
      </c>
      <c r="DO32" s="1">
        <f ca="1">OFFSET('Input data (2)'!BL$126,'Input data (2)'!$BL$1-'Output data - DO NOT TOUCH (2)'!$CG32,0)</f>
        <v>636</v>
      </c>
      <c r="DQ32" s="1">
        <f ca="1">OFFSET('Input data (2)'!BD$126,'Input data (2)'!$BL$1-'Output data - DO NOT TOUCH (2)'!$CG32,0)</f>
        <v>92</v>
      </c>
      <c r="DR32" s="1">
        <f ca="1">OFFSET('Input data (2)'!BE$126,'Input data (2)'!$BL$1-'Output data - DO NOT TOUCH (2)'!$CG32,0)</f>
        <v>24</v>
      </c>
      <c r="DS32" s="1">
        <f ca="1">OFFSET('Input data (2)'!BF$126,'Input data (2)'!$BL$1-'Output data - DO NOT TOUCH (2)'!$CG32,0)</f>
        <v>116</v>
      </c>
      <c r="DU32" s="1">
        <f ca="1">OFFSET('Input data (2)'!B$126,'Input data (2)'!$BL$1-'Output data - DO NOT TOUCH (2)'!$CG32-1,0)</f>
        <v>2010</v>
      </c>
      <c r="DV32" s="1" t="str">
        <f ca="1">OFFSET('Input data (2)'!C$126,'Input data (2)'!$BL$1-'Output data - DO NOT TOUCH (2)'!$CG32-1,0)</f>
        <v>Q1</v>
      </c>
      <c r="DW32" s="1" t="str">
        <f t="shared" ca="1" si="14"/>
        <v>10</v>
      </c>
      <c r="DX32" s="1" t="str">
        <f t="shared" ca="1" si="15"/>
        <v>Q1 10</v>
      </c>
      <c r="DY32" s="1">
        <f ca="1">OFFSET('Input data (2)'!W$126,'Input data (2)'!$BL$1-'Output data - DO NOT TOUCH (2)'!$CG32-1,0)/1000</f>
        <v>2.3210000000000002</v>
      </c>
      <c r="DZ32" s="1">
        <f ca="1">OFFSET('Input data (2)'!Y$126,'Input data (2)'!$BL$1-'Output data - DO NOT TOUCH (2)'!$CG32-1,0)/1000</f>
        <v>15.935</v>
      </c>
      <c r="EA32" s="1">
        <f ca="1">OFFSET('Input data (2)'!Q$126,'Input data (2)'!$BL$1-'Output data - DO NOT TOUCH (2)'!$CG32-1,0)/1000</f>
        <v>18.256</v>
      </c>
    </row>
    <row r="33" spans="1:131" x14ac:dyDescent="0.15">
      <c r="A33" s="1">
        <v>11</v>
      </c>
      <c r="B33" s="1">
        <v>12</v>
      </c>
      <c r="C33" s="1">
        <v>13</v>
      </c>
      <c r="D33" s="1">
        <v>10</v>
      </c>
      <c r="E33" s="1" t="str">
        <f>F33&amp;G33</f>
        <v>2006Q4</v>
      </c>
      <c r="F33" s="1">
        <f>F28+1</f>
        <v>2006</v>
      </c>
      <c r="G33" s="1" t="s">
        <v>4</v>
      </c>
      <c r="H33" s="1">
        <f>VLOOKUP($E33,'Input data (2)'!$A:$BL,'Output data - DO NOT TOUCH (2)'!H$71,FALSE)</f>
        <v>3166</v>
      </c>
      <c r="I33" s="1">
        <f>VLOOKUP($E33,'Input data (2)'!$A:$BL,'Output data - DO NOT TOUCH (2)'!I$71,FALSE)</f>
        <v>1396</v>
      </c>
      <c r="J33" s="1">
        <f>VLOOKUP($E33,'Input data (2)'!$A:$BL,'Output data - DO NOT TOUCH (2)'!J$71,FALSE)</f>
        <v>1770</v>
      </c>
      <c r="K33" s="1">
        <f>VLOOKUP($E33,'Input data (2)'!$A:$BL,'Output data - DO NOT TOUCH (2)'!K$71,FALSE)</f>
        <v>3216</v>
      </c>
      <c r="L33" s="1">
        <f>VLOOKUP($E33,'Input data (2)'!$A:$BL,'Output data - DO NOT TOUCH (2)'!L$71,FALSE)</f>
        <v>1384</v>
      </c>
      <c r="M33" s="1">
        <f>VLOOKUP($E33,'Input data (2)'!$A:$BL,'Output data - DO NOT TOUCH (2)'!M$71,FALSE)</f>
        <v>1832</v>
      </c>
      <c r="O33" s="119">
        <f ca="1">IF(AND('Input data (2)'!$C$2=4,$D19&gt;=0),OFFSET('Input data (2)'!O$126,'Input data (2)'!$BL$1-$D19,0),IF(AND('Input data (2)'!$C$2=3,$C19&gt;=0),OFFSET('Input data (2)'!O$126,'Input data (2)'!$BL$1-$C19,0),IF(AND('Input data (2)'!$C$2=2,$B19&gt;=0),OFFSET('Input data (2)'!O$126,'Input data (2)'!$BL$1-$B19,0),IF(AND('Input data (2)'!$C$2=1,$A19&gt;=0),OFFSET('Input data (2)'!O$126,'Input data (2)'!$BL$1-$A19,0),""))))</f>
        <v>242</v>
      </c>
      <c r="Q33" s="1">
        <f ca="1">IF(AND('Input data (2)'!$C$2=4,$D19&gt;=0),OFFSET('Input data (2)'!AC$126,'Input data (2)'!$BL$1-$D19,0),IF(AND('Input data (2)'!$C$2=3,$C19&gt;=0),OFFSET('Input data (2)'!AC$126,'Input data (2)'!$BL$1-$C19,0),IF(AND('Input data (2)'!$C$2=2,$B19&gt;=0),OFFSET('Input data (2)'!AC$126,'Input data (2)'!$BL$1-$B19,0),IF(AND('Input data (2)'!$C$2=1,$A19&gt;=0),OFFSET('Input data (2)'!AC$126,'Input data (2)'!$BL$1-$A19,0),""))))</f>
        <v>28544</v>
      </c>
      <c r="R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S33" s="1" t="str">
        <f ca="1">IF(AND('Input data (2)'!$C$2=4,$D19&gt;=0),OFFSET('Input data (2)'!R$126,'Input data (2)'!$BL$1-$D19,0),IF(AND('Input data (2)'!$C$2=3,$C19&gt;=0),OFFSET('Input data (2)'!R$126,'Input data (2)'!$BL$1-$C19,0),IF(AND('Input data (2)'!$C$2=2,$B19&gt;=0),OFFSET('Input data (2)'!R$126,'Input data (2)'!$BL$1-$B19,0),IF(AND('Input data (2)'!$C$2=1,$A19&gt;=0),OFFSET('Input data (2)'!R$126,'Input data (2)'!$BL$1-$A19,0),""))))</f>
        <v>:</v>
      </c>
      <c r="T33" s="1">
        <f ca="1">IF(AND('Input data (2)'!$C$2=4,$D19&gt;=0),OFFSET('Input data (2)'!AA$126,'Input data (2)'!$BL$1-$D19,0),IF(AND('Input data (2)'!$C$2=3,$C19&gt;=0),OFFSET('Input data (2)'!AA$126,'Input data (2)'!$BL$1-$C19,0),IF(AND('Input data (2)'!$C$2=2,$B19&gt;=0),OFFSET('Input data (2)'!AA$126,'Input data (2)'!$BL$1-$B19,0),IF(AND('Input data (2)'!$C$2=1,$A19&gt;=0),OFFSET('Input data (2)'!AA$126,'Input data (2)'!$BL$1-$A19,0),""))))</f>
        <v>12778</v>
      </c>
      <c r="U33" s="1">
        <f ca="1">IF(AND('Input data (2)'!$C$2=4,$D19&gt;=0),OFFSET('Input data (2)'!AL$126,'Input data (2)'!$BL$1-$D19,0),IF(AND('Input data (2)'!$C$2=3,$C19&gt;=0),OFFSET('Input data (2)'!AL$126,'Input data (2)'!$BL$1-$C19,0),IF(AND('Input data (2)'!$C$2=2,$B19&gt;=0),OFFSET('Input data (2)'!AL$126,'Input data (2)'!$BL$1-$B19,0),IF(AND('Input data (2)'!$C$2=1,$A19&gt;=0),OFFSET('Input data (2)'!AL$126,'Input data (2)'!$BL$1-$A19,0),""))))</f>
        <v>29394</v>
      </c>
      <c r="V33" s="1">
        <f ca="1">IF(AND('Input data (2)'!$C$2=4,$D19&gt;=0),OFFSET('Input data (2)'!AJ$126,'Input data (2)'!$BL$1-$D19,0),IF(AND('Input data (2)'!$C$2=3,$C19&gt;=0),OFFSET('Input data (2)'!AJ$126,'Input data (2)'!$BL$1-$C19,0),IF(AND('Input data (2)'!$C$2=2,$B19&gt;=0),OFFSET('Input data (2)'!AJ$126,'Input data (2)'!$BL$1-$B19,0),IF(AND('Input data (2)'!$C$2=1,$A19&gt;=0),OFFSET('Input data (2)'!AJ$126,'Input data (2)'!$BL$1-$A19,0),""))))</f>
        <v>16818</v>
      </c>
      <c r="W33" s="1">
        <f ca="1">IF(AND('Input data (2)'!$C$2=4,$D19&gt;=0),OFFSET('Input data (2)'!AK$126,'Input data (2)'!$BL$1-$D19,0),IF(AND('Input data (2)'!$C$2=3,$C19&gt;=0),OFFSET('Input data (2)'!AK$126,'Input data (2)'!$BL$1-$C19,0),IF(AND('Input data (2)'!$C$2=2,$B19&gt;=0),OFFSET('Input data (2)'!AK$126,'Input data (2)'!$BL$1-$B19,0),IF(AND('Input data (2)'!$C$2=1,$A19&gt;=0),OFFSET('Input data (2)'!AK$126,'Input data (2)'!$BL$1-$A19,0),""))))</f>
        <v>12576</v>
      </c>
      <c r="Y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Z33" s="1">
        <f ca="1">IF(AND('Input data (2)'!$C$2=4,$D19&gt;=0),OFFSET('Input data (2)'!S$126,'Input data (2)'!$BL$1-$D19,0),IF(AND('Input data (2)'!$C$2=3,$C19&gt;=0),OFFSET('Input data (2)'!S$126,'Input data (2)'!$BL$1-$C19,0),IF(AND('Input data (2)'!$C$2=2,$B19&gt;=0),OFFSET('Input data (2)'!S$126,'Input data (2)'!$BL$1-$B19,0),IF(AND('Input data (2)'!$C$2=1,$A19&gt;=0),OFFSET('Input data (2)'!S$126,'Input data (2)'!$BL$1-$A19,0),""))))</f>
        <v>13424</v>
      </c>
      <c r="AA33" s="1">
        <f ca="1">IF(AND('Input data (2)'!$C$2=4,$D19&gt;=0),OFFSET('Input data (2)'!T$126,'Input data (2)'!$BL$1-$D19,0),IF(AND('Input data (2)'!$C$2=3,$C19&gt;=0),OFFSET('Input data (2)'!T$126,'Input data (2)'!$BL$1-$C19,0),IF(AND('Input data (2)'!$C$2=2,$B19&gt;=0),OFFSET('Input data (2)'!T$126,'Input data (2)'!$BL$1-$B19,0),IF(AND('Input data (2)'!$C$2=1,$A19&gt;=0),OFFSET('Input data (2)'!T$126,'Input data (2)'!$BL$1-$A19,0),""))))</f>
        <v>85.145249270582269</v>
      </c>
      <c r="AB33" s="1">
        <f ca="1">IF(AND('Input data (2)'!$C$2=4,$D19&gt;=0),OFFSET('Input data (2)'!U$126,'Input data (2)'!$BL$1-$D19,0),IF(AND('Input data (2)'!$C$2=3,$C19&gt;=0),OFFSET('Input data (2)'!U$126,'Input data (2)'!$BL$1-$C19,0),IF(AND('Input data (2)'!$C$2=2,$B19&gt;=0),OFFSET('Input data (2)'!U$126,'Input data (2)'!$BL$1-$B19,0),IF(AND('Input data (2)'!$C$2=1,$A19&gt;=0),OFFSET('Input data (2)'!U$126,'Input data (2)'!$BL$1-$A19,0),""))))</f>
        <v>2342</v>
      </c>
      <c r="AC33" s="1">
        <f ca="1">IF(AND('Input data (2)'!$C$2=4,$D19&gt;=0),OFFSET('Input data (2)'!V$126,'Input data (2)'!$BL$1-$D19,0),IF(AND('Input data (2)'!$C$2=3,$C19&gt;=0),OFFSET('Input data (2)'!V$126,'Input data (2)'!$BL$1-$C19,0),IF(AND('Input data (2)'!$C$2=2,$B19&gt;=0),OFFSET('Input data (2)'!V$126,'Input data (2)'!$BL$1-$B19,0),IF(AND('Input data (2)'!$C$2=1,$A19&gt;=0),OFFSET('Input data (2)'!V$126,'Input data (2)'!$BL$1-$A19,0),""))))</f>
        <v>14.854750729417734</v>
      </c>
      <c r="AD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AE33" s="1">
        <f ca="1">IF(AND('Input data (2)'!$C$2=4,$D19&gt;=0),OFFSET('Input data (2)'!W$126,'Input data (2)'!$BL$1-$D19,0),IF(AND('Input data (2)'!$C$2=3,$C19&gt;=0),OFFSET('Input data (2)'!W$126,'Input data (2)'!$BL$1-$C19,0),IF(AND('Input data (2)'!$C$2=2,$B19&gt;=0),OFFSET('Input data (2)'!W$126,'Input data (2)'!$BL$1-$B19,0),IF(AND('Input data (2)'!$C$2=1,$A19&gt;=0),OFFSET('Input data (2)'!W$126,'Input data (2)'!$BL$1-$A19,0),""))))</f>
        <v>1856</v>
      </c>
      <c r="AF33" s="1">
        <f ca="1">IF(AND('Input data (2)'!$C$2=4,$D19&gt;=0),OFFSET('Input data (2)'!X$126,'Input data (2)'!$BL$1-$D19,0),IF(AND('Input data (2)'!$C$2=3,$C19&gt;=0),OFFSET('Input data (2)'!X$126,'Input data (2)'!$BL$1-$C19,0),IF(AND('Input data (2)'!$C$2=2,$B19&gt;=0),OFFSET('Input data (2)'!X$126,'Input data (2)'!$BL$1-$B19,0),IF(AND('Input data (2)'!$C$2=1,$A19&gt;=0),OFFSET('Input data (2)'!X$126,'Input data (2)'!$BL$1-$A19,0),""))))</f>
        <v>11.772167956361791</v>
      </c>
      <c r="AG33" s="1">
        <f ca="1">IF(AND('Input data (2)'!$C$2=4,$D19&gt;=0),OFFSET('Input data (2)'!Y$126,'Input data (2)'!$BL$1-$D19,0),IF(AND('Input data (2)'!$C$2=3,$C19&gt;=0),OFFSET('Input data (2)'!Y$126,'Input data (2)'!$BL$1-$C19,0),IF(AND('Input data (2)'!$C$2=2,$B19&gt;=0),OFFSET('Input data (2)'!Y$126,'Input data (2)'!$BL$1-$B19,0),IF(AND('Input data (2)'!$C$2=1,$A19&gt;=0),OFFSET('Input data (2)'!Y$126,'Input data (2)'!$BL$1-$A19,0),""))))</f>
        <v>13910</v>
      </c>
      <c r="AH33" s="1">
        <f ca="1">IF(AND('Input data (2)'!$C$2=4,$D19&gt;=0),OFFSET('Input data (2)'!Z$126,'Input data (2)'!$BL$1-$D19,0),IF(AND('Input data (2)'!$C$2=3,$C19&gt;=0),OFFSET('Input data (2)'!Z$126,'Input data (2)'!$BL$1-$C19,0),IF(AND('Input data (2)'!$C$2=2,$B19&gt;=0),OFFSET('Input data (2)'!Z$126,'Input data (2)'!$BL$1-$B19,0),IF(AND('Input data (2)'!$C$2=1,$A19&gt;=0),OFFSET('Input data (2)'!Z$126,'Input data (2)'!$BL$1-$A19,0),""))))</f>
        <v>88.227832043638216</v>
      </c>
      <c r="AI33" s="3"/>
      <c r="AJ33" s="124">
        <f ca="1">IF(AND('Input data (2)'!$C$2=4,$D19&gt;=0),OFFSET('Input data (2)'!AF$126,'Input data (2)'!$BL$1-$D19,0),IF(AND('Input data (2)'!$C$2=3,$C19&gt;=0),OFFSET('Input data (2)'!AF$126,'Input data (2)'!$BL$1-$C19,0),IF(AND('Input data (2)'!$C$2=2,$B19&gt;=0),OFFSET('Input data (2)'!AF$126,'Input data (2)'!$BL$1-$B19,0),IF(AND('Input data (2)'!$C$2=1,$A19&gt;=0),OFFSET('Input data (2)'!AF$126,'Input data (2)'!$BL$1-$A19,0),""))))</f>
        <v>3687</v>
      </c>
      <c r="AK33" s="124">
        <f ca="1">IF(AND('Input data (2)'!$C$2=4,$D19&gt;=0),OFFSET('Input data (2)'!AD$126,'Input data (2)'!$BL$1-$D19,0),IF(AND('Input data (2)'!$C$2=3,$C19&gt;=0),OFFSET('Input data (2)'!AD$126,'Input data (2)'!$BL$1-$C19,0),IF(AND('Input data (2)'!$C$2=2,$B19&gt;=0),OFFSET('Input data (2)'!AD$126,'Input data (2)'!$BL$1-$B19,0),IF(AND('Input data (2)'!$C$2=1,$A19&gt;=0),OFFSET('Input data (2)'!AD$126,'Input data (2)'!$BL$1-$A19,0),""))))</f>
        <v>16</v>
      </c>
      <c r="AL33" s="124">
        <f ca="1">IF(AND('Input data (2)'!$C$2=4,$D19&gt;=0),OFFSET('Input data (2)'!AE$126,'Input data (2)'!$BL$1-$D19,0),IF(AND('Input data (2)'!$C$2=3,$C19&gt;=0),OFFSET('Input data (2)'!AE$126,'Input data (2)'!$BL$1-$C19,0),IF(AND('Input data (2)'!$C$2=2,$B19&gt;=0),OFFSET('Input data (2)'!AE$126,'Input data (2)'!$BL$1-$B19,0),IF(AND('Input data (2)'!$C$2=1,$A19&gt;=0),OFFSET('Input data (2)'!AE$126,'Input data (2)'!$BL$1-$A19,0),""))))</f>
        <v>3671</v>
      </c>
      <c r="AW33" s="1">
        <f ca="1">IF(AND('Input data (2)'!$C$2=4,$D19&gt;=0),OFFSET('Input data (2)'!L$126,'Input data (2)'!$BL$1-$D19,0),IF(AND('Input data (2)'!$C$2=3,$C19&gt;=0),OFFSET('Input data (2)'!L$126,'Input data (2)'!$BL$1-$C19,0),IF(AND('Input data (2)'!$C$2=2,$B19&gt;=0),OFFSET('Input data (2)'!L$126,'Input data (2)'!$BL$1-$B19,0),IF(AND('Input data (2)'!$C$2=1,$A19&gt;=0),OFFSET('Input data (2)'!L$126,'Input data (2)'!$BL$1-$A19,0),""))))</f>
        <v>162</v>
      </c>
      <c r="AX33" s="1">
        <f ca="1">IF(AND('Input data (2)'!$C$2=4,$D19&gt;=0),OFFSET('Input data (2)'!M$126,'Input data (2)'!$BL$1-$D19,0),IF(AND('Input data (2)'!$C$2=3,$C19&gt;=0),OFFSET('Input data (2)'!M$126,'Input data (2)'!$BL$1-$C19,0),IF(AND('Input data (2)'!$C$2=2,$B19&gt;=0),OFFSET('Input data (2)'!M$126,'Input data (2)'!$BL$1-$B19,0),IF(AND('Input data (2)'!$C$2=1,$A19&gt;=0),OFFSET('Input data (2)'!M$126,'Input data (2)'!$BL$1-$A19,0),""))))</f>
        <v>0</v>
      </c>
      <c r="AY33" s="1">
        <f ca="1">IF(AND('Input data (2)'!$C$2=4,$D19&gt;=0),OFFSET('Input data (2)'!N$126,'Input data (2)'!$BL$1-$D19,0),IF(AND('Input data (2)'!$C$2=3,$C19&gt;=0),OFFSET('Input data (2)'!N$126,'Input data (2)'!$BL$1-$C19,0),IF(AND('Input data (2)'!$C$2=2,$B19&gt;=0),OFFSET('Input data (2)'!N$126,'Input data (2)'!$BL$1-$B19,0),IF(AND('Input data (2)'!$C$2=1,$A19&gt;=0),OFFSET('Input data (2)'!N$126,'Input data (2)'!$BL$1-$A19,0),""))))</f>
        <v>1479</v>
      </c>
      <c r="AZ33" s="1">
        <f ca="1">IF(AND('Input data (2)'!$C$2=4,$D19&gt;=0),OFFSET('Input data (2)'!P$126,'Input data (2)'!$BL$1-$D19,0),IF(AND('Input data (2)'!$C$2=3,$C19&gt;=0),OFFSET('Input data (2)'!P$126,'Input data (2)'!$BL$1-$C19,0),IF(AND('Input data (2)'!$C$2=2,$B19&gt;=0),OFFSET('Input data (2)'!P$126,'Input data (2)'!$BL$1-$B19,0),IF(AND('Input data (2)'!$C$2=1,$A19&gt;=0),OFFSET('Input data (2)'!P$126,'Input data (2)'!$BL$1-$A19,0),""))))</f>
        <v>106</v>
      </c>
      <c r="BB33" s="1">
        <f ca="1">IF(AND('Input data (2)'!$C$2=4,$D19&gt;=0),OFFSET('Input data (2)'!BB$126,'Input data (2)'!$BL$1-$D19,0),IF(AND('Input data (2)'!$C$2=3,$C19&gt;=0),OFFSET('Input data (2)'!BB$126,'Input data (2)'!$BL$1-$C19,0),IF(AND('Input data (2)'!$C$2=2,$B19&gt;=0),OFFSET('Input data (2)'!BB$126,'Input data (2)'!$BL$1-$B19,0),IF(AND('Input data (2)'!$C$2=1,$A19&gt;=0),OFFSET('Input data (2)'!BB$126,'Input data (2)'!$BL$1-$A19,0),""))))</f>
        <v>3540</v>
      </c>
      <c r="BC33" s="1">
        <f ca="1">IF(AND('Input data (2)'!$C$2=4,$D19&gt;=0),OFFSET('Input data (2)'!AY$126,'Input data (2)'!$BL$1-$D19,0),IF(AND('Input data (2)'!$C$2=3,$C19&gt;=0),OFFSET('Input data (2)'!AY$126,'Input data (2)'!$BL$1-$C19,0),IF(AND('Input data (2)'!$C$2=2,$B19&gt;=0),OFFSET('Input data (2)'!AY$126,'Input data (2)'!$BL$1-$B19,0),IF(AND('Input data (2)'!$C$2=1,$A19&gt;=0),OFFSET('Input data (2)'!AY$126,'Input data (2)'!$BL$1-$A19,0),""))))</f>
        <v>1516</v>
      </c>
      <c r="BD33" s="1" t="str">
        <f ca="1">IF(AND('Input data (2)'!$C$2=4,$D19&gt;=0),OFFSET('Input data (2)'!AZ$126,'Input data (2)'!$BL$1-$D19,0),IF(AND('Input data (2)'!$C$2=3,$C19&gt;=0),OFFSET('Input data (2)'!AZ$126,'Input data (2)'!$BL$1-$C19,0),IF(AND('Input data (2)'!$C$2=2,$B19&gt;=0),OFFSET('Input data (2)'!AZ$126,'Input data (2)'!$BL$1-$B19,0),IF(AND('Input data (2)'!$C$2=1,$A19&gt;=0),OFFSET('Input data (2)'!AZ$126,'Input data (2)'!$BL$1-$A19,0),""))))</f>
        <v>:</v>
      </c>
      <c r="BE33" s="1">
        <f ca="1">IF(AND('Input data (2)'!$C$2=4,$D19&gt;=0),OFFSET('Input data (2)'!BA$126,'Input data (2)'!$BL$1-$D19,0),IF(AND('Input data (2)'!$C$2=3,$C19&gt;=0),OFFSET('Input data (2)'!BA$126,'Input data (2)'!$BL$1-$C19,0),IF(AND('Input data (2)'!$C$2=2,$B19&gt;=0),OFFSET('Input data (2)'!BA$126,'Input data (2)'!$BL$1-$B19,0),IF(AND('Input data (2)'!$C$2=1,$A19&gt;=0),OFFSET('Input data (2)'!BA$126,'Input data (2)'!$BL$1-$A19,0),""))))</f>
        <v>2024</v>
      </c>
      <c r="BF33" s="1">
        <f ca="1">IF(AND('Input data (2)'!$C$2=4,$D19&gt;=0),OFFSET('Input data (2)'!AP$126,'Input data (2)'!$BL$1-$D19,0),IF(AND('Input data (2)'!$C$2=3,$C19&gt;=0),OFFSET('Input data (2)'!AP$126,'Input data (2)'!$BL$1-$C19,0),IF(AND('Input data (2)'!$C$2=2,$B19&gt;=0),OFFSET('Input data (2)'!AP$126,'Input data (2)'!$BL$1-$B19,0),IF(AND('Input data (2)'!$C$2=1,$A19&gt;=0),OFFSET('Input data (2)'!AP$126,'Input data (2)'!$BL$1-$A19,0),""))))</f>
        <v>132</v>
      </c>
      <c r="BG33" s="1">
        <f ca="1">IF(AND('Input data (2)'!$C$2=4,$D19&gt;=0),OFFSET('Input data (2)'!AN$126,'Input data (2)'!$BL$1-$D19,0),IF(AND('Input data (2)'!$C$2=3,$C19&gt;=0),OFFSET('Input data (2)'!AN$126,'Input data (2)'!$BL$1-$C19,0),IF(AND('Input data (2)'!$C$2=2,$B19&gt;=0),OFFSET('Input data (2)'!AN$126,'Input data (2)'!$BL$1-$B19,0),IF(AND('Input data (2)'!$C$2=1,$A19&gt;=0),OFFSET('Input data (2)'!AN$126,'Input data (2)'!$BL$1-$A19,0),""))))</f>
        <v>89</v>
      </c>
      <c r="BH33" s="1">
        <f ca="1">IF(AND('Input data (2)'!$C$2=4,$D19&gt;=0),OFFSET('Input data (2)'!AO$126,'Input data (2)'!$BL$1-$D19,0),IF(AND('Input data (2)'!$C$2=3,$C19&gt;=0),OFFSET('Input data (2)'!AO$126,'Input data (2)'!$BL$1-$C19,0),IF(AND('Input data (2)'!$C$2=2,$B19&gt;=0),OFFSET('Input data (2)'!AO$126,'Input data (2)'!$BL$1-$B19,0),IF(AND('Input data (2)'!$C$2=1,$A19&gt;=0),OFFSET('Input data (2)'!AO$126,'Input data (2)'!$BL$1-$A19,0),""))))</f>
        <v>43</v>
      </c>
      <c r="BJ33" s="1">
        <f ca="1">IF(AND('Input data (2)'!$C$2=4,$D19&gt;=0),OFFSET('Input data (2)'!AU$126,'Input data (2)'!$BL$1-$D19,0),IF(AND('Input data (2)'!$C$2=3,$C19&gt;=0),OFFSET('Input data (2)'!AU$126,'Input data (2)'!$BL$1-$C19,0),IF(AND('Input data (2)'!$C$2=2,$B19&gt;=0),OFFSET('Input data (2)'!AU$126,'Input data (2)'!$BL$1-$B19,0),IF(AND('Input data (2)'!$C$2=1,$A19&gt;=0),OFFSET('Input data (2)'!AU$126,'Input data (2)'!$BL$1-$A19,0),""))))</f>
        <v>4</v>
      </c>
      <c r="BK33" s="1">
        <f ca="1">IF(AND('Input data (2)'!$C$2=4,$D19&gt;=0),OFFSET('Input data (2)'!AV$126,'Input data (2)'!$BL$1-$D19,0),IF(AND('Input data (2)'!$C$2=3,$C19&gt;=0),OFFSET('Input data (2)'!AV$126,'Input data (2)'!$BL$1-$C19,0),IF(AND('Input data (2)'!$C$2=2,$B19&gt;=0),OFFSET('Input data (2)'!AV$126,'Input data (2)'!$BL$1-$B19,0),IF(AND('Input data (2)'!$C$2=1,$A19&gt;=0),OFFSET('Input data (2)'!AV$126,'Input data (2)'!$BL$1-$A19,0),""))))</f>
        <v>0</v>
      </c>
      <c r="BL33" s="1">
        <f ca="1">IF(AND('Input data (2)'!$C$2=4,$D19&gt;=0),OFFSET('Input data (2)'!AW$126,'Input data (2)'!$BL$1-$D19,0),IF(AND('Input data (2)'!$C$2=3,$C19&gt;=0),OFFSET('Input data (2)'!AW$126,'Input data (2)'!$BL$1-$C19,0),IF(AND('Input data (2)'!$C$2=2,$B19&gt;=0),OFFSET('Input data (2)'!AW$126,'Input data (2)'!$BL$1-$B19,0),IF(AND('Input data (2)'!$C$2=1,$A19&gt;=0),OFFSET('Input data (2)'!AW$126,'Input data (2)'!$BL$1-$A19,0),""))))</f>
        <v>20</v>
      </c>
      <c r="BM33" s="1">
        <f ca="1">IF(AND('Input data (2)'!$C$2=4,$D19&gt;=0),OFFSET('Input data (2)'!AX$126,'Input data (2)'!$BL$1-$D19,0),IF(AND('Input data (2)'!$C$2=3,$C19&gt;=0),OFFSET('Input data (2)'!AX$126,'Input data (2)'!$BL$1-$C19,0),IF(AND('Input data (2)'!$C$2=2,$B19&gt;=0),OFFSET('Input data (2)'!AX$126,'Input data (2)'!$BL$1-$B19,0),IF(AND('Input data (2)'!$C$2=1,$A19&gt;=0),OFFSET('Input data (2)'!AX$126,'Input data (2)'!$BL$1-$A19,0),""))))</f>
        <v>1</v>
      </c>
      <c r="BO33" s="1">
        <f ca="1">IF(AND('Input data (2)'!$C$2=4,$D19&gt;=0),OFFSET('Input data (2)'!BL$126,'Input data (2)'!$BL$1-$D19,0),IF(AND('Input data (2)'!$C$2=3,$C19&gt;=0),OFFSET('Input data (2)'!BL$126,'Input data (2)'!$BL$1-$C19,0),IF(AND('Input data (2)'!$C$2=2,$B19&gt;=0),OFFSET('Input data (2)'!BL$126,'Input data (2)'!$BL$1-$B19,0),IF(AND('Input data (2)'!$C$2=1,$A19&gt;=0),OFFSET('Input data (2)'!BL$126,'Input data (2)'!$BL$1-$A19,0),""))))</f>
        <v>482</v>
      </c>
      <c r="BP33" s="1">
        <f ca="1">IF(AND('Input data (2)'!$C$2=4,$D19&gt;=0),OFFSET('Input data (2)'!BI$126,'Input data (2)'!$BL$1-$D19,0),IF(AND('Input data (2)'!$C$2=3,$C19&gt;=0),OFFSET('Input data (2)'!BI$126,'Input data (2)'!$BL$1-$C19,0),IF(AND('Input data (2)'!$C$2=2,$B19&gt;=0),OFFSET('Input data (2)'!BI$126,'Input data (2)'!$BL$1-$B19,0),IF(AND('Input data (2)'!$C$2=1,$A19&gt;=0),OFFSET('Input data (2)'!BI$126,'Input data (2)'!$BL$1-$A19,0),""))))</f>
        <v>264</v>
      </c>
      <c r="BQ33" s="1" t="str">
        <f ca="1">IF(AND('Input data (2)'!$C$2=4,$D19&gt;=0),OFFSET('Input data (2)'!BK$126,'Input data (2)'!$BL$1-$D19,0),IF(AND('Input data (2)'!$C$2=3,$C19&gt;=0),OFFSET('Input data (2)'!BK$126,'Input data (2)'!$BL$1-$C19,0),IF(AND('Input data (2)'!$C$2=2,$B19&gt;=0),OFFSET('Input data (2)'!BK$126,'Input data (2)'!$BL$1-$B19,0),IF(AND('Input data (2)'!$C$2=1,$A19&gt;=0),OFFSET('Input data (2)'!BK$126,'Input data (2)'!$BL$1-$A19,0),""))))</f>
        <v>..</v>
      </c>
      <c r="BR33" s="1">
        <f ca="1">IF(AND('Input data (2)'!$C$2=4,$D19&gt;=0),OFFSET('Input data (2)'!BJ$126,'Input data (2)'!$BL$1-$D19,0),IF(AND('Input data (2)'!$C$2=3,$C19&gt;=0),OFFSET('Input data (2)'!BJ$126,'Input data (2)'!$BL$1-$C19,0),IF(AND('Input data (2)'!$C$2=2,$B19&gt;=0),OFFSET('Input data (2)'!BJ$126,'Input data (2)'!$BL$1-$B19,0),IF(AND('Input data (2)'!$C$2=1,$A19&gt;=0),OFFSET('Input data (2)'!BJ$126,'Input data (2)'!$BL$1-$A19,0),""))))</f>
        <v>218</v>
      </c>
      <c r="BS33" s="1">
        <f ca="1">IF(AND('Input data (2)'!$C$2=4,$D19&gt;=0),OFFSET('Input data (2)'!BF$126,'Input data (2)'!$BL$1-$D19,0),IF(AND('Input data (2)'!$C$2=3,$C19&gt;=0),OFFSET('Input data (2)'!BF$126,'Input data (2)'!$BL$1-$C19,0),IF(AND('Input data (2)'!$C$2=2,$B19&gt;=0),OFFSET('Input data (2)'!BF$126,'Input data (2)'!$BL$1-$B19,0),IF(AND('Input data (2)'!$C$2=1,$A19&gt;=0),OFFSET('Input data (2)'!BF$126,'Input data (2)'!$BL$1-$A19,0),""))))</f>
        <v>30</v>
      </c>
      <c r="BT33" s="1">
        <f ca="1">IF(AND('Input data (2)'!$C$2=4,$D19&gt;=0),OFFSET('Input data (2)'!BD$126,'Input data (2)'!$BL$1-$D19,0),IF(AND('Input data (2)'!$C$2=3,$C19&gt;=0),OFFSET('Input data (2)'!BD$126,'Input data (2)'!$BL$1-$C19,0),IF(AND('Input data (2)'!$C$2=2,$B19&gt;=0),OFFSET('Input data (2)'!BD$126,'Input data (2)'!$BL$1-$B19,0),IF(AND('Input data (2)'!$C$2=1,$A19&gt;=0),OFFSET('Input data (2)'!BD$126,'Input data (2)'!$BL$1-$A19,0),""))))</f>
        <v>20</v>
      </c>
      <c r="BU33" s="1">
        <f ca="1">IF(AND('Input data (2)'!$C$2=4,$D19&gt;=0),OFFSET('Input data (2)'!BE$126,'Input data (2)'!$BL$1-$D19,0),IF(AND('Input data (2)'!$C$2=3,$C19&gt;=0),OFFSET('Input data (2)'!BE$126,'Input data (2)'!$BL$1-$C19,0),IF(AND('Input data (2)'!$C$2=2,$B19&gt;=0),OFFSET('Input data (2)'!BE$126,'Input data (2)'!$BL$1-$B19,0),IF(AND('Input data (2)'!$C$2=1,$A19&gt;=0),OFFSET('Input data (2)'!BE$126,'Input data (2)'!$BL$1-$A19,0),""))))</f>
        <v>10</v>
      </c>
      <c r="BW33" s="7">
        <f ca="1">IF(AND('Input data (2)'!$C$2=4,$D19&gt;=0),OFFSET('Input data (2)'!J$126,'Input data (2)'!$BL$1-$D19,0),IF(AND('Input data (2)'!$C$2=3,$C19&gt;=0),OFFSET('Input data (2)'!J$126,'Input data (2)'!$BL$1-$C19,0),IF(AND('Input data (2)'!$C$2=2,$B19&gt;=0),OFFSET('Input data (2)'!J$126,'Input data (2)'!$BL$1-$B19,0),IF(AND('Input data (2)'!$C$2=1,$A19&gt;=0),OFFSET('Input data (2)'!J$126,'Input data (2)'!$BL$1-$A19,0),""))))</f>
        <v>0.68471853147343009</v>
      </c>
      <c r="BX33" s="7">
        <f ca="1">IF(AND('Input data (2)'!$C$2=4,$D19&gt;=0),OFFSET('Input data (2)'!K$126,'Input data (2)'!$BL$1-$D19,0),IF(AND('Input data (2)'!$C$2=3,$C19&gt;=0),OFFSET('Input data (2)'!K$126,'Input data (2)'!$BL$1-$C19,0),IF(AND('Input data (2)'!$C$2=2,$B19&gt;=0),OFFSET('Input data (2)'!K$126,'Input data (2)'!$BL$1-$B19,0),IF(AND('Input data (2)'!$C$2=1,$A19&gt;=0),OFFSET('Input data (2)'!K$126,'Input data (2)'!$BL$1-$A19,0),""))))</f>
        <v>0.62809197338822897</v>
      </c>
      <c r="BY33" s="7">
        <f ca="1">IF(AND('Input data (2)'!$C$2=4,$D19&gt;=0),OFFSET('Input data (2)'!AS$126,'Input data (2)'!$BL$1-$D19,0),IF(AND('Input data (2)'!$C$2=3,$C19&gt;=0),OFFSET('Input data (2)'!AS$126,'Input data (2)'!$BL$1-$C19,0),IF(AND('Input data (2)'!$C$2=2,$B19&gt;=0),OFFSET('Input data (2)'!AS$126,'Input data (2)'!$BL$1-$B19,0),IF(AND('Input data (2)'!$C$2=1,$A19&gt;=0),OFFSET('Input data (2)'!AS$126,'Input data (2)'!$BL$1-$A19,0),""))))</f>
        <v>0.477268874506105</v>
      </c>
      <c r="BZ33" s="7">
        <f ca="1">IF(AND('Input data (2)'!$C$2=4,$D19&gt;=0),OFFSET('Input data (2)'!AT$126,'Input data (2)'!$BL$1-$D19,0),IF(AND('Input data (2)'!$C$2=3,$C19&gt;=0),OFFSET('Input data (2)'!AT$126,'Input data (2)'!$BL$1-$C19,0),IF(AND('Input data (2)'!$C$2=2,$B19&gt;=0),OFFSET('Input data (2)'!AT$126,'Input data (2)'!$BL$1-$B19,0),IF(AND('Input data (2)'!$C$2=1,$A19&gt;=0),OFFSET('Input data (2)'!AT$126,'Input data (2)'!$BL$1-$A19,0),""))))</f>
        <v>0.43510163268783569</v>
      </c>
      <c r="CB33" s="122"/>
      <c r="CC33" s="122"/>
      <c r="CD33" s="122"/>
      <c r="CE33" s="122"/>
      <c r="CG33" s="1">
        <v>11</v>
      </c>
      <c r="CI33" s="1">
        <f t="shared" ca="1" si="24"/>
        <v>2010</v>
      </c>
      <c r="CJ33" s="1" t="str">
        <f t="shared" si="25"/>
        <v>Q3</v>
      </c>
      <c r="CK33" s="1" t="str">
        <f t="shared" ca="1" si="12"/>
        <v>10</v>
      </c>
      <c r="CL33" s="1" t="str">
        <f t="shared" ca="1" si="13"/>
        <v>Q3 10</v>
      </c>
      <c r="CM33" s="1">
        <f ca="1">OFFSET('Input data (2)'!AJ$126,'Input data (2)'!$BL$1-'Output data - DO NOT TOUCH (2)'!$CG33,0)/1000</f>
        <v>14.154999999999999</v>
      </c>
      <c r="CN33" s="1">
        <f ca="1">OFFSET('Input data (2)'!AK$126,'Input data (2)'!$BL$1-'Output data - DO NOT TOUCH (2)'!$CG33,0)/1000</f>
        <v>12.379</v>
      </c>
      <c r="CO33" s="1" t="e">
        <f ca="1">OFFSET('Input data (2)'!AL$126,'Input data (2)'!$BL$1-'Output data - DO NOT TOUCH (2)'!$CG33,0)/1000</f>
        <v>#VALUE!</v>
      </c>
      <c r="CP33" s="1"/>
      <c r="CQ33" s="1">
        <f ca="1">OFFSET('Input data (2)'!AG$126,'Input data (2)'!$BL$1-'Output data - DO NOT TOUCH (2)'!$CG33,0)/1000</f>
        <v>1.1279999999999999</v>
      </c>
      <c r="CR33" s="1">
        <f ca="1">OFFSET('Input data (2)'!AH$126,'Input data (2)'!$BL$1-'Output data - DO NOT TOUCH (2)'!$CG33,0)/1000</f>
        <v>2.8410000000000002</v>
      </c>
      <c r="CS33" s="1">
        <f ca="1">OFFSET('Input data (2)'!AI$126,'Input data (2)'!$BL$1-'Output data - DO NOT TOUCH (2)'!$CG33,0)/1000</f>
        <v>3.9689999999999999</v>
      </c>
      <c r="CT33" s="1"/>
      <c r="CU33" s="1">
        <f ca="1">OFFSET('Input data (2)'!L$126,'Input data (2)'!$BL$1-'Output data - DO NOT TOUCH (2)'!$CG33,0)</f>
        <v>349</v>
      </c>
      <c r="CV33" s="1">
        <f ca="1">OFFSET('Input data (2)'!M$126,'Input data (2)'!$BL$1-'Output data - DO NOT TOUCH (2)'!$CG33,0)</f>
        <v>0</v>
      </c>
      <c r="CW33" s="67">
        <f ca="1">OFFSET('Input data (2)'!N$126,'Input data (2)'!$BL$1-'Output data - DO NOT TOUCH (2)'!$CG33,0)</f>
        <v>633</v>
      </c>
      <c r="CX33" s="1">
        <f ca="1">OFFSET('Input data (2)'!P$126,'Input data (2)'!$BL$1-'Output data - DO NOT TOUCH (2)'!$CG33,0)</f>
        <v>159</v>
      </c>
      <c r="CY33" s="1"/>
      <c r="CZ33" s="1">
        <f ca="1">OFFSET('Input data (2)'!AY$126,'Input data (2)'!$BL$1-'Output data - DO NOT TOUCH (2)'!$CG33,0)/1000</f>
        <v>3.0990000000000002</v>
      </c>
      <c r="DA33" s="1">
        <f ca="1">OFFSET('Input data (2)'!BA$126,'Input data (2)'!$BL$1-'Output data - DO NOT TOUCH (2)'!$CG33,0)/1000</f>
        <v>2.0760000000000001</v>
      </c>
      <c r="DB33" s="1">
        <f ca="1">OFFSET('Input data (2)'!BB$126,'Input data (2)'!$BL$1-'Output data - DO NOT TOUCH (2)'!$CG33,0)/1000</f>
        <v>5.1749999999999998</v>
      </c>
      <c r="DD33" s="1">
        <f ca="1">OFFSET('Input data (2)'!AN$126,'Input data (2)'!$BL$1-'Output data - DO NOT TOUCH (2)'!$CG33,0)</f>
        <v>154</v>
      </c>
      <c r="DE33" s="1">
        <f ca="1">OFFSET('Input data (2)'!AO$126,'Input data (2)'!$BL$1-'Output data - DO NOT TOUCH (2)'!$CG33,0)</f>
        <v>70</v>
      </c>
      <c r="DF33" s="1">
        <f ca="1">OFFSET('Input data (2)'!AP$126,'Input data (2)'!$BL$1-'Output data - DO NOT TOUCH (2)'!$CG33,0)</f>
        <v>224</v>
      </c>
      <c r="DG33" s="1"/>
      <c r="DH33" s="1">
        <f ca="1">OFFSET('Input data (2)'!AU$126,'Input data (2)'!$BL$1-'Output data - DO NOT TOUCH (2)'!$CG33,0)</f>
        <v>15</v>
      </c>
      <c r="DI33" s="1">
        <f ca="1">OFFSET('Input data (2)'!AV$126,'Input data (2)'!$BL$1-'Output data - DO NOT TOUCH (2)'!$CG33,0)</f>
        <v>1</v>
      </c>
      <c r="DJ33" s="1">
        <f ca="1">OFFSET('Input data (2)'!AW$126,'Input data (2)'!$BL$1-'Output data - DO NOT TOUCH (2)'!$CG33,0)</f>
        <v>43</v>
      </c>
      <c r="DK33" s="1">
        <f ca="1">OFFSET('Input data (2)'!AX$126,'Input data (2)'!$BL$1-'Output data - DO NOT TOUCH (2)'!$CG33,0)</f>
        <v>0</v>
      </c>
      <c r="DM33" s="1">
        <f ca="1">OFFSET('Input data (2)'!BI$126,'Input data (2)'!$BL$1-'Output data - DO NOT TOUCH (2)'!$CG33,0)</f>
        <v>290</v>
      </c>
      <c r="DN33" s="1">
        <f ca="1">OFFSET('Input data (2)'!BJ$126,'Input data (2)'!$BL$1-'Output data - DO NOT TOUCH (2)'!$CG33,0)</f>
        <v>261</v>
      </c>
      <c r="DO33" s="1">
        <f ca="1">OFFSET('Input data (2)'!BL$126,'Input data (2)'!$BL$1-'Output data - DO NOT TOUCH (2)'!$CG33,0)</f>
        <v>551</v>
      </c>
      <c r="DQ33" s="1">
        <f ca="1">OFFSET('Input data (2)'!BD$126,'Input data (2)'!$BL$1-'Output data - DO NOT TOUCH (2)'!$CG33,0)</f>
        <v>55</v>
      </c>
      <c r="DR33" s="1">
        <f ca="1">OFFSET('Input data (2)'!BE$126,'Input data (2)'!$BL$1-'Output data - DO NOT TOUCH (2)'!$CG33,0)</f>
        <v>24</v>
      </c>
      <c r="DS33" s="1">
        <f ca="1">OFFSET('Input data (2)'!BF$126,'Input data (2)'!$BL$1-'Output data - DO NOT TOUCH (2)'!$CG33,0)</f>
        <v>79</v>
      </c>
      <c r="DU33" s="1">
        <f ca="1">OFFSET('Input data (2)'!B$126,'Input data (2)'!$BL$1-'Output data - DO NOT TOUCH (2)'!$CG33-1,0)</f>
        <v>2010</v>
      </c>
      <c r="DV33" s="1" t="str">
        <f ca="1">OFFSET('Input data (2)'!C$126,'Input data (2)'!$BL$1-'Output data - DO NOT TOUCH (2)'!$CG33-1,0)</f>
        <v>Q2</v>
      </c>
      <c r="DW33" s="1" t="str">
        <f t="shared" ca="1" si="14"/>
        <v>10</v>
      </c>
      <c r="DX33" s="1" t="str">
        <f t="shared" ca="1" si="15"/>
        <v>Q2 10</v>
      </c>
      <c r="DY33" s="1">
        <f ca="1">OFFSET('Input data (2)'!W$126,'Input data (2)'!$BL$1-'Output data - DO NOT TOUCH (2)'!$CG33-1,0)/1000</f>
        <v>1.911</v>
      </c>
      <c r="DZ33" s="1">
        <f ca="1">OFFSET('Input data (2)'!Y$126,'Input data (2)'!$BL$1-'Output data - DO NOT TOUCH (2)'!$CG33-1,0)/1000</f>
        <v>13.071</v>
      </c>
      <c r="EA33" s="1">
        <f ca="1">OFFSET('Input data (2)'!Q$126,'Input data (2)'!$BL$1-'Output data - DO NOT TOUCH (2)'!$CG33-1,0)/1000</f>
        <v>14.981999999999999</v>
      </c>
    </row>
    <row r="34" spans="1:131" x14ac:dyDescent="0.15">
      <c r="A34" s="1">
        <v>10</v>
      </c>
      <c r="B34" s="1">
        <v>11</v>
      </c>
      <c r="C34" s="1">
        <v>12</v>
      </c>
      <c r="D34" s="1">
        <v>9</v>
      </c>
      <c r="CG34" s="1">
        <v>10</v>
      </c>
      <c r="CI34" s="1">
        <f t="shared" ca="1" si="24"/>
        <v>2010</v>
      </c>
      <c r="CJ34" s="1" t="str">
        <f t="shared" si="25"/>
        <v>Q4</v>
      </c>
      <c r="CK34" s="1" t="str">
        <f t="shared" ca="1" si="12"/>
        <v>10</v>
      </c>
      <c r="CL34" s="1" t="str">
        <f t="shared" ca="1" si="13"/>
        <v>Q4 10</v>
      </c>
      <c r="CM34" s="1">
        <f ca="1">OFFSET('Input data (2)'!AJ$126,'Input data (2)'!$BL$1-'Output data - DO NOT TOUCH (2)'!$CG34,0)/1000</f>
        <v>12.704000000000001</v>
      </c>
      <c r="CN34" s="1">
        <f ca="1">OFFSET('Input data (2)'!AK$126,'Input data (2)'!$BL$1-'Output data - DO NOT TOUCH (2)'!$CG34,0)/1000</f>
        <v>12.298999999999999</v>
      </c>
      <c r="CO34" s="1" t="e">
        <f ca="1">OFFSET('Input data (2)'!AL$126,'Input data (2)'!$BL$1-'Output data - DO NOT TOUCH (2)'!$CG34,0)/1000</f>
        <v>#VALUE!</v>
      </c>
      <c r="CP34" s="1"/>
      <c r="CQ34" s="1">
        <f ca="1">OFFSET('Input data (2)'!AG$126,'Input data (2)'!$BL$1-'Output data - DO NOT TOUCH (2)'!$CG34,0)/1000</f>
        <v>1.179</v>
      </c>
      <c r="CR34" s="1">
        <f ca="1">OFFSET('Input data (2)'!AH$126,'Input data (2)'!$BL$1-'Output data - DO NOT TOUCH (2)'!$CG34,0)/1000</f>
        <v>2.82</v>
      </c>
      <c r="CS34" s="1">
        <f ca="1">OFFSET('Input data (2)'!AI$126,'Input data (2)'!$BL$1-'Output data - DO NOT TOUCH (2)'!$CG34,0)/1000</f>
        <v>3.9990000000000001</v>
      </c>
      <c r="CT34" s="1"/>
      <c r="CU34" s="1">
        <f ca="1">OFFSET('Input data (2)'!L$126,'Input data (2)'!$BL$1-'Output data - DO NOT TOUCH (2)'!$CG34,0)</f>
        <v>302</v>
      </c>
      <c r="CV34" s="1">
        <f ca="1">OFFSET('Input data (2)'!M$126,'Input data (2)'!$BL$1-'Output data - DO NOT TOUCH (2)'!$CG34,0)</f>
        <v>0</v>
      </c>
      <c r="CW34" s="67">
        <f ca="1">OFFSET('Input data (2)'!N$126,'Input data (2)'!$BL$1-'Output data - DO NOT TOUCH (2)'!$CG34,0)</f>
        <v>642</v>
      </c>
      <c r="CX34" s="1">
        <f ca="1">OFFSET('Input data (2)'!P$126,'Input data (2)'!$BL$1-'Output data - DO NOT TOUCH (2)'!$CG34,0)</f>
        <v>170</v>
      </c>
      <c r="CY34" s="1"/>
      <c r="CZ34" s="1">
        <f ca="1">OFFSET('Input data (2)'!AY$126,'Input data (2)'!$BL$1-'Output data - DO NOT TOUCH (2)'!$CG34,0)/1000</f>
        <v>2.5009999999999999</v>
      </c>
      <c r="DA34" s="1">
        <f ca="1">OFFSET('Input data (2)'!BA$126,'Input data (2)'!$BL$1-'Output data - DO NOT TOUCH (2)'!$CG34,0)/1000</f>
        <v>2.09</v>
      </c>
      <c r="DB34" s="1">
        <f ca="1">OFFSET('Input data (2)'!BB$126,'Input data (2)'!$BL$1-'Output data - DO NOT TOUCH (2)'!$CG34,0)/1000</f>
        <v>4.5910000000000002</v>
      </c>
      <c r="DD34" s="1">
        <f ca="1">OFFSET('Input data (2)'!AN$126,'Input data (2)'!$BL$1-'Output data - DO NOT TOUCH (2)'!$CG34,0)</f>
        <v>164</v>
      </c>
      <c r="DE34" s="1">
        <f ca="1">OFFSET('Input data (2)'!AO$126,'Input data (2)'!$BL$1-'Output data - DO NOT TOUCH (2)'!$CG34,0)</f>
        <v>81</v>
      </c>
      <c r="DF34" s="1">
        <f ca="1">OFFSET('Input data (2)'!AP$126,'Input data (2)'!$BL$1-'Output data - DO NOT TOUCH (2)'!$CG34,0)</f>
        <v>245</v>
      </c>
      <c r="DG34" s="1"/>
      <c r="DH34" s="1">
        <f ca="1">OFFSET('Input data (2)'!AU$126,'Input data (2)'!$BL$1-'Output data - DO NOT TOUCH (2)'!$CG34,0)</f>
        <v>6</v>
      </c>
      <c r="DI34" s="1">
        <f ca="1">OFFSET('Input data (2)'!AV$126,'Input data (2)'!$BL$1-'Output data - DO NOT TOUCH (2)'!$CG34,0)</f>
        <v>0</v>
      </c>
      <c r="DJ34" s="1">
        <f ca="1">OFFSET('Input data (2)'!AW$126,'Input data (2)'!$BL$1-'Output data - DO NOT TOUCH (2)'!$CG34,0)</f>
        <v>55</v>
      </c>
      <c r="DK34" s="1">
        <f ca="1">OFFSET('Input data (2)'!AX$126,'Input data (2)'!$BL$1-'Output data - DO NOT TOUCH (2)'!$CG34,0)</f>
        <v>4</v>
      </c>
      <c r="DM34" s="1">
        <f ca="1">OFFSET('Input data (2)'!BI$126,'Input data (2)'!$BL$1-'Output data - DO NOT TOUCH (2)'!$CG34,0)</f>
        <v>352</v>
      </c>
      <c r="DN34" s="1">
        <f ca="1">OFFSET('Input data (2)'!BJ$126,'Input data (2)'!$BL$1-'Output data - DO NOT TOUCH (2)'!$CG34,0)</f>
        <v>230</v>
      </c>
      <c r="DO34" s="1">
        <f ca="1">OFFSET('Input data (2)'!BL$126,'Input data (2)'!$BL$1-'Output data - DO NOT TOUCH (2)'!$CG34,0)</f>
        <v>582</v>
      </c>
      <c r="DQ34" s="1">
        <f ca="1">OFFSET('Input data (2)'!BD$126,'Input data (2)'!$BL$1-'Output data - DO NOT TOUCH (2)'!$CG34,0)</f>
        <v>54</v>
      </c>
      <c r="DR34" s="1">
        <f ca="1">OFFSET('Input data (2)'!BE$126,'Input data (2)'!$BL$1-'Output data - DO NOT TOUCH (2)'!$CG34,0)</f>
        <v>31</v>
      </c>
      <c r="DS34" s="1">
        <f ca="1">OFFSET('Input data (2)'!BF$126,'Input data (2)'!$BL$1-'Output data - DO NOT TOUCH (2)'!$CG34,0)</f>
        <v>85</v>
      </c>
      <c r="DU34" s="1">
        <f ca="1">OFFSET('Input data (2)'!B$126,'Input data (2)'!$BL$1-'Output data - DO NOT TOUCH (2)'!$CG34-1,0)</f>
        <v>2010</v>
      </c>
      <c r="DV34" s="1" t="str">
        <f ca="1">OFFSET('Input data (2)'!C$126,'Input data (2)'!$BL$1-'Output data - DO NOT TOUCH (2)'!$CG34-1,0)</f>
        <v>Q3</v>
      </c>
      <c r="DW34" s="1" t="str">
        <f t="shared" ca="1" si="14"/>
        <v>10</v>
      </c>
      <c r="DX34" s="1" t="str">
        <f t="shared" ca="1" si="15"/>
        <v>Q3 10</v>
      </c>
      <c r="DY34" s="1">
        <f ca="1">OFFSET('Input data (2)'!W$126,'Input data (2)'!$BL$1-'Output data - DO NOT TOUCH (2)'!$CG34-1,0)/1000</f>
        <v>1.65</v>
      </c>
      <c r="DZ34" s="1">
        <f ca="1">OFFSET('Input data (2)'!Y$126,'Input data (2)'!$BL$1-'Output data - DO NOT TOUCH (2)'!$CG34-1,0)/1000</f>
        <v>12.257</v>
      </c>
      <c r="EA34" s="1">
        <f ca="1">OFFSET('Input data (2)'!Q$126,'Input data (2)'!$BL$1-'Output data - DO NOT TOUCH (2)'!$CG34-1,0)/1000</f>
        <v>13.907</v>
      </c>
    </row>
    <row r="35" spans="1:131" x14ac:dyDescent="0.15">
      <c r="A35" s="1">
        <v>9</v>
      </c>
      <c r="B35" s="1">
        <v>10</v>
      </c>
      <c r="C35" s="1">
        <v>11</v>
      </c>
      <c r="D35" s="1">
        <v>8</v>
      </c>
      <c r="E35" s="1" t="str">
        <f>F35&amp;G35</f>
        <v>2007Q1</v>
      </c>
      <c r="F35" s="1">
        <f>F30+1</f>
        <v>2007</v>
      </c>
      <c r="G35" s="1" t="s">
        <v>1</v>
      </c>
      <c r="H35" s="1">
        <f>VLOOKUP($E35,'Input data (2)'!$A:$BL,'Output data - DO NOT TOUCH (2)'!H$71,FALSE)</f>
        <v>3274</v>
      </c>
      <c r="I35" s="1">
        <f>VLOOKUP($E35,'Input data (2)'!$A:$BL,'Output data - DO NOT TOUCH (2)'!I$71,FALSE)</f>
        <v>1384</v>
      </c>
      <c r="J35" s="1">
        <f>VLOOKUP($E35,'Input data (2)'!$A:$BL,'Output data - DO NOT TOUCH (2)'!J$71,FALSE)</f>
        <v>1890</v>
      </c>
      <c r="K35" s="1">
        <f>VLOOKUP($E35,'Input data (2)'!$A:$BL,'Output data - DO NOT TOUCH (2)'!K$71,FALSE)</f>
        <v>3163</v>
      </c>
      <c r="L35" s="1">
        <f>VLOOKUP($E35,'Input data (2)'!$A:$BL,'Output data - DO NOT TOUCH (2)'!L$71,FALSE)</f>
        <v>1353</v>
      </c>
      <c r="M35" s="1">
        <f>VLOOKUP($E35,'Input data (2)'!$A:$BL,'Output data - DO NOT TOUCH (2)'!M$71,FALSE)</f>
        <v>1810</v>
      </c>
      <c r="O35" s="119">
        <f ca="1">IF(AND('Input data (2)'!$C$2=4,$D20&gt;=0),OFFSET('Input data (2)'!O$126,'Input data (2)'!$BL$1-$D20,0),IF(AND('Input data (2)'!$C$2=3,$C20&gt;=0),OFFSET('Input data (2)'!O$126,'Input data (2)'!$BL$1-$C20,0),IF(AND('Input data (2)'!$C$2=2,$B20&gt;=0),OFFSET('Input data (2)'!O$126,'Input data (2)'!$BL$1-$B20,0),IF(AND('Input data (2)'!$C$2=1,$A20&gt;=0),OFFSET('Input data (2)'!O$126,'Input data (2)'!$BL$1-$A20,0),""))))</f>
        <v>276</v>
      </c>
      <c r="Q35" s="1">
        <f ca="1">IF(AND('Input data (2)'!$C$2=4,$D20&gt;=0),OFFSET('Input data (2)'!AC$126,'Input data (2)'!$BL$1-$D20,0),IF(AND('Input data (2)'!$C$2=3,$C20&gt;=0),OFFSET('Input data (2)'!AC$126,'Input data (2)'!$BL$1-$C20,0),IF(AND('Input data (2)'!$C$2=2,$B20&gt;=0),OFFSET('Input data (2)'!AC$126,'Input data (2)'!$BL$1-$B20,0),IF(AND('Input data (2)'!$C$2=1,$A20&gt;=0),OFFSET('Input data (2)'!AC$126,'Input data (2)'!$BL$1-$A20,0),""))))</f>
        <v>29236</v>
      </c>
      <c r="R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S35" s="1" t="str">
        <f ca="1">IF(AND('Input data (2)'!$C$2=4,$D20&gt;=0),OFFSET('Input data (2)'!R$126,'Input data (2)'!$BL$1-$D20,0),IF(AND('Input data (2)'!$C$2=3,$C20&gt;=0),OFFSET('Input data (2)'!R$126,'Input data (2)'!$BL$1-$C20,0),IF(AND('Input data (2)'!$C$2=2,$B20&gt;=0),OFFSET('Input data (2)'!R$126,'Input data (2)'!$BL$1-$B20,0),IF(AND('Input data (2)'!$C$2=1,$A20&gt;=0),OFFSET('Input data (2)'!R$126,'Input data (2)'!$BL$1-$A20,0),""))))</f>
        <v>:</v>
      </c>
      <c r="T35" s="1">
        <f ca="1">IF(AND('Input data (2)'!$C$2=4,$D20&gt;=0),OFFSET('Input data (2)'!AA$126,'Input data (2)'!$BL$1-$D20,0),IF(AND('Input data (2)'!$C$2=3,$C20&gt;=0),OFFSET('Input data (2)'!AA$126,'Input data (2)'!$BL$1-$C20,0),IF(AND('Input data (2)'!$C$2=2,$B20&gt;=0),OFFSET('Input data (2)'!AA$126,'Input data (2)'!$BL$1-$B20,0),IF(AND('Input data (2)'!$C$2=1,$A20&gt;=0),OFFSET('Input data (2)'!AA$126,'Input data (2)'!$BL$1-$A20,0),""))))</f>
        <v>11299</v>
      </c>
      <c r="U35" s="1">
        <f ca="1">IF(AND('Input data (2)'!$C$2=4,$D20&gt;=0),OFFSET('Input data (2)'!AL$126,'Input data (2)'!$BL$1-$D20,0),IF(AND('Input data (2)'!$C$2=3,$C20&gt;=0),OFFSET('Input data (2)'!AL$126,'Input data (2)'!$BL$1-$C20,0),IF(AND('Input data (2)'!$C$2=2,$B20&gt;=0),OFFSET('Input data (2)'!AL$126,'Input data (2)'!$BL$1-$B20,0),IF(AND('Input data (2)'!$C$2=1,$A20&gt;=0),OFFSET('Input data (2)'!AL$126,'Input data (2)'!$BL$1-$A20,0),""))))</f>
        <v>29196</v>
      </c>
      <c r="V35" s="1">
        <f ca="1">IF(AND('Input data (2)'!$C$2=4,$D20&gt;=0),OFFSET('Input data (2)'!AJ$126,'Input data (2)'!$BL$1-$D20,0),IF(AND('Input data (2)'!$C$2=3,$C20&gt;=0),OFFSET('Input data (2)'!AJ$126,'Input data (2)'!$BL$1-$C20,0),IF(AND('Input data (2)'!$C$2=2,$B20&gt;=0),OFFSET('Input data (2)'!AJ$126,'Input data (2)'!$BL$1-$B20,0),IF(AND('Input data (2)'!$C$2=1,$A20&gt;=0),OFFSET('Input data (2)'!AJ$126,'Input data (2)'!$BL$1-$A20,0),""))))</f>
        <v>16742</v>
      </c>
      <c r="W35" s="1">
        <f ca="1">IF(AND('Input data (2)'!$C$2=4,$D20&gt;=0),OFFSET('Input data (2)'!AK$126,'Input data (2)'!$BL$1-$D20,0),IF(AND('Input data (2)'!$C$2=3,$C20&gt;=0),OFFSET('Input data (2)'!AK$126,'Input data (2)'!$BL$1-$C20,0),IF(AND('Input data (2)'!$C$2=2,$B20&gt;=0),OFFSET('Input data (2)'!AK$126,'Input data (2)'!$BL$1-$B20,0),IF(AND('Input data (2)'!$C$2=1,$A20&gt;=0),OFFSET('Input data (2)'!AK$126,'Input data (2)'!$BL$1-$A20,0),""))))</f>
        <v>12454</v>
      </c>
      <c r="Y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Z35" s="1">
        <f ca="1">IF(AND('Input data (2)'!$C$2=4,$D20&gt;=0),OFFSET('Input data (2)'!S$126,'Input data (2)'!$BL$1-$D20,0),IF(AND('Input data (2)'!$C$2=3,$C20&gt;=0),OFFSET('Input data (2)'!S$126,'Input data (2)'!$BL$1-$C20,0),IF(AND('Input data (2)'!$C$2=2,$B20&gt;=0),OFFSET('Input data (2)'!S$126,'Input data (2)'!$BL$1-$B20,0),IF(AND('Input data (2)'!$C$2=1,$A20&gt;=0),OFFSET('Input data (2)'!S$126,'Input data (2)'!$BL$1-$A20,0),""))))</f>
        <v>15356</v>
      </c>
      <c r="AA35" s="1">
        <f ca="1">IF(AND('Input data (2)'!$C$2=4,$D20&gt;=0),OFFSET('Input data (2)'!T$126,'Input data (2)'!$BL$1-$D20,0),IF(AND('Input data (2)'!$C$2=3,$C20&gt;=0),OFFSET('Input data (2)'!T$126,'Input data (2)'!$BL$1-$C20,0),IF(AND('Input data (2)'!$C$2=2,$B20&gt;=0),OFFSET('Input data (2)'!T$126,'Input data (2)'!$BL$1-$B20,0),IF(AND('Input data (2)'!$C$2=1,$A20&gt;=0),OFFSET('Input data (2)'!T$126,'Input data (2)'!$BL$1-$A20,0),""))))</f>
        <v>85.610748731671961</v>
      </c>
      <c r="AB35" s="1">
        <f ca="1">IF(AND('Input data (2)'!$C$2=4,$D20&gt;=0),OFFSET('Input data (2)'!U$126,'Input data (2)'!$BL$1-$D20,0),IF(AND('Input data (2)'!$C$2=3,$C20&gt;=0),OFFSET('Input data (2)'!U$126,'Input data (2)'!$BL$1-$C20,0),IF(AND('Input data (2)'!$C$2=2,$B20&gt;=0),OFFSET('Input data (2)'!U$126,'Input data (2)'!$BL$1-$B20,0),IF(AND('Input data (2)'!$C$2=1,$A20&gt;=0),OFFSET('Input data (2)'!U$126,'Input data (2)'!$BL$1-$A20,0),""))))</f>
        <v>2581</v>
      </c>
      <c r="AC35" s="1">
        <f ca="1">IF(AND('Input data (2)'!$C$2=4,$D20&gt;=0),OFFSET('Input data (2)'!V$126,'Input data (2)'!$BL$1-$D20,0),IF(AND('Input data (2)'!$C$2=3,$C20&gt;=0),OFFSET('Input data (2)'!V$126,'Input data (2)'!$BL$1-$C20,0),IF(AND('Input data (2)'!$C$2=2,$B20&gt;=0),OFFSET('Input data (2)'!V$126,'Input data (2)'!$BL$1-$B20,0),IF(AND('Input data (2)'!$C$2=1,$A20&gt;=0),OFFSET('Input data (2)'!V$126,'Input data (2)'!$BL$1-$A20,0),""))))</f>
        <v>14.389251268328037</v>
      </c>
      <c r="AD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AE35" s="1">
        <f ca="1">IF(AND('Input data (2)'!$C$2=4,$D20&gt;=0),OFFSET('Input data (2)'!W$126,'Input data (2)'!$BL$1-$D20,0),IF(AND('Input data (2)'!$C$2=3,$C20&gt;=0),OFFSET('Input data (2)'!W$126,'Input data (2)'!$BL$1-$C20,0),IF(AND('Input data (2)'!$C$2=2,$B20&gt;=0),OFFSET('Input data (2)'!W$126,'Input data (2)'!$BL$1-$B20,0),IF(AND('Input data (2)'!$C$2=1,$A20&gt;=0),OFFSET('Input data (2)'!W$126,'Input data (2)'!$BL$1-$A20,0),""))))</f>
        <v>1981</v>
      </c>
      <c r="AF35" s="1">
        <f ca="1">IF(AND('Input data (2)'!$C$2=4,$D20&gt;=0),OFFSET('Input data (2)'!X$126,'Input data (2)'!$BL$1-$D20,0),IF(AND('Input data (2)'!$C$2=3,$C20&gt;=0),OFFSET('Input data (2)'!X$126,'Input data (2)'!$BL$1-$C20,0),IF(AND('Input data (2)'!$C$2=2,$B20&gt;=0),OFFSET('Input data (2)'!X$126,'Input data (2)'!$BL$1-$B20,0),IF(AND('Input data (2)'!$C$2=1,$A20&gt;=0),OFFSET('Input data (2)'!X$126,'Input data (2)'!$BL$1-$A20,0),""))))</f>
        <v>11.044210291576071</v>
      </c>
      <c r="AG35" s="1">
        <f ca="1">IF(AND('Input data (2)'!$C$2=4,$D20&gt;=0),OFFSET('Input data (2)'!Y$126,'Input data (2)'!$BL$1-$D20,0),IF(AND('Input data (2)'!$C$2=3,$C20&gt;=0),OFFSET('Input data (2)'!Y$126,'Input data (2)'!$BL$1-$C20,0),IF(AND('Input data (2)'!$C$2=2,$B20&gt;=0),OFFSET('Input data (2)'!Y$126,'Input data (2)'!$BL$1-$B20,0),IF(AND('Input data (2)'!$C$2=1,$A20&gt;=0),OFFSET('Input data (2)'!Y$126,'Input data (2)'!$BL$1-$A20,0),""))))</f>
        <v>15956</v>
      </c>
      <c r="AH35" s="1">
        <f ca="1">IF(AND('Input data (2)'!$C$2=4,$D20&gt;=0),OFFSET('Input data (2)'!Z$126,'Input data (2)'!$BL$1-$D20,0),IF(AND('Input data (2)'!$C$2=3,$C20&gt;=0),OFFSET('Input data (2)'!Z$126,'Input data (2)'!$BL$1-$C20,0),IF(AND('Input data (2)'!$C$2=2,$B20&gt;=0),OFFSET('Input data (2)'!Z$126,'Input data (2)'!$BL$1-$B20,0),IF(AND('Input data (2)'!$C$2=1,$A20&gt;=0),OFFSET('Input data (2)'!Z$126,'Input data (2)'!$BL$1-$A20,0),""))))</f>
        <v>88.955789708423922</v>
      </c>
      <c r="AI35" s="3"/>
      <c r="AJ35" s="124">
        <f ca="1">IF(AND('Input data (2)'!$C$2=4,$D20&gt;=0),OFFSET('Input data (2)'!AF$126,'Input data (2)'!$BL$1-$D20,0),IF(AND('Input data (2)'!$C$2=3,$C20&gt;=0),OFFSET('Input data (2)'!AF$126,'Input data (2)'!$BL$1-$C20,0),IF(AND('Input data (2)'!$C$2=2,$B20&gt;=0),OFFSET('Input data (2)'!AF$126,'Input data (2)'!$BL$1-$B20,0),IF(AND('Input data (2)'!$C$2=1,$A20&gt;=0),OFFSET('Input data (2)'!AF$126,'Input data (2)'!$BL$1-$A20,0),""))))</f>
        <v>2483</v>
      </c>
      <c r="AK35" s="124">
        <f ca="1">IF(AND('Input data (2)'!$C$2=4,$D20&gt;=0),OFFSET('Input data (2)'!AD$126,'Input data (2)'!$BL$1-$D20,0),IF(AND('Input data (2)'!$C$2=3,$C20&gt;=0),OFFSET('Input data (2)'!AD$126,'Input data (2)'!$BL$1-$C20,0),IF(AND('Input data (2)'!$C$2=2,$B20&gt;=0),OFFSET('Input data (2)'!AD$126,'Input data (2)'!$BL$1-$B20,0),IF(AND('Input data (2)'!$C$2=1,$A20&gt;=0),OFFSET('Input data (2)'!AD$126,'Input data (2)'!$BL$1-$A20,0),""))))</f>
        <v>23</v>
      </c>
      <c r="AL35" s="124">
        <f ca="1">IF(AND('Input data (2)'!$C$2=4,$D20&gt;=0),OFFSET('Input data (2)'!AE$126,'Input data (2)'!$BL$1-$D20,0),IF(AND('Input data (2)'!$C$2=3,$C20&gt;=0),OFFSET('Input data (2)'!AE$126,'Input data (2)'!$BL$1-$C20,0),IF(AND('Input data (2)'!$C$2=2,$B20&gt;=0),OFFSET('Input data (2)'!AE$126,'Input data (2)'!$BL$1-$B20,0),IF(AND('Input data (2)'!$C$2=1,$A20&gt;=0),OFFSET('Input data (2)'!AE$126,'Input data (2)'!$BL$1-$A20,0),""))))</f>
        <v>2460</v>
      </c>
      <c r="AW35" s="1">
        <f ca="1">IF(AND('Input data (2)'!$C$2=4,$D20&gt;=0),OFFSET('Input data (2)'!L$126,'Input data (2)'!$BL$1-$D20,0),IF(AND('Input data (2)'!$C$2=3,$C20&gt;=0),OFFSET('Input data (2)'!L$126,'Input data (2)'!$BL$1-$C20,0),IF(AND('Input data (2)'!$C$2=2,$B20&gt;=0),OFFSET('Input data (2)'!L$126,'Input data (2)'!$BL$1-$B20,0),IF(AND('Input data (2)'!$C$2=1,$A20&gt;=0),OFFSET('Input data (2)'!L$126,'Input data (2)'!$BL$1-$A20,0),""))))</f>
        <v>88</v>
      </c>
      <c r="AX35" s="1">
        <f ca="1">IF(AND('Input data (2)'!$C$2=4,$D20&gt;=0),OFFSET('Input data (2)'!M$126,'Input data (2)'!$BL$1-$D20,0),IF(AND('Input data (2)'!$C$2=3,$C20&gt;=0),OFFSET('Input data (2)'!M$126,'Input data (2)'!$BL$1-$C20,0),IF(AND('Input data (2)'!$C$2=2,$B20&gt;=0),OFFSET('Input data (2)'!M$126,'Input data (2)'!$BL$1-$B20,0),IF(AND('Input data (2)'!$C$2=1,$A20&gt;=0),OFFSET('Input data (2)'!M$126,'Input data (2)'!$BL$1-$A20,0),""))))</f>
        <v>1</v>
      </c>
      <c r="AY35" s="1">
        <f ca="1">IF(AND('Input data (2)'!$C$2=4,$D20&gt;=0),OFFSET('Input data (2)'!N$126,'Input data (2)'!$BL$1-$D20,0),IF(AND('Input data (2)'!$C$2=3,$C20&gt;=0),OFFSET('Input data (2)'!N$126,'Input data (2)'!$BL$1-$C20,0),IF(AND('Input data (2)'!$C$2=2,$B20&gt;=0),OFFSET('Input data (2)'!N$126,'Input data (2)'!$BL$1-$B20,0),IF(AND('Input data (2)'!$C$2=1,$A20&gt;=0),OFFSET('Input data (2)'!N$126,'Input data (2)'!$BL$1-$A20,0),""))))</f>
        <v>683</v>
      </c>
      <c r="AZ35" s="1">
        <f ca="1">IF(AND('Input data (2)'!$C$2=4,$D20&gt;=0),OFFSET('Input data (2)'!P$126,'Input data (2)'!$BL$1-$D20,0),IF(AND('Input data (2)'!$C$2=3,$C20&gt;=0),OFFSET('Input data (2)'!P$126,'Input data (2)'!$BL$1-$C20,0),IF(AND('Input data (2)'!$C$2=2,$B20&gt;=0),OFFSET('Input data (2)'!P$126,'Input data (2)'!$BL$1-$B20,0),IF(AND('Input data (2)'!$C$2=1,$A20&gt;=0),OFFSET('Input data (2)'!P$126,'Input data (2)'!$BL$1-$A20,0),""))))</f>
        <v>96</v>
      </c>
      <c r="BB35" s="1">
        <f ca="1">IF(AND('Input data (2)'!$C$2=4,$D20&gt;=0),OFFSET('Input data (2)'!BB$126,'Input data (2)'!$BL$1-$D20,0),IF(AND('Input data (2)'!$C$2=3,$C20&gt;=0),OFFSET('Input data (2)'!BB$126,'Input data (2)'!$BL$1-$C20,0),IF(AND('Input data (2)'!$C$2=2,$B20&gt;=0),OFFSET('Input data (2)'!BB$126,'Input data (2)'!$BL$1-$B20,0),IF(AND('Input data (2)'!$C$2=1,$A20&gt;=0),OFFSET('Input data (2)'!BB$126,'Input data (2)'!$BL$1-$A20,0),""))))</f>
        <v>3581</v>
      </c>
      <c r="BC35" s="1">
        <f ca="1">IF(AND('Input data (2)'!$C$2=4,$D20&gt;=0),OFFSET('Input data (2)'!AY$126,'Input data (2)'!$BL$1-$D20,0),IF(AND('Input data (2)'!$C$2=3,$C20&gt;=0),OFFSET('Input data (2)'!AY$126,'Input data (2)'!$BL$1-$C20,0),IF(AND('Input data (2)'!$C$2=2,$B20&gt;=0),OFFSET('Input data (2)'!AY$126,'Input data (2)'!$BL$1-$B20,0),IF(AND('Input data (2)'!$C$2=1,$A20&gt;=0),OFFSET('Input data (2)'!AY$126,'Input data (2)'!$BL$1-$A20,0),""))))</f>
        <v>1617</v>
      </c>
      <c r="BD35" s="1" t="str">
        <f ca="1">IF(AND('Input data (2)'!$C$2=4,$D20&gt;=0),OFFSET('Input data (2)'!AZ$126,'Input data (2)'!$BL$1-$D20,0),IF(AND('Input data (2)'!$C$2=3,$C20&gt;=0),OFFSET('Input data (2)'!AZ$126,'Input data (2)'!$BL$1-$C20,0),IF(AND('Input data (2)'!$C$2=2,$B20&gt;=0),OFFSET('Input data (2)'!AZ$126,'Input data (2)'!$BL$1-$B20,0),IF(AND('Input data (2)'!$C$2=1,$A20&gt;=0),OFFSET('Input data (2)'!AZ$126,'Input data (2)'!$BL$1-$A20,0),""))))</f>
        <v>:</v>
      </c>
      <c r="BE35" s="1">
        <f ca="1">IF(AND('Input data (2)'!$C$2=4,$D20&gt;=0),OFFSET('Input data (2)'!BA$126,'Input data (2)'!$BL$1-$D20,0),IF(AND('Input data (2)'!$C$2=3,$C20&gt;=0),OFFSET('Input data (2)'!BA$126,'Input data (2)'!$BL$1-$C20,0),IF(AND('Input data (2)'!$C$2=2,$B20&gt;=0),OFFSET('Input data (2)'!BA$126,'Input data (2)'!$BL$1-$B20,0),IF(AND('Input data (2)'!$C$2=1,$A20&gt;=0),OFFSET('Input data (2)'!BA$126,'Input data (2)'!$BL$1-$A20,0),""))))</f>
        <v>1964</v>
      </c>
      <c r="BF35" s="1">
        <f ca="1">IF(AND('Input data (2)'!$C$2=4,$D20&gt;=0),OFFSET('Input data (2)'!AP$126,'Input data (2)'!$BL$1-$D20,0),IF(AND('Input data (2)'!$C$2=3,$C20&gt;=0),OFFSET('Input data (2)'!AP$126,'Input data (2)'!$BL$1-$C20,0),IF(AND('Input data (2)'!$C$2=2,$B20&gt;=0),OFFSET('Input data (2)'!AP$126,'Input data (2)'!$BL$1-$B20,0),IF(AND('Input data (2)'!$C$2=1,$A20&gt;=0),OFFSET('Input data (2)'!AP$126,'Input data (2)'!$BL$1-$A20,0),""))))</f>
        <v>166</v>
      </c>
      <c r="BG35" s="1">
        <f ca="1">IF(AND('Input data (2)'!$C$2=4,$D20&gt;=0),OFFSET('Input data (2)'!AN$126,'Input data (2)'!$BL$1-$D20,0),IF(AND('Input data (2)'!$C$2=3,$C20&gt;=0),OFFSET('Input data (2)'!AN$126,'Input data (2)'!$BL$1-$C20,0),IF(AND('Input data (2)'!$C$2=2,$B20&gt;=0),OFFSET('Input data (2)'!AN$126,'Input data (2)'!$BL$1-$B20,0),IF(AND('Input data (2)'!$C$2=1,$A20&gt;=0),OFFSET('Input data (2)'!AN$126,'Input data (2)'!$BL$1-$A20,0),""))))</f>
        <v>132</v>
      </c>
      <c r="BH35" s="1">
        <f ca="1">IF(AND('Input data (2)'!$C$2=4,$D20&gt;=0),OFFSET('Input data (2)'!AO$126,'Input data (2)'!$BL$1-$D20,0),IF(AND('Input data (2)'!$C$2=3,$C20&gt;=0),OFFSET('Input data (2)'!AO$126,'Input data (2)'!$BL$1-$C20,0),IF(AND('Input data (2)'!$C$2=2,$B20&gt;=0),OFFSET('Input data (2)'!AO$126,'Input data (2)'!$BL$1-$B20,0),IF(AND('Input data (2)'!$C$2=1,$A20&gt;=0),OFFSET('Input data (2)'!AO$126,'Input data (2)'!$BL$1-$A20,0),""))))</f>
        <v>34</v>
      </c>
      <c r="BJ35" s="1">
        <f ca="1">IF(AND('Input data (2)'!$C$2=4,$D20&gt;=0),OFFSET('Input data (2)'!AU$126,'Input data (2)'!$BL$1-$D20,0),IF(AND('Input data (2)'!$C$2=3,$C20&gt;=0),OFFSET('Input data (2)'!AU$126,'Input data (2)'!$BL$1-$C20,0),IF(AND('Input data (2)'!$C$2=2,$B20&gt;=0),OFFSET('Input data (2)'!AU$126,'Input data (2)'!$BL$1-$B20,0),IF(AND('Input data (2)'!$C$2=1,$A20&gt;=0),OFFSET('Input data (2)'!AU$126,'Input data (2)'!$BL$1-$A20,0),""))))</f>
        <v>9</v>
      </c>
      <c r="BK35" s="1">
        <f ca="1">IF(AND('Input data (2)'!$C$2=4,$D20&gt;=0),OFFSET('Input data (2)'!AV$126,'Input data (2)'!$BL$1-$D20,0),IF(AND('Input data (2)'!$C$2=3,$C20&gt;=0),OFFSET('Input data (2)'!AV$126,'Input data (2)'!$BL$1-$C20,0),IF(AND('Input data (2)'!$C$2=2,$B20&gt;=0),OFFSET('Input data (2)'!AV$126,'Input data (2)'!$BL$1-$B20,0),IF(AND('Input data (2)'!$C$2=1,$A20&gt;=0),OFFSET('Input data (2)'!AV$126,'Input data (2)'!$BL$1-$A20,0),""))))</f>
        <v>0</v>
      </c>
      <c r="BL35" s="1">
        <f ca="1">IF(AND('Input data (2)'!$C$2=4,$D20&gt;=0),OFFSET('Input data (2)'!AW$126,'Input data (2)'!$BL$1-$D20,0),IF(AND('Input data (2)'!$C$2=3,$C20&gt;=0),OFFSET('Input data (2)'!AW$126,'Input data (2)'!$BL$1-$C20,0),IF(AND('Input data (2)'!$C$2=2,$B20&gt;=0),OFFSET('Input data (2)'!AW$126,'Input data (2)'!$BL$1-$B20,0),IF(AND('Input data (2)'!$C$2=1,$A20&gt;=0),OFFSET('Input data (2)'!AW$126,'Input data (2)'!$BL$1-$A20,0),""))))</f>
        <v>15</v>
      </c>
      <c r="BM35" s="1">
        <f ca="1">IF(AND('Input data (2)'!$C$2=4,$D20&gt;=0),OFFSET('Input data (2)'!AX$126,'Input data (2)'!$BL$1-$D20,0),IF(AND('Input data (2)'!$C$2=3,$C20&gt;=0),OFFSET('Input data (2)'!AX$126,'Input data (2)'!$BL$1-$C20,0),IF(AND('Input data (2)'!$C$2=2,$B20&gt;=0),OFFSET('Input data (2)'!AX$126,'Input data (2)'!$BL$1-$B20,0),IF(AND('Input data (2)'!$C$2=1,$A20&gt;=0),OFFSET('Input data (2)'!AX$126,'Input data (2)'!$BL$1-$A20,0),""))))</f>
        <v>2</v>
      </c>
      <c r="BO35" s="1">
        <f ca="1">IF(AND('Input data (2)'!$C$2=4,$D20&gt;=0),OFFSET('Input data (2)'!BL$126,'Input data (2)'!$BL$1-$D20,0),IF(AND('Input data (2)'!$C$2=3,$C20&gt;=0),OFFSET('Input data (2)'!BL$126,'Input data (2)'!$BL$1-$C20,0),IF(AND('Input data (2)'!$C$2=2,$B20&gt;=0),OFFSET('Input data (2)'!BL$126,'Input data (2)'!$BL$1-$B20,0),IF(AND('Input data (2)'!$C$2=1,$A20&gt;=0),OFFSET('Input data (2)'!BL$126,'Input data (2)'!$BL$1-$A20,0),""))))</f>
        <v>343</v>
      </c>
      <c r="BP35" s="1">
        <f ca="1">IF(AND('Input data (2)'!$C$2=4,$D20&gt;=0),OFFSET('Input data (2)'!BI$126,'Input data (2)'!$BL$1-$D20,0),IF(AND('Input data (2)'!$C$2=3,$C20&gt;=0),OFFSET('Input data (2)'!BI$126,'Input data (2)'!$BL$1-$C20,0),IF(AND('Input data (2)'!$C$2=2,$B20&gt;=0),OFFSET('Input data (2)'!BI$126,'Input data (2)'!$BL$1-$B20,0),IF(AND('Input data (2)'!$C$2=1,$A20&gt;=0),OFFSET('Input data (2)'!BI$126,'Input data (2)'!$BL$1-$A20,0),""))))</f>
        <v>218</v>
      </c>
      <c r="BQ35" s="1" t="str">
        <f ca="1">IF(AND('Input data (2)'!$C$2=4,$D20&gt;=0),OFFSET('Input data (2)'!BK$126,'Input data (2)'!$BL$1-$D20,0),IF(AND('Input data (2)'!$C$2=3,$C20&gt;=0),OFFSET('Input data (2)'!BK$126,'Input data (2)'!$BL$1-$C20,0),IF(AND('Input data (2)'!$C$2=2,$B20&gt;=0),OFFSET('Input data (2)'!BK$126,'Input data (2)'!$BL$1-$B20,0),IF(AND('Input data (2)'!$C$2=1,$A20&gt;=0),OFFSET('Input data (2)'!BK$126,'Input data (2)'!$BL$1-$A20,0),""))))</f>
        <v>..</v>
      </c>
      <c r="BR35" s="1">
        <f ca="1">IF(AND('Input data (2)'!$C$2=4,$D20&gt;=0),OFFSET('Input data (2)'!BJ$126,'Input data (2)'!$BL$1-$D20,0),IF(AND('Input data (2)'!$C$2=3,$C20&gt;=0),OFFSET('Input data (2)'!BJ$126,'Input data (2)'!$BL$1-$C20,0),IF(AND('Input data (2)'!$C$2=2,$B20&gt;=0),OFFSET('Input data (2)'!BJ$126,'Input data (2)'!$BL$1-$B20,0),IF(AND('Input data (2)'!$C$2=1,$A20&gt;=0),OFFSET('Input data (2)'!BJ$126,'Input data (2)'!$BL$1-$A20,0),""))))</f>
        <v>125</v>
      </c>
      <c r="BS35" s="1">
        <f ca="1">IF(AND('Input data (2)'!$C$2=4,$D20&gt;=0),OFFSET('Input data (2)'!BF$126,'Input data (2)'!$BL$1-$D20,0),IF(AND('Input data (2)'!$C$2=3,$C20&gt;=0),OFFSET('Input data (2)'!BF$126,'Input data (2)'!$BL$1-$C20,0),IF(AND('Input data (2)'!$C$2=2,$B20&gt;=0),OFFSET('Input data (2)'!BF$126,'Input data (2)'!$BL$1-$B20,0),IF(AND('Input data (2)'!$C$2=1,$A20&gt;=0),OFFSET('Input data (2)'!BF$126,'Input data (2)'!$BL$1-$A20,0),""))))</f>
        <v>36</v>
      </c>
      <c r="BT35" s="1">
        <f ca="1">IF(AND('Input data (2)'!$C$2=4,$D20&gt;=0),OFFSET('Input data (2)'!BD$126,'Input data (2)'!$BL$1-$D20,0),IF(AND('Input data (2)'!$C$2=3,$C20&gt;=0),OFFSET('Input data (2)'!BD$126,'Input data (2)'!$BL$1-$C20,0),IF(AND('Input data (2)'!$C$2=2,$B20&gt;=0),OFFSET('Input data (2)'!BD$126,'Input data (2)'!$BL$1-$B20,0),IF(AND('Input data (2)'!$C$2=1,$A20&gt;=0),OFFSET('Input data (2)'!BD$126,'Input data (2)'!$BL$1-$A20,0),""))))</f>
        <v>29</v>
      </c>
      <c r="BU35" s="1">
        <f ca="1">IF(AND('Input data (2)'!$C$2=4,$D20&gt;=0),OFFSET('Input data (2)'!BE$126,'Input data (2)'!$BL$1-$D20,0),IF(AND('Input data (2)'!$C$2=3,$C20&gt;=0),OFFSET('Input data (2)'!BE$126,'Input data (2)'!$BL$1-$C20,0),IF(AND('Input data (2)'!$C$2=2,$B20&gt;=0),OFFSET('Input data (2)'!BE$126,'Input data (2)'!$BL$1-$B20,0),IF(AND('Input data (2)'!$C$2=1,$A20&gt;=0),OFFSET('Input data (2)'!BE$126,'Input data (2)'!$BL$1-$A20,0),""))))</f>
        <v>7</v>
      </c>
      <c r="BW35" s="7">
        <f ca="1">IF(AND('Input data (2)'!$C$2=4,$D20&gt;=0),OFFSET('Input data (2)'!J$126,'Input data (2)'!$BL$1-$D20,0),IF(AND('Input data (2)'!$C$2=3,$C20&gt;=0),OFFSET('Input data (2)'!J$126,'Input data (2)'!$BL$1-$C20,0),IF(AND('Input data (2)'!$C$2=2,$B20&gt;=0),OFFSET('Input data (2)'!J$126,'Input data (2)'!$BL$1-$B20,0),IF(AND('Input data (2)'!$C$2=1,$A20&gt;=0),OFFSET('Input data (2)'!J$126,'Input data (2)'!$BL$1-$A20,0),""))))</f>
        <v>0.65957123337514723</v>
      </c>
      <c r="BX35" s="7">
        <f ca="1">IF(AND('Input data (2)'!$C$2=4,$D20&gt;=0),OFFSET('Input data (2)'!K$126,'Input data (2)'!$BL$1-$D20,0),IF(AND('Input data (2)'!$C$2=3,$C20&gt;=0),OFFSET('Input data (2)'!K$126,'Input data (2)'!$BL$1-$C20,0),IF(AND('Input data (2)'!$C$2=2,$B20&gt;=0),OFFSET('Input data (2)'!K$126,'Input data (2)'!$BL$1-$B20,0),IF(AND('Input data (2)'!$C$2=1,$A20&gt;=0),OFFSET('Input data (2)'!K$126,'Input data (2)'!$BL$1-$A20,0),""))))</f>
        <v>0.60509900408144557</v>
      </c>
      <c r="BY35" s="7">
        <f ca="1">IF(AND('Input data (2)'!$C$2=4,$D20&gt;=0),OFFSET('Input data (2)'!AS$126,'Input data (2)'!$BL$1-$D20,0),IF(AND('Input data (2)'!$C$2=3,$C20&gt;=0),OFFSET('Input data (2)'!AS$126,'Input data (2)'!$BL$1-$C20,0),IF(AND('Input data (2)'!$C$2=2,$B20&gt;=0),OFFSET('Input data (2)'!AS$126,'Input data (2)'!$BL$1-$B20,0),IF(AND('Input data (2)'!$C$2=1,$A20&gt;=0),OFFSET('Input data (2)'!AS$126,'Input data (2)'!$BL$1-$A20,0),""))))</f>
        <v>0.50111120912642737</v>
      </c>
      <c r="BZ35" s="7">
        <f ca="1">IF(AND('Input data (2)'!$C$2=4,$D20&gt;=0),OFFSET('Input data (2)'!AT$126,'Input data (2)'!$BL$1-$D20,0),IF(AND('Input data (2)'!$C$2=3,$C20&gt;=0),OFFSET('Input data (2)'!AT$126,'Input data (2)'!$BL$1-$C20,0),IF(AND('Input data (2)'!$C$2=2,$B20&gt;=0),OFFSET('Input data (2)'!AT$126,'Input data (2)'!$BL$1-$B20,0),IF(AND('Input data (2)'!$C$2=1,$A20&gt;=0),OFFSET('Input data (2)'!AT$126,'Input data (2)'!$BL$1-$A20,0),""))))</f>
        <v>0.45705476092220726</v>
      </c>
      <c r="CB35" s="122"/>
      <c r="CC35" s="122"/>
      <c r="CD35" s="122"/>
      <c r="CE35" s="122"/>
      <c r="CG35" s="1">
        <v>9</v>
      </c>
      <c r="CI35" s="1">
        <f t="shared" ca="1" si="24"/>
        <v>2011</v>
      </c>
      <c r="CJ35" s="1" t="str">
        <f t="shared" si="25"/>
        <v>Q1</v>
      </c>
      <c r="CK35" s="1" t="str">
        <f t="shared" ca="1" si="12"/>
        <v>11</v>
      </c>
      <c r="CL35" s="1" t="str">
        <f t="shared" ca="1" si="13"/>
        <v>Q1 11</v>
      </c>
      <c r="CM35" s="1">
        <f ca="1">OFFSET('Input data (2)'!AJ$126,'Input data (2)'!$BL$1-'Output data - DO NOT TOUCH (2)'!$CG35,0)/1000</f>
        <v>11.754</v>
      </c>
      <c r="CN35" s="1">
        <f ca="1">OFFSET('Input data (2)'!AK$126,'Input data (2)'!$BL$1-'Output data - DO NOT TOUCH (2)'!$CG35,0)/1000</f>
        <v>11.657</v>
      </c>
      <c r="CO35" s="1" t="e">
        <f ca="1">OFFSET('Input data (2)'!AL$126,'Input data (2)'!$BL$1-'Output data - DO NOT TOUCH (2)'!$CG35,0)/1000</f>
        <v>#VALUE!</v>
      </c>
      <c r="CP35" s="1"/>
      <c r="CQ35" s="1">
        <f ca="1">OFFSET('Input data (2)'!AG$126,'Input data (2)'!$BL$1-'Output data - DO NOT TOUCH (2)'!$CG35,0)/1000</f>
        <v>1.0860000000000001</v>
      </c>
      <c r="CR35" s="1">
        <f ca="1">OFFSET('Input data (2)'!AH$126,'Input data (2)'!$BL$1-'Output data - DO NOT TOUCH (2)'!$CG35,0)/1000</f>
        <v>3.0230000000000001</v>
      </c>
      <c r="CS35" s="1">
        <f ca="1">OFFSET('Input data (2)'!AI$126,'Input data (2)'!$BL$1-'Output data - DO NOT TOUCH (2)'!$CG35,0)/1000</f>
        <v>4.109</v>
      </c>
      <c r="CT35" s="1"/>
      <c r="CU35" s="1">
        <f ca="1">OFFSET('Input data (2)'!L$126,'Input data (2)'!$BL$1-'Output data - DO NOT TOUCH (2)'!$CG35,0)</f>
        <v>349</v>
      </c>
      <c r="CV35" s="1">
        <f ca="1">OFFSET('Input data (2)'!M$126,'Input data (2)'!$BL$1-'Output data - DO NOT TOUCH (2)'!$CG35,0)</f>
        <v>0</v>
      </c>
      <c r="CW35" s="67">
        <f ca="1">OFFSET('Input data (2)'!N$126,'Input data (2)'!$BL$1-'Output data - DO NOT TOUCH (2)'!$CG35,0)</f>
        <v>782</v>
      </c>
      <c r="CX35" s="1">
        <f ca="1">OFFSET('Input data (2)'!P$126,'Input data (2)'!$BL$1-'Output data - DO NOT TOUCH (2)'!$CG35,0)</f>
        <v>183</v>
      </c>
      <c r="CY35" s="1"/>
      <c r="CZ35" s="1">
        <f ca="1">OFFSET('Input data (2)'!AY$126,'Input data (2)'!$BL$1-'Output data - DO NOT TOUCH (2)'!$CG35,0)/1000</f>
        <v>2.698</v>
      </c>
      <c r="DA35" s="1">
        <f ca="1">OFFSET('Input data (2)'!BA$126,'Input data (2)'!$BL$1-'Output data - DO NOT TOUCH (2)'!$CG35,0)/1000</f>
        <v>1.575</v>
      </c>
      <c r="DB35" s="1">
        <f ca="1">OFFSET('Input data (2)'!BB$126,'Input data (2)'!$BL$1-'Output data - DO NOT TOUCH (2)'!$CG35,0)/1000</f>
        <v>4.2729999999999997</v>
      </c>
      <c r="DD35" s="1">
        <f ca="1">OFFSET('Input data (2)'!AN$126,'Input data (2)'!$BL$1-'Output data - DO NOT TOUCH (2)'!$CG35,0)</f>
        <v>208</v>
      </c>
      <c r="DE35" s="1">
        <f ca="1">OFFSET('Input data (2)'!AO$126,'Input data (2)'!$BL$1-'Output data - DO NOT TOUCH (2)'!$CG35,0)</f>
        <v>71</v>
      </c>
      <c r="DF35" s="1">
        <f ca="1">OFFSET('Input data (2)'!AP$126,'Input data (2)'!$BL$1-'Output data - DO NOT TOUCH (2)'!$CG35,0)</f>
        <v>279</v>
      </c>
      <c r="DG35" s="1"/>
      <c r="DH35" s="1">
        <f ca="1">OFFSET('Input data (2)'!AU$126,'Input data (2)'!$BL$1-'Output data - DO NOT TOUCH (2)'!$CG35,0)</f>
        <v>15</v>
      </c>
      <c r="DI35" s="1">
        <f ca="1">OFFSET('Input data (2)'!AV$126,'Input data (2)'!$BL$1-'Output data - DO NOT TOUCH (2)'!$CG35,0)</f>
        <v>0</v>
      </c>
      <c r="DJ35" s="1">
        <f ca="1">OFFSET('Input data (2)'!AW$126,'Input data (2)'!$BL$1-'Output data - DO NOT TOUCH (2)'!$CG35,0)</f>
        <v>57</v>
      </c>
      <c r="DK35" s="1">
        <f ca="1">OFFSET('Input data (2)'!AX$126,'Input data (2)'!$BL$1-'Output data - DO NOT TOUCH (2)'!$CG35,0)</f>
        <v>3</v>
      </c>
      <c r="DM35" s="1">
        <f ca="1">OFFSET('Input data (2)'!BI$126,'Input data (2)'!$BL$1-'Output data - DO NOT TOUCH (2)'!$CG35,0)</f>
        <v>451</v>
      </c>
      <c r="DN35" s="1">
        <f ca="1">OFFSET('Input data (2)'!BJ$126,'Input data (2)'!$BL$1-'Output data - DO NOT TOUCH (2)'!$CG35,0)</f>
        <v>241</v>
      </c>
      <c r="DO35" s="1">
        <f ca="1">OFFSET('Input data (2)'!BL$126,'Input data (2)'!$BL$1-'Output data - DO NOT TOUCH (2)'!$CG35,0)</f>
        <v>692</v>
      </c>
      <c r="DQ35" s="1">
        <f ca="1">OFFSET('Input data (2)'!BD$126,'Input data (2)'!$BL$1-'Output data - DO NOT TOUCH (2)'!$CG35,0)</f>
        <v>61</v>
      </c>
      <c r="DR35" s="1">
        <f ca="1">OFFSET('Input data (2)'!BE$126,'Input data (2)'!$BL$1-'Output data - DO NOT TOUCH (2)'!$CG35,0)</f>
        <v>33</v>
      </c>
      <c r="DS35" s="1">
        <f ca="1">OFFSET('Input data (2)'!BF$126,'Input data (2)'!$BL$1-'Output data - DO NOT TOUCH (2)'!$CG35,0)</f>
        <v>94</v>
      </c>
      <c r="DU35" s="1">
        <f ca="1">OFFSET('Input data (2)'!B$126,'Input data (2)'!$BL$1-'Output data - DO NOT TOUCH (2)'!$CG35-1,0)</f>
        <v>2010</v>
      </c>
      <c r="DV35" s="1" t="str">
        <f ca="1">OFFSET('Input data (2)'!C$126,'Input data (2)'!$BL$1-'Output data - DO NOT TOUCH (2)'!$CG35-1,0)</f>
        <v>Q4</v>
      </c>
      <c r="DW35" s="1" t="str">
        <f t="shared" ca="1" si="14"/>
        <v>10</v>
      </c>
      <c r="DX35" s="1" t="str">
        <f t="shared" ca="1" si="15"/>
        <v>Q4 10</v>
      </c>
      <c r="DY35" s="1">
        <f ca="1">OFFSET('Input data (2)'!W$126,'Input data (2)'!$BL$1-'Output data - DO NOT TOUCH (2)'!$CG35-1,0)/1000</f>
        <v>2.2749999999999999</v>
      </c>
      <c r="DZ35" s="1">
        <f ca="1">OFFSET('Input data (2)'!Y$126,'Input data (2)'!$BL$1-'Output data - DO NOT TOUCH (2)'!$CG35-1,0)/1000</f>
        <v>9.7530000000000001</v>
      </c>
      <c r="EA35" s="1">
        <f ca="1">OFFSET('Input data (2)'!Q$126,'Input data (2)'!$BL$1-'Output data - DO NOT TOUCH (2)'!$CG35-1,0)/1000</f>
        <v>12.028</v>
      </c>
    </row>
    <row r="36" spans="1:131" x14ac:dyDescent="0.15">
      <c r="A36" s="1">
        <v>8</v>
      </c>
      <c r="B36" s="1">
        <v>9</v>
      </c>
      <c r="C36" s="1">
        <v>10</v>
      </c>
      <c r="D36" s="1">
        <v>7</v>
      </c>
      <c r="E36" s="1" t="str">
        <f>F36&amp;G36</f>
        <v>2007Q2</v>
      </c>
      <c r="F36" s="1">
        <f>F31+1</f>
        <v>2007</v>
      </c>
      <c r="G36" s="1" t="s">
        <v>2</v>
      </c>
      <c r="H36" s="1">
        <f>VLOOKUP($E36,'Input data (2)'!$A:$BL,'Output data - DO NOT TOUCH (2)'!H$71,FALSE)</f>
        <v>3191</v>
      </c>
      <c r="I36" s="1">
        <f>VLOOKUP($E36,'Input data (2)'!$A:$BL,'Output data - DO NOT TOUCH (2)'!I$71,FALSE)</f>
        <v>1399</v>
      </c>
      <c r="J36" s="1">
        <f>VLOOKUP($E36,'Input data (2)'!$A:$BL,'Output data - DO NOT TOUCH (2)'!J$71,FALSE)</f>
        <v>1792</v>
      </c>
      <c r="K36" s="1">
        <f>VLOOKUP($E36,'Input data (2)'!$A:$BL,'Output data - DO NOT TOUCH (2)'!K$71,FALSE)</f>
        <v>3157</v>
      </c>
      <c r="L36" s="1">
        <f>VLOOKUP($E36,'Input data (2)'!$A:$BL,'Output data - DO NOT TOUCH (2)'!L$71,FALSE)</f>
        <v>1380</v>
      </c>
      <c r="M36" s="1">
        <f>VLOOKUP($E36,'Input data (2)'!$A:$BL,'Output data - DO NOT TOUCH (2)'!M$71,FALSE)</f>
        <v>1777</v>
      </c>
      <c r="O36" s="119">
        <f ca="1">IF(AND('Input data (2)'!$C$2=4,$D21&gt;=0),OFFSET('Input data (2)'!O$126,'Input data (2)'!$BL$1-$D21,0),IF(AND('Input data (2)'!$C$2=3,$C21&gt;=0),OFFSET('Input data (2)'!O$126,'Input data (2)'!$BL$1-$C21,0),IF(AND('Input data (2)'!$C$2=2,$B21&gt;=0),OFFSET('Input data (2)'!O$126,'Input data (2)'!$BL$1-$B21,0),IF(AND('Input data (2)'!$C$2=1,$A21&gt;=0),OFFSET('Input data (2)'!O$126,'Input data (2)'!$BL$1-$A21,0),""))))</f>
        <v>285</v>
      </c>
      <c r="Q36" s="1">
        <f ca="1">IF(AND('Input data (2)'!$C$2=4,$D21&gt;=0),OFFSET('Input data (2)'!AC$126,'Input data (2)'!$BL$1-$D21,0),IF(AND('Input data (2)'!$C$2=3,$C21&gt;=0),OFFSET('Input data (2)'!AC$126,'Input data (2)'!$BL$1-$C21,0),IF(AND('Input data (2)'!$C$2=2,$B21&gt;=0),OFFSET('Input data (2)'!AC$126,'Input data (2)'!$BL$1-$B21,0),IF(AND('Input data (2)'!$C$2=1,$A21&gt;=0),OFFSET('Input data (2)'!AC$126,'Input data (2)'!$BL$1-$A21,0),""))))</f>
        <v>27327</v>
      </c>
      <c r="R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S36" s="1" t="str">
        <f ca="1">IF(AND('Input data (2)'!$C$2=4,$D21&gt;=0),OFFSET('Input data (2)'!R$126,'Input data (2)'!$BL$1-$D21,0),IF(AND('Input data (2)'!$C$2=3,$C21&gt;=0),OFFSET('Input data (2)'!R$126,'Input data (2)'!$BL$1-$C21,0),IF(AND('Input data (2)'!$C$2=2,$B21&gt;=0),OFFSET('Input data (2)'!R$126,'Input data (2)'!$BL$1-$B21,0),IF(AND('Input data (2)'!$C$2=1,$A21&gt;=0),OFFSET('Input data (2)'!R$126,'Input data (2)'!$BL$1-$A21,0),""))))</f>
        <v>:</v>
      </c>
      <c r="T36" s="1">
        <f ca="1">IF(AND('Input data (2)'!$C$2=4,$D21&gt;=0),OFFSET('Input data (2)'!AA$126,'Input data (2)'!$BL$1-$D21,0),IF(AND('Input data (2)'!$C$2=3,$C21&gt;=0),OFFSET('Input data (2)'!AA$126,'Input data (2)'!$BL$1-$C21,0),IF(AND('Input data (2)'!$C$2=2,$B21&gt;=0),OFFSET('Input data (2)'!AA$126,'Input data (2)'!$BL$1-$B21,0),IF(AND('Input data (2)'!$C$2=1,$A21&gt;=0),OFFSET('Input data (2)'!AA$126,'Input data (2)'!$BL$1-$A21,0),""))))</f>
        <v>10838</v>
      </c>
      <c r="U36" s="1">
        <f ca="1">IF(AND('Input data (2)'!$C$2=4,$D21&gt;=0),OFFSET('Input data (2)'!AL$126,'Input data (2)'!$BL$1-$D21,0),IF(AND('Input data (2)'!$C$2=3,$C21&gt;=0),OFFSET('Input data (2)'!AL$126,'Input data (2)'!$BL$1-$C21,0),IF(AND('Input data (2)'!$C$2=2,$B21&gt;=0),OFFSET('Input data (2)'!AL$126,'Input data (2)'!$BL$1-$B21,0),IF(AND('Input data (2)'!$C$2=1,$A21&gt;=0),OFFSET('Input data (2)'!AL$126,'Input data (2)'!$BL$1-$A21,0),""))))</f>
        <v>26995</v>
      </c>
      <c r="V36" s="1">
        <f ca="1">IF(AND('Input data (2)'!$C$2=4,$D21&gt;=0),OFFSET('Input data (2)'!AJ$126,'Input data (2)'!$BL$1-$D21,0),IF(AND('Input data (2)'!$C$2=3,$C21&gt;=0),OFFSET('Input data (2)'!AJ$126,'Input data (2)'!$BL$1-$C21,0),IF(AND('Input data (2)'!$C$2=2,$B21&gt;=0),OFFSET('Input data (2)'!AJ$126,'Input data (2)'!$BL$1-$B21,0),IF(AND('Input data (2)'!$C$2=1,$A21&gt;=0),OFFSET('Input data (2)'!AJ$126,'Input data (2)'!$BL$1-$A21,0),""))))</f>
        <v>16493</v>
      </c>
      <c r="W36" s="1">
        <f ca="1">IF(AND('Input data (2)'!$C$2=4,$D21&gt;=0),OFFSET('Input data (2)'!AK$126,'Input data (2)'!$BL$1-$D21,0),IF(AND('Input data (2)'!$C$2=3,$C21&gt;=0),OFFSET('Input data (2)'!AK$126,'Input data (2)'!$BL$1-$C21,0),IF(AND('Input data (2)'!$C$2=2,$B21&gt;=0),OFFSET('Input data (2)'!AK$126,'Input data (2)'!$BL$1-$B21,0),IF(AND('Input data (2)'!$C$2=1,$A21&gt;=0),OFFSET('Input data (2)'!AK$126,'Input data (2)'!$BL$1-$A21,0),""))))</f>
        <v>10502</v>
      </c>
      <c r="Y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Z36" s="1">
        <f ca="1">IF(AND('Input data (2)'!$C$2=4,$D21&gt;=0),OFFSET('Input data (2)'!S$126,'Input data (2)'!$BL$1-$D21,0),IF(AND('Input data (2)'!$C$2=3,$C21&gt;=0),OFFSET('Input data (2)'!S$126,'Input data (2)'!$BL$1-$C21,0),IF(AND('Input data (2)'!$C$2=2,$B21&gt;=0),OFFSET('Input data (2)'!S$126,'Input data (2)'!$BL$1-$B21,0),IF(AND('Input data (2)'!$C$2=1,$A21&gt;=0),OFFSET('Input data (2)'!S$126,'Input data (2)'!$BL$1-$A21,0),""))))</f>
        <v>13923</v>
      </c>
      <c r="AA36" s="1">
        <f ca="1">IF(AND('Input data (2)'!$C$2=4,$D21&gt;=0),OFFSET('Input data (2)'!T$126,'Input data (2)'!$BL$1-$D21,0),IF(AND('Input data (2)'!$C$2=3,$C21&gt;=0),OFFSET('Input data (2)'!T$126,'Input data (2)'!$BL$1-$C21,0),IF(AND('Input data (2)'!$C$2=2,$B21&gt;=0),OFFSET('Input data (2)'!T$126,'Input data (2)'!$BL$1-$B21,0),IF(AND('Input data (2)'!$C$2=1,$A21&gt;=0),OFFSET('Input data (2)'!T$126,'Input data (2)'!$BL$1-$A21,0),""))))</f>
        <v>84.438110255321732</v>
      </c>
      <c r="AB36" s="1">
        <f ca="1">IF(AND('Input data (2)'!$C$2=4,$D21&gt;=0),OFFSET('Input data (2)'!U$126,'Input data (2)'!$BL$1-$D21,0),IF(AND('Input data (2)'!$C$2=3,$C21&gt;=0),OFFSET('Input data (2)'!U$126,'Input data (2)'!$BL$1-$C21,0),IF(AND('Input data (2)'!$C$2=2,$B21&gt;=0),OFFSET('Input data (2)'!U$126,'Input data (2)'!$BL$1-$B21,0),IF(AND('Input data (2)'!$C$2=1,$A21&gt;=0),OFFSET('Input data (2)'!U$126,'Input data (2)'!$BL$1-$A21,0),""))))</f>
        <v>2566</v>
      </c>
      <c r="AC36" s="1">
        <f ca="1">IF(AND('Input data (2)'!$C$2=4,$D21&gt;=0),OFFSET('Input data (2)'!V$126,'Input data (2)'!$BL$1-$D21,0),IF(AND('Input data (2)'!$C$2=3,$C21&gt;=0),OFFSET('Input data (2)'!V$126,'Input data (2)'!$BL$1-$C21,0),IF(AND('Input data (2)'!$C$2=2,$B21&gt;=0),OFFSET('Input data (2)'!V$126,'Input data (2)'!$BL$1-$B21,0),IF(AND('Input data (2)'!$C$2=1,$A21&gt;=0),OFFSET('Input data (2)'!V$126,'Input data (2)'!$BL$1-$A21,0),""))))</f>
        <v>15.56188974467827</v>
      </c>
      <c r="AD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AE36" s="1">
        <f ca="1">IF(AND('Input data (2)'!$C$2=4,$D21&gt;=0),OFFSET('Input data (2)'!W$126,'Input data (2)'!$BL$1-$D21,0),IF(AND('Input data (2)'!$C$2=3,$C21&gt;=0),OFFSET('Input data (2)'!W$126,'Input data (2)'!$BL$1-$C21,0),IF(AND('Input data (2)'!$C$2=2,$B21&gt;=0),OFFSET('Input data (2)'!W$126,'Input data (2)'!$BL$1-$B21,0),IF(AND('Input data (2)'!$C$2=1,$A21&gt;=0),OFFSET('Input data (2)'!W$126,'Input data (2)'!$BL$1-$A21,0),""))))</f>
        <v>1767</v>
      </c>
      <c r="AF36" s="1">
        <f ca="1">IF(AND('Input data (2)'!$C$2=4,$D21&gt;=0),OFFSET('Input data (2)'!X$126,'Input data (2)'!$BL$1-$D21,0),IF(AND('Input data (2)'!$C$2=3,$C21&gt;=0),OFFSET('Input data (2)'!X$126,'Input data (2)'!$BL$1-$C21,0),IF(AND('Input data (2)'!$C$2=2,$B21&gt;=0),OFFSET('Input data (2)'!X$126,'Input data (2)'!$BL$1-$B21,0),IF(AND('Input data (2)'!$C$2=1,$A21&gt;=0),OFFSET('Input data (2)'!X$126,'Input data (2)'!$BL$1-$A21,0),""))))</f>
        <v>10.716235065801444</v>
      </c>
      <c r="AG36" s="1">
        <f ca="1">IF(AND('Input data (2)'!$C$2=4,$D21&gt;=0),OFFSET('Input data (2)'!Y$126,'Input data (2)'!$BL$1-$D21,0),IF(AND('Input data (2)'!$C$2=3,$C21&gt;=0),OFFSET('Input data (2)'!Y$126,'Input data (2)'!$BL$1-$C21,0),IF(AND('Input data (2)'!$C$2=2,$B21&gt;=0),OFFSET('Input data (2)'!Y$126,'Input data (2)'!$BL$1-$B21,0),IF(AND('Input data (2)'!$C$2=1,$A21&gt;=0),OFFSET('Input data (2)'!Y$126,'Input data (2)'!$BL$1-$A21,0),""))))</f>
        <v>14722</v>
      </c>
      <c r="AH36" s="1">
        <f ca="1">IF(AND('Input data (2)'!$C$2=4,$D21&gt;=0),OFFSET('Input data (2)'!Z$126,'Input data (2)'!$BL$1-$D21,0),IF(AND('Input data (2)'!$C$2=3,$C21&gt;=0),OFFSET('Input data (2)'!Z$126,'Input data (2)'!$BL$1-$C21,0),IF(AND('Input data (2)'!$C$2=2,$B21&gt;=0),OFFSET('Input data (2)'!Z$126,'Input data (2)'!$BL$1-$B21,0),IF(AND('Input data (2)'!$C$2=1,$A21&gt;=0),OFFSET('Input data (2)'!Z$126,'Input data (2)'!$BL$1-$A21,0),""))))</f>
        <v>89.283764934198558</v>
      </c>
      <c r="AI36" s="3"/>
      <c r="AJ36" s="124">
        <f ca="1">IF(AND('Input data (2)'!$C$2=4,$D21&gt;=0),OFFSET('Input data (2)'!AF$126,'Input data (2)'!$BL$1-$D21,0),IF(AND('Input data (2)'!$C$2=3,$C21&gt;=0),OFFSET('Input data (2)'!AF$126,'Input data (2)'!$BL$1-$C21,0),IF(AND('Input data (2)'!$C$2=2,$B21&gt;=0),OFFSET('Input data (2)'!AF$126,'Input data (2)'!$BL$1-$B21,0),IF(AND('Input data (2)'!$C$2=1,$A21&gt;=0),OFFSET('Input data (2)'!AF$126,'Input data (2)'!$BL$1-$A21,0),""))))</f>
        <v>2895</v>
      </c>
      <c r="AK36" s="124">
        <f ca="1">IF(AND('Input data (2)'!$C$2=4,$D21&gt;=0),OFFSET('Input data (2)'!AD$126,'Input data (2)'!$BL$1-$D21,0),IF(AND('Input data (2)'!$C$2=3,$C21&gt;=0),OFFSET('Input data (2)'!AD$126,'Input data (2)'!$BL$1-$C21,0),IF(AND('Input data (2)'!$C$2=2,$B21&gt;=0),OFFSET('Input data (2)'!AD$126,'Input data (2)'!$BL$1-$B21,0),IF(AND('Input data (2)'!$C$2=1,$A21&gt;=0),OFFSET('Input data (2)'!AD$126,'Input data (2)'!$BL$1-$A21,0),""))))</f>
        <v>27</v>
      </c>
      <c r="AL36" s="124">
        <f ca="1">IF(AND('Input data (2)'!$C$2=4,$D21&gt;=0),OFFSET('Input data (2)'!AE$126,'Input data (2)'!$BL$1-$D21,0),IF(AND('Input data (2)'!$C$2=3,$C21&gt;=0),OFFSET('Input data (2)'!AE$126,'Input data (2)'!$BL$1-$C21,0),IF(AND('Input data (2)'!$C$2=2,$B21&gt;=0),OFFSET('Input data (2)'!AE$126,'Input data (2)'!$BL$1-$B21,0),IF(AND('Input data (2)'!$C$2=1,$A21&gt;=0),OFFSET('Input data (2)'!AE$126,'Input data (2)'!$BL$1-$A21,0),""))))</f>
        <v>2868</v>
      </c>
      <c r="AW36" s="1">
        <f ca="1">IF(AND('Input data (2)'!$C$2=4,$D21&gt;=0),OFFSET('Input data (2)'!L$126,'Input data (2)'!$BL$1-$D21,0),IF(AND('Input data (2)'!$C$2=3,$C21&gt;=0),OFFSET('Input data (2)'!L$126,'Input data (2)'!$BL$1-$C21,0),IF(AND('Input data (2)'!$C$2=2,$B21&gt;=0),OFFSET('Input data (2)'!L$126,'Input data (2)'!$BL$1-$B21,0),IF(AND('Input data (2)'!$C$2=1,$A21&gt;=0),OFFSET('Input data (2)'!L$126,'Input data (2)'!$BL$1-$A21,0),""))))</f>
        <v>77</v>
      </c>
      <c r="AX36" s="1">
        <f ca="1">IF(AND('Input data (2)'!$C$2=4,$D21&gt;=0),OFFSET('Input data (2)'!M$126,'Input data (2)'!$BL$1-$D21,0),IF(AND('Input data (2)'!$C$2=3,$C21&gt;=0),OFFSET('Input data (2)'!M$126,'Input data (2)'!$BL$1-$C21,0),IF(AND('Input data (2)'!$C$2=2,$B21&gt;=0),OFFSET('Input data (2)'!M$126,'Input data (2)'!$BL$1-$B21,0),IF(AND('Input data (2)'!$C$2=1,$A21&gt;=0),OFFSET('Input data (2)'!M$126,'Input data (2)'!$BL$1-$A21,0),""))))</f>
        <v>0</v>
      </c>
      <c r="AY36" s="1">
        <f ca="1">IF(AND('Input data (2)'!$C$2=4,$D21&gt;=0),OFFSET('Input data (2)'!N$126,'Input data (2)'!$BL$1-$D21,0),IF(AND('Input data (2)'!$C$2=3,$C21&gt;=0),OFFSET('Input data (2)'!N$126,'Input data (2)'!$BL$1-$C21,0),IF(AND('Input data (2)'!$C$2=2,$B21&gt;=0),OFFSET('Input data (2)'!N$126,'Input data (2)'!$BL$1-$B21,0),IF(AND('Input data (2)'!$C$2=1,$A21&gt;=0),OFFSET('Input data (2)'!N$126,'Input data (2)'!$BL$1-$A21,0),""))))</f>
        <v>585</v>
      </c>
      <c r="AZ36" s="1">
        <f ca="1">IF(AND('Input data (2)'!$C$2=4,$D21&gt;=0),OFFSET('Input data (2)'!P$126,'Input data (2)'!$BL$1-$D21,0),IF(AND('Input data (2)'!$C$2=3,$C21&gt;=0),OFFSET('Input data (2)'!P$126,'Input data (2)'!$BL$1-$C21,0),IF(AND('Input data (2)'!$C$2=2,$B21&gt;=0),OFFSET('Input data (2)'!P$126,'Input data (2)'!$BL$1-$B21,0),IF(AND('Input data (2)'!$C$2=1,$A21&gt;=0),OFFSET('Input data (2)'!P$126,'Input data (2)'!$BL$1-$A21,0),""))))</f>
        <v>102</v>
      </c>
      <c r="BB36" s="1">
        <f ca="1">IF(AND('Input data (2)'!$C$2=4,$D21&gt;=0),OFFSET('Input data (2)'!BB$126,'Input data (2)'!$BL$1-$D21,0),IF(AND('Input data (2)'!$C$2=3,$C21&gt;=0),OFFSET('Input data (2)'!BB$126,'Input data (2)'!$BL$1-$C21,0),IF(AND('Input data (2)'!$C$2=2,$B21&gt;=0),OFFSET('Input data (2)'!BB$126,'Input data (2)'!$BL$1-$B21,0),IF(AND('Input data (2)'!$C$2=1,$A21&gt;=0),OFFSET('Input data (2)'!BB$126,'Input data (2)'!$BL$1-$A21,0),""))))</f>
        <v>3498</v>
      </c>
      <c r="BC36" s="1">
        <f ca="1">IF(AND('Input data (2)'!$C$2=4,$D21&gt;=0),OFFSET('Input data (2)'!AY$126,'Input data (2)'!$BL$1-$D21,0),IF(AND('Input data (2)'!$C$2=3,$C21&gt;=0),OFFSET('Input data (2)'!AY$126,'Input data (2)'!$BL$1-$C21,0),IF(AND('Input data (2)'!$C$2=2,$B21&gt;=0),OFFSET('Input data (2)'!AY$126,'Input data (2)'!$BL$1-$B21,0),IF(AND('Input data (2)'!$C$2=1,$A21&gt;=0),OFFSET('Input data (2)'!AY$126,'Input data (2)'!$BL$1-$A21,0),""))))</f>
        <v>1606</v>
      </c>
      <c r="BD36" s="1" t="str">
        <f ca="1">IF(AND('Input data (2)'!$C$2=4,$D21&gt;=0),OFFSET('Input data (2)'!AZ$126,'Input data (2)'!$BL$1-$D21,0),IF(AND('Input data (2)'!$C$2=3,$C21&gt;=0),OFFSET('Input data (2)'!AZ$126,'Input data (2)'!$BL$1-$C21,0),IF(AND('Input data (2)'!$C$2=2,$B21&gt;=0),OFFSET('Input data (2)'!AZ$126,'Input data (2)'!$BL$1-$B21,0),IF(AND('Input data (2)'!$C$2=1,$A21&gt;=0),OFFSET('Input data (2)'!AZ$126,'Input data (2)'!$BL$1-$A21,0),""))))</f>
        <v>:</v>
      </c>
      <c r="BE36" s="1">
        <f ca="1">IF(AND('Input data (2)'!$C$2=4,$D21&gt;=0),OFFSET('Input data (2)'!BA$126,'Input data (2)'!$BL$1-$D21,0),IF(AND('Input data (2)'!$C$2=3,$C21&gt;=0),OFFSET('Input data (2)'!BA$126,'Input data (2)'!$BL$1-$C21,0),IF(AND('Input data (2)'!$C$2=2,$B21&gt;=0),OFFSET('Input data (2)'!BA$126,'Input data (2)'!$BL$1-$B21,0),IF(AND('Input data (2)'!$C$2=1,$A21&gt;=0),OFFSET('Input data (2)'!BA$126,'Input data (2)'!$BL$1-$A21,0),""))))</f>
        <v>1892</v>
      </c>
      <c r="BF36" s="1">
        <f ca="1">IF(AND('Input data (2)'!$C$2=4,$D21&gt;=0),OFFSET('Input data (2)'!AP$126,'Input data (2)'!$BL$1-$D21,0),IF(AND('Input data (2)'!$C$2=3,$C21&gt;=0),OFFSET('Input data (2)'!AP$126,'Input data (2)'!$BL$1-$C21,0),IF(AND('Input data (2)'!$C$2=2,$B21&gt;=0),OFFSET('Input data (2)'!AP$126,'Input data (2)'!$BL$1-$B21,0),IF(AND('Input data (2)'!$C$2=1,$A21&gt;=0),OFFSET('Input data (2)'!AP$126,'Input data (2)'!$BL$1-$A21,0),""))))</f>
        <v>165</v>
      </c>
      <c r="BG36" s="1">
        <f ca="1">IF(AND('Input data (2)'!$C$2=4,$D21&gt;=0),OFFSET('Input data (2)'!AN$126,'Input data (2)'!$BL$1-$D21,0),IF(AND('Input data (2)'!$C$2=3,$C21&gt;=0),OFFSET('Input data (2)'!AN$126,'Input data (2)'!$BL$1-$C21,0),IF(AND('Input data (2)'!$C$2=2,$B21&gt;=0),OFFSET('Input data (2)'!AN$126,'Input data (2)'!$BL$1-$B21,0),IF(AND('Input data (2)'!$C$2=1,$A21&gt;=0),OFFSET('Input data (2)'!AN$126,'Input data (2)'!$BL$1-$A21,0),""))))</f>
        <v>131</v>
      </c>
      <c r="BH36" s="1">
        <f ca="1">IF(AND('Input data (2)'!$C$2=4,$D21&gt;=0),OFFSET('Input data (2)'!AO$126,'Input data (2)'!$BL$1-$D21,0),IF(AND('Input data (2)'!$C$2=3,$C21&gt;=0),OFFSET('Input data (2)'!AO$126,'Input data (2)'!$BL$1-$C21,0),IF(AND('Input data (2)'!$C$2=2,$B21&gt;=0),OFFSET('Input data (2)'!AO$126,'Input data (2)'!$BL$1-$B21,0),IF(AND('Input data (2)'!$C$2=1,$A21&gt;=0),OFFSET('Input data (2)'!AO$126,'Input data (2)'!$BL$1-$A21,0),""))))</f>
        <v>34</v>
      </c>
      <c r="BJ36" s="1">
        <f ca="1">IF(AND('Input data (2)'!$C$2=4,$D21&gt;=0),OFFSET('Input data (2)'!AU$126,'Input data (2)'!$BL$1-$D21,0),IF(AND('Input data (2)'!$C$2=3,$C21&gt;=0),OFFSET('Input data (2)'!AU$126,'Input data (2)'!$BL$1-$C21,0),IF(AND('Input data (2)'!$C$2=2,$B21&gt;=0),OFFSET('Input data (2)'!AU$126,'Input data (2)'!$BL$1-$B21,0),IF(AND('Input data (2)'!$C$2=1,$A21&gt;=0),OFFSET('Input data (2)'!AU$126,'Input data (2)'!$BL$1-$A21,0),""))))</f>
        <v>22</v>
      </c>
      <c r="BK36" s="1">
        <f ca="1">IF(AND('Input data (2)'!$C$2=4,$D21&gt;=0),OFFSET('Input data (2)'!AV$126,'Input data (2)'!$BL$1-$D21,0),IF(AND('Input data (2)'!$C$2=3,$C21&gt;=0),OFFSET('Input data (2)'!AV$126,'Input data (2)'!$BL$1-$C21,0),IF(AND('Input data (2)'!$C$2=2,$B21&gt;=0),OFFSET('Input data (2)'!AV$126,'Input data (2)'!$BL$1-$B21,0),IF(AND('Input data (2)'!$C$2=1,$A21&gt;=0),OFFSET('Input data (2)'!AV$126,'Input data (2)'!$BL$1-$A21,0),""))))</f>
        <v>0</v>
      </c>
      <c r="BL36" s="1">
        <f ca="1">IF(AND('Input data (2)'!$C$2=4,$D21&gt;=0),OFFSET('Input data (2)'!AW$126,'Input data (2)'!$BL$1-$D21,0),IF(AND('Input data (2)'!$C$2=3,$C21&gt;=0),OFFSET('Input data (2)'!AW$126,'Input data (2)'!$BL$1-$C21,0),IF(AND('Input data (2)'!$C$2=2,$B21&gt;=0),OFFSET('Input data (2)'!AW$126,'Input data (2)'!$BL$1-$B21,0),IF(AND('Input data (2)'!$C$2=1,$A21&gt;=0),OFFSET('Input data (2)'!AW$126,'Input data (2)'!$BL$1-$A21,0),""))))</f>
        <v>11</v>
      </c>
      <c r="BM36" s="1">
        <f ca="1">IF(AND('Input data (2)'!$C$2=4,$D21&gt;=0),OFFSET('Input data (2)'!AX$126,'Input data (2)'!$BL$1-$D21,0),IF(AND('Input data (2)'!$C$2=3,$C21&gt;=0),OFFSET('Input data (2)'!AX$126,'Input data (2)'!$BL$1-$C21,0),IF(AND('Input data (2)'!$C$2=2,$B21&gt;=0),OFFSET('Input data (2)'!AX$126,'Input data (2)'!$BL$1-$B21,0),IF(AND('Input data (2)'!$C$2=1,$A21&gt;=0),OFFSET('Input data (2)'!AX$126,'Input data (2)'!$BL$1-$A21,0),""))))</f>
        <v>1</v>
      </c>
      <c r="BO36" s="1">
        <f ca="1">IF(AND('Input data (2)'!$C$2=4,$D21&gt;=0),OFFSET('Input data (2)'!BL$126,'Input data (2)'!$BL$1-$D21,0),IF(AND('Input data (2)'!$C$2=3,$C21&gt;=0),OFFSET('Input data (2)'!BL$126,'Input data (2)'!$BL$1-$C21,0),IF(AND('Input data (2)'!$C$2=2,$B21&gt;=0),OFFSET('Input data (2)'!BL$126,'Input data (2)'!$BL$1-$B21,0),IF(AND('Input data (2)'!$C$2=1,$A21&gt;=0),OFFSET('Input data (2)'!BL$126,'Input data (2)'!$BL$1-$A21,0),""))))</f>
        <v>338</v>
      </c>
      <c r="BP36" s="1">
        <f ca="1">IF(AND('Input data (2)'!$C$2=4,$D21&gt;=0),OFFSET('Input data (2)'!BI$126,'Input data (2)'!$BL$1-$D21,0),IF(AND('Input data (2)'!$C$2=3,$C21&gt;=0),OFFSET('Input data (2)'!BI$126,'Input data (2)'!$BL$1-$C21,0),IF(AND('Input data (2)'!$C$2=2,$B21&gt;=0),OFFSET('Input data (2)'!BI$126,'Input data (2)'!$BL$1-$B21,0),IF(AND('Input data (2)'!$C$2=1,$A21&gt;=0),OFFSET('Input data (2)'!BI$126,'Input data (2)'!$BL$1-$A21,0),""))))</f>
        <v>228</v>
      </c>
      <c r="BQ36" s="1" t="str">
        <f ca="1">IF(AND('Input data (2)'!$C$2=4,$D21&gt;=0),OFFSET('Input data (2)'!BK$126,'Input data (2)'!$BL$1-$D21,0),IF(AND('Input data (2)'!$C$2=3,$C21&gt;=0),OFFSET('Input data (2)'!BK$126,'Input data (2)'!$BL$1-$C21,0),IF(AND('Input data (2)'!$C$2=2,$B21&gt;=0),OFFSET('Input data (2)'!BK$126,'Input data (2)'!$BL$1-$B21,0),IF(AND('Input data (2)'!$C$2=1,$A21&gt;=0),OFFSET('Input data (2)'!BK$126,'Input data (2)'!$BL$1-$A21,0),""))))</f>
        <v>..</v>
      </c>
      <c r="BR36" s="1">
        <f ca="1">IF(AND('Input data (2)'!$C$2=4,$D21&gt;=0),OFFSET('Input data (2)'!BJ$126,'Input data (2)'!$BL$1-$D21,0),IF(AND('Input data (2)'!$C$2=3,$C21&gt;=0),OFFSET('Input data (2)'!BJ$126,'Input data (2)'!$BL$1-$C21,0),IF(AND('Input data (2)'!$C$2=2,$B21&gt;=0),OFFSET('Input data (2)'!BJ$126,'Input data (2)'!$BL$1-$B21,0),IF(AND('Input data (2)'!$C$2=1,$A21&gt;=0),OFFSET('Input data (2)'!BJ$126,'Input data (2)'!$BL$1-$A21,0),""))))</f>
        <v>110</v>
      </c>
      <c r="BS36" s="1">
        <f ca="1">IF(AND('Input data (2)'!$C$2=4,$D21&gt;=0),OFFSET('Input data (2)'!BF$126,'Input data (2)'!$BL$1-$D21,0),IF(AND('Input data (2)'!$C$2=3,$C21&gt;=0),OFFSET('Input data (2)'!BF$126,'Input data (2)'!$BL$1-$C21,0),IF(AND('Input data (2)'!$C$2=2,$B21&gt;=0),OFFSET('Input data (2)'!BF$126,'Input data (2)'!$BL$1-$B21,0),IF(AND('Input data (2)'!$C$2=1,$A21&gt;=0),OFFSET('Input data (2)'!BF$126,'Input data (2)'!$BL$1-$A21,0),""))))</f>
        <v>38</v>
      </c>
      <c r="BT36" s="1">
        <f ca="1">IF(AND('Input data (2)'!$C$2=4,$D21&gt;=0),OFFSET('Input data (2)'!BD$126,'Input data (2)'!$BL$1-$D21,0),IF(AND('Input data (2)'!$C$2=3,$C21&gt;=0),OFFSET('Input data (2)'!BD$126,'Input data (2)'!$BL$1-$C21,0),IF(AND('Input data (2)'!$C$2=2,$B21&gt;=0),OFFSET('Input data (2)'!BD$126,'Input data (2)'!$BL$1-$B21,0),IF(AND('Input data (2)'!$C$2=1,$A21&gt;=0),OFFSET('Input data (2)'!BD$126,'Input data (2)'!$BL$1-$A21,0),""))))</f>
        <v>29</v>
      </c>
      <c r="BU36" s="1">
        <f ca="1">IF(AND('Input data (2)'!$C$2=4,$D21&gt;=0),OFFSET('Input data (2)'!BE$126,'Input data (2)'!$BL$1-$D21,0),IF(AND('Input data (2)'!$C$2=3,$C21&gt;=0),OFFSET('Input data (2)'!BE$126,'Input data (2)'!$BL$1-$C21,0),IF(AND('Input data (2)'!$C$2=2,$B21&gt;=0),OFFSET('Input data (2)'!BE$126,'Input data (2)'!$BL$1-$B21,0),IF(AND('Input data (2)'!$C$2=1,$A21&gt;=0),OFFSET('Input data (2)'!BE$126,'Input data (2)'!$BL$1-$A21,0),""))))</f>
        <v>9</v>
      </c>
      <c r="BW36" s="7">
        <f ca="1">IF(AND('Input data (2)'!$C$2=4,$D21&gt;=0),OFFSET('Input data (2)'!J$126,'Input data (2)'!$BL$1-$D21,0),IF(AND('Input data (2)'!$C$2=3,$C21&gt;=0),OFFSET('Input data (2)'!J$126,'Input data (2)'!$BL$1-$C21,0),IF(AND('Input data (2)'!$C$2=2,$B21&gt;=0),OFFSET('Input data (2)'!J$126,'Input data (2)'!$BL$1-$B21,0),IF(AND('Input data (2)'!$C$2=1,$A21&gt;=0),OFFSET('Input data (2)'!J$126,'Input data (2)'!$BL$1-$A21,0),""))))</f>
        <v>0.64536220662618449</v>
      </c>
      <c r="BX36" s="7">
        <f ca="1">IF(AND('Input data (2)'!$C$2=4,$D21&gt;=0),OFFSET('Input data (2)'!K$126,'Input data (2)'!$BL$1-$D21,0),IF(AND('Input data (2)'!$C$2=3,$C21&gt;=0),OFFSET('Input data (2)'!K$126,'Input data (2)'!$BL$1-$C21,0),IF(AND('Input data (2)'!$C$2=2,$B21&gt;=0),OFFSET('Input data (2)'!K$126,'Input data (2)'!$BL$1-$B21,0),IF(AND('Input data (2)'!$C$2=1,$A21&gt;=0),OFFSET('Input data (2)'!K$126,'Input data (2)'!$BL$1-$A21,0),""))))</f>
        <v>0.59218368839650626</v>
      </c>
      <c r="BY36" s="7">
        <f ca="1">IF(AND('Input data (2)'!$C$2=4,$D21&gt;=0),OFFSET('Input data (2)'!AS$126,'Input data (2)'!$BL$1-$D21,0),IF(AND('Input data (2)'!$C$2=3,$C21&gt;=0),OFFSET('Input data (2)'!AS$126,'Input data (2)'!$BL$1-$C21,0),IF(AND('Input data (2)'!$C$2=2,$B21&gt;=0),OFFSET('Input data (2)'!AS$126,'Input data (2)'!$BL$1-$B21,0),IF(AND('Input data (2)'!$C$2=1,$A21&gt;=0),OFFSET('Input data (2)'!AS$126,'Input data (2)'!$BL$1-$A21,0),""))))</f>
        <v>0.51757006845191633</v>
      </c>
      <c r="BZ36" s="7">
        <f ca="1">IF(AND('Input data (2)'!$C$2=4,$D21&gt;=0),OFFSET('Input data (2)'!AT$126,'Input data (2)'!$BL$1-$D21,0),IF(AND('Input data (2)'!$C$2=3,$C21&gt;=0),OFFSET('Input data (2)'!AT$126,'Input data (2)'!$BL$1-$C21,0),IF(AND('Input data (2)'!$C$2=2,$B21&gt;=0),OFFSET('Input data (2)'!AT$126,'Input data (2)'!$BL$1-$B21,0),IF(AND('Input data (2)'!$C$2=1,$A21&gt;=0),OFFSET('Input data (2)'!AT$126,'Input data (2)'!$BL$1-$A21,0),""))))</f>
        <v>0.4724724979407246</v>
      </c>
      <c r="CB36" s="122"/>
      <c r="CC36" s="122"/>
      <c r="CD36" s="122"/>
      <c r="CE36" s="122"/>
      <c r="CG36" s="1">
        <v>8</v>
      </c>
      <c r="CI36" s="1">
        <f t="shared" si="24"/>
        <v>2011</v>
      </c>
      <c r="CJ36" s="1" t="str">
        <f t="shared" si="25"/>
        <v>Q2</v>
      </c>
      <c r="CK36" s="1" t="str">
        <f t="shared" si="12"/>
        <v>11</v>
      </c>
      <c r="CL36" s="1" t="str">
        <f t="shared" si="13"/>
        <v>Q2 11</v>
      </c>
      <c r="CM36" s="1">
        <f ca="1">OFFSET('Input data (2)'!AJ$126,'Input data (2)'!$BL$1-'Output data - DO NOT TOUCH (2)'!$CG36,0)/1000</f>
        <v>11.289</v>
      </c>
      <c r="CN36" s="1">
        <f ca="1">OFFSET('Input data (2)'!AK$126,'Input data (2)'!$BL$1-'Output data - DO NOT TOUCH (2)'!$CG36,0)/1000</f>
        <v>12.023</v>
      </c>
      <c r="CO36" s="1" t="e">
        <f ca="1">OFFSET('Input data (2)'!AL$126,'Input data (2)'!$BL$1-'Output data - DO NOT TOUCH (2)'!$CG36,0)/1000</f>
        <v>#VALUE!</v>
      </c>
      <c r="CP36" s="1"/>
      <c r="CQ36" s="1">
        <f ca="1">OFFSET('Input data (2)'!AG$126,'Input data (2)'!$BL$1-'Output data - DO NOT TOUCH (2)'!$CG36,0)/1000</f>
        <v>1.3169999999999999</v>
      </c>
      <c r="CR36" s="1">
        <f ca="1">OFFSET('Input data (2)'!AH$126,'Input data (2)'!$BL$1-'Output data - DO NOT TOUCH (2)'!$CG36,0)/1000</f>
        <v>2.9129999999999998</v>
      </c>
      <c r="CS36" s="1">
        <f ca="1">OFFSET('Input data (2)'!AI$126,'Input data (2)'!$BL$1-'Output data - DO NOT TOUCH (2)'!$CG36,0)/1000</f>
        <v>4.2300000000000004</v>
      </c>
      <c r="CT36" s="1"/>
      <c r="CU36" s="1">
        <f ca="1">OFFSET('Input data (2)'!L$126,'Input data (2)'!$BL$1-'Output data - DO NOT TOUCH (2)'!$CG36,0)</f>
        <v>350</v>
      </c>
      <c r="CV36" s="1">
        <f ca="1">OFFSET('Input data (2)'!M$126,'Input data (2)'!$BL$1-'Output data - DO NOT TOUCH (2)'!$CG36,0)</f>
        <v>0</v>
      </c>
      <c r="CW36" s="67">
        <f ca="1">OFFSET('Input data (2)'!N$126,'Input data (2)'!$BL$1-'Output data - DO NOT TOUCH (2)'!$CG36,0)</f>
        <v>695</v>
      </c>
      <c r="CX36" s="1">
        <f ca="1">OFFSET('Input data (2)'!P$126,'Input data (2)'!$BL$1-'Output data - DO NOT TOUCH (2)'!$CG36,0)</f>
        <v>187</v>
      </c>
      <c r="CY36" s="1"/>
      <c r="CZ36" s="1">
        <f ca="1">OFFSET('Input data (2)'!AY$126,'Input data (2)'!$BL$1-'Output data - DO NOT TOUCH (2)'!$CG36,0)/1000</f>
        <v>2.948</v>
      </c>
      <c r="DA36" s="1">
        <f ca="1">OFFSET('Input data (2)'!BA$126,'Input data (2)'!$BL$1-'Output data - DO NOT TOUCH (2)'!$CG36,0)/1000</f>
        <v>2.3719999999999999</v>
      </c>
      <c r="DB36" s="1">
        <f ca="1">OFFSET('Input data (2)'!BB$126,'Input data (2)'!$BL$1-'Output data - DO NOT TOUCH (2)'!$CG36,0)/1000</f>
        <v>5.32</v>
      </c>
      <c r="DD36" s="1">
        <f ca="1">OFFSET('Input data (2)'!AN$126,'Input data (2)'!$BL$1-'Output data - DO NOT TOUCH (2)'!$CG36,0)</f>
        <v>261</v>
      </c>
      <c r="DE36" s="1">
        <f ca="1">OFFSET('Input data (2)'!AO$126,'Input data (2)'!$BL$1-'Output data - DO NOT TOUCH (2)'!$CG36,0)</f>
        <v>87</v>
      </c>
      <c r="DF36" s="1">
        <f ca="1">OFFSET('Input data (2)'!AP$126,'Input data (2)'!$BL$1-'Output data - DO NOT TOUCH (2)'!$CG36,0)</f>
        <v>348</v>
      </c>
      <c r="DG36" s="1"/>
      <c r="DH36" s="1">
        <f ca="1">OFFSET('Input data (2)'!AU$126,'Input data (2)'!$BL$1-'Output data - DO NOT TOUCH (2)'!$CG36,0)</f>
        <v>4</v>
      </c>
      <c r="DI36" s="1">
        <f ca="1">OFFSET('Input data (2)'!AV$126,'Input data (2)'!$BL$1-'Output data - DO NOT TOUCH (2)'!$CG36,0)</f>
        <v>0</v>
      </c>
      <c r="DJ36" s="1">
        <f ca="1">OFFSET('Input data (2)'!AW$126,'Input data (2)'!$BL$1-'Output data - DO NOT TOUCH (2)'!$CG36,0)</f>
        <v>61</v>
      </c>
      <c r="DK36" s="1">
        <f ca="1">OFFSET('Input data (2)'!AX$126,'Input data (2)'!$BL$1-'Output data - DO NOT TOUCH (2)'!$CG36,0)</f>
        <v>5</v>
      </c>
      <c r="DM36" s="1">
        <f ca="1">OFFSET('Input data (2)'!BI$126,'Input data (2)'!$BL$1-'Output data - DO NOT TOUCH (2)'!$CG36,0)</f>
        <v>451</v>
      </c>
      <c r="DN36" s="1">
        <f ca="1">OFFSET('Input data (2)'!BJ$126,'Input data (2)'!$BL$1-'Output data - DO NOT TOUCH (2)'!$CG36,0)</f>
        <v>301</v>
      </c>
      <c r="DO36" s="1">
        <f ca="1">OFFSET('Input data (2)'!BL$126,'Input data (2)'!$BL$1-'Output data - DO NOT TOUCH (2)'!$CG36,0)</f>
        <v>752</v>
      </c>
      <c r="DQ36" s="1">
        <f ca="1">OFFSET('Input data (2)'!BD$126,'Input data (2)'!$BL$1-'Output data - DO NOT TOUCH (2)'!$CG36,0)</f>
        <v>56</v>
      </c>
      <c r="DR36" s="1">
        <f ca="1">OFFSET('Input data (2)'!BE$126,'Input data (2)'!$BL$1-'Output data - DO NOT TOUCH (2)'!$CG36,0)</f>
        <v>35</v>
      </c>
      <c r="DS36" s="1">
        <f ca="1">OFFSET('Input data (2)'!BF$126,'Input data (2)'!$BL$1-'Output data - DO NOT TOUCH (2)'!$CG36,0)</f>
        <v>91</v>
      </c>
      <c r="DU36" s="1">
        <f ca="1">OFFSET('Input data (2)'!B$126,'Input data (2)'!$BL$1-'Output data - DO NOT TOUCH (2)'!$CG36-1,0)</f>
        <v>2011</v>
      </c>
      <c r="DV36" s="1" t="str">
        <f ca="1">OFFSET('Input data (2)'!C$126,'Input data (2)'!$BL$1-'Output data - DO NOT TOUCH (2)'!$CG36-1,0)</f>
        <v>Q1</v>
      </c>
      <c r="DW36" s="1" t="str">
        <f t="shared" ca="1" si="14"/>
        <v>11</v>
      </c>
      <c r="DX36" s="1" t="str">
        <f t="shared" ca="1" si="15"/>
        <v>Q1 11</v>
      </c>
      <c r="DY36" s="1">
        <f ca="1">OFFSET('Input data (2)'!W$126,'Input data (2)'!$BL$1-'Output data - DO NOT TOUCH (2)'!$CG36-1,0)/1000</f>
        <v>2.5790000000000002</v>
      </c>
      <c r="DZ36" s="1">
        <f ca="1">OFFSET('Input data (2)'!Y$126,'Input data (2)'!$BL$1-'Output data - DO NOT TOUCH (2)'!$CG36-1,0)/1000</f>
        <v>9.9600000000000009</v>
      </c>
      <c r="EA36" s="1">
        <f ca="1">OFFSET('Input data (2)'!Q$126,'Input data (2)'!$BL$1-'Output data - DO NOT TOUCH (2)'!$CG36-1,0)/1000</f>
        <v>12.539</v>
      </c>
    </row>
    <row r="37" spans="1:131" x14ac:dyDescent="0.15">
      <c r="A37" s="1">
        <v>7</v>
      </c>
      <c r="B37" s="1">
        <v>8</v>
      </c>
      <c r="C37" s="1">
        <v>9</v>
      </c>
      <c r="D37" s="1">
        <v>6</v>
      </c>
      <c r="E37" s="1" t="str">
        <f>F37&amp;G37</f>
        <v>2007Q3</v>
      </c>
      <c r="F37" s="1">
        <f>F32+1</f>
        <v>2007</v>
      </c>
      <c r="G37" s="1" t="s">
        <v>3</v>
      </c>
      <c r="H37" s="1">
        <f>VLOOKUP($E37,'Input data (2)'!$A:$BL,'Output data - DO NOT TOUCH (2)'!H$71,FALSE)</f>
        <v>3113</v>
      </c>
      <c r="I37" s="1">
        <f>VLOOKUP($E37,'Input data (2)'!$A:$BL,'Output data - DO NOT TOUCH (2)'!I$71,FALSE)</f>
        <v>1234</v>
      </c>
      <c r="J37" s="1">
        <f>VLOOKUP($E37,'Input data (2)'!$A:$BL,'Output data - DO NOT TOUCH (2)'!J$71,FALSE)</f>
        <v>1879</v>
      </c>
      <c r="K37" s="1">
        <f>VLOOKUP($E37,'Input data (2)'!$A:$BL,'Output data - DO NOT TOUCH (2)'!K$71,FALSE)</f>
        <v>3204</v>
      </c>
      <c r="L37" s="1">
        <f>VLOOKUP($E37,'Input data (2)'!$A:$BL,'Output data - DO NOT TOUCH (2)'!L$71,FALSE)</f>
        <v>1296</v>
      </c>
      <c r="M37" s="1">
        <f>VLOOKUP($E37,'Input data (2)'!$A:$BL,'Output data - DO NOT TOUCH (2)'!M$71,FALSE)</f>
        <v>1908</v>
      </c>
      <c r="O37" s="119">
        <f ca="1">IF(AND('Input data (2)'!$C$2=4,$D22&gt;=0),OFFSET('Input data (2)'!O$126,'Input data (2)'!$BL$1-$D22,0),IF(AND('Input data (2)'!$C$2=3,$C22&gt;=0),OFFSET('Input data (2)'!O$126,'Input data (2)'!$BL$1-$C22,0),IF(AND('Input data (2)'!$C$2=2,$B22&gt;=0),OFFSET('Input data (2)'!O$126,'Input data (2)'!$BL$1-$B22,0),IF(AND('Input data (2)'!$C$2=1,$A22&gt;=0),OFFSET('Input data (2)'!O$126,'Input data (2)'!$BL$1-$A22,0),""))))</f>
        <v>264</v>
      </c>
      <c r="Q37" s="1">
        <f ca="1">IF(AND('Input data (2)'!$C$2=4,$D22&gt;=0),OFFSET('Input data (2)'!AC$126,'Input data (2)'!$BL$1-$D22,0),IF(AND('Input data (2)'!$C$2=3,$C22&gt;=0),OFFSET('Input data (2)'!AC$126,'Input data (2)'!$BL$1-$C22,0),IF(AND('Input data (2)'!$C$2=2,$B22&gt;=0),OFFSET('Input data (2)'!AC$126,'Input data (2)'!$BL$1-$B22,0),IF(AND('Input data (2)'!$C$2=1,$A22&gt;=0),OFFSET('Input data (2)'!AC$126,'Input data (2)'!$BL$1-$A22,0),""))))</f>
        <v>26252</v>
      </c>
      <c r="R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S37" s="1" t="str">
        <f ca="1">IF(AND('Input data (2)'!$C$2=4,$D22&gt;=0),OFFSET('Input data (2)'!R$126,'Input data (2)'!$BL$1-$D22,0),IF(AND('Input data (2)'!$C$2=3,$C22&gt;=0),OFFSET('Input data (2)'!R$126,'Input data (2)'!$BL$1-$C22,0),IF(AND('Input data (2)'!$C$2=2,$B22&gt;=0),OFFSET('Input data (2)'!R$126,'Input data (2)'!$BL$1-$B22,0),IF(AND('Input data (2)'!$C$2=1,$A22&gt;=0),OFFSET('Input data (2)'!R$126,'Input data (2)'!$BL$1-$A22,0),""))))</f>
        <v>:</v>
      </c>
      <c r="T37" s="1">
        <f ca="1">IF(AND('Input data (2)'!$C$2=4,$D22&gt;=0),OFFSET('Input data (2)'!AA$126,'Input data (2)'!$BL$1-$D22,0),IF(AND('Input data (2)'!$C$2=3,$C22&gt;=0),OFFSET('Input data (2)'!AA$126,'Input data (2)'!$BL$1-$C22,0),IF(AND('Input data (2)'!$C$2=2,$B22&gt;=0),OFFSET('Input data (2)'!AA$126,'Input data (2)'!$BL$1-$B22,0),IF(AND('Input data (2)'!$C$2=1,$A22&gt;=0),OFFSET('Input data (2)'!AA$126,'Input data (2)'!$BL$1-$A22,0),""))))</f>
        <v>10652</v>
      </c>
      <c r="U37" s="1">
        <f ca="1">IF(AND('Input data (2)'!$C$2=4,$D22&gt;=0),OFFSET('Input data (2)'!AL$126,'Input data (2)'!$BL$1-$D22,0),IF(AND('Input data (2)'!$C$2=3,$C22&gt;=0),OFFSET('Input data (2)'!AL$126,'Input data (2)'!$BL$1-$C22,0),IF(AND('Input data (2)'!$C$2=2,$B22&gt;=0),OFFSET('Input data (2)'!AL$126,'Input data (2)'!$BL$1-$B22,0),IF(AND('Input data (2)'!$C$2=1,$A22&gt;=0),OFFSET('Input data (2)'!AL$126,'Input data (2)'!$BL$1-$A22,0),""))))</f>
        <v>26019</v>
      </c>
      <c r="V37" s="1">
        <f ca="1">IF(AND('Input data (2)'!$C$2=4,$D22&gt;=0),OFFSET('Input data (2)'!AJ$126,'Input data (2)'!$BL$1-$D22,0),IF(AND('Input data (2)'!$C$2=3,$C22&gt;=0),OFFSET('Input data (2)'!AJ$126,'Input data (2)'!$BL$1-$C22,0),IF(AND('Input data (2)'!$C$2=2,$B22&gt;=0),OFFSET('Input data (2)'!AJ$126,'Input data (2)'!$BL$1-$B22,0),IF(AND('Input data (2)'!$C$2=1,$A22&gt;=0),OFFSET('Input data (2)'!AJ$126,'Input data (2)'!$BL$1-$A22,0),""))))</f>
        <v>15934</v>
      </c>
      <c r="W37" s="1">
        <f ca="1">IF(AND('Input data (2)'!$C$2=4,$D22&gt;=0),OFFSET('Input data (2)'!AK$126,'Input data (2)'!$BL$1-$D22,0),IF(AND('Input data (2)'!$C$2=3,$C22&gt;=0),OFFSET('Input data (2)'!AK$126,'Input data (2)'!$BL$1-$C22,0),IF(AND('Input data (2)'!$C$2=2,$B22&gt;=0),OFFSET('Input data (2)'!AK$126,'Input data (2)'!$BL$1-$B22,0),IF(AND('Input data (2)'!$C$2=1,$A22&gt;=0),OFFSET('Input data (2)'!AK$126,'Input data (2)'!$BL$1-$A22,0),""))))</f>
        <v>10085</v>
      </c>
      <c r="Y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Z37" s="1">
        <f ca="1">IF(AND('Input data (2)'!$C$2=4,$D22&gt;=0),OFFSET('Input data (2)'!S$126,'Input data (2)'!$BL$1-$D22,0),IF(AND('Input data (2)'!$C$2=3,$C22&gt;=0),OFFSET('Input data (2)'!S$126,'Input data (2)'!$BL$1-$C22,0),IF(AND('Input data (2)'!$C$2=2,$B22&gt;=0),OFFSET('Input data (2)'!S$126,'Input data (2)'!$BL$1-$B22,0),IF(AND('Input data (2)'!$C$2=1,$A22&gt;=0),OFFSET('Input data (2)'!S$126,'Input data (2)'!$BL$1-$A22,0),""))))</f>
        <v>13173</v>
      </c>
      <c r="AA37" s="1">
        <f ca="1">IF(AND('Input data (2)'!$C$2=4,$D22&gt;=0),OFFSET('Input data (2)'!T$126,'Input data (2)'!$BL$1-$D22,0),IF(AND('Input data (2)'!$C$2=3,$C22&gt;=0),OFFSET('Input data (2)'!T$126,'Input data (2)'!$BL$1-$C22,0),IF(AND('Input data (2)'!$C$2=2,$B22&gt;=0),OFFSET('Input data (2)'!T$126,'Input data (2)'!$BL$1-$B22,0),IF(AND('Input data (2)'!$C$2=1,$A22&gt;=0),OFFSET('Input data (2)'!T$126,'Input data (2)'!$BL$1-$A22,0),""))))</f>
        <v>84.442307692307693</v>
      </c>
      <c r="AB37" s="1">
        <f ca="1">IF(AND('Input data (2)'!$C$2=4,$D22&gt;=0),OFFSET('Input data (2)'!U$126,'Input data (2)'!$BL$1-$D22,0),IF(AND('Input data (2)'!$C$2=3,$C22&gt;=0),OFFSET('Input data (2)'!U$126,'Input data (2)'!$BL$1-$C22,0),IF(AND('Input data (2)'!$C$2=2,$B22&gt;=0),OFFSET('Input data (2)'!U$126,'Input data (2)'!$BL$1-$B22,0),IF(AND('Input data (2)'!$C$2=1,$A22&gt;=0),OFFSET('Input data (2)'!U$126,'Input data (2)'!$BL$1-$A22,0),""))))</f>
        <v>2427</v>
      </c>
      <c r="AC37" s="1">
        <f ca="1">IF(AND('Input data (2)'!$C$2=4,$D22&gt;=0),OFFSET('Input data (2)'!V$126,'Input data (2)'!$BL$1-$D22,0),IF(AND('Input data (2)'!$C$2=3,$C22&gt;=0),OFFSET('Input data (2)'!V$126,'Input data (2)'!$BL$1-$C22,0),IF(AND('Input data (2)'!$C$2=2,$B22&gt;=0),OFFSET('Input data (2)'!V$126,'Input data (2)'!$BL$1-$B22,0),IF(AND('Input data (2)'!$C$2=1,$A22&gt;=0),OFFSET('Input data (2)'!V$126,'Input data (2)'!$BL$1-$A22,0),""))))</f>
        <v>15.557692307692308</v>
      </c>
      <c r="AD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AE37" s="1">
        <f ca="1">IF(AND('Input data (2)'!$C$2=4,$D22&gt;=0),OFFSET('Input data (2)'!W$126,'Input data (2)'!$BL$1-$D22,0),IF(AND('Input data (2)'!$C$2=3,$C22&gt;=0),OFFSET('Input data (2)'!W$126,'Input data (2)'!$BL$1-$C22,0),IF(AND('Input data (2)'!$C$2=2,$B22&gt;=0),OFFSET('Input data (2)'!W$126,'Input data (2)'!$BL$1-$B22,0),IF(AND('Input data (2)'!$C$2=1,$A22&gt;=0),OFFSET('Input data (2)'!W$126,'Input data (2)'!$BL$1-$A22,0),""))))</f>
        <v>1660</v>
      </c>
      <c r="AF37" s="1">
        <f ca="1">IF(AND('Input data (2)'!$C$2=4,$D22&gt;=0),OFFSET('Input data (2)'!X$126,'Input data (2)'!$BL$1-$D22,0),IF(AND('Input data (2)'!$C$2=3,$C22&gt;=0),OFFSET('Input data (2)'!X$126,'Input data (2)'!$BL$1-$C22,0),IF(AND('Input data (2)'!$C$2=2,$B22&gt;=0),OFFSET('Input data (2)'!X$126,'Input data (2)'!$BL$1-$B22,0),IF(AND('Input data (2)'!$C$2=1,$A22&gt;=0),OFFSET('Input data (2)'!X$126,'Input data (2)'!$BL$1-$A22,0),""))))</f>
        <v>10.641025641025641</v>
      </c>
      <c r="AG37" s="1">
        <f ca="1">IF(AND('Input data (2)'!$C$2=4,$D22&gt;=0),OFFSET('Input data (2)'!Y$126,'Input data (2)'!$BL$1-$D22,0),IF(AND('Input data (2)'!$C$2=3,$C22&gt;=0),OFFSET('Input data (2)'!Y$126,'Input data (2)'!$BL$1-$C22,0),IF(AND('Input data (2)'!$C$2=2,$B22&gt;=0),OFFSET('Input data (2)'!Y$126,'Input data (2)'!$BL$1-$B22,0),IF(AND('Input data (2)'!$C$2=1,$A22&gt;=0),OFFSET('Input data (2)'!Y$126,'Input data (2)'!$BL$1-$A22,0),""))))</f>
        <v>13940</v>
      </c>
      <c r="AH37" s="1">
        <f ca="1">IF(AND('Input data (2)'!$C$2=4,$D22&gt;=0),OFFSET('Input data (2)'!Z$126,'Input data (2)'!$BL$1-$D22,0),IF(AND('Input data (2)'!$C$2=3,$C22&gt;=0),OFFSET('Input data (2)'!Z$126,'Input data (2)'!$BL$1-$C22,0),IF(AND('Input data (2)'!$C$2=2,$B22&gt;=0),OFFSET('Input data (2)'!Z$126,'Input data (2)'!$BL$1-$B22,0),IF(AND('Input data (2)'!$C$2=1,$A22&gt;=0),OFFSET('Input data (2)'!Z$126,'Input data (2)'!$BL$1-$A22,0),""))))</f>
        <v>89.358974358974365</v>
      </c>
      <c r="AI37" s="3"/>
      <c r="AJ37" s="124">
        <f ca="1">IF(AND('Input data (2)'!$C$2=4,$D22&gt;=0),OFFSET('Input data (2)'!AF$126,'Input data (2)'!$BL$1-$D22,0),IF(AND('Input data (2)'!$C$2=3,$C22&gt;=0),OFFSET('Input data (2)'!AF$126,'Input data (2)'!$BL$1-$C22,0),IF(AND('Input data (2)'!$C$2=2,$B22&gt;=0),OFFSET('Input data (2)'!AF$126,'Input data (2)'!$BL$1-$B22,0),IF(AND('Input data (2)'!$C$2=1,$A22&gt;=0),OFFSET('Input data (2)'!AF$126,'Input data (2)'!$BL$1-$A22,0),""))))</f>
        <v>4244</v>
      </c>
      <c r="AK37" s="124">
        <f ca="1">IF(AND('Input data (2)'!$C$2=4,$D22&gt;=0),OFFSET('Input data (2)'!AD$126,'Input data (2)'!$BL$1-$D22,0),IF(AND('Input data (2)'!$C$2=3,$C22&gt;=0),OFFSET('Input data (2)'!AD$126,'Input data (2)'!$BL$1-$C22,0),IF(AND('Input data (2)'!$C$2=2,$B22&gt;=0),OFFSET('Input data (2)'!AD$126,'Input data (2)'!$BL$1-$B22,0),IF(AND('Input data (2)'!$C$2=1,$A22&gt;=0),OFFSET('Input data (2)'!AD$126,'Input data (2)'!$BL$1-$A22,0),""))))</f>
        <v>11</v>
      </c>
      <c r="AL37" s="124">
        <f ca="1">IF(AND('Input data (2)'!$C$2=4,$D22&gt;=0),OFFSET('Input data (2)'!AE$126,'Input data (2)'!$BL$1-$D22,0),IF(AND('Input data (2)'!$C$2=3,$C22&gt;=0),OFFSET('Input data (2)'!AE$126,'Input data (2)'!$BL$1-$C22,0),IF(AND('Input data (2)'!$C$2=2,$B22&gt;=0),OFFSET('Input data (2)'!AE$126,'Input data (2)'!$BL$1-$B22,0),IF(AND('Input data (2)'!$C$2=1,$A22&gt;=0),OFFSET('Input data (2)'!AE$126,'Input data (2)'!$BL$1-$A22,0),""))))</f>
        <v>4233</v>
      </c>
      <c r="AW37" s="1">
        <f ca="1">IF(AND('Input data (2)'!$C$2=4,$D22&gt;=0),OFFSET('Input data (2)'!L$126,'Input data (2)'!$BL$1-$D22,0),IF(AND('Input data (2)'!$C$2=3,$C22&gt;=0),OFFSET('Input data (2)'!L$126,'Input data (2)'!$BL$1-$C22,0),IF(AND('Input data (2)'!$C$2=2,$B22&gt;=0),OFFSET('Input data (2)'!L$126,'Input data (2)'!$BL$1-$B22,0),IF(AND('Input data (2)'!$C$2=1,$A22&gt;=0),OFFSET('Input data (2)'!L$126,'Input data (2)'!$BL$1-$A22,0),""))))</f>
        <v>80</v>
      </c>
      <c r="AX37" s="1">
        <f ca="1">IF(AND('Input data (2)'!$C$2=4,$D22&gt;=0),OFFSET('Input data (2)'!M$126,'Input data (2)'!$BL$1-$D22,0),IF(AND('Input data (2)'!$C$2=3,$C22&gt;=0),OFFSET('Input data (2)'!M$126,'Input data (2)'!$BL$1-$C22,0),IF(AND('Input data (2)'!$C$2=2,$B22&gt;=0),OFFSET('Input data (2)'!M$126,'Input data (2)'!$BL$1-$B22,0),IF(AND('Input data (2)'!$C$2=1,$A22&gt;=0),OFFSET('Input data (2)'!M$126,'Input data (2)'!$BL$1-$A22,0),""))))</f>
        <v>2</v>
      </c>
      <c r="AY37" s="1">
        <f ca="1">IF(AND('Input data (2)'!$C$2=4,$D22&gt;=0),OFFSET('Input data (2)'!N$126,'Input data (2)'!$BL$1-$D22,0),IF(AND('Input data (2)'!$C$2=3,$C22&gt;=0),OFFSET('Input data (2)'!N$126,'Input data (2)'!$BL$1-$C22,0),IF(AND('Input data (2)'!$C$2=2,$B22&gt;=0),OFFSET('Input data (2)'!N$126,'Input data (2)'!$BL$1-$B22,0),IF(AND('Input data (2)'!$C$2=1,$A22&gt;=0),OFFSET('Input data (2)'!N$126,'Input data (2)'!$BL$1-$A22,0),""))))</f>
        <v>666</v>
      </c>
      <c r="AZ37" s="1">
        <f ca="1">IF(AND('Input data (2)'!$C$2=4,$D22&gt;=0),OFFSET('Input data (2)'!P$126,'Input data (2)'!$BL$1-$D22,0),IF(AND('Input data (2)'!$C$2=3,$C22&gt;=0),OFFSET('Input data (2)'!P$126,'Input data (2)'!$BL$1-$C22,0),IF(AND('Input data (2)'!$C$2=2,$B22&gt;=0),OFFSET('Input data (2)'!P$126,'Input data (2)'!$BL$1-$B22,0),IF(AND('Input data (2)'!$C$2=1,$A22&gt;=0),OFFSET('Input data (2)'!P$126,'Input data (2)'!$BL$1-$A22,0),""))))</f>
        <v>129</v>
      </c>
      <c r="BB37" s="1">
        <f ca="1">IF(AND('Input data (2)'!$C$2=4,$D22&gt;=0),OFFSET('Input data (2)'!BB$126,'Input data (2)'!$BL$1-$D22,0),IF(AND('Input data (2)'!$C$2=3,$C22&gt;=0),OFFSET('Input data (2)'!BB$126,'Input data (2)'!$BL$1-$C22,0),IF(AND('Input data (2)'!$C$2=2,$B22&gt;=0),OFFSET('Input data (2)'!BB$126,'Input data (2)'!$BL$1-$B22,0),IF(AND('Input data (2)'!$C$2=1,$A22&gt;=0),OFFSET('Input data (2)'!BB$126,'Input data (2)'!$BL$1-$A22,0),""))))</f>
        <v>3527</v>
      </c>
      <c r="BC37" s="1">
        <f ca="1">IF(AND('Input data (2)'!$C$2=4,$D22&gt;=0),OFFSET('Input data (2)'!AY$126,'Input data (2)'!$BL$1-$D22,0),IF(AND('Input data (2)'!$C$2=3,$C22&gt;=0),OFFSET('Input data (2)'!AY$126,'Input data (2)'!$BL$1-$C22,0),IF(AND('Input data (2)'!$C$2=2,$B22&gt;=0),OFFSET('Input data (2)'!AY$126,'Input data (2)'!$BL$1-$B22,0),IF(AND('Input data (2)'!$C$2=1,$A22&gt;=0),OFFSET('Input data (2)'!AY$126,'Input data (2)'!$BL$1-$A22,0),""))))</f>
        <v>1545</v>
      </c>
      <c r="BD37" s="1" t="str">
        <f ca="1">IF(AND('Input data (2)'!$C$2=4,$D22&gt;=0),OFFSET('Input data (2)'!AZ$126,'Input data (2)'!$BL$1-$D22,0),IF(AND('Input data (2)'!$C$2=3,$C22&gt;=0),OFFSET('Input data (2)'!AZ$126,'Input data (2)'!$BL$1-$C22,0),IF(AND('Input data (2)'!$C$2=2,$B22&gt;=0),OFFSET('Input data (2)'!AZ$126,'Input data (2)'!$BL$1-$B22,0),IF(AND('Input data (2)'!$C$2=1,$A22&gt;=0),OFFSET('Input data (2)'!AZ$126,'Input data (2)'!$BL$1-$A22,0),""))))</f>
        <v>:</v>
      </c>
      <c r="BE37" s="1">
        <f ca="1">IF(AND('Input data (2)'!$C$2=4,$D22&gt;=0),OFFSET('Input data (2)'!BA$126,'Input data (2)'!$BL$1-$D22,0),IF(AND('Input data (2)'!$C$2=3,$C22&gt;=0),OFFSET('Input data (2)'!BA$126,'Input data (2)'!$BL$1-$C22,0),IF(AND('Input data (2)'!$C$2=2,$B22&gt;=0),OFFSET('Input data (2)'!BA$126,'Input data (2)'!$BL$1-$B22,0),IF(AND('Input data (2)'!$C$2=1,$A22&gt;=0),OFFSET('Input data (2)'!BA$126,'Input data (2)'!$BL$1-$A22,0),""))))</f>
        <v>1982</v>
      </c>
      <c r="BF37" s="1">
        <f ca="1">IF(AND('Input data (2)'!$C$2=4,$D22&gt;=0),OFFSET('Input data (2)'!AP$126,'Input data (2)'!$BL$1-$D22,0),IF(AND('Input data (2)'!$C$2=3,$C22&gt;=0),OFFSET('Input data (2)'!AP$126,'Input data (2)'!$BL$1-$C22,0),IF(AND('Input data (2)'!$C$2=2,$B22&gt;=0),OFFSET('Input data (2)'!AP$126,'Input data (2)'!$BL$1-$B22,0),IF(AND('Input data (2)'!$C$2=1,$A22&gt;=0),OFFSET('Input data (2)'!AP$126,'Input data (2)'!$BL$1-$A22,0),""))))</f>
        <v>125</v>
      </c>
      <c r="BG37" s="1">
        <f ca="1">IF(AND('Input data (2)'!$C$2=4,$D22&gt;=0),OFFSET('Input data (2)'!AN$126,'Input data (2)'!$BL$1-$D22,0),IF(AND('Input data (2)'!$C$2=3,$C22&gt;=0),OFFSET('Input data (2)'!AN$126,'Input data (2)'!$BL$1-$C22,0),IF(AND('Input data (2)'!$C$2=2,$B22&gt;=0),OFFSET('Input data (2)'!AN$126,'Input data (2)'!$BL$1-$B22,0),IF(AND('Input data (2)'!$C$2=1,$A22&gt;=0),OFFSET('Input data (2)'!AN$126,'Input data (2)'!$BL$1-$A22,0),""))))</f>
        <v>105</v>
      </c>
      <c r="BH37" s="1">
        <f ca="1">IF(AND('Input data (2)'!$C$2=4,$D22&gt;=0),OFFSET('Input data (2)'!AO$126,'Input data (2)'!$BL$1-$D22,0),IF(AND('Input data (2)'!$C$2=3,$C22&gt;=0),OFFSET('Input data (2)'!AO$126,'Input data (2)'!$BL$1-$C22,0),IF(AND('Input data (2)'!$C$2=2,$B22&gt;=0),OFFSET('Input data (2)'!AO$126,'Input data (2)'!$BL$1-$B22,0),IF(AND('Input data (2)'!$C$2=1,$A22&gt;=0),OFFSET('Input data (2)'!AO$126,'Input data (2)'!$BL$1-$A22,0),""))))</f>
        <v>20</v>
      </c>
      <c r="BJ37" s="1">
        <f ca="1">IF(AND('Input data (2)'!$C$2=4,$D22&gt;=0),OFFSET('Input data (2)'!AU$126,'Input data (2)'!$BL$1-$D22,0),IF(AND('Input data (2)'!$C$2=3,$C22&gt;=0),OFFSET('Input data (2)'!AU$126,'Input data (2)'!$BL$1-$C22,0),IF(AND('Input data (2)'!$C$2=2,$B22&gt;=0),OFFSET('Input data (2)'!AU$126,'Input data (2)'!$BL$1-$B22,0),IF(AND('Input data (2)'!$C$2=1,$A22&gt;=0),OFFSET('Input data (2)'!AU$126,'Input data (2)'!$BL$1-$A22,0),""))))</f>
        <v>8</v>
      </c>
      <c r="BK37" s="1">
        <f ca="1">IF(AND('Input data (2)'!$C$2=4,$D22&gt;=0),OFFSET('Input data (2)'!AV$126,'Input data (2)'!$BL$1-$D22,0),IF(AND('Input data (2)'!$C$2=3,$C22&gt;=0),OFFSET('Input data (2)'!AV$126,'Input data (2)'!$BL$1-$C22,0),IF(AND('Input data (2)'!$C$2=2,$B22&gt;=0),OFFSET('Input data (2)'!AV$126,'Input data (2)'!$BL$1-$B22,0),IF(AND('Input data (2)'!$C$2=1,$A22&gt;=0),OFFSET('Input data (2)'!AV$126,'Input data (2)'!$BL$1-$A22,0),""))))</f>
        <v>0</v>
      </c>
      <c r="BL37" s="1">
        <f ca="1">IF(AND('Input data (2)'!$C$2=4,$D22&gt;=0),OFFSET('Input data (2)'!AW$126,'Input data (2)'!$BL$1-$D22,0),IF(AND('Input data (2)'!$C$2=3,$C22&gt;=0),OFFSET('Input data (2)'!AW$126,'Input data (2)'!$BL$1-$C22,0),IF(AND('Input data (2)'!$C$2=2,$B22&gt;=0),OFFSET('Input data (2)'!AW$126,'Input data (2)'!$BL$1-$B22,0),IF(AND('Input data (2)'!$C$2=1,$A22&gt;=0),OFFSET('Input data (2)'!AW$126,'Input data (2)'!$BL$1-$A22,0),""))))</f>
        <v>6</v>
      </c>
      <c r="BM37" s="1">
        <f ca="1">IF(AND('Input data (2)'!$C$2=4,$D22&gt;=0),OFFSET('Input data (2)'!AX$126,'Input data (2)'!$BL$1-$D22,0),IF(AND('Input data (2)'!$C$2=3,$C22&gt;=0),OFFSET('Input data (2)'!AX$126,'Input data (2)'!$BL$1-$C22,0),IF(AND('Input data (2)'!$C$2=2,$B22&gt;=0),OFFSET('Input data (2)'!AX$126,'Input data (2)'!$BL$1-$B22,0),IF(AND('Input data (2)'!$C$2=1,$A22&gt;=0),OFFSET('Input data (2)'!AX$126,'Input data (2)'!$BL$1-$A22,0),""))))</f>
        <v>2</v>
      </c>
      <c r="BO37" s="1">
        <f ca="1">IF(AND('Input data (2)'!$C$2=4,$D22&gt;=0),OFFSET('Input data (2)'!BL$126,'Input data (2)'!$BL$1-$D22,0),IF(AND('Input data (2)'!$C$2=3,$C22&gt;=0),OFFSET('Input data (2)'!BL$126,'Input data (2)'!$BL$1-$C22,0),IF(AND('Input data (2)'!$C$2=2,$B22&gt;=0),OFFSET('Input data (2)'!BL$126,'Input data (2)'!$BL$1-$B22,0),IF(AND('Input data (2)'!$C$2=1,$A22&gt;=0),OFFSET('Input data (2)'!BL$126,'Input data (2)'!$BL$1-$A22,0),""))))</f>
        <v>338</v>
      </c>
      <c r="BP37" s="1">
        <f ca="1">IF(AND('Input data (2)'!$C$2=4,$D22&gt;=0),OFFSET('Input data (2)'!BI$126,'Input data (2)'!$BL$1-$D22,0),IF(AND('Input data (2)'!$C$2=3,$C22&gt;=0),OFFSET('Input data (2)'!BI$126,'Input data (2)'!$BL$1-$C22,0),IF(AND('Input data (2)'!$C$2=2,$B22&gt;=0),OFFSET('Input data (2)'!BI$126,'Input data (2)'!$BL$1-$B22,0),IF(AND('Input data (2)'!$C$2=1,$A22&gt;=0),OFFSET('Input data (2)'!BI$126,'Input data (2)'!$BL$1-$A22,0),""))))</f>
        <v>227</v>
      </c>
      <c r="BQ37" s="1" t="str">
        <f ca="1">IF(AND('Input data (2)'!$C$2=4,$D22&gt;=0),OFFSET('Input data (2)'!BK$126,'Input data (2)'!$BL$1-$D22,0),IF(AND('Input data (2)'!$C$2=3,$C22&gt;=0),OFFSET('Input data (2)'!BK$126,'Input data (2)'!$BL$1-$C22,0),IF(AND('Input data (2)'!$C$2=2,$B22&gt;=0),OFFSET('Input data (2)'!BK$126,'Input data (2)'!$BL$1-$B22,0),IF(AND('Input data (2)'!$C$2=1,$A22&gt;=0),OFFSET('Input data (2)'!BK$126,'Input data (2)'!$BL$1-$A22,0),""))))</f>
        <v>..</v>
      </c>
      <c r="BR37" s="1">
        <f ca="1">IF(AND('Input data (2)'!$C$2=4,$D22&gt;=0),OFFSET('Input data (2)'!BJ$126,'Input data (2)'!$BL$1-$D22,0),IF(AND('Input data (2)'!$C$2=3,$C22&gt;=0),OFFSET('Input data (2)'!BJ$126,'Input data (2)'!$BL$1-$C22,0),IF(AND('Input data (2)'!$C$2=2,$B22&gt;=0),OFFSET('Input data (2)'!BJ$126,'Input data (2)'!$BL$1-$B22,0),IF(AND('Input data (2)'!$C$2=1,$A22&gt;=0),OFFSET('Input data (2)'!BJ$126,'Input data (2)'!$BL$1-$A22,0),""))))</f>
        <v>111</v>
      </c>
      <c r="BS37" s="1">
        <f ca="1">IF(AND('Input data (2)'!$C$2=4,$D22&gt;=0),OFFSET('Input data (2)'!BF$126,'Input data (2)'!$BL$1-$D22,0),IF(AND('Input data (2)'!$C$2=3,$C22&gt;=0),OFFSET('Input data (2)'!BF$126,'Input data (2)'!$BL$1-$C22,0),IF(AND('Input data (2)'!$C$2=2,$B22&gt;=0),OFFSET('Input data (2)'!BF$126,'Input data (2)'!$BL$1-$B22,0),IF(AND('Input data (2)'!$C$2=1,$A22&gt;=0),OFFSET('Input data (2)'!BF$126,'Input data (2)'!$BL$1-$A22,0),""))))</f>
        <v>42</v>
      </c>
      <c r="BT37" s="1">
        <f ca="1">IF(AND('Input data (2)'!$C$2=4,$D22&gt;=0),OFFSET('Input data (2)'!BD$126,'Input data (2)'!$BL$1-$D22,0),IF(AND('Input data (2)'!$C$2=3,$C22&gt;=0),OFFSET('Input data (2)'!BD$126,'Input data (2)'!$BL$1-$C22,0),IF(AND('Input data (2)'!$C$2=2,$B22&gt;=0),OFFSET('Input data (2)'!BD$126,'Input data (2)'!$BL$1-$B22,0),IF(AND('Input data (2)'!$C$2=1,$A22&gt;=0),OFFSET('Input data (2)'!BD$126,'Input data (2)'!$BL$1-$A22,0),""))))</f>
        <v>28</v>
      </c>
      <c r="BU37" s="1">
        <f ca="1">IF(AND('Input data (2)'!$C$2=4,$D22&gt;=0),OFFSET('Input data (2)'!BE$126,'Input data (2)'!$BL$1-$D22,0),IF(AND('Input data (2)'!$C$2=3,$C22&gt;=0),OFFSET('Input data (2)'!BE$126,'Input data (2)'!$BL$1-$C22,0),IF(AND('Input data (2)'!$C$2=2,$B22&gt;=0),OFFSET('Input data (2)'!BE$126,'Input data (2)'!$BL$1-$B22,0),IF(AND('Input data (2)'!$C$2=1,$A22&gt;=0),OFFSET('Input data (2)'!BE$126,'Input data (2)'!$BL$1-$A22,0),""))))</f>
        <v>14</v>
      </c>
      <c r="BW37" s="7">
        <f ca="1">IF(AND('Input data (2)'!$C$2=4,$D22&gt;=0),OFFSET('Input data (2)'!J$126,'Input data (2)'!$BL$1-$D22,0),IF(AND('Input data (2)'!$C$2=3,$C22&gt;=0),OFFSET('Input data (2)'!J$126,'Input data (2)'!$BL$1-$C22,0),IF(AND('Input data (2)'!$C$2=2,$B22&gt;=0),OFFSET('Input data (2)'!J$126,'Input data (2)'!$BL$1-$B22,0),IF(AND('Input data (2)'!$C$2=1,$A22&gt;=0),OFFSET('Input data (2)'!J$126,'Input data (2)'!$BL$1-$A22,0),""))))</f>
        <v>0.62993971990921493</v>
      </c>
      <c r="BX37" s="7">
        <f ca="1">IF(AND('Input data (2)'!$C$2=4,$D22&gt;=0),OFFSET('Input data (2)'!K$126,'Input data (2)'!$BL$1-$D22,0),IF(AND('Input data (2)'!$C$2=3,$C22&gt;=0),OFFSET('Input data (2)'!K$126,'Input data (2)'!$BL$1-$C22,0),IF(AND('Input data (2)'!$C$2=2,$B22&gt;=0),OFFSET('Input data (2)'!K$126,'Input data (2)'!$BL$1-$B22,0),IF(AND('Input data (2)'!$C$2=1,$A22&gt;=0),OFFSET('Input data (2)'!K$126,'Input data (2)'!$BL$1-$A22,0),""))))</f>
        <v>0.57724836447689942</v>
      </c>
      <c r="BY37" s="7">
        <f ca="1">IF(AND('Input data (2)'!$C$2=4,$D22&gt;=0),OFFSET('Input data (2)'!AS$126,'Input data (2)'!$BL$1-$D22,0),IF(AND('Input data (2)'!$C$2=3,$C22&gt;=0),OFFSET('Input data (2)'!AS$126,'Input data (2)'!$BL$1-$C22,0),IF(AND('Input data (2)'!$C$2=2,$B22&gt;=0),OFFSET('Input data (2)'!AS$126,'Input data (2)'!$BL$1-$B22,0),IF(AND('Input data (2)'!$C$2=1,$A22&gt;=0),OFFSET('Input data (2)'!AS$126,'Input data (2)'!$BL$1-$A22,0),""))))</f>
        <v>0.48152384280048149</v>
      </c>
      <c r="BZ37" s="7">
        <f ca="1">IF(AND('Input data (2)'!$C$2=4,$D22&gt;=0),OFFSET('Input data (2)'!AT$126,'Input data (2)'!$BL$1-$D22,0),IF(AND('Input data (2)'!$C$2=3,$C22&gt;=0),OFFSET('Input data (2)'!AT$126,'Input data (2)'!$BL$1-$C22,0),IF(AND('Input data (2)'!$C$2=2,$B22&gt;=0),OFFSET('Input data (2)'!AT$126,'Input data (2)'!$BL$1-$B22,0),IF(AND('Input data (2)'!$C$2=1,$A22&gt;=0),OFFSET('Input data (2)'!AT$126,'Input data (2)'!$BL$1-$A22,0),""))))</f>
        <v>0.43952484473984194</v>
      </c>
      <c r="CB37" s="122"/>
      <c r="CC37" s="122"/>
      <c r="CD37" s="122"/>
      <c r="CE37" s="122"/>
      <c r="CG37" s="1">
        <v>7</v>
      </c>
      <c r="CI37" s="1">
        <f t="shared" ca="1" si="24"/>
        <v>2011</v>
      </c>
      <c r="CJ37" s="1" t="str">
        <f t="shared" si="25"/>
        <v>Q3</v>
      </c>
      <c r="CK37" s="1" t="str">
        <f t="shared" ca="1" si="12"/>
        <v>11</v>
      </c>
      <c r="CL37" s="1" t="str">
        <f t="shared" ca="1" si="13"/>
        <v>Q3 11</v>
      </c>
      <c r="CM37" s="1">
        <f ca="1">OFFSET('Input data (2)'!AJ$126,'Input data (2)'!$BL$1-'Output data - DO NOT TOUCH (2)'!$CG37,0)/1000</f>
        <v>9.7189999999999994</v>
      </c>
      <c r="CN37" s="1">
        <f ca="1">OFFSET('Input data (2)'!AK$126,'Input data (2)'!$BL$1-'Output data - DO NOT TOUCH (2)'!$CG37,0)/1000</f>
        <v>12.512</v>
      </c>
      <c r="CO37" s="1" t="e">
        <f ca="1">OFFSET('Input data (2)'!AL$126,'Input data (2)'!$BL$1-'Output data - DO NOT TOUCH (2)'!$CG37,0)/1000</f>
        <v>#VALUE!</v>
      </c>
      <c r="CP37" s="1"/>
      <c r="CQ37" s="1">
        <f ca="1">OFFSET('Input data (2)'!AG$126,'Input data (2)'!$BL$1-'Output data - DO NOT TOUCH (2)'!$CG37,0)/1000</f>
        <v>1.1970000000000001</v>
      </c>
      <c r="CR37" s="1">
        <f ca="1">OFFSET('Input data (2)'!AH$126,'Input data (2)'!$BL$1-'Output data - DO NOT TOUCH (2)'!$CG37,0)/1000</f>
        <v>3.0569999999999999</v>
      </c>
      <c r="CS37" s="1">
        <f ca="1">OFFSET('Input data (2)'!AI$126,'Input data (2)'!$BL$1-'Output data - DO NOT TOUCH (2)'!$CG37,0)/1000</f>
        <v>4.2539999999999996</v>
      </c>
      <c r="CT37" s="1"/>
      <c r="CU37" s="1">
        <f ca="1">OFFSET('Input data (2)'!L$126,'Input data (2)'!$BL$1-'Output data - DO NOT TOUCH (2)'!$CG37,0)</f>
        <v>374</v>
      </c>
      <c r="CV37" s="1">
        <f ca="1">OFFSET('Input data (2)'!M$126,'Input data (2)'!$BL$1-'Output data - DO NOT TOUCH (2)'!$CG37,0)</f>
        <v>0</v>
      </c>
      <c r="CW37" s="67">
        <f ca="1">OFFSET('Input data (2)'!N$126,'Input data (2)'!$BL$1-'Output data - DO NOT TOUCH (2)'!$CG37,0)</f>
        <v>673</v>
      </c>
      <c r="CX37" s="1">
        <f ca="1">OFFSET('Input data (2)'!P$126,'Input data (2)'!$BL$1-'Output data - DO NOT TOUCH (2)'!$CG37,0)</f>
        <v>206</v>
      </c>
      <c r="CY37" s="1"/>
      <c r="CZ37" s="1">
        <f ca="1">OFFSET('Input data (2)'!AY$126,'Input data (2)'!$BL$1-'Output data - DO NOT TOUCH (2)'!$CG37,0)/1000</f>
        <v>2.8570000000000002</v>
      </c>
      <c r="DA37" s="1">
        <f ca="1">OFFSET('Input data (2)'!BA$126,'Input data (2)'!$BL$1-'Output data - DO NOT TOUCH (2)'!$CG37,0)/1000</f>
        <v>2.5259999999999998</v>
      </c>
      <c r="DB37" s="1">
        <f ca="1">OFFSET('Input data (2)'!BB$126,'Input data (2)'!$BL$1-'Output data - DO NOT TOUCH (2)'!$CG37,0)/1000</f>
        <v>5.383</v>
      </c>
      <c r="DD37" s="1">
        <f ca="1">OFFSET('Input data (2)'!AN$126,'Input data (2)'!$BL$1-'Output data - DO NOT TOUCH (2)'!$CG37,0)</f>
        <v>236</v>
      </c>
      <c r="DE37" s="1">
        <f ca="1">OFFSET('Input data (2)'!AO$126,'Input data (2)'!$BL$1-'Output data - DO NOT TOUCH (2)'!$CG37,0)</f>
        <v>84</v>
      </c>
      <c r="DF37" s="1">
        <f ca="1">OFFSET('Input data (2)'!AP$126,'Input data (2)'!$BL$1-'Output data - DO NOT TOUCH (2)'!$CG37,0)</f>
        <v>320</v>
      </c>
      <c r="DG37" s="1"/>
      <c r="DH37" s="1">
        <f ca="1">OFFSET('Input data (2)'!AU$126,'Input data (2)'!$BL$1-'Output data - DO NOT TOUCH (2)'!$CG37,0)</f>
        <v>0</v>
      </c>
      <c r="DI37" s="1">
        <f ca="1">OFFSET('Input data (2)'!AV$126,'Input data (2)'!$BL$1-'Output data - DO NOT TOUCH (2)'!$CG37,0)</f>
        <v>0</v>
      </c>
      <c r="DJ37" s="1">
        <f ca="1">OFFSET('Input data (2)'!AW$126,'Input data (2)'!$BL$1-'Output data - DO NOT TOUCH (2)'!$CG37,0)</f>
        <v>52</v>
      </c>
      <c r="DK37" s="1">
        <f ca="1">OFFSET('Input data (2)'!AX$126,'Input data (2)'!$BL$1-'Output data - DO NOT TOUCH (2)'!$CG37,0)</f>
        <v>1</v>
      </c>
      <c r="DM37" s="1">
        <f ca="1">OFFSET('Input data (2)'!BI$126,'Input data (2)'!$BL$1-'Output data - DO NOT TOUCH (2)'!$CG37,0)</f>
        <v>301</v>
      </c>
      <c r="DN37" s="1">
        <f ca="1">OFFSET('Input data (2)'!BJ$126,'Input data (2)'!$BL$1-'Output data - DO NOT TOUCH (2)'!$CG37,0)</f>
        <v>273</v>
      </c>
      <c r="DO37" s="1">
        <f ca="1">OFFSET('Input data (2)'!BL$126,'Input data (2)'!$BL$1-'Output data - DO NOT TOUCH (2)'!$CG37,0)</f>
        <v>608</v>
      </c>
      <c r="DQ37" s="1">
        <f ca="1">OFFSET('Input data (2)'!BD$126,'Input data (2)'!$BL$1-'Output data - DO NOT TOUCH (2)'!$CG37,0)</f>
        <v>43</v>
      </c>
      <c r="DR37" s="1">
        <f ca="1">OFFSET('Input data (2)'!BE$126,'Input data (2)'!$BL$1-'Output data - DO NOT TOUCH (2)'!$CG37,0)</f>
        <v>39</v>
      </c>
      <c r="DS37" s="1">
        <f ca="1">OFFSET('Input data (2)'!BF$126,'Input data (2)'!$BL$1-'Output data - DO NOT TOUCH (2)'!$CG37,0)</f>
        <v>82</v>
      </c>
      <c r="DU37" s="1">
        <f ca="1">OFFSET('Input data (2)'!B$126,'Input data (2)'!$BL$1-'Output data - DO NOT TOUCH (2)'!$CG37-1,0)</f>
        <v>2011</v>
      </c>
      <c r="DV37" s="1" t="str">
        <f ca="1">OFFSET('Input data (2)'!C$126,'Input data (2)'!$BL$1-'Output data - DO NOT TOUCH (2)'!$CG37-1,0)</f>
        <v>Q2</v>
      </c>
      <c r="DW37" s="1" t="str">
        <f t="shared" ca="1" si="14"/>
        <v>11</v>
      </c>
      <c r="DX37" s="1" t="str">
        <f t="shared" ca="1" si="15"/>
        <v>Q2 11</v>
      </c>
      <c r="DY37" s="1">
        <f ca="1">OFFSET('Input data (2)'!W$126,'Input data (2)'!$BL$1-'Output data - DO NOT TOUCH (2)'!$CG37-1,0)/1000</f>
        <v>2.3239999999999998</v>
      </c>
      <c r="DZ37" s="1">
        <f ca="1">OFFSET('Input data (2)'!Y$126,'Input data (2)'!$BL$1-'Output data - DO NOT TOUCH (2)'!$CG37-1,0)/1000</f>
        <v>8.7769999999999992</v>
      </c>
      <c r="EA37" s="1">
        <f ca="1">OFFSET('Input data (2)'!Q$126,'Input data (2)'!$BL$1-'Output data - DO NOT TOUCH (2)'!$CG37-1,0)/1000</f>
        <v>11.101000000000001</v>
      </c>
    </row>
    <row r="38" spans="1:131" x14ac:dyDescent="0.15">
      <c r="A38" s="1">
        <v>6</v>
      </c>
      <c r="B38" s="1">
        <v>7</v>
      </c>
      <c r="C38" s="1">
        <v>8</v>
      </c>
      <c r="D38" s="1">
        <v>5</v>
      </c>
      <c r="E38" s="1" t="str">
        <f>F38&amp;G38</f>
        <v>2007Q4</v>
      </c>
      <c r="F38" s="1">
        <f>F33+1</f>
        <v>2007</v>
      </c>
      <c r="G38" s="1" t="s">
        <v>4</v>
      </c>
      <c r="H38" s="1">
        <f>VLOOKUP($E38,'Input data (2)'!$A:$BL,'Output data - DO NOT TOUCH (2)'!H$71,FALSE)</f>
        <v>2929</v>
      </c>
      <c r="I38" s="1">
        <f>VLOOKUP($E38,'Input data (2)'!$A:$BL,'Output data - DO NOT TOUCH (2)'!I$71,FALSE)</f>
        <v>1148</v>
      </c>
      <c r="J38" s="1">
        <f>VLOOKUP($E38,'Input data (2)'!$A:$BL,'Output data - DO NOT TOUCH (2)'!J$71,FALSE)</f>
        <v>1781</v>
      </c>
      <c r="K38" s="1">
        <f>VLOOKUP($E38,'Input data (2)'!$A:$BL,'Output data - DO NOT TOUCH (2)'!K$71,FALSE)</f>
        <v>2982</v>
      </c>
      <c r="L38" s="1">
        <f>VLOOKUP($E38,'Input data (2)'!$A:$BL,'Output data - DO NOT TOUCH (2)'!L$71,FALSE)</f>
        <v>1135</v>
      </c>
      <c r="M38" s="1">
        <f>VLOOKUP($E38,'Input data (2)'!$A:$BL,'Output data - DO NOT TOUCH (2)'!M$71,FALSE)</f>
        <v>1847</v>
      </c>
      <c r="O38" s="119">
        <f ca="1">IF(AND('Input data (2)'!$C$2=4,$D23&gt;=0),OFFSET('Input data (2)'!O$126,'Input data (2)'!$BL$1-$D23,0),IF(AND('Input data (2)'!$C$2=3,$C23&gt;=0),OFFSET('Input data (2)'!O$126,'Input data (2)'!$BL$1-$C23,0),IF(AND('Input data (2)'!$C$2=2,$B23&gt;=0),OFFSET('Input data (2)'!O$126,'Input data (2)'!$BL$1-$B23,0),IF(AND('Input data (2)'!$C$2=1,$A23&gt;=0),OFFSET('Input data (2)'!O$126,'Input data (2)'!$BL$1-$A23,0),""))))</f>
        <v>270</v>
      </c>
      <c r="Q38" s="1">
        <f ca="1">IF(AND('Input data (2)'!$C$2=4,$D23&gt;=0),OFFSET('Input data (2)'!AC$126,'Input data (2)'!$BL$1-$D23,0),IF(AND('Input data (2)'!$C$2=3,$C23&gt;=0),OFFSET('Input data (2)'!AC$126,'Input data (2)'!$BL$1-$C23,0),IF(AND('Input data (2)'!$C$2=2,$B23&gt;=0),OFFSET('Input data (2)'!AC$126,'Input data (2)'!$BL$1-$B23,0),IF(AND('Input data (2)'!$C$2=1,$A23&gt;=0),OFFSET('Input data (2)'!AC$126,'Input data (2)'!$BL$1-$A23,0),""))))</f>
        <v>23830</v>
      </c>
      <c r="R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S38" s="1" t="str">
        <f ca="1">IF(AND('Input data (2)'!$C$2=4,$D23&gt;=0),OFFSET('Input data (2)'!R$126,'Input data (2)'!$BL$1-$D23,0),IF(AND('Input data (2)'!$C$2=3,$C23&gt;=0),OFFSET('Input data (2)'!R$126,'Input data (2)'!$BL$1-$C23,0),IF(AND('Input data (2)'!$C$2=2,$B23&gt;=0),OFFSET('Input data (2)'!R$126,'Input data (2)'!$BL$1-$B23,0),IF(AND('Input data (2)'!$C$2=1,$A23&gt;=0),OFFSET('Input data (2)'!R$126,'Input data (2)'!$BL$1-$A23,0),""))))</f>
        <v>:</v>
      </c>
      <c r="T38" s="1">
        <f ca="1">IF(AND('Input data (2)'!$C$2=4,$D23&gt;=0),OFFSET('Input data (2)'!AA$126,'Input data (2)'!$BL$1-$D23,0),IF(AND('Input data (2)'!$C$2=3,$C23&gt;=0),OFFSET('Input data (2)'!AA$126,'Input data (2)'!$BL$1-$C23,0),IF(AND('Input data (2)'!$C$2=2,$B23&gt;=0),OFFSET('Input data (2)'!AA$126,'Input data (2)'!$BL$1-$B23,0),IF(AND('Input data (2)'!$C$2=1,$A23&gt;=0),OFFSET('Input data (2)'!AA$126,'Input data (2)'!$BL$1-$A23,0),""))))</f>
        <v>9376</v>
      </c>
      <c r="U38" s="1">
        <f ca="1">IF(AND('Input data (2)'!$C$2=4,$D23&gt;=0),OFFSET('Input data (2)'!AL$126,'Input data (2)'!$BL$1-$D23,0),IF(AND('Input data (2)'!$C$2=3,$C23&gt;=0),OFFSET('Input data (2)'!AL$126,'Input data (2)'!$BL$1-$C23,0),IF(AND('Input data (2)'!$C$2=2,$B23&gt;=0),OFFSET('Input data (2)'!AL$126,'Input data (2)'!$BL$1-$B23,0),IF(AND('Input data (2)'!$C$2=1,$A23&gt;=0),OFFSET('Input data (2)'!AL$126,'Input data (2)'!$BL$1-$A23,0),""))))</f>
        <v>24434</v>
      </c>
      <c r="V38" s="1">
        <f ca="1">IF(AND('Input data (2)'!$C$2=4,$D23&gt;=0),OFFSET('Input data (2)'!AJ$126,'Input data (2)'!$BL$1-$D23,0),IF(AND('Input data (2)'!$C$2=3,$C23&gt;=0),OFFSET('Input data (2)'!AJ$126,'Input data (2)'!$BL$1-$C23,0),IF(AND('Input data (2)'!$C$2=2,$B23&gt;=0),OFFSET('Input data (2)'!AJ$126,'Input data (2)'!$BL$1-$B23,0),IF(AND('Input data (2)'!$C$2=1,$A23&gt;=0),OFFSET('Input data (2)'!AJ$126,'Input data (2)'!$BL$1-$A23,0),""))))</f>
        <v>15311</v>
      </c>
      <c r="W38" s="1">
        <f ca="1">IF(AND('Input data (2)'!$C$2=4,$D23&gt;=0),OFFSET('Input data (2)'!AK$126,'Input data (2)'!$BL$1-$D23,0),IF(AND('Input data (2)'!$C$2=3,$C23&gt;=0),OFFSET('Input data (2)'!AK$126,'Input data (2)'!$BL$1-$C23,0),IF(AND('Input data (2)'!$C$2=2,$B23&gt;=0),OFFSET('Input data (2)'!AK$126,'Input data (2)'!$BL$1-$B23,0),IF(AND('Input data (2)'!$C$2=1,$A23&gt;=0),OFFSET('Input data (2)'!AK$126,'Input data (2)'!$BL$1-$A23,0),""))))</f>
        <v>9123</v>
      </c>
      <c r="Y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Z38" s="1">
        <f ca="1">IF(AND('Input data (2)'!$C$2=4,$D23&gt;=0),OFFSET('Input data (2)'!S$126,'Input data (2)'!$BL$1-$D23,0),IF(AND('Input data (2)'!$C$2=3,$C23&gt;=0),OFFSET('Input data (2)'!S$126,'Input data (2)'!$BL$1-$C23,0),IF(AND('Input data (2)'!$C$2=2,$B23&gt;=0),OFFSET('Input data (2)'!S$126,'Input data (2)'!$BL$1-$B23,0),IF(AND('Input data (2)'!$C$2=1,$A23&gt;=0),OFFSET('Input data (2)'!S$126,'Input data (2)'!$BL$1-$A23,0),""))))</f>
        <v>11981</v>
      </c>
      <c r="AA38" s="1">
        <f ca="1">IF(AND('Input data (2)'!$C$2=4,$D23&gt;=0),OFFSET('Input data (2)'!T$126,'Input data (2)'!$BL$1-$D23,0),IF(AND('Input data (2)'!$C$2=3,$C23&gt;=0),OFFSET('Input data (2)'!T$126,'Input data (2)'!$BL$1-$C23,0),IF(AND('Input data (2)'!$C$2=2,$B23&gt;=0),OFFSET('Input data (2)'!T$126,'Input data (2)'!$BL$1-$B23,0),IF(AND('Input data (2)'!$C$2=1,$A23&gt;=0),OFFSET('Input data (2)'!T$126,'Input data (2)'!$BL$1-$A23,0),""))))</f>
        <v>82.890549328905493</v>
      </c>
      <c r="AB38" s="1">
        <f ca="1">IF(AND('Input data (2)'!$C$2=4,$D23&gt;=0),OFFSET('Input data (2)'!U$126,'Input data (2)'!$BL$1-$D23,0),IF(AND('Input data (2)'!$C$2=3,$C23&gt;=0),OFFSET('Input data (2)'!U$126,'Input data (2)'!$BL$1-$C23,0),IF(AND('Input data (2)'!$C$2=2,$B23&gt;=0),OFFSET('Input data (2)'!U$126,'Input data (2)'!$BL$1-$B23,0),IF(AND('Input data (2)'!$C$2=1,$A23&gt;=0),OFFSET('Input data (2)'!U$126,'Input data (2)'!$BL$1-$A23,0),""))))</f>
        <v>2473</v>
      </c>
      <c r="AC38" s="1">
        <f ca="1">IF(AND('Input data (2)'!$C$2=4,$D23&gt;=0),OFFSET('Input data (2)'!V$126,'Input data (2)'!$BL$1-$D23,0),IF(AND('Input data (2)'!$C$2=3,$C23&gt;=0),OFFSET('Input data (2)'!V$126,'Input data (2)'!$BL$1-$C23,0),IF(AND('Input data (2)'!$C$2=2,$B23&gt;=0),OFFSET('Input data (2)'!V$126,'Input data (2)'!$BL$1-$B23,0),IF(AND('Input data (2)'!$C$2=1,$A23&gt;=0),OFFSET('Input data (2)'!V$126,'Input data (2)'!$BL$1-$A23,0),""))))</f>
        <v>17.109450671094507</v>
      </c>
      <c r="AD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AE38" s="1">
        <f ca="1">IF(AND('Input data (2)'!$C$2=4,$D23&gt;=0),OFFSET('Input data (2)'!W$126,'Input data (2)'!$BL$1-$D23,0),IF(AND('Input data (2)'!$C$2=3,$C23&gt;=0),OFFSET('Input data (2)'!W$126,'Input data (2)'!$BL$1-$C23,0),IF(AND('Input data (2)'!$C$2=2,$B23&gt;=0),OFFSET('Input data (2)'!W$126,'Input data (2)'!$BL$1-$B23,0),IF(AND('Input data (2)'!$C$2=1,$A23&gt;=0),OFFSET('Input data (2)'!W$126,'Input data (2)'!$BL$1-$A23,0),""))))</f>
        <v>1650</v>
      </c>
      <c r="AF38" s="1">
        <f ca="1">IF(AND('Input data (2)'!$C$2=4,$D23&gt;=0),OFFSET('Input data (2)'!X$126,'Input data (2)'!$BL$1-$D23,0),IF(AND('Input data (2)'!$C$2=3,$C23&gt;=0),OFFSET('Input data (2)'!X$126,'Input data (2)'!$BL$1-$C23,0),IF(AND('Input data (2)'!$C$2=2,$B23&gt;=0),OFFSET('Input data (2)'!X$126,'Input data (2)'!$BL$1-$B23,0),IF(AND('Input data (2)'!$C$2=1,$A23&gt;=0),OFFSET('Input data (2)'!X$126,'Input data (2)'!$BL$1-$A23,0),""))))</f>
        <v>11.415525114155251</v>
      </c>
      <c r="AG38" s="1">
        <f ca="1">IF(AND('Input data (2)'!$C$2=4,$D23&gt;=0),OFFSET('Input data (2)'!Y$126,'Input data (2)'!$BL$1-$D23,0),IF(AND('Input data (2)'!$C$2=3,$C23&gt;=0),OFFSET('Input data (2)'!Y$126,'Input data (2)'!$BL$1-$C23,0),IF(AND('Input data (2)'!$C$2=2,$B23&gt;=0),OFFSET('Input data (2)'!Y$126,'Input data (2)'!$BL$1-$B23,0),IF(AND('Input data (2)'!$C$2=1,$A23&gt;=0),OFFSET('Input data (2)'!Y$126,'Input data (2)'!$BL$1-$A23,0),""))))</f>
        <v>12804</v>
      </c>
      <c r="AH38" s="1">
        <f ca="1">IF(AND('Input data (2)'!$C$2=4,$D23&gt;=0),OFFSET('Input data (2)'!Z$126,'Input data (2)'!$BL$1-$D23,0),IF(AND('Input data (2)'!$C$2=3,$C23&gt;=0),OFFSET('Input data (2)'!Z$126,'Input data (2)'!$BL$1-$C23,0),IF(AND('Input data (2)'!$C$2=2,$B23&gt;=0),OFFSET('Input data (2)'!Z$126,'Input data (2)'!$BL$1-$B23,0),IF(AND('Input data (2)'!$C$2=1,$A23&gt;=0),OFFSET('Input data (2)'!Z$126,'Input data (2)'!$BL$1-$A23,0),""))))</f>
        <v>88.584474885844742</v>
      </c>
      <c r="AI38" s="3"/>
      <c r="AJ38" s="124">
        <f ca="1">IF(AND('Input data (2)'!$C$2=4,$D23&gt;=0),OFFSET('Input data (2)'!AF$126,'Input data (2)'!$BL$1-$D23,0),IF(AND('Input data (2)'!$C$2=3,$C23&gt;=0),OFFSET('Input data (2)'!AF$126,'Input data (2)'!$BL$1-$C23,0),IF(AND('Input data (2)'!$C$2=2,$B23&gt;=0),OFFSET('Input data (2)'!AF$126,'Input data (2)'!$BL$1-$B23,0),IF(AND('Input data (2)'!$C$2=1,$A23&gt;=0),OFFSET('Input data (2)'!AF$126,'Input data (2)'!$BL$1-$A23,0),""))))</f>
        <v>3710</v>
      </c>
      <c r="AK38" s="124">
        <f ca="1">IF(AND('Input data (2)'!$C$2=4,$D23&gt;=0),OFFSET('Input data (2)'!AD$126,'Input data (2)'!$BL$1-$D23,0),IF(AND('Input data (2)'!$C$2=3,$C23&gt;=0),OFFSET('Input data (2)'!AD$126,'Input data (2)'!$BL$1-$C23,0),IF(AND('Input data (2)'!$C$2=2,$B23&gt;=0),OFFSET('Input data (2)'!AD$126,'Input data (2)'!$BL$1-$B23,0),IF(AND('Input data (2)'!$C$2=1,$A23&gt;=0),OFFSET('Input data (2)'!AD$126,'Input data (2)'!$BL$1-$A23,0),""))))</f>
        <v>16</v>
      </c>
      <c r="AL38" s="124">
        <f ca="1">IF(AND('Input data (2)'!$C$2=4,$D23&gt;=0),OFFSET('Input data (2)'!AE$126,'Input data (2)'!$BL$1-$D23,0),IF(AND('Input data (2)'!$C$2=3,$C23&gt;=0),OFFSET('Input data (2)'!AE$126,'Input data (2)'!$BL$1-$C23,0),IF(AND('Input data (2)'!$C$2=2,$B23&gt;=0),OFFSET('Input data (2)'!AE$126,'Input data (2)'!$BL$1-$B23,0),IF(AND('Input data (2)'!$C$2=1,$A23&gt;=0),OFFSET('Input data (2)'!AE$126,'Input data (2)'!$BL$1-$A23,0),""))))</f>
        <v>3694</v>
      </c>
      <c r="AW38" s="1">
        <f ca="1">IF(AND('Input data (2)'!$C$2=4,$D23&gt;=0),OFFSET('Input data (2)'!L$126,'Input data (2)'!$BL$1-$D23,0),IF(AND('Input data (2)'!$C$2=3,$C23&gt;=0),OFFSET('Input data (2)'!L$126,'Input data (2)'!$BL$1-$C23,0),IF(AND('Input data (2)'!$C$2=2,$B23&gt;=0),OFFSET('Input data (2)'!L$126,'Input data (2)'!$BL$1-$B23,0),IF(AND('Input data (2)'!$C$2=1,$A23&gt;=0),OFFSET('Input data (2)'!L$126,'Input data (2)'!$BL$1-$A23,0),""))))</f>
        <v>92</v>
      </c>
      <c r="AX38" s="1">
        <f ca="1">IF(AND('Input data (2)'!$C$2=4,$D23&gt;=0),OFFSET('Input data (2)'!M$126,'Input data (2)'!$BL$1-$D23,0),IF(AND('Input data (2)'!$C$2=3,$C23&gt;=0),OFFSET('Input data (2)'!M$126,'Input data (2)'!$BL$1-$C23,0),IF(AND('Input data (2)'!$C$2=2,$B23&gt;=0),OFFSET('Input data (2)'!M$126,'Input data (2)'!$BL$1-$B23,0),IF(AND('Input data (2)'!$C$2=1,$A23&gt;=0),OFFSET('Input data (2)'!M$126,'Input data (2)'!$BL$1-$A23,0),""))))</f>
        <v>0</v>
      </c>
      <c r="AY38" s="1">
        <f ca="1">IF(AND('Input data (2)'!$C$2=4,$D23&gt;=0),OFFSET('Input data (2)'!N$126,'Input data (2)'!$BL$1-$D23,0),IF(AND('Input data (2)'!$C$2=3,$C23&gt;=0),OFFSET('Input data (2)'!N$126,'Input data (2)'!$BL$1-$C23,0),IF(AND('Input data (2)'!$C$2=2,$B23&gt;=0),OFFSET('Input data (2)'!N$126,'Input data (2)'!$BL$1-$B23,0),IF(AND('Input data (2)'!$C$2=1,$A23&gt;=0),OFFSET('Input data (2)'!N$126,'Input data (2)'!$BL$1-$A23,0),""))))</f>
        <v>575</v>
      </c>
      <c r="AZ38" s="1">
        <f ca="1">IF(AND('Input data (2)'!$C$2=4,$D23&gt;=0),OFFSET('Input data (2)'!P$126,'Input data (2)'!$BL$1-$D23,0),IF(AND('Input data (2)'!$C$2=3,$C23&gt;=0),OFFSET('Input data (2)'!P$126,'Input data (2)'!$BL$1-$C23,0),IF(AND('Input data (2)'!$C$2=2,$B23&gt;=0),OFFSET('Input data (2)'!P$126,'Input data (2)'!$BL$1-$B23,0),IF(AND('Input data (2)'!$C$2=1,$A23&gt;=0),OFFSET('Input data (2)'!P$126,'Input data (2)'!$BL$1-$A23,0),""))))</f>
        <v>91</v>
      </c>
      <c r="BB38" s="1">
        <f ca="1">IF(AND('Input data (2)'!$C$2=4,$D23&gt;=0),OFFSET('Input data (2)'!BB$126,'Input data (2)'!$BL$1-$D23,0),IF(AND('Input data (2)'!$C$2=3,$C23&gt;=0),OFFSET('Input data (2)'!BB$126,'Input data (2)'!$BL$1-$C23,0),IF(AND('Input data (2)'!$C$2=2,$B23&gt;=0),OFFSET('Input data (2)'!BB$126,'Input data (2)'!$BL$1-$B23,0),IF(AND('Input data (2)'!$C$2=1,$A23&gt;=0),OFFSET('Input data (2)'!BB$126,'Input data (2)'!$BL$1-$A23,0),""))))</f>
        <v>3318</v>
      </c>
      <c r="BC38" s="1">
        <f ca="1">IF(AND('Input data (2)'!$C$2=4,$D23&gt;=0),OFFSET('Input data (2)'!AY$126,'Input data (2)'!$BL$1-$D23,0),IF(AND('Input data (2)'!$C$2=3,$C23&gt;=0),OFFSET('Input data (2)'!AY$126,'Input data (2)'!$BL$1-$C23,0),IF(AND('Input data (2)'!$C$2=2,$B23&gt;=0),OFFSET('Input data (2)'!AY$126,'Input data (2)'!$BL$1-$B23,0),IF(AND('Input data (2)'!$C$2=1,$A23&gt;=0),OFFSET('Input data (2)'!AY$126,'Input data (2)'!$BL$1-$A23,0),""))))</f>
        <v>1563</v>
      </c>
      <c r="BD38" s="1" t="str">
        <f ca="1">IF(AND('Input data (2)'!$C$2=4,$D23&gt;=0),OFFSET('Input data (2)'!AZ$126,'Input data (2)'!$BL$1-$D23,0),IF(AND('Input data (2)'!$C$2=3,$C23&gt;=0),OFFSET('Input data (2)'!AZ$126,'Input data (2)'!$BL$1-$C23,0),IF(AND('Input data (2)'!$C$2=2,$B23&gt;=0),OFFSET('Input data (2)'!AZ$126,'Input data (2)'!$BL$1-$B23,0),IF(AND('Input data (2)'!$C$2=1,$A23&gt;=0),OFFSET('Input data (2)'!AZ$126,'Input data (2)'!$BL$1-$A23,0),""))))</f>
        <v>:</v>
      </c>
      <c r="BE38" s="1">
        <f ca="1">IF(AND('Input data (2)'!$C$2=4,$D23&gt;=0),OFFSET('Input data (2)'!BA$126,'Input data (2)'!$BL$1-$D23,0),IF(AND('Input data (2)'!$C$2=3,$C23&gt;=0),OFFSET('Input data (2)'!BA$126,'Input data (2)'!$BL$1-$C23,0),IF(AND('Input data (2)'!$C$2=2,$B23&gt;=0),OFFSET('Input data (2)'!BA$126,'Input data (2)'!$BL$1-$B23,0),IF(AND('Input data (2)'!$C$2=1,$A23&gt;=0),OFFSET('Input data (2)'!BA$126,'Input data (2)'!$BL$1-$A23,0),""))))</f>
        <v>1755</v>
      </c>
      <c r="BF38" s="1">
        <f ca="1">IF(AND('Input data (2)'!$C$2=4,$D23&gt;=0),OFFSET('Input data (2)'!AP$126,'Input data (2)'!$BL$1-$D23,0),IF(AND('Input data (2)'!$C$2=3,$C23&gt;=0),OFFSET('Input data (2)'!AP$126,'Input data (2)'!$BL$1-$C23,0),IF(AND('Input data (2)'!$C$2=2,$B23&gt;=0),OFFSET('Input data (2)'!AP$126,'Input data (2)'!$BL$1-$B23,0),IF(AND('Input data (2)'!$C$2=1,$A23&gt;=0),OFFSET('Input data (2)'!AP$126,'Input data (2)'!$BL$1-$A23,0),""))))</f>
        <v>83</v>
      </c>
      <c r="BG38" s="1">
        <f ca="1">IF(AND('Input data (2)'!$C$2=4,$D23&gt;=0),OFFSET('Input data (2)'!AN$126,'Input data (2)'!$BL$1-$D23,0),IF(AND('Input data (2)'!$C$2=3,$C23&gt;=0),OFFSET('Input data (2)'!AN$126,'Input data (2)'!$BL$1-$C23,0),IF(AND('Input data (2)'!$C$2=2,$B23&gt;=0),OFFSET('Input data (2)'!AN$126,'Input data (2)'!$BL$1-$B23,0),IF(AND('Input data (2)'!$C$2=1,$A23&gt;=0),OFFSET('Input data (2)'!AN$126,'Input data (2)'!$BL$1-$A23,0),""))))</f>
        <v>71</v>
      </c>
      <c r="BH38" s="1">
        <f ca="1">IF(AND('Input data (2)'!$C$2=4,$D23&gt;=0),OFFSET('Input data (2)'!AO$126,'Input data (2)'!$BL$1-$D23,0),IF(AND('Input data (2)'!$C$2=3,$C23&gt;=0),OFFSET('Input data (2)'!AO$126,'Input data (2)'!$BL$1-$C23,0),IF(AND('Input data (2)'!$C$2=2,$B23&gt;=0),OFFSET('Input data (2)'!AO$126,'Input data (2)'!$BL$1-$B23,0),IF(AND('Input data (2)'!$C$2=1,$A23&gt;=0),OFFSET('Input data (2)'!AO$126,'Input data (2)'!$BL$1-$A23,0),""))))</f>
        <v>12</v>
      </c>
      <c r="BJ38" s="1">
        <f ca="1">IF(AND('Input data (2)'!$C$2=4,$D23&gt;=0),OFFSET('Input data (2)'!AU$126,'Input data (2)'!$BL$1-$D23,0),IF(AND('Input data (2)'!$C$2=3,$C23&gt;=0),OFFSET('Input data (2)'!AU$126,'Input data (2)'!$BL$1-$C23,0),IF(AND('Input data (2)'!$C$2=2,$B23&gt;=0),OFFSET('Input data (2)'!AU$126,'Input data (2)'!$BL$1-$B23,0),IF(AND('Input data (2)'!$C$2=1,$A23&gt;=0),OFFSET('Input data (2)'!AU$126,'Input data (2)'!$BL$1-$A23,0),""))))</f>
        <v>36</v>
      </c>
      <c r="BK38" s="1">
        <f ca="1">IF(AND('Input data (2)'!$C$2=4,$D23&gt;=0),OFFSET('Input data (2)'!AV$126,'Input data (2)'!$BL$1-$D23,0),IF(AND('Input data (2)'!$C$2=3,$C23&gt;=0),OFFSET('Input data (2)'!AV$126,'Input data (2)'!$BL$1-$C23,0),IF(AND('Input data (2)'!$C$2=2,$B23&gt;=0),OFFSET('Input data (2)'!AV$126,'Input data (2)'!$BL$1-$B23,0),IF(AND('Input data (2)'!$C$2=1,$A23&gt;=0),OFFSET('Input data (2)'!AV$126,'Input data (2)'!$BL$1-$A23,0),""))))</f>
        <v>0</v>
      </c>
      <c r="BL38" s="1">
        <f ca="1">IF(AND('Input data (2)'!$C$2=4,$D23&gt;=0),OFFSET('Input data (2)'!AW$126,'Input data (2)'!$BL$1-$D23,0),IF(AND('Input data (2)'!$C$2=3,$C23&gt;=0),OFFSET('Input data (2)'!AW$126,'Input data (2)'!$BL$1-$C23,0),IF(AND('Input data (2)'!$C$2=2,$B23&gt;=0),OFFSET('Input data (2)'!AW$126,'Input data (2)'!$BL$1-$B23,0),IF(AND('Input data (2)'!$C$2=1,$A23&gt;=0),OFFSET('Input data (2)'!AW$126,'Input data (2)'!$BL$1-$A23,0),""))))</f>
        <v>5</v>
      </c>
      <c r="BM38" s="1">
        <f ca="1">IF(AND('Input data (2)'!$C$2=4,$D23&gt;=0),OFFSET('Input data (2)'!AX$126,'Input data (2)'!$BL$1-$D23,0),IF(AND('Input data (2)'!$C$2=3,$C23&gt;=0),OFFSET('Input data (2)'!AX$126,'Input data (2)'!$BL$1-$C23,0),IF(AND('Input data (2)'!$C$2=2,$B23&gt;=0),OFFSET('Input data (2)'!AX$126,'Input data (2)'!$BL$1-$B23,0),IF(AND('Input data (2)'!$C$2=1,$A23&gt;=0),OFFSET('Input data (2)'!AX$126,'Input data (2)'!$BL$1-$A23,0),""))))</f>
        <v>1</v>
      </c>
      <c r="BO38" s="1">
        <f ca="1">IF(AND('Input data (2)'!$C$2=4,$D23&gt;=0),OFFSET('Input data (2)'!BL$126,'Input data (2)'!$BL$1-$D23,0),IF(AND('Input data (2)'!$C$2=3,$C23&gt;=0),OFFSET('Input data (2)'!BL$126,'Input data (2)'!$BL$1-$C23,0),IF(AND('Input data (2)'!$C$2=2,$B23&gt;=0),OFFSET('Input data (2)'!BL$126,'Input data (2)'!$BL$1-$B23,0),IF(AND('Input data (2)'!$C$2=1,$A23&gt;=0),OFFSET('Input data (2)'!BL$126,'Input data (2)'!$BL$1-$A23,0),""))))</f>
        <v>319</v>
      </c>
      <c r="BP38" s="1">
        <f ca="1">IF(AND('Input data (2)'!$C$2=4,$D23&gt;=0),OFFSET('Input data (2)'!BI$126,'Input data (2)'!$BL$1-$D23,0),IF(AND('Input data (2)'!$C$2=3,$C23&gt;=0),OFFSET('Input data (2)'!BI$126,'Input data (2)'!$BL$1-$C23,0),IF(AND('Input data (2)'!$C$2=2,$B23&gt;=0),OFFSET('Input data (2)'!BI$126,'Input data (2)'!$BL$1-$B23,0),IF(AND('Input data (2)'!$C$2=1,$A23&gt;=0),OFFSET('Input data (2)'!BI$126,'Input data (2)'!$BL$1-$A23,0),""))))</f>
        <v>225</v>
      </c>
      <c r="BQ38" s="1" t="str">
        <f ca="1">IF(AND('Input data (2)'!$C$2=4,$D23&gt;=0),OFFSET('Input data (2)'!BK$126,'Input data (2)'!$BL$1-$D23,0),IF(AND('Input data (2)'!$C$2=3,$C23&gt;=0),OFFSET('Input data (2)'!BK$126,'Input data (2)'!$BL$1-$C23,0),IF(AND('Input data (2)'!$C$2=2,$B23&gt;=0),OFFSET('Input data (2)'!BK$126,'Input data (2)'!$BL$1-$B23,0),IF(AND('Input data (2)'!$C$2=1,$A23&gt;=0),OFFSET('Input data (2)'!BK$126,'Input data (2)'!$BL$1-$A23,0),""))))</f>
        <v>..</v>
      </c>
      <c r="BR38" s="1">
        <f ca="1">IF(AND('Input data (2)'!$C$2=4,$D23&gt;=0),OFFSET('Input data (2)'!BJ$126,'Input data (2)'!$BL$1-$D23,0),IF(AND('Input data (2)'!$C$2=3,$C23&gt;=0),OFFSET('Input data (2)'!BJ$126,'Input data (2)'!$BL$1-$C23,0),IF(AND('Input data (2)'!$C$2=2,$B23&gt;=0),OFFSET('Input data (2)'!BJ$126,'Input data (2)'!$BL$1-$B23,0),IF(AND('Input data (2)'!$C$2=1,$A23&gt;=0),OFFSET('Input data (2)'!BJ$126,'Input data (2)'!$BL$1-$A23,0),""))))</f>
        <v>94</v>
      </c>
      <c r="BS38" s="1">
        <f ca="1">IF(AND('Input data (2)'!$C$2=4,$D23&gt;=0),OFFSET('Input data (2)'!BF$126,'Input data (2)'!$BL$1-$D23,0),IF(AND('Input data (2)'!$C$2=3,$C23&gt;=0),OFFSET('Input data (2)'!BF$126,'Input data (2)'!$BL$1-$C23,0),IF(AND('Input data (2)'!$C$2=2,$B23&gt;=0),OFFSET('Input data (2)'!BF$126,'Input data (2)'!$BL$1-$B23,0),IF(AND('Input data (2)'!$C$2=1,$A23&gt;=0),OFFSET('Input data (2)'!BF$126,'Input data (2)'!$BL$1-$A23,0),""))))</f>
        <v>48</v>
      </c>
      <c r="BT38" s="1">
        <f ca="1">IF(AND('Input data (2)'!$C$2=4,$D23&gt;=0),OFFSET('Input data (2)'!BD$126,'Input data (2)'!$BL$1-$D23,0),IF(AND('Input data (2)'!$C$2=3,$C23&gt;=0),OFFSET('Input data (2)'!BD$126,'Input data (2)'!$BL$1-$C23,0),IF(AND('Input data (2)'!$C$2=2,$B23&gt;=0),OFFSET('Input data (2)'!BD$126,'Input data (2)'!$BL$1-$B23,0),IF(AND('Input data (2)'!$C$2=1,$A23&gt;=0),OFFSET('Input data (2)'!BD$126,'Input data (2)'!$BL$1-$A23,0),""))))</f>
        <v>36</v>
      </c>
      <c r="BU38" s="1">
        <f ca="1">IF(AND('Input data (2)'!$C$2=4,$D23&gt;=0),OFFSET('Input data (2)'!BE$126,'Input data (2)'!$BL$1-$D23,0),IF(AND('Input data (2)'!$C$2=3,$C23&gt;=0),OFFSET('Input data (2)'!BE$126,'Input data (2)'!$BL$1-$C23,0),IF(AND('Input data (2)'!$C$2=2,$B23&gt;=0),OFFSET('Input data (2)'!BE$126,'Input data (2)'!$BL$1-$B23,0),IF(AND('Input data (2)'!$C$2=1,$A23&gt;=0),OFFSET('Input data (2)'!BE$126,'Input data (2)'!$BL$1-$A23,0),""))))</f>
        <v>12</v>
      </c>
      <c r="BW38" s="7">
        <f ca="1">IF(AND('Input data (2)'!$C$2=4,$D23&gt;=0),OFFSET('Input data (2)'!J$126,'Input data (2)'!$BL$1-$D23,0),IF(AND('Input data (2)'!$C$2=3,$C23&gt;=0),OFFSET('Input data (2)'!J$126,'Input data (2)'!$BL$1-$C23,0),IF(AND('Input data (2)'!$C$2=2,$B23&gt;=0),OFFSET('Input data (2)'!J$126,'Input data (2)'!$BL$1-$B23,0),IF(AND('Input data (2)'!$C$2=1,$A23&gt;=0),OFFSET('Input data (2)'!J$126,'Input data (2)'!$BL$1-$A23,0),""))))</f>
        <v>0.60880591066602041</v>
      </c>
      <c r="BX38" s="7">
        <f ca="1">IF(AND('Input data (2)'!$C$2=4,$D23&gt;=0),OFFSET('Input data (2)'!K$126,'Input data (2)'!$BL$1-$D23,0),IF(AND('Input data (2)'!$C$2=3,$C23&gt;=0),OFFSET('Input data (2)'!K$126,'Input data (2)'!$BL$1-$C23,0),IF(AND('Input data (2)'!$C$2=2,$B23&gt;=0),OFFSET('Input data (2)'!K$126,'Input data (2)'!$BL$1-$B23,0),IF(AND('Input data (2)'!$C$2=1,$A23&gt;=0),OFFSET('Input data (2)'!K$126,'Input data (2)'!$BL$1-$A23,0),""))))</f>
        <v>0.55672367720313687</v>
      </c>
      <c r="BY38" s="7">
        <f ca="1">IF(AND('Input data (2)'!$C$2=4,$D23&gt;=0),OFFSET('Input data (2)'!AS$126,'Input data (2)'!$BL$1-$D23,0),IF(AND('Input data (2)'!$C$2=3,$C23&gt;=0),OFFSET('Input data (2)'!AS$126,'Input data (2)'!$BL$1-$C23,0),IF(AND('Input data (2)'!$C$2=2,$B23&gt;=0),OFFSET('Input data (2)'!AS$126,'Input data (2)'!$BL$1-$B23,0),IF(AND('Input data (2)'!$C$2=1,$A23&gt;=0),OFFSET('Input data (2)'!AS$126,'Input data (2)'!$BL$1-$A23,0),""))))</f>
        <v>0.43309232473085735</v>
      </c>
      <c r="BZ38" s="7">
        <f ca="1">IF(AND('Input data (2)'!$C$2=4,$D23&gt;=0),OFFSET('Input data (2)'!AT$126,'Input data (2)'!$BL$1-$D23,0),IF(AND('Input data (2)'!$C$2=3,$C23&gt;=0),OFFSET('Input data (2)'!AT$126,'Input data (2)'!$BL$1-$C23,0),IF(AND('Input data (2)'!$C$2=2,$B23&gt;=0),OFFSET('Input data (2)'!AT$126,'Input data (2)'!$BL$1-$B23,0),IF(AND('Input data (2)'!$C$2=1,$A23&gt;=0),OFFSET('Input data (2)'!AT$126,'Input data (2)'!$BL$1-$A23,0),""))))</f>
        <v>0.3951873657352758</v>
      </c>
      <c r="CB38" s="122"/>
      <c r="CC38" s="122"/>
      <c r="CD38" s="122"/>
      <c r="CE38" s="122"/>
      <c r="CG38" s="1">
        <v>6</v>
      </c>
      <c r="CI38" s="1">
        <f t="shared" ca="1" si="24"/>
        <v>2011</v>
      </c>
      <c r="CJ38" s="1" t="str">
        <f t="shared" si="25"/>
        <v>Q4</v>
      </c>
      <c r="CK38" s="1" t="str">
        <f t="shared" ca="1" si="12"/>
        <v>11</v>
      </c>
      <c r="CL38" s="1" t="str">
        <f t="shared" ca="1" si="13"/>
        <v>Q4 11</v>
      </c>
      <c r="CM38" s="1">
        <f ca="1">OFFSET('Input data (2)'!AJ$126,'Input data (2)'!$BL$1-'Output data - DO NOT TOUCH (2)'!$CG38,0)/1000</f>
        <v>9.1140000000000008</v>
      </c>
      <c r="CN38" s="1">
        <f ca="1">OFFSET('Input data (2)'!AK$126,'Input data (2)'!$BL$1-'Output data - DO NOT TOUCH (2)'!$CG38,0)/1000</f>
        <v>12.864000000000001</v>
      </c>
      <c r="CO38" s="1" t="e">
        <f ca="1">OFFSET('Input data (2)'!AL$126,'Input data (2)'!$BL$1-'Output data - DO NOT TOUCH (2)'!$CG38,0)/1000</f>
        <v>#VALUE!</v>
      </c>
      <c r="CP38" s="1"/>
      <c r="CQ38" s="1">
        <f ca="1">OFFSET('Input data (2)'!AG$126,'Input data (2)'!$BL$1-'Output data - DO NOT TOUCH (2)'!$CG38,0)/1000</f>
        <v>1.403</v>
      </c>
      <c r="CR38" s="1">
        <f ca="1">OFFSET('Input data (2)'!AH$126,'Input data (2)'!$BL$1-'Output data - DO NOT TOUCH (2)'!$CG38,0)/1000</f>
        <v>2.891</v>
      </c>
      <c r="CS38" s="1">
        <f ca="1">OFFSET('Input data (2)'!AI$126,'Input data (2)'!$BL$1-'Output data - DO NOT TOUCH (2)'!$CG38,0)/1000</f>
        <v>4.2939999999999996</v>
      </c>
      <c r="CT38" s="1"/>
      <c r="CU38" s="1">
        <f ca="1">OFFSET('Input data (2)'!L$126,'Input data (2)'!$BL$1-'Output data - DO NOT TOUCH (2)'!$CG38,0)</f>
        <v>324</v>
      </c>
      <c r="CV38" s="1">
        <f ca="1">OFFSET('Input data (2)'!M$126,'Input data (2)'!$BL$1-'Output data - DO NOT TOUCH (2)'!$CG38,0)</f>
        <v>0</v>
      </c>
      <c r="CW38" s="67">
        <f ca="1">OFFSET('Input data (2)'!N$126,'Input data (2)'!$BL$1-'Output data - DO NOT TOUCH (2)'!$CG38,0)</f>
        <v>658</v>
      </c>
      <c r="CX38" s="1">
        <f ca="1">OFFSET('Input data (2)'!P$126,'Input data (2)'!$BL$1-'Output data - DO NOT TOUCH (2)'!$CG38,0)</f>
        <v>191</v>
      </c>
      <c r="CY38" s="1"/>
      <c r="CZ38" s="1">
        <f ca="1">OFFSET('Input data (2)'!AY$126,'Input data (2)'!$BL$1-'Output data - DO NOT TOUCH (2)'!$CG38,0)/1000</f>
        <v>2.625</v>
      </c>
      <c r="DA38" s="1">
        <f ca="1">OFFSET('Input data (2)'!BA$126,'Input data (2)'!$BL$1-'Output data - DO NOT TOUCH (2)'!$CG38,0)/1000</f>
        <v>2.0489999999999999</v>
      </c>
      <c r="DB38" s="1">
        <f ca="1">OFFSET('Input data (2)'!BB$126,'Input data (2)'!$BL$1-'Output data - DO NOT TOUCH (2)'!$CG38,0)/1000</f>
        <v>4.6740000000000004</v>
      </c>
      <c r="DD38" s="1">
        <f ca="1">OFFSET('Input data (2)'!AN$126,'Input data (2)'!$BL$1-'Output data - DO NOT TOUCH (2)'!$CG38,0)</f>
        <v>213</v>
      </c>
      <c r="DE38" s="1">
        <f ca="1">OFFSET('Input data (2)'!AO$126,'Input data (2)'!$BL$1-'Output data - DO NOT TOUCH (2)'!$CG38,0)</f>
        <v>77</v>
      </c>
      <c r="DF38" s="1">
        <f ca="1">OFFSET('Input data (2)'!AP$126,'Input data (2)'!$BL$1-'Output data - DO NOT TOUCH (2)'!$CG38,0)</f>
        <v>290</v>
      </c>
      <c r="DG38" s="1"/>
      <c r="DH38" s="1">
        <f ca="1">OFFSET('Input data (2)'!AU$126,'Input data (2)'!$BL$1-'Output data - DO NOT TOUCH (2)'!$CG38,0)</f>
        <v>24</v>
      </c>
      <c r="DI38" s="1">
        <f ca="1">OFFSET('Input data (2)'!AV$126,'Input data (2)'!$BL$1-'Output data - DO NOT TOUCH (2)'!$CG38,0)</f>
        <v>0</v>
      </c>
      <c r="DJ38" s="1">
        <f ca="1">OFFSET('Input data (2)'!AW$126,'Input data (2)'!$BL$1-'Output data - DO NOT TOUCH (2)'!$CG38,0)</f>
        <v>66</v>
      </c>
      <c r="DK38" s="1">
        <f ca="1">OFFSET('Input data (2)'!AX$126,'Input data (2)'!$BL$1-'Output data - DO NOT TOUCH (2)'!$CG38,0)</f>
        <v>5</v>
      </c>
      <c r="DM38" s="1">
        <f ca="1">OFFSET('Input data (2)'!BI$126,'Input data (2)'!$BL$1-'Output data - DO NOT TOUCH (2)'!$CG38,0)</f>
        <v>412</v>
      </c>
      <c r="DN38" s="1">
        <f ca="1">OFFSET('Input data (2)'!BJ$126,'Input data (2)'!$BL$1-'Output data - DO NOT TOUCH (2)'!$CG38,0)</f>
        <v>297</v>
      </c>
      <c r="DO38" s="1">
        <f ca="1">OFFSET('Input data (2)'!BL$126,'Input data (2)'!$BL$1-'Output data - DO NOT TOUCH (2)'!$CG38,0)</f>
        <v>787</v>
      </c>
      <c r="DQ38" s="1">
        <f ca="1">OFFSET('Input data (2)'!BD$126,'Input data (2)'!$BL$1-'Output data - DO NOT TOUCH (2)'!$CG38,0)</f>
        <v>48</v>
      </c>
      <c r="DR38" s="1">
        <f ca="1">OFFSET('Input data (2)'!BE$126,'Input data (2)'!$BL$1-'Output data - DO NOT TOUCH (2)'!$CG38,0)</f>
        <v>29</v>
      </c>
      <c r="DS38" s="1">
        <f ca="1">OFFSET('Input data (2)'!BF$126,'Input data (2)'!$BL$1-'Output data - DO NOT TOUCH (2)'!$CG38,0)</f>
        <v>77</v>
      </c>
      <c r="DU38" s="1">
        <f ca="1">OFFSET('Input data (2)'!B$126,'Input data (2)'!$BL$1-'Output data - DO NOT TOUCH (2)'!$CG38-1,0)</f>
        <v>2011</v>
      </c>
      <c r="DV38" s="1" t="str">
        <f ca="1">OFFSET('Input data (2)'!C$126,'Input data (2)'!$BL$1-'Output data - DO NOT TOUCH (2)'!$CG38-1,0)</f>
        <v>Q3</v>
      </c>
      <c r="DW38" s="1" t="str">
        <f t="shared" ca="1" si="14"/>
        <v>11</v>
      </c>
      <c r="DX38" s="1" t="str">
        <f t="shared" ca="1" si="15"/>
        <v>Q3 11</v>
      </c>
      <c r="DY38" s="1">
        <f ca="1">OFFSET('Input data (2)'!W$126,'Input data (2)'!$BL$1-'Output data - DO NOT TOUCH (2)'!$CG38-1,0)/1000</f>
        <v>2.0350000000000001</v>
      </c>
      <c r="DZ38" s="1">
        <f ca="1">OFFSET('Input data (2)'!Y$126,'Input data (2)'!$BL$1-'Output data - DO NOT TOUCH (2)'!$CG38-1,0)/1000</f>
        <v>7.5430000000000001</v>
      </c>
      <c r="EA38" s="1">
        <f ca="1">OFFSET('Input data (2)'!Q$126,'Input data (2)'!$BL$1-'Output data - DO NOT TOUCH (2)'!$CG38-1,0)/1000</f>
        <v>9.5779999999999994</v>
      </c>
    </row>
    <row r="39" spans="1:131" x14ac:dyDescent="0.15">
      <c r="A39" s="1">
        <v>5</v>
      </c>
      <c r="B39" s="1">
        <v>6</v>
      </c>
      <c r="C39" s="1">
        <v>7</v>
      </c>
      <c r="D39" s="1">
        <v>4</v>
      </c>
      <c r="CG39" s="1">
        <v>5</v>
      </c>
      <c r="CI39" s="1">
        <f t="shared" ca="1" si="24"/>
        <v>2012</v>
      </c>
      <c r="CJ39" s="1" t="str">
        <f t="shared" si="25"/>
        <v>Q1</v>
      </c>
      <c r="CK39" s="1" t="str">
        <f t="shared" ca="1" si="12"/>
        <v>12</v>
      </c>
      <c r="CL39" s="1" t="str">
        <f t="shared" ca="1" si="13"/>
        <v>Q1 12</v>
      </c>
      <c r="CM39" s="1">
        <f ca="1">OFFSET('Input data (2)'!AJ$126,'Input data (2)'!$BL$1-'Output data - DO NOT TOUCH (2)'!$CG39,0)/1000</f>
        <v>8.5719999999999992</v>
      </c>
      <c r="CN39" s="1">
        <f ca="1">OFFSET('Input data (2)'!AK$126,'Input data (2)'!$BL$1-'Output data - DO NOT TOUCH (2)'!$CG39,0)/1000</f>
        <v>12.555</v>
      </c>
      <c r="CO39" s="1" t="e">
        <f ca="1">OFFSET('Input data (2)'!AL$126,'Input data (2)'!$BL$1-'Output data - DO NOT TOUCH (2)'!$CG39,0)/1000</f>
        <v>#VALUE!</v>
      </c>
      <c r="CP39" s="1"/>
      <c r="CQ39" s="1">
        <f ca="1">OFFSET('Input data (2)'!AG$126,'Input data (2)'!$BL$1-'Output data - DO NOT TOUCH (2)'!$CG39,0)/1000</f>
        <v>1.204</v>
      </c>
      <c r="CR39" s="1">
        <f ca="1">OFFSET('Input data (2)'!AH$126,'Input data (2)'!$BL$1-'Output data - DO NOT TOUCH (2)'!$CG39,0)/1000</f>
        <v>3.093</v>
      </c>
      <c r="CS39" s="1">
        <f ca="1">OFFSET('Input data (2)'!AI$126,'Input data (2)'!$BL$1-'Output data - DO NOT TOUCH (2)'!$CG39,0)/1000</f>
        <v>4.2969999999999997</v>
      </c>
      <c r="CT39" s="1"/>
      <c r="CU39" s="1">
        <f ca="1">OFFSET('Input data (2)'!L$126,'Input data (2)'!$BL$1-'Output data - DO NOT TOUCH (2)'!$CG39,0)</f>
        <v>336</v>
      </c>
      <c r="CV39" s="1">
        <f ca="1">OFFSET('Input data (2)'!M$126,'Input data (2)'!$BL$1-'Output data - DO NOT TOUCH (2)'!$CG39,0)</f>
        <v>0</v>
      </c>
      <c r="CW39" s="67">
        <f ca="1">OFFSET('Input data (2)'!N$126,'Input data (2)'!$BL$1-'Output data - DO NOT TOUCH (2)'!$CG39,0)</f>
        <v>779</v>
      </c>
      <c r="CX39" s="1">
        <f ca="1">OFFSET('Input data (2)'!P$126,'Input data (2)'!$BL$1-'Output data - DO NOT TOUCH (2)'!$CG39,0)</f>
        <v>175</v>
      </c>
      <c r="CY39" s="1"/>
      <c r="CZ39" s="1">
        <f ca="1">OFFSET('Input data (2)'!AY$126,'Input data (2)'!$BL$1-'Output data - DO NOT TOUCH (2)'!$CG39,0)/1000</f>
        <v>2.6259999999999999</v>
      </c>
      <c r="DA39" s="1">
        <f ca="1">OFFSET('Input data (2)'!BA$126,'Input data (2)'!$BL$1-'Output data - DO NOT TOUCH (2)'!$CG39,0)/1000</f>
        <v>2.2469999999999999</v>
      </c>
      <c r="DB39" s="1">
        <f ca="1">OFFSET('Input data (2)'!BB$126,'Input data (2)'!$BL$1-'Output data - DO NOT TOUCH (2)'!$CG39,0)/1000</f>
        <v>4.8730000000000002</v>
      </c>
      <c r="DD39" s="1">
        <f ca="1">OFFSET('Input data (2)'!AN$126,'Input data (2)'!$BL$1-'Output data - DO NOT TOUCH (2)'!$CG39,0)</f>
        <v>311</v>
      </c>
      <c r="DE39" s="1">
        <f ca="1">OFFSET('Input data (2)'!AO$126,'Input data (2)'!$BL$1-'Output data - DO NOT TOUCH (2)'!$CG39,0)</f>
        <v>66</v>
      </c>
      <c r="DF39" s="1">
        <f ca="1">OFFSET('Input data (2)'!AP$126,'Input data (2)'!$BL$1-'Output data - DO NOT TOUCH (2)'!$CG39,0)</f>
        <v>377</v>
      </c>
      <c r="DG39" s="1"/>
      <c r="DH39" s="1">
        <f ca="1">OFFSET('Input data (2)'!AU$126,'Input data (2)'!$BL$1-'Output data - DO NOT TOUCH (2)'!$CG39,0)</f>
        <v>6</v>
      </c>
      <c r="DI39" s="1">
        <f ca="1">OFFSET('Input data (2)'!AV$126,'Input data (2)'!$BL$1-'Output data - DO NOT TOUCH (2)'!$CG39,0)</f>
        <v>0</v>
      </c>
      <c r="DJ39" s="1">
        <f ca="1">OFFSET('Input data (2)'!AW$126,'Input data (2)'!$BL$1-'Output data - DO NOT TOUCH (2)'!$CG39,0)</f>
        <v>49</v>
      </c>
      <c r="DK39" s="1">
        <f ca="1">OFFSET('Input data (2)'!AX$126,'Input data (2)'!$BL$1-'Output data - DO NOT TOUCH (2)'!$CG39,0)</f>
        <v>1</v>
      </c>
      <c r="DM39" s="1">
        <f ca="1">OFFSET('Input data (2)'!BI$126,'Input data (2)'!$BL$1-'Output data - DO NOT TOUCH (2)'!$CG39,0)</f>
        <v>405</v>
      </c>
      <c r="DN39" s="1">
        <f ca="1">OFFSET('Input data (2)'!BJ$126,'Input data (2)'!$BL$1-'Output data - DO NOT TOUCH (2)'!$CG39,0)</f>
        <v>276</v>
      </c>
      <c r="DO39" s="1">
        <f ca="1">OFFSET('Input data (2)'!BL$126,'Input data (2)'!$BL$1-'Output data - DO NOT TOUCH (2)'!$CG39,0)</f>
        <v>794</v>
      </c>
      <c r="DQ39" s="1">
        <f ca="1">OFFSET('Input data (2)'!BD$126,'Input data (2)'!$BL$1-'Output data - DO NOT TOUCH (2)'!$CG39,0)</f>
        <v>72</v>
      </c>
      <c r="DR39" s="1">
        <f ca="1">OFFSET('Input data (2)'!BE$126,'Input data (2)'!$BL$1-'Output data - DO NOT TOUCH (2)'!$CG39,0)</f>
        <v>39</v>
      </c>
      <c r="DS39" s="1">
        <f ca="1">OFFSET('Input data (2)'!BF$126,'Input data (2)'!$BL$1-'Output data - DO NOT TOUCH (2)'!$CG39,0)</f>
        <v>111</v>
      </c>
      <c r="DU39" s="1">
        <f ca="1">OFFSET('Input data (2)'!B$126,'Input data (2)'!$BL$1-'Output data - DO NOT TOUCH (2)'!$CG39-1,0)</f>
        <v>2011</v>
      </c>
      <c r="DV39" s="1" t="str">
        <f ca="1">OFFSET('Input data (2)'!C$126,'Input data (2)'!$BL$1-'Output data - DO NOT TOUCH (2)'!$CG39-1,0)</f>
        <v>Q4</v>
      </c>
      <c r="DW39" s="1" t="str">
        <f t="shared" ca="1" si="14"/>
        <v>11</v>
      </c>
      <c r="DX39" s="1" t="str">
        <f t="shared" ca="1" si="15"/>
        <v>Q4 11</v>
      </c>
      <c r="DY39" s="1">
        <f ca="1">OFFSET('Input data (2)'!W$126,'Input data (2)'!$BL$1-'Output data - DO NOT TOUCH (2)'!$CG39-1,0)/1000</f>
        <v>1.9550000000000001</v>
      </c>
      <c r="DZ39" s="1">
        <f ca="1">OFFSET('Input data (2)'!Y$126,'Input data (2)'!$BL$1-'Output data - DO NOT TOUCH (2)'!$CG39-1,0)/1000</f>
        <v>6.7030000000000003</v>
      </c>
      <c r="EA39" s="1">
        <f ca="1">OFFSET('Input data (2)'!Q$126,'Input data (2)'!$BL$1-'Output data - DO NOT TOUCH (2)'!$CG39-1,0)/1000</f>
        <v>8.6579999999999995</v>
      </c>
    </row>
    <row r="40" spans="1:131" x14ac:dyDescent="0.15">
      <c r="A40" s="1">
        <v>4</v>
      </c>
      <c r="B40" s="1">
        <v>5</v>
      </c>
      <c r="C40" s="1">
        <v>6</v>
      </c>
      <c r="D40" s="1">
        <v>3</v>
      </c>
      <c r="E40" s="1" t="str">
        <f>F40&amp;G40</f>
        <v>2008Q1</v>
      </c>
      <c r="F40" s="1">
        <f>F35+1</f>
        <v>2008</v>
      </c>
      <c r="G40" s="1" t="s">
        <v>1</v>
      </c>
      <c r="H40" s="1">
        <f>VLOOKUP($E40,'Input data (2)'!$A:$BL,'Output data - DO NOT TOUCH (2)'!H$71,FALSE)</f>
        <v>3262</v>
      </c>
      <c r="I40" s="1">
        <f>VLOOKUP($E40,'Input data (2)'!$A:$BL,'Output data - DO NOT TOUCH (2)'!I$71,FALSE)</f>
        <v>1080</v>
      </c>
      <c r="J40" s="1">
        <f>VLOOKUP($E40,'Input data (2)'!$A:$BL,'Output data - DO NOT TOUCH (2)'!J$71,FALSE)</f>
        <v>2182</v>
      </c>
      <c r="K40" s="1">
        <f>VLOOKUP($E40,'Input data (2)'!$A:$BL,'Output data - DO NOT TOUCH (2)'!K$71,FALSE)</f>
        <v>3226</v>
      </c>
      <c r="L40" s="1">
        <f>VLOOKUP($E40,'Input data (2)'!$A:$BL,'Output data - DO NOT TOUCH (2)'!L$71,FALSE)</f>
        <v>1166</v>
      </c>
      <c r="M40" s="1">
        <f>VLOOKUP($E40,'Input data (2)'!$A:$BL,'Output data - DO NOT TOUCH (2)'!M$71,FALSE)</f>
        <v>2060</v>
      </c>
      <c r="O40" s="119">
        <f ca="1">IF(AND('Input data (2)'!$C$2=4,$D24&gt;=0),OFFSET('Input data (2)'!O$126,'Input data (2)'!$BL$1-$D24,0),IF(AND('Input data (2)'!$C$2=3,$C24&gt;=0),OFFSET('Input data (2)'!O$126,'Input data (2)'!$BL$1-$C24,0),IF(AND('Input data (2)'!$C$2=2,$B24&gt;=0),OFFSET('Input data (2)'!O$126,'Input data (2)'!$BL$1-$B24,0),IF(AND('Input data (2)'!$C$2=1,$A24&gt;=0),OFFSET('Input data (2)'!O$126,'Input data (2)'!$BL$1-$A24,0),""))))</f>
        <v>270</v>
      </c>
      <c r="Q40" s="1">
        <f ca="1">IF(AND('Input data (2)'!$C$2=4,$D24&gt;=0),OFFSET('Input data (2)'!AC$126,'Input data (2)'!$BL$1-$D24,0),IF(AND('Input data (2)'!$C$2=3,$C24&gt;=0),OFFSET('Input data (2)'!AC$126,'Input data (2)'!$BL$1-$C24,0),IF(AND('Input data (2)'!$C$2=2,$B24&gt;=0),OFFSET('Input data (2)'!AC$126,'Input data (2)'!$BL$1-$B24,0),IF(AND('Input data (2)'!$C$2=1,$A24&gt;=0),OFFSET('Input data (2)'!AC$126,'Input data (2)'!$BL$1-$A24,0),""))))</f>
        <v>24619</v>
      </c>
      <c r="R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S40" s="1" t="str">
        <f ca="1">IF(AND('Input data (2)'!$C$2=4,$D24&gt;=0),OFFSET('Input data (2)'!R$126,'Input data (2)'!$BL$1-$D24,0),IF(AND('Input data (2)'!$C$2=3,$C24&gt;=0),OFFSET('Input data (2)'!R$126,'Input data (2)'!$BL$1-$C24,0),IF(AND('Input data (2)'!$C$2=2,$B24&gt;=0),OFFSET('Input data (2)'!R$126,'Input data (2)'!$BL$1-$B24,0),IF(AND('Input data (2)'!$C$2=1,$A24&gt;=0),OFFSET('Input data (2)'!R$126,'Input data (2)'!$BL$1-$A24,0),""))))</f>
        <v>:</v>
      </c>
      <c r="T40" s="1">
        <f ca="1">IF(AND('Input data (2)'!$C$2=4,$D24&gt;=0),OFFSET('Input data (2)'!AA$126,'Input data (2)'!$BL$1-$D24,0),IF(AND('Input data (2)'!$C$2=3,$C24&gt;=0),OFFSET('Input data (2)'!AA$126,'Input data (2)'!$BL$1-$C24,0),IF(AND('Input data (2)'!$C$2=2,$B24&gt;=0),OFFSET('Input data (2)'!AA$126,'Input data (2)'!$BL$1-$B24,0),IF(AND('Input data (2)'!$C$2=1,$A24&gt;=0),OFFSET('Input data (2)'!AA$126,'Input data (2)'!$BL$1-$A24,0),""))))</f>
        <v>8805</v>
      </c>
      <c r="U40" s="1">
        <f ca="1">IF(AND('Input data (2)'!$C$2=4,$D24&gt;=0),OFFSET('Input data (2)'!AL$126,'Input data (2)'!$BL$1-$D24,0),IF(AND('Input data (2)'!$C$2=3,$C24&gt;=0),OFFSET('Input data (2)'!AL$126,'Input data (2)'!$BL$1-$C24,0),IF(AND('Input data (2)'!$C$2=2,$B24&gt;=0),OFFSET('Input data (2)'!AL$126,'Input data (2)'!$BL$1-$B24,0),IF(AND('Input data (2)'!$C$2=1,$A24&gt;=0),OFFSET('Input data (2)'!AL$126,'Input data (2)'!$BL$1-$A24,0),""))))</f>
        <v>25123</v>
      </c>
      <c r="V40" s="1">
        <f ca="1">IF(AND('Input data (2)'!$C$2=4,$D24&gt;=0),OFFSET('Input data (2)'!AJ$126,'Input data (2)'!$BL$1-$D24,0),IF(AND('Input data (2)'!$C$2=3,$C24&gt;=0),OFFSET('Input data (2)'!AJ$126,'Input data (2)'!$BL$1-$C24,0),IF(AND('Input data (2)'!$C$2=2,$B24&gt;=0),OFFSET('Input data (2)'!AJ$126,'Input data (2)'!$BL$1-$B24,0),IF(AND('Input data (2)'!$C$2=1,$A24&gt;=0),OFFSET('Input data (2)'!AJ$126,'Input data (2)'!$BL$1-$A24,0),""))))</f>
        <v>15482</v>
      </c>
      <c r="W40" s="1">
        <f ca="1">IF(AND('Input data (2)'!$C$2=4,$D24&gt;=0),OFFSET('Input data (2)'!AK$126,'Input data (2)'!$BL$1-$D24,0),IF(AND('Input data (2)'!$C$2=3,$C24&gt;=0),OFFSET('Input data (2)'!AK$126,'Input data (2)'!$BL$1-$C24,0),IF(AND('Input data (2)'!$C$2=2,$B24&gt;=0),OFFSET('Input data (2)'!AK$126,'Input data (2)'!$BL$1-$B24,0),IF(AND('Input data (2)'!$C$2=1,$A24&gt;=0),OFFSET('Input data (2)'!AK$126,'Input data (2)'!$BL$1-$A24,0),""))))</f>
        <v>9641</v>
      </c>
      <c r="Y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Z40" s="1">
        <f ca="1">IF(AND('Input data (2)'!$C$2=4,$D24&gt;=0),OFFSET('Input data (2)'!S$126,'Input data (2)'!$BL$1-$D24,0),IF(AND('Input data (2)'!$C$2=3,$C24&gt;=0),OFFSET('Input data (2)'!S$126,'Input data (2)'!$BL$1-$C24,0),IF(AND('Input data (2)'!$C$2=2,$B24&gt;=0),OFFSET('Input data (2)'!S$126,'Input data (2)'!$BL$1-$B24,0),IF(AND('Input data (2)'!$C$2=1,$A24&gt;=0),OFFSET('Input data (2)'!S$126,'Input data (2)'!$BL$1-$A24,0),""))))</f>
        <v>13275</v>
      </c>
      <c r="AA40" s="1">
        <f ca="1">IF(AND('Input data (2)'!$C$2=4,$D24&gt;=0),OFFSET('Input data (2)'!T$126,'Input data (2)'!$BL$1-$D24,0),IF(AND('Input data (2)'!$C$2=3,$C24&gt;=0),OFFSET('Input data (2)'!T$126,'Input data (2)'!$BL$1-$C24,0),IF(AND('Input data (2)'!$C$2=2,$B24&gt;=0),OFFSET('Input data (2)'!T$126,'Input data (2)'!$BL$1-$B24,0),IF(AND('Input data (2)'!$C$2=1,$A24&gt;=0),OFFSET('Input data (2)'!T$126,'Input data (2)'!$BL$1-$A24,0),""))))</f>
        <v>83.944606045276345</v>
      </c>
      <c r="AB40" s="1">
        <f ca="1">IF(AND('Input data (2)'!$C$2=4,$D24&gt;=0),OFFSET('Input data (2)'!U$126,'Input data (2)'!$BL$1-$D24,0),IF(AND('Input data (2)'!$C$2=3,$C24&gt;=0),OFFSET('Input data (2)'!U$126,'Input data (2)'!$BL$1-$C24,0),IF(AND('Input data (2)'!$C$2=2,$B24&gt;=0),OFFSET('Input data (2)'!U$126,'Input data (2)'!$BL$1-$B24,0),IF(AND('Input data (2)'!$C$2=1,$A24&gt;=0),OFFSET('Input data (2)'!U$126,'Input data (2)'!$BL$1-$A24,0),""))))</f>
        <v>2539</v>
      </c>
      <c r="AC40" s="1">
        <f ca="1">IF(AND('Input data (2)'!$C$2=4,$D24&gt;=0),OFFSET('Input data (2)'!V$126,'Input data (2)'!$BL$1-$D24,0),IF(AND('Input data (2)'!$C$2=3,$C24&gt;=0),OFFSET('Input data (2)'!V$126,'Input data (2)'!$BL$1-$C24,0),IF(AND('Input data (2)'!$C$2=2,$B24&gt;=0),OFFSET('Input data (2)'!V$126,'Input data (2)'!$BL$1-$B24,0),IF(AND('Input data (2)'!$C$2=1,$A24&gt;=0),OFFSET('Input data (2)'!V$126,'Input data (2)'!$BL$1-$A24,0),""))))</f>
        <v>16.055393954723662</v>
      </c>
      <c r="AD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AE40" s="1">
        <f ca="1">IF(AND('Input data (2)'!$C$2=4,$D24&gt;=0),OFFSET('Input data (2)'!W$126,'Input data (2)'!$BL$1-$D24,0),IF(AND('Input data (2)'!$C$2=3,$C24&gt;=0),OFFSET('Input data (2)'!W$126,'Input data (2)'!$BL$1-$C24,0),IF(AND('Input data (2)'!$C$2=2,$B24&gt;=0),OFFSET('Input data (2)'!W$126,'Input data (2)'!$BL$1-$B24,0),IF(AND('Input data (2)'!$C$2=1,$A24&gt;=0),OFFSET('Input data (2)'!W$126,'Input data (2)'!$BL$1-$A24,0),""))))</f>
        <v>1915</v>
      </c>
      <c r="AF40" s="1">
        <f ca="1">IF(AND('Input data (2)'!$C$2=4,$D24&gt;=0),OFFSET('Input data (2)'!X$126,'Input data (2)'!$BL$1-$D24,0),IF(AND('Input data (2)'!$C$2=3,$C24&gt;=0),OFFSET('Input data (2)'!X$126,'Input data (2)'!$BL$1-$C24,0),IF(AND('Input data (2)'!$C$2=2,$B24&gt;=0),OFFSET('Input data (2)'!X$126,'Input data (2)'!$BL$1-$B24,0),IF(AND('Input data (2)'!$C$2=1,$A24&gt;=0),OFFSET('Input data (2)'!X$126,'Input data (2)'!$BL$1-$A24,0),""))))</f>
        <v>12.109523207284685</v>
      </c>
      <c r="AG40" s="1">
        <f ca="1">IF(AND('Input data (2)'!$C$2=4,$D24&gt;=0),OFFSET('Input data (2)'!Y$126,'Input data (2)'!$BL$1-$D24,0),IF(AND('Input data (2)'!$C$2=3,$C24&gt;=0),OFFSET('Input data (2)'!Y$126,'Input data (2)'!$BL$1-$C24,0),IF(AND('Input data (2)'!$C$2=2,$B24&gt;=0),OFFSET('Input data (2)'!Y$126,'Input data (2)'!$BL$1-$B24,0),IF(AND('Input data (2)'!$C$2=1,$A24&gt;=0),OFFSET('Input data (2)'!Y$126,'Input data (2)'!$BL$1-$A24,0),""))))</f>
        <v>13899</v>
      </c>
      <c r="AH40" s="1">
        <f ca="1">IF(AND('Input data (2)'!$C$2=4,$D24&gt;=0),OFFSET('Input data (2)'!Z$126,'Input data (2)'!$BL$1-$D24,0),IF(AND('Input data (2)'!$C$2=3,$C24&gt;=0),OFFSET('Input data (2)'!Z$126,'Input data (2)'!$BL$1-$C24,0),IF(AND('Input data (2)'!$C$2=2,$B24&gt;=0),OFFSET('Input data (2)'!Z$126,'Input data (2)'!$BL$1-$B24,0),IF(AND('Input data (2)'!$C$2=1,$A24&gt;=0),OFFSET('Input data (2)'!Z$126,'Input data (2)'!$BL$1-$A24,0),""))))</f>
        <v>87.890476792715305</v>
      </c>
      <c r="AI40" s="3"/>
      <c r="AJ40" s="124">
        <f ca="1">IF(AND('Input data (2)'!$C$2=4,$D24&gt;=0),OFFSET('Input data (2)'!AF$126,'Input data (2)'!$BL$1-$D24,0),IF(AND('Input data (2)'!$C$2=3,$C24&gt;=0),OFFSET('Input data (2)'!AF$126,'Input data (2)'!$BL$1-$C24,0),IF(AND('Input data (2)'!$C$2=2,$B24&gt;=0),OFFSET('Input data (2)'!AF$126,'Input data (2)'!$BL$1-$B24,0),IF(AND('Input data (2)'!$C$2=1,$A24&gt;=0),OFFSET('Input data (2)'!AF$126,'Input data (2)'!$BL$1-$A24,0),""))))</f>
        <v>2169</v>
      </c>
      <c r="AK40" s="124">
        <f ca="1">IF(AND('Input data (2)'!$C$2=4,$D24&gt;=0),OFFSET('Input data (2)'!AD$126,'Input data (2)'!$BL$1-$D24,0),IF(AND('Input data (2)'!$C$2=3,$C24&gt;=0),OFFSET('Input data (2)'!AD$126,'Input data (2)'!$BL$1-$C24,0),IF(AND('Input data (2)'!$C$2=2,$B24&gt;=0),OFFSET('Input data (2)'!AD$126,'Input data (2)'!$BL$1-$B24,0),IF(AND('Input data (2)'!$C$2=1,$A24&gt;=0),OFFSET('Input data (2)'!AD$126,'Input data (2)'!$BL$1-$A24,0),""))))</f>
        <v>18</v>
      </c>
      <c r="AL40" s="124">
        <f ca="1">IF(AND('Input data (2)'!$C$2=4,$D24&gt;=0),OFFSET('Input data (2)'!AE$126,'Input data (2)'!$BL$1-$D24,0),IF(AND('Input data (2)'!$C$2=3,$C24&gt;=0),OFFSET('Input data (2)'!AE$126,'Input data (2)'!$BL$1-$C24,0),IF(AND('Input data (2)'!$C$2=2,$B24&gt;=0),OFFSET('Input data (2)'!AE$126,'Input data (2)'!$BL$1-$B24,0),IF(AND('Input data (2)'!$C$2=1,$A24&gt;=0),OFFSET('Input data (2)'!AE$126,'Input data (2)'!$BL$1-$A24,0),""))))</f>
        <v>2151</v>
      </c>
      <c r="AW40" s="1">
        <f ca="1">IF(AND('Input data (2)'!$C$2=4,$D24&gt;=0),OFFSET('Input data (2)'!L$126,'Input data (2)'!$BL$1-$D24,0),IF(AND('Input data (2)'!$C$2=3,$C24&gt;=0),OFFSET('Input data (2)'!L$126,'Input data (2)'!$BL$1-$C24,0),IF(AND('Input data (2)'!$C$2=2,$B24&gt;=0),OFFSET('Input data (2)'!L$126,'Input data (2)'!$BL$1-$B24,0),IF(AND('Input data (2)'!$C$2=1,$A24&gt;=0),OFFSET('Input data (2)'!L$126,'Input data (2)'!$BL$1-$A24,0),""))))</f>
        <v>159</v>
      </c>
      <c r="AX40" s="1">
        <f ca="1">IF(AND('Input data (2)'!$C$2=4,$D24&gt;=0),OFFSET('Input data (2)'!M$126,'Input data (2)'!$BL$1-$D24,0),IF(AND('Input data (2)'!$C$2=3,$C24&gt;=0),OFFSET('Input data (2)'!M$126,'Input data (2)'!$BL$1-$C24,0),IF(AND('Input data (2)'!$C$2=2,$B24&gt;=0),OFFSET('Input data (2)'!M$126,'Input data (2)'!$BL$1-$B24,0),IF(AND('Input data (2)'!$C$2=1,$A24&gt;=0),OFFSET('Input data (2)'!M$126,'Input data (2)'!$BL$1-$A24,0),""))))</f>
        <v>1</v>
      </c>
      <c r="AY40" s="1">
        <f ca="1">IF(AND('Input data (2)'!$C$2=4,$D24&gt;=0),OFFSET('Input data (2)'!N$126,'Input data (2)'!$BL$1-$D24,0),IF(AND('Input data (2)'!$C$2=3,$C24&gt;=0),OFFSET('Input data (2)'!N$126,'Input data (2)'!$BL$1-$C24,0),IF(AND('Input data (2)'!$C$2=2,$B24&gt;=0),OFFSET('Input data (2)'!N$126,'Input data (2)'!$BL$1-$B24,0),IF(AND('Input data (2)'!$C$2=1,$A24&gt;=0),OFFSET('Input data (2)'!N$126,'Input data (2)'!$BL$1-$A24,0),""))))</f>
        <v>858</v>
      </c>
      <c r="AZ40" s="1">
        <f ca="1">IF(AND('Input data (2)'!$C$2=4,$D24&gt;=0),OFFSET('Input data (2)'!P$126,'Input data (2)'!$BL$1-$D24,0),IF(AND('Input data (2)'!$C$2=3,$C24&gt;=0),OFFSET('Input data (2)'!P$126,'Input data (2)'!$BL$1-$C24,0),IF(AND('Input data (2)'!$C$2=2,$B24&gt;=0),OFFSET('Input data (2)'!P$126,'Input data (2)'!$BL$1-$B24,0),IF(AND('Input data (2)'!$C$2=1,$A24&gt;=0),OFFSET('Input data (2)'!P$126,'Input data (2)'!$BL$1-$A24,0),""))))</f>
        <v>140</v>
      </c>
      <c r="BB40" s="1">
        <f ca="1">IF(AND('Input data (2)'!$C$2=4,$D24&gt;=0),OFFSET('Input data (2)'!BB$126,'Input data (2)'!$BL$1-$D24,0),IF(AND('Input data (2)'!$C$2=3,$C24&gt;=0),OFFSET('Input data (2)'!BB$126,'Input data (2)'!$BL$1-$C24,0),IF(AND('Input data (2)'!$C$2=2,$B24&gt;=0),OFFSET('Input data (2)'!BB$126,'Input data (2)'!$BL$1-$B24,0),IF(AND('Input data (2)'!$C$2=1,$A24&gt;=0),OFFSET('Input data (2)'!BB$126,'Input data (2)'!$BL$1-$A24,0),""))))</f>
        <v>3324</v>
      </c>
      <c r="BC40" s="1">
        <f ca="1">IF(AND('Input data (2)'!$C$2=4,$D24&gt;=0),OFFSET('Input data (2)'!AY$126,'Input data (2)'!$BL$1-$D24,0),IF(AND('Input data (2)'!$C$2=3,$C24&gt;=0),OFFSET('Input data (2)'!AY$126,'Input data (2)'!$BL$1-$C24,0),IF(AND('Input data (2)'!$C$2=2,$B24&gt;=0),OFFSET('Input data (2)'!AY$126,'Input data (2)'!$BL$1-$B24,0),IF(AND('Input data (2)'!$C$2=1,$A24&gt;=0),OFFSET('Input data (2)'!AY$126,'Input data (2)'!$BL$1-$A24,0),""))))</f>
        <v>1444</v>
      </c>
      <c r="BD40" s="1" t="str">
        <f ca="1">IF(AND('Input data (2)'!$C$2=4,$D24&gt;=0),OFFSET('Input data (2)'!AZ$126,'Input data (2)'!$BL$1-$D24,0),IF(AND('Input data (2)'!$C$2=3,$C24&gt;=0),OFFSET('Input data (2)'!AZ$126,'Input data (2)'!$BL$1-$C24,0),IF(AND('Input data (2)'!$C$2=2,$B24&gt;=0),OFFSET('Input data (2)'!AZ$126,'Input data (2)'!$BL$1-$B24,0),IF(AND('Input data (2)'!$C$2=1,$A24&gt;=0),OFFSET('Input data (2)'!AZ$126,'Input data (2)'!$BL$1-$A24,0),""))))</f>
        <v>:</v>
      </c>
      <c r="BE40" s="1">
        <f ca="1">IF(AND('Input data (2)'!$C$2=4,$D24&gt;=0),OFFSET('Input data (2)'!BA$126,'Input data (2)'!$BL$1-$D24,0),IF(AND('Input data (2)'!$C$2=3,$C24&gt;=0),OFFSET('Input data (2)'!BA$126,'Input data (2)'!$BL$1-$C24,0),IF(AND('Input data (2)'!$C$2=2,$B24&gt;=0),OFFSET('Input data (2)'!BA$126,'Input data (2)'!$BL$1-$B24,0),IF(AND('Input data (2)'!$C$2=1,$A24&gt;=0),OFFSET('Input data (2)'!BA$126,'Input data (2)'!$BL$1-$A24,0),""))))</f>
        <v>1880</v>
      </c>
      <c r="BF40" s="1">
        <f ca="1">IF(AND('Input data (2)'!$C$2=4,$D24&gt;=0),OFFSET('Input data (2)'!AP$126,'Input data (2)'!$BL$1-$D24,0),IF(AND('Input data (2)'!$C$2=3,$C24&gt;=0),OFFSET('Input data (2)'!AP$126,'Input data (2)'!$BL$1-$C24,0),IF(AND('Input data (2)'!$C$2=2,$B24&gt;=0),OFFSET('Input data (2)'!AP$126,'Input data (2)'!$BL$1-$B24,0),IF(AND('Input data (2)'!$C$2=1,$A24&gt;=0),OFFSET('Input data (2)'!AP$126,'Input data (2)'!$BL$1-$A24,0),""))))</f>
        <v>102</v>
      </c>
      <c r="BG40" s="1">
        <f ca="1">IF(AND('Input data (2)'!$C$2=4,$D24&gt;=0),OFFSET('Input data (2)'!AN$126,'Input data (2)'!$BL$1-$D24,0),IF(AND('Input data (2)'!$C$2=3,$C24&gt;=0),OFFSET('Input data (2)'!AN$126,'Input data (2)'!$BL$1-$C24,0),IF(AND('Input data (2)'!$C$2=2,$B24&gt;=0),OFFSET('Input data (2)'!AN$126,'Input data (2)'!$BL$1-$B24,0),IF(AND('Input data (2)'!$C$2=1,$A24&gt;=0),OFFSET('Input data (2)'!AN$126,'Input data (2)'!$BL$1-$A24,0),""))))</f>
        <v>95</v>
      </c>
      <c r="BH40" s="1">
        <f ca="1">IF(AND('Input data (2)'!$C$2=4,$D24&gt;=0),OFFSET('Input data (2)'!AO$126,'Input data (2)'!$BL$1-$D24,0),IF(AND('Input data (2)'!$C$2=3,$C24&gt;=0),OFFSET('Input data (2)'!AO$126,'Input data (2)'!$BL$1-$C24,0),IF(AND('Input data (2)'!$C$2=2,$B24&gt;=0),OFFSET('Input data (2)'!AO$126,'Input data (2)'!$BL$1-$B24,0),IF(AND('Input data (2)'!$C$2=1,$A24&gt;=0),OFFSET('Input data (2)'!AO$126,'Input data (2)'!$BL$1-$A24,0),""))))</f>
        <v>7</v>
      </c>
      <c r="BJ40" s="1">
        <f ca="1">IF(AND('Input data (2)'!$C$2=4,$D24&gt;=0),OFFSET('Input data (2)'!AU$126,'Input data (2)'!$BL$1-$D24,0),IF(AND('Input data (2)'!$C$2=3,$C24&gt;=0),OFFSET('Input data (2)'!AU$126,'Input data (2)'!$BL$1-$C24,0),IF(AND('Input data (2)'!$C$2=2,$B24&gt;=0),OFFSET('Input data (2)'!AU$126,'Input data (2)'!$BL$1-$B24,0),IF(AND('Input data (2)'!$C$2=1,$A24&gt;=0),OFFSET('Input data (2)'!AU$126,'Input data (2)'!$BL$1-$A24,0),""))))</f>
        <v>56</v>
      </c>
      <c r="BK40" s="1">
        <f ca="1">IF(AND('Input data (2)'!$C$2=4,$D24&gt;=0),OFFSET('Input data (2)'!AV$126,'Input data (2)'!$BL$1-$D24,0),IF(AND('Input data (2)'!$C$2=3,$C24&gt;=0),OFFSET('Input data (2)'!AV$126,'Input data (2)'!$BL$1-$C24,0),IF(AND('Input data (2)'!$C$2=2,$B24&gt;=0),OFFSET('Input data (2)'!AV$126,'Input data (2)'!$BL$1-$B24,0),IF(AND('Input data (2)'!$C$2=1,$A24&gt;=0),OFFSET('Input data (2)'!AV$126,'Input data (2)'!$BL$1-$A24,0),""))))</f>
        <v>0</v>
      </c>
      <c r="BL40" s="1">
        <f ca="1">IF(AND('Input data (2)'!$C$2=4,$D24&gt;=0),OFFSET('Input data (2)'!AW$126,'Input data (2)'!$BL$1-$D24,0),IF(AND('Input data (2)'!$C$2=3,$C24&gt;=0),OFFSET('Input data (2)'!AW$126,'Input data (2)'!$BL$1-$C24,0),IF(AND('Input data (2)'!$C$2=2,$B24&gt;=0),OFFSET('Input data (2)'!AW$126,'Input data (2)'!$BL$1-$B24,0),IF(AND('Input data (2)'!$C$2=1,$A24&gt;=0),OFFSET('Input data (2)'!AW$126,'Input data (2)'!$BL$1-$A24,0),""))))</f>
        <v>12</v>
      </c>
      <c r="BM40" s="1">
        <f ca="1">IF(AND('Input data (2)'!$C$2=4,$D24&gt;=0),OFFSET('Input data (2)'!AX$126,'Input data (2)'!$BL$1-$D24,0),IF(AND('Input data (2)'!$C$2=3,$C24&gt;=0),OFFSET('Input data (2)'!AX$126,'Input data (2)'!$BL$1-$C24,0),IF(AND('Input data (2)'!$C$2=2,$B24&gt;=0),OFFSET('Input data (2)'!AX$126,'Input data (2)'!$BL$1-$B24,0),IF(AND('Input data (2)'!$C$2=1,$A24&gt;=0),OFFSET('Input data (2)'!AX$126,'Input data (2)'!$BL$1-$A24,0),""))))</f>
        <v>0</v>
      </c>
      <c r="BO40" s="1">
        <f ca="1">IF(AND('Input data (2)'!$C$2=4,$D24&gt;=0),OFFSET('Input data (2)'!BL$126,'Input data (2)'!$BL$1-$D24,0),IF(AND('Input data (2)'!$C$2=3,$C24&gt;=0),OFFSET('Input data (2)'!BL$126,'Input data (2)'!$BL$1-$C24,0),IF(AND('Input data (2)'!$C$2=2,$B24&gt;=0),OFFSET('Input data (2)'!BL$126,'Input data (2)'!$BL$1-$B24,0),IF(AND('Input data (2)'!$C$2=1,$A24&gt;=0),OFFSET('Input data (2)'!BL$126,'Input data (2)'!$BL$1-$A24,0),""))))</f>
        <v>330</v>
      </c>
      <c r="BP40" s="1">
        <f ca="1">IF(AND('Input data (2)'!$C$2=4,$D24&gt;=0),OFFSET('Input data (2)'!BI$126,'Input data (2)'!$BL$1-$D24,0),IF(AND('Input data (2)'!$C$2=3,$C24&gt;=0),OFFSET('Input data (2)'!BI$126,'Input data (2)'!$BL$1-$C24,0),IF(AND('Input data (2)'!$C$2=2,$B24&gt;=0),OFFSET('Input data (2)'!BI$126,'Input data (2)'!$BL$1-$B24,0),IF(AND('Input data (2)'!$C$2=1,$A24&gt;=0),OFFSET('Input data (2)'!BI$126,'Input data (2)'!$BL$1-$A24,0),""))))</f>
        <v>226</v>
      </c>
      <c r="BQ40" s="1" t="str">
        <f ca="1">IF(AND('Input data (2)'!$C$2=4,$D24&gt;=0),OFFSET('Input data (2)'!BK$126,'Input data (2)'!$BL$1-$D24,0),IF(AND('Input data (2)'!$C$2=3,$C24&gt;=0),OFFSET('Input data (2)'!BK$126,'Input data (2)'!$BL$1-$C24,0),IF(AND('Input data (2)'!$C$2=2,$B24&gt;=0),OFFSET('Input data (2)'!BK$126,'Input data (2)'!$BL$1-$B24,0),IF(AND('Input data (2)'!$C$2=1,$A24&gt;=0),OFFSET('Input data (2)'!BK$126,'Input data (2)'!$BL$1-$A24,0),""))))</f>
        <v>..</v>
      </c>
      <c r="BR40" s="1">
        <f ca="1">IF(AND('Input data (2)'!$C$2=4,$D24&gt;=0),OFFSET('Input data (2)'!BJ$126,'Input data (2)'!$BL$1-$D24,0),IF(AND('Input data (2)'!$C$2=3,$C24&gt;=0),OFFSET('Input data (2)'!BJ$126,'Input data (2)'!$BL$1-$C24,0),IF(AND('Input data (2)'!$C$2=2,$B24&gt;=0),OFFSET('Input data (2)'!BJ$126,'Input data (2)'!$BL$1-$B24,0),IF(AND('Input data (2)'!$C$2=1,$A24&gt;=0),OFFSET('Input data (2)'!BJ$126,'Input data (2)'!$BL$1-$A24,0),""))))</f>
        <v>104</v>
      </c>
      <c r="BS40" s="1">
        <f ca="1">IF(AND('Input data (2)'!$C$2=4,$D24&gt;=0),OFFSET('Input data (2)'!BF$126,'Input data (2)'!$BL$1-$D24,0),IF(AND('Input data (2)'!$C$2=3,$C24&gt;=0),OFFSET('Input data (2)'!BF$126,'Input data (2)'!$BL$1-$C24,0),IF(AND('Input data (2)'!$C$2=2,$B24&gt;=0),OFFSET('Input data (2)'!BF$126,'Input data (2)'!$BL$1-$B24,0),IF(AND('Input data (2)'!$C$2=1,$A24&gt;=0),OFFSET('Input data (2)'!BF$126,'Input data (2)'!$BL$1-$A24,0),""))))</f>
        <v>42</v>
      </c>
      <c r="BT40" s="1">
        <f ca="1">IF(AND('Input data (2)'!$C$2=4,$D24&gt;=0),OFFSET('Input data (2)'!BD$126,'Input data (2)'!$BL$1-$D24,0),IF(AND('Input data (2)'!$C$2=3,$C24&gt;=0),OFFSET('Input data (2)'!BD$126,'Input data (2)'!$BL$1-$C24,0),IF(AND('Input data (2)'!$C$2=2,$B24&gt;=0),OFFSET('Input data (2)'!BD$126,'Input data (2)'!$BL$1-$B24,0),IF(AND('Input data (2)'!$C$2=1,$A24&gt;=0),OFFSET('Input data (2)'!BD$126,'Input data (2)'!$BL$1-$A24,0),""))))</f>
        <v>37</v>
      </c>
      <c r="BU40" s="1">
        <f ca="1">IF(AND('Input data (2)'!$C$2=4,$D24&gt;=0),OFFSET('Input data (2)'!BE$126,'Input data (2)'!$BL$1-$D24,0),IF(AND('Input data (2)'!$C$2=3,$C24&gt;=0),OFFSET('Input data (2)'!BE$126,'Input data (2)'!$BL$1-$C24,0),IF(AND('Input data (2)'!$C$2=2,$B24&gt;=0),OFFSET('Input data (2)'!BE$126,'Input data (2)'!$BL$1-$B24,0),IF(AND('Input data (2)'!$C$2=1,$A24&gt;=0),OFFSET('Input data (2)'!BE$126,'Input data (2)'!$BL$1-$A24,0),""))))</f>
        <v>5</v>
      </c>
      <c r="BW40" s="7">
        <f ca="1">IF(AND('Input data (2)'!$C$2=4,$D24&gt;=0),OFFSET('Input data (2)'!J$126,'Input data (2)'!$BL$1-$D24,0),IF(AND('Input data (2)'!$C$2=3,$C24&gt;=0),OFFSET('Input data (2)'!J$126,'Input data (2)'!$BL$1-$C24,0),IF(AND('Input data (2)'!$C$2=2,$B24&gt;=0),OFFSET('Input data (2)'!J$126,'Input data (2)'!$BL$1-$B24,0),IF(AND('Input data (2)'!$C$2=1,$A24&gt;=0),OFFSET('Input data (2)'!J$126,'Input data (2)'!$BL$1-$A24,0),""))))</f>
        <v>0.60025423754090779</v>
      </c>
      <c r="BX40" s="7">
        <f ca="1">IF(AND('Input data (2)'!$C$2=4,$D24&gt;=0),OFFSET('Input data (2)'!K$126,'Input data (2)'!$BL$1-$D24,0),IF(AND('Input data (2)'!$C$2=3,$C24&gt;=0),OFFSET('Input data (2)'!K$126,'Input data (2)'!$BL$1-$C24,0),IF(AND('Input data (2)'!$C$2=2,$B24&gt;=0),OFFSET('Input data (2)'!K$126,'Input data (2)'!$BL$1-$B24,0),IF(AND('Input data (2)'!$C$2=1,$A24&gt;=0),OFFSET('Input data (2)'!K$126,'Input data (2)'!$BL$1-$A24,0),""))))</f>
        <v>0.54698762190849715</v>
      </c>
      <c r="BY40" s="7">
        <f ca="1">IF(AND('Input data (2)'!$C$2=4,$D24&gt;=0),OFFSET('Input data (2)'!AS$126,'Input data (2)'!$BL$1-$D24,0),IF(AND('Input data (2)'!$C$2=3,$C24&gt;=0),OFFSET('Input data (2)'!AS$126,'Input data (2)'!$BL$1-$C24,0),IF(AND('Input data (2)'!$C$2=2,$B24&gt;=0),OFFSET('Input data (2)'!AS$126,'Input data (2)'!$BL$1-$B24,0),IF(AND('Input data (2)'!$C$2=1,$A24&gt;=0),OFFSET('Input data (2)'!AS$126,'Input data (2)'!$BL$1-$A24,0),""))))</f>
        <v>0.37548887663609393</v>
      </c>
      <c r="BZ40" s="7">
        <f ca="1">IF(AND('Input data (2)'!$C$2=4,$D24&gt;=0),OFFSET('Input data (2)'!AT$126,'Input data (2)'!$BL$1-$D24,0),IF(AND('Input data (2)'!$C$2=3,$C24&gt;=0),OFFSET('Input data (2)'!AT$126,'Input data (2)'!$BL$1-$C24,0),IF(AND('Input data (2)'!$C$2=2,$B24&gt;=0),OFFSET('Input data (2)'!AT$126,'Input data (2)'!$BL$1-$B24,0),IF(AND('Input data (2)'!$C$2=1,$A24&gt;=0),OFFSET('Input data (2)'!AT$126,'Input data (2)'!$BL$1-$A24,0),""))))</f>
        <v>0.34227614839652631</v>
      </c>
      <c r="CB40" s="122"/>
      <c r="CC40" s="122"/>
      <c r="CD40" s="122"/>
      <c r="CE40" s="122"/>
      <c r="CG40" s="1">
        <v>4</v>
      </c>
      <c r="CI40" s="1">
        <f t="shared" si="24"/>
        <v>2012</v>
      </c>
      <c r="CJ40" s="1" t="str">
        <f t="shared" si="25"/>
        <v>Q2</v>
      </c>
      <c r="CK40" s="1" t="str">
        <f t="shared" si="12"/>
        <v>12</v>
      </c>
      <c r="CL40" s="1" t="str">
        <f t="shared" si="13"/>
        <v>Q2 12</v>
      </c>
      <c r="CM40" s="1">
        <f ca="1">OFFSET('Input data (2)'!AJ$126,'Input data (2)'!$BL$1-'Output data - DO NOT TOUCH (2)'!$CG40,0)/1000</f>
        <v>8.1950000000000003</v>
      </c>
      <c r="CN40" s="1">
        <f ca="1">OFFSET('Input data (2)'!AK$126,'Input data (2)'!$BL$1-'Output data - DO NOT TOUCH (2)'!$CG40,0)/1000</f>
        <v>11.21</v>
      </c>
      <c r="CO40" s="1" t="e">
        <f ca="1">OFFSET('Input data (2)'!AL$126,'Input data (2)'!$BL$1-'Output data - DO NOT TOUCH (2)'!$CG40,0)/1000</f>
        <v>#VALUE!</v>
      </c>
      <c r="CP40" s="1"/>
      <c r="CQ40" s="1">
        <f ca="1">OFFSET('Input data (2)'!AG$126,'Input data (2)'!$BL$1-'Output data - DO NOT TOUCH (2)'!$CG40,0)/1000</f>
        <v>1.028</v>
      </c>
      <c r="CR40" s="1">
        <f ca="1">OFFSET('Input data (2)'!AH$126,'Input data (2)'!$BL$1-'Output data - DO NOT TOUCH (2)'!$CG40,0)/1000</f>
        <v>3.036</v>
      </c>
      <c r="CS40" s="1">
        <f ca="1">OFFSET('Input data (2)'!AI$126,'Input data (2)'!$BL$1-'Output data - DO NOT TOUCH (2)'!$CG40,0)/1000</f>
        <v>4.0640000000000001</v>
      </c>
      <c r="CT40" s="1"/>
      <c r="CU40" s="1">
        <f ca="1">OFFSET('Input data (2)'!L$126,'Input data (2)'!$BL$1-'Output data - DO NOT TOUCH (2)'!$CG40,0)</f>
        <v>333</v>
      </c>
      <c r="CV40" s="1">
        <f ca="1">OFFSET('Input data (2)'!M$126,'Input data (2)'!$BL$1-'Output data - DO NOT TOUCH (2)'!$CG40,0)</f>
        <v>0</v>
      </c>
      <c r="CW40" s="67">
        <f ca="1">OFFSET('Input data (2)'!N$126,'Input data (2)'!$BL$1-'Output data - DO NOT TOUCH (2)'!$CG40,0)</f>
        <v>625</v>
      </c>
      <c r="CX40" s="1">
        <f ca="1">OFFSET('Input data (2)'!P$126,'Input data (2)'!$BL$1-'Output data - DO NOT TOUCH (2)'!$CG40,0)</f>
        <v>352</v>
      </c>
      <c r="CY40" s="1"/>
      <c r="CZ40" s="1">
        <f ca="1">OFFSET('Input data (2)'!AY$126,'Input data (2)'!$BL$1-'Output data - DO NOT TOUCH (2)'!$CG40,0)/1000</f>
        <v>3.31</v>
      </c>
      <c r="DA40" s="1">
        <f ca="1">OFFSET('Input data (2)'!BA$126,'Input data (2)'!$BL$1-'Output data - DO NOT TOUCH (2)'!$CG40,0)/1000</f>
        <v>2.2909999999999999</v>
      </c>
      <c r="DB40" s="1">
        <f ca="1">OFFSET('Input data (2)'!BB$126,'Input data (2)'!$BL$1-'Output data - DO NOT TOUCH (2)'!$CG40,0)/1000</f>
        <v>5.601</v>
      </c>
      <c r="DD40" s="1">
        <f ca="1">OFFSET('Input data (2)'!AN$126,'Input data (2)'!$BL$1-'Output data - DO NOT TOUCH (2)'!$CG40,0)</f>
        <v>313</v>
      </c>
      <c r="DE40" s="1">
        <f ca="1">OFFSET('Input data (2)'!AO$126,'Input data (2)'!$BL$1-'Output data - DO NOT TOUCH (2)'!$CG40,0)</f>
        <v>58</v>
      </c>
      <c r="DF40" s="1">
        <f ca="1">OFFSET('Input data (2)'!AP$126,'Input data (2)'!$BL$1-'Output data - DO NOT TOUCH (2)'!$CG40,0)</f>
        <v>371</v>
      </c>
      <c r="DG40" s="1"/>
      <c r="DH40" s="1">
        <f ca="1">OFFSET('Input data (2)'!AU$126,'Input data (2)'!$BL$1-'Output data - DO NOT TOUCH (2)'!$CG40,0)</f>
        <v>12</v>
      </c>
      <c r="DI40" s="1">
        <f ca="1">OFFSET('Input data (2)'!AV$126,'Input data (2)'!$BL$1-'Output data - DO NOT TOUCH (2)'!$CG40,0)</f>
        <v>0</v>
      </c>
      <c r="DJ40" s="1">
        <f ca="1">OFFSET('Input data (2)'!AW$126,'Input data (2)'!$BL$1-'Output data - DO NOT TOUCH (2)'!$CG40,0)</f>
        <v>67</v>
      </c>
      <c r="DK40" s="1">
        <f ca="1">OFFSET('Input data (2)'!AX$126,'Input data (2)'!$BL$1-'Output data - DO NOT TOUCH (2)'!$CG40,0)</f>
        <v>18</v>
      </c>
      <c r="DM40" s="1">
        <f ca="1">OFFSET('Input data (2)'!BI$126,'Input data (2)'!$BL$1-'Output data - DO NOT TOUCH (2)'!$CG40,0)</f>
        <v>381</v>
      </c>
      <c r="DN40" s="1">
        <f ca="1">OFFSET('Input data (2)'!BJ$126,'Input data (2)'!$BL$1-'Output data - DO NOT TOUCH (2)'!$CG40,0)</f>
        <v>282</v>
      </c>
      <c r="DO40" s="1">
        <f ca="1">OFFSET('Input data (2)'!BL$126,'Input data (2)'!$BL$1-'Output data - DO NOT TOUCH (2)'!$CG40,0)</f>
        <v>795</v>
      </c>
      <c r="DQ40" s="1">
        <f ca="1">OFFSET('Input data (2)'!BD$126,'Input data (2)'!$BL$1-'Output data - DO NOT TOUCH (2)'!$CG40,0)</f>
        <v>72</v>
      </c>
      <c r="DR40" s="1">
        <f ca="1">OFFSET('Input data (2)'!BE$126,'Input data (2)'!$BL$1-'Output data - DO NOT TOUCH (2)'!$CG40,0)</f>
        <v>46</v>
      </c>
      <c r="DS40" s="1">
        <f ca="1">OFFSET('Input data (2)'!BF$126,'Input data (2)'!$BL$1-'Output data - DO NOT TOUCH (2)'!$CG40,0)</f>
        <v>118</v>
      </c>
      <c r="DU40" s="1">
        <f ca="1">OFFSET('Input data (2)'!B$126,'Input data (2)'!$BL$1-'Output data - DO NOT TOUCH (2)'!$CG40-1,0)</f>
        <v>2012</v>
      </c>
      <c r="DV40" s="1" t="str">
        <f ca="1">OFFSET('Input data (2)'!C$126,'Input data (2)'!$BL$1-'Output data - DO NOT TOUCH (2)'!$CG40-1,0)</f>
        <v>Q1</v>
      </c>
      <c r="DW40" s="1" t="str">
        <f t="shared" ca="1" si="14"/>
        <v>12</v>
      </c>
      <c r="DX40" s="1" t="str">
        <f t="shared" ca="1" si="15"/>
        <v>Q1 12</v>
      </c>
      <c r="DY40" s="1">
        <f ca="1">OFFSET('Input data (2)'!W$126,'Input data (2)'!$BL$1-'Output data - DO NOT TOUCH (2)'!$CG40-1,0)/1000</f>
        <v>2.2130000000000001</v>
      </c>
      <c r="DZ40" s="1">
        <f ca="1">OFFSET('Input data (2)'!Y$126,'Input data (2)'!$BL$1-'Output data - DO NOT TOUCH (2)'!$CG40-1,0)/1000</f>
        <v>6.9189999999999996</v>
      </c>
      <c r="EA40" s="1">
        <f ca="1">OFFSET('Input data (2)'!Q$126,'Input data (2)'!$BL$1-'Output data - DO NOT TOUCH (2)'!$CG40-1,0)/1000</f>
        <v>9.1319999999999997</v>
      </c>
    </row>
    <row r="41" spans="1:131" x14ac:dyDescent="0.15">
      <c r="A41" s="1">
        <v>3</v>
      </c>
      <c r="B41" s="1">
        <v>4</v>
      </c>
      <c r="C41" s="1">
        <v>5</v>
      </c>
      <c r="D41" s="1">
        <v>2</v>
      </c>
      <c r="E41" s="1" t="str">
        <f>F41&amp;G41</f>
        <v>2008Q2</v>
      </c>
      <c r="F41" s="1">
        <f>F36+1</f>
        <v>2008</v>
      </c>
      <c r="G41" s="1" t="s">
        <v>2</v>
      </c>
      <c r="H41" s="1">
        <f>VLOOKUP($E41,'Input data (2)'!$A:$BL,'Output data - DO NOT TOUCH (2)'!H$71,FALSE)</f>
        <v>3689</v>
      </c>
      <c r="I41" s="1">
        <f>VLOOKUP($E41,'Input data (2)'!$A:$BL,'Output data - DO NOT TOUCH (2)'!I$71,FALSE)</f>
        <v>1410</v>
      </c>
      <c r="J41" s="1">
        <f>VLOOKUP($E41,'Input data (2)'!$A:$BL,'Output data - DO NOT TOUCH (2)'!J$71,FALSE)</f>
        <v>2279</v>
      </c>
      <c r="K41" s="1">
        <f>VLOOKUP($E41,'Input data (2)'!$A:$BL,'Output data - DO NOT TOUCH (2)'!K$71,FALSE)</f>
        <v>3517</v>
      </c>
      <c r="L41" s="1">
        <f>VLOOKUP($E41,'Input data (2)'!$A:$BL,'Output data - DO NOT TOUCH (2)'!L$71,FALSE)</f>
        <v>1273</v>
      </c>
      <c r="M41" s="1">
        <f>VLOOKUP($E41,'Input data (2)'!$A:$BL,'Output data - DO NOT TOUCH (2)'!M$71,FALSE)</f>
        <v>2244</v>
      </c>
      <c r="O41" s="119">
        <f ca="1">IF(AND('Input data (2)'!$C$2=4,$D25&gt;=0),OFFSET('Input data (2)'!O$126,'Input data (2)'!$BL$1-$D25,0),IF(AND('Input data (2)'!$C$2=3,$C25&gt;=0),OFFSET('Input data (2)'!O$126,'Input data (2)'!$BL$1-$C25,0),IF(AND('Input data (2)'!$C$2=2,$B25&gt;=0),OFFSET('Input data (2)'!O$126,'Input data (2)'!$BL$1-$B25,0),IF(AND('Input data (2)'!$C$2=1,$A25&gt;=0),OFFSET('Input data (2)'!O$126,'Input data (2)'!$BL$1-$A25,0),""))))</f>
        <v>223</v>
      </c>
      <c r="Q41" s="1">
        <f ca="1">IF(AND('Input data (2)'!$C$2=4,$D25&gt;=0),OFFSET('Input data (2)'!AC$126,'Input data (2)'!$BL$1-$D25,0),IF(AND('Input data (2)'!$C$2=3,$C25&gt;=0),OFFSET('Input data (2)'!AC$126,'Input data (2)'!$BL$1-$C25,0),IF(AND('Input data (2)'!$C$2=2,$B25&gt;=0),OFFSET('Input data (2)'!AC$126,'Input data (2)'!$BL$1-$B25,0),IF(AND('Input data (2)'!$C$2=1,$A25&gt;=0),OFFSET('Input data (2)'!AC$126,'Input data (2)'!$BL$1-$A25,0),""))))</f>
        <v>25966</v>
      </c>
      <c r="R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S41" s="1" t="str">
        <f ca="1">IF(AND('Input data (2)'!$C$2=4,$D25&gt;=0),OFFSET('Input data (2)'!R$126,'Input data (2)'!$BL$1-$D25,0),IF(AND('Input data (2)'!$C$2=3,$C25&gt;=0),OFFSET('Input data (2)'!R$126,'Input data (2)'!$BL$1-$C25,0),IF(AND('Input data (2)'!$C$2=2,$B25&gt;=0),OFFSET('Input data (2)'!R$126,'Input data (2)'!$BL$1-$B25,0),IF(AND('Input data (2)'!$C$2=1,$A25&gt;=0),OFFSET('Input data (2)'!R$126,'Input data (2)'!$BL$1-$A25,0),""))))</f>
        <v>:</v>
      </c>
      <c r="T41" s="1">
        <f ca="1">IF(AND('Input data (2)'!$C$2=4,$D25&gt;=0),OFFSET('Input data (2)'!AA$126,'Input data (2)'!$BL$1-$D25,0),IF(AND('Input data (2)'!$C$2=3,$C25&gt;=0),OFFSET('Input data (2)'!AA$126,'Input data (2)'!$BL$1-$C25,0),IF(AND('Input data (2)'!$C$2=2,$B25&gt;=0),OFFSET('Input data (2)'!AA$126,'Input data (2)'!$BL$1-$B25,0),IF(AND('Input data (2)'!$C$2=1,$A25&gt;=0),OFFSET('Input data (2)'!AA$126,'Input data (2)'!$BL$1-$A25,0),""))))</f>
        <v>9593</v>
      </c>
      <c r="U41" s="1">
        <f ca="1">IF(AND('Input data (2)'!$C$2=4,$D25&gt;=0),OFFSET('Input data (2)'!AL$126,'Input data (2)'!$BL$1-$D25,0),IF(AND('Input data (2)'!$C$2=3,$C25&gt;=0),OFFSET('Input data (2)'!AL$126,'Input data (2)'!$BL$1-$C25,0),IF(AND('Input data (2)'!$C$2=2,$B25&gt;=0),OFFSET('Input data (2)'!AL$126,'Input data (2)'!$BL$1-$B25,0),IF(AND('Input data (2)'!$C$2=1,$A25&gt;=0),OFFSET('Input data (2)'!AL$126,'Input data (2)'!$BL$1-$A25,0),""))))</f>
        <v>24911</v>
      </c>
      <c r="V41" s="1">
        <f ca="1">IF(AND('Input data (2)'!$C$2=4,$D25&gt;=0),OFFSET('Input data (2)'!AJ$126,'Input data (2)'!$BL$1-$D25,0),IF(AND('Input data (2)'!$C$2=3,$C25&gt;=0),OFFSET('Input data (2)'!AJ$126,'Input data (2)'!$BL$1-$C25,0),IF(AND('Input data (2)'!$C$2=2,$B25&gt;=0),OFFSET('Input data (2)'!AJ$126,'Input data (2)'!$BL$1-$B25,0),IF(AND('Input data (2)'!$C$2=1,$A25&gt;=0),OFFSET('Input data (2)'!AJ$126,'Input data (2)'!$BL$1-$A25,0),""))))</f>
        <v>15536</v>
      </c>
      <c r="W41" s="1">
        <f ca="1">IF(AND('Input data (2)'!$C$2=4,$D25&gt;=0),OFFSET('Input data (2)'!AK$126,'Input data (2)'!$BL$1-$D25,0),IF(AND('Input data (2)'!$C$2=3,$C25&gt;=0),OFFSET('Input data (2)'!AK$126,'Input data (2)'!$BL$1-$C25,0),IF(AND('Input data (2)'!$C$2=2,$B25&gt;=0),OFFSET('Input data (2)'!AK$126,'Input data (2)'!$BL$1-$B25,0),IF(AND('Input data (2)'!$C$2=1,$A25&gt;=0),OFFSET('Input data (2)'!AK$126,'Input data (2)'!$BL$1-$A25,0),""))))</f>
        <v>9375</v>
      </c>
      <c r="Y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Z41" s="1">
        <f ca="1">IF(AND('Input data (2)'!$C$2=4,$D25&gt;=0),OFFSET('Input data (2)'!S$126,'Input data (2)'!$BL$1-$D25,0),IF(AND('Input data (2)'!$C$2=3,$C25&gt;=0),OFFSET('Input data (2)'!S$126,'Input data (2)'!$BL$1-$C25,0),IF(AND('Input data (2)'!$C$2=2,$B25&gt;=0),OFFSET('Input data (2)'!S$126,'Input data (2)'!$BL$1-$B25,0),IF(AND('Input data (2)'!$C$2=1,$A25&gt;=0),OFFSET('Input data (2)'!S$126,'Input data (2)'!$BL$1-$A25,0),""))))</f>
        <v>13754</v>
      </c>
      <c r="AA41" s="1">
        <f ca="1">IF(AND('Input data (2)'!$C$2=4,$D25&gt;=0),OFFSET('Input data (2)'!T$126,'Input data (2)'!$BL$1-$D25,0),IF(AND('Input data (2)'!$C$2=3,$C25&gt;=0),OFFSET('Input data (2)'!T$126,'Input data (2)'!$BL$1-$C25,0),IF(AND('Input data (2)'!$C$2=2,$B25&gt;=0),OFFSET('Input data (2)'!T$126,'Input data (2)'!$BL$1-$B25,0),IF(AND('Input data (2)'!$C$2=1,$A25&gt;=0),OFFSET('Input data (2)'!T$126,'Input data (2)'!$BL$1-$A25,0),""))))</f>
        <v>84.004153179014224</v>
      </c>
      <c r="AB41" s="1">
        <f ca="1">IF(AND('Input data (2)'!$C$2=4,$D25&gt;=0),OFFSET('Input data (2)'!U$126,'Input data (2)'!$BL$1-$D25,0),IF(AND('Input data (2)'!$C$2=3,$C25&gt;=0),OFFSET('Input data (2)'!U$126,'Input data (2)'!$BL$1-$C25,0),IF(AND('Input data (2)'!$C$2=2,$B25&gt;=0),OFFSET('Input data (2)'!U$126,'Input data (2)'!$BL$1-$B25,0),IF(AND('Input data (2)'!$C$2=1,$A25&gt;=0),OFFSET('Input data (2)'!U$126,'Input data (2)'!$BL$1-$A25,0),""))))</f>
        <v>2619</v>
      </c>
      <c r="AC41" s="1">
        <f ca="1">IF(AND('Input data (2)'!$C$2=4,$D25&gt;=0),OFFSET('Input data (2)'!V$126,'Input data (2)'!$BL$1-$D25,0),IF(AND('Input data (2)'!$C$2=3,$C25&gt;=0),OFFSET('Input data (2)'!V$126,'Input data (2)'!$BL$1-$C25,0),IF(AND('Input data (2)'!$C$2=2,$B25&gt;=0),OFFSET('Input data (2)'!V$126,'Input data (2)'!$BL$1-$B25,0),IF(AND('Input data (2)'!$C$2=1,$A25&gt;=0),OFFSET('Input data (2)'!V$126,'Input data (2)'!$BL$1-$A25,0),""))))</f>
        <v>15.995846820985768</v>
      </c>
      <c r="AD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AE41" s="1">
        <f ca="1">IF(AND('Input data (2)'!$C$2=4,$D25&gt;=0),OFFSET('Input data (2)'!W$126,'Input data (2)'!$BL$1-$D25,0),IF(AND('Input data (2)'!$C$2=3,$C25&gt;=0),OFFSET('Input data (2)'!W$126,'Input data (2)'!$BL$1-$C25,0),IF(AND('Input data (2)'!$C$2=2,$B25&gt;=0),OFFSET('Input data (2)'!W$126,'Input data (2)'!$BL$1-$B25,0),IF(AND('Input data (2)'!$C$2=1,$A25&gt;=0),OFFSET('Input data (2)'!W$126,'Input data (2)'!$BL$1-$A25,0),""))))</f>
        <v>1828</v>
      </c>
      <c r="AF41" s="1">
        <f ca="1">IF(AND('Input data (2)'!$C$2=4,$D25&gt;=0),OFFSET('Input data (2)'!X$126,'Input data (2)'!$BL$1-$D25,0),IF(AND('Input data (2)'!$C$2=3,$C25&gt;=0),OFFSET('Input data (2)'!X$126,'Input data (2)'!$BL$1-$C25,0),IF(AND('Input data (2)'!$C$2=2,$B25&gt;=0),OFFSET('Input data (2)'!X$126,'Input data (2)'!$BL$1-$B25,0),IF(AND('Input data (2)'!$C$2=1,$A25&gt;=0),OFFSET('Input data (2)'!X$126,'Input data (2)'!$BL$1-$A25,0),""))))</f>
        <v>11.164722408843829</v>
      </c>
      <c r="AG41" s="1">
        <f ca="1">IF(AND('Input data (2)'!$C$2=4,$D25&gt;=0),OFFSET('Input data (2)'!Y$126,'Input data (2)'!$BL$1-$D25,0),IF(AND('Input data (2)'!$C$2=3,$C25&gt;=0),OFFSET('Input data (2)'!Y$126,'Input data (2)'!$BL$1-$C25,0),IF(AND('Input data (2)'!$C$2=2,$B25&gt;=0),OFFSET('Input data (2)'!Y$126,'Input data (2)'!$BL$1-$B25,0),IF(AND('Input data (2)'!$C$2=1,$A25&gt;=0),OFFSET('Input data (2)'!Y$126,'Input data (2)'!$BL$1-$A25,0),""))))</f>
        <v>14545</v>
      </c>
      <c r="AH41" s="1">
        <f ca="1">IF(AND('Input data (2)'!$C$2=4,$D25&gt;=0),OFFSET('Input data (2)'!Z$126,'Input data (2)'!$BL$1-$D25,0),IF(AND('Input data (2)'!$C$2=3,$C25&gt;=0),OFFSET('Input data (2)'!Z$126,'Input data (2)'!$BL$1-$C25,0),IF(AND('Input data (2)'!$C$2=2,$B25&gt;=0),OFFSET('Input data (2)'!Z$126,'Input data (2)'!$BL$1-$B25,0),IF(AND('Input data (2)'!$C$2=1,$A25&gt;=0),OFFSET('Input data (2)'!Z$126,'Input data (2)'!$BL$1-$A25,0),""))))</f>
        <v>88.835277591156171</v>
      </c>
      <c r="AI41" s="3"/>
      <c r="AJ41" s="124">
        <f ca="1">IF(AND('Input data (2)'!$C$2=4,$D25&gt;=0),OFFSET('Input data (2)'!AF$126,'Input data (2)'!$BL$1-$D25,0),IF(AND('Input data (2)'!$C$2=3,$C25&gt;=0),OFFSET('Input data (2)'!AF$126,'Input data (2)'!$BL$1-$C25,0),IF(AND('Input data (2)'!$C$2=2,$B25&gt;=0),OFFSET('Input data (2)'!AF$126,'Input data (2)'!$BL$1-$B25,0),IF(AND('Input data (2)'!$C$2=1,$A25&gt;=0),OFFSET('Input data (2)'!AF$126,'Input data (2)'!$BL$1-$A25,0),""))))</f>
        <v>2656</v>
      </c>
      <c r="AK41" s="124">
        <f ca="1">IF(AND('Input data (2)'!$C$2=4,$D25&gt;=0),OFFSET('Input data (2)'!AD$126,'Input data (2)'!$BL$1-$D25,0),IF(AND('Input data (2)'!$C$2=3,$C25&gt;=0),OFFSET('Input data (2)'!AD$126,'Input data (2)'!$BL$1-$C25,0),IF(AND('Input data (2)'!$C$2=2,$B25&gt;=0),OFFSET('Input data (2)'!AD$126,'Input data (2)'!$BL$1-$B25,0),IF(AND('Input data (2)'!$C$2=1,$A25&gt;=0),OFFSET('Input data (2)'!AD$126,'Input data (2)'!$BL$1-$A25,0),""))))</f>
        <v>12</v>
      </c>
      <c r="AL41" s="124">
        <f ca="1">IF(AND('Input data (2)'!$C$2=4,$D25&gt;=0),OFFSET('Input data (2)'!AE$126,'Input data (2)'!$BL$1-$D25,0),IF(AND('Input data (2)'!$C$2=3,$C25&gt;=0),OFFSET('Input data (2)'!AE$126,'Input data (2)'!$BL$1-$C25,0),IF(AND('Input data (2)'!$C$2=2,$B25&gt;=0),OFFSET('Input data (2)'!AE$126,'Input data (2)'!$BL$1-$B25,0),IF(AND('Input data (2)'!$C$2=1,$A25&gt;=0),OFFSET('Input data (2)'!AE$126,'Input data (2)'!$BL$1-$A25,0),""))))</f>
        <v>2644</v>
      </c>
      <c r="AW41" s="1">
        <f ca="1">IF(AND('Input data (2)'!$C$2=4,$D25&gt;=0),OFFSET('Input data (2)'!L$126,'Input data (2)'!$BL$1-$D25,0),IF(AND('Input data (2)'!$C$2=3,$C25&gt;=0),OFFSET('Input data (2)'!L$126,'Input data (2)'!$BL$1-$C25,0),IF(AND('Input data (2)'!$C$2=2,$B25&gt;=0),OFFSET('Input data (2)'!L$126,'Input data (2)'!$BL$1-$B25,0),IF(AND('Input data (2)'!$C$2=1,$A25&gt;=0),OFFSET('Input data (2)'!L$126,'Input data (2)'!$BL$1-$A25,0),""))))</f>
        <v>177</v>
      </c>
      <c r="AX41" s="1">
        <f ca="1">IF(AND('Input data (2)'!$C$2=4,$D25&gt;=0),OFFSET('Input data (2)'!M$126,'Input data (2)'!$BL$1-$D25,0),IF(AND('Input data (2)'!$C$2=3,$C25&gt;=0),OFFSET('Input data (2)'!M$126,'Input data (2)'!$BL$1-$C25,0),IF(AND('Input data (2)'!$C$2=2,$B25&gt;=0),OFFSET('Input data (2)'!M$126,'Input data (2)'!$BL$1-$B25,0),IF(AND('Input data (2)'!$C$2=1,$A25&gt;=0),OFFSET('Input data (2)'!M$126,'Input data (2)'!$BL$1-$A25,0),""))))</f>
        <v>0</v>
      </c>
      <c r="AY41" s="1">
        <f ca="1">IF(AND('Input data (2)'!$C$2=4,$D25&gt;=0),OFFSET('Input data (2)'!N$126,'Input data (2)'!$BL$1-$D25,0),IF(AND('Input data (2)'!$C$2=3,$C25&gt;=0),OFFSET('Input data (2)'!N$126,'Input data (2)'!$BL$1-$C25,0),IF(AND('Input data (2)'!$C$2=2,$B25&gt;=0),OFFSET('Input data (2)'!N$126,'Input data (2)'!$BL$1-$B25,0),IF(AND('Input data (2)'!$C$2=1,$A25&gt;=0),OFFSET('Input data (2)'!N$126,'Input data (2)'!$BL$1-$A25,0),""))))</f>
        <v>938</v>
      </c>
      <c r="AZ41" s="1">
        <f ca="1">IF(AND('Input data (2)'!$C$2=4,$D25&gt;=0),OFFSET('Input data (2)'!P$126,'Input data (2)'!$BL$1-$D25,0),IF(AND('Input data (2)'!$C$2=3,$C25&gt;=0),OFFSET('Input data (2)'!P$126,'Input data (2)'!$BL$1-$C25,0),IF(AND('Input data (2)'!$C$2=2,$B25&gt;=0),OFFSET('Input data (2)'!P$126,'Input data (2)'!$BL$1-$B25,0),IF(AND('Input data (2)'!$C$2=1,$A25&gt;=0),OFFSET('Input data (2)'!P$126,'Input data (2)'!$BL$1-$A25,0),""))))</f>
        <v>131</v>
      </c>
      <c r="BB41" s="1">
        <f ca="1">IF(AND('Input data (2)'!$C$2=4,$D25&gt;=0),OFFSET('Input data (2)'!BB$126,'Input data (2)'!$BL$1-$D25,0),IF(AND('Input data (2)'!$C$2=3,$C25&gt;=0),OFFSET('Input data (2)'!BB$126,'Input data (2)'!$BL$1-$C25,0),IF(AND('Input data (2)'!$C$2=2,$B25&gt;=0),OFFSET('Input data (2)'!BB$126,'Input data (2)'!$BL$1-$B25,0),IF(AND('Input data (2)'!$C$2=1,$A25&gt;=0),OFFSET('Input data (2)'!BB$126,'Input data (2)'!$BL$1-$A25,0),""))))</f>
        <v>4814</v>
      </c>
      <c r="BC41" s="1">
        <f ca="1">IF(AND('Input data (2)'!$C$2=4,$D25&gt;=0),OFFSET('Input data (2)'!AY$126,'Input data (2)'!$BL$1-$D25,0),IF(AND('Input data (2)'!$C$2=3,$C25&gt;=0),OFFSET('Input data (2)'!AY$126,'Input data (2)'!$BL$1-$C25,0),IF(AND('Input data (2)'!$C$2=2,$B25&gt;=0),OFFSET('Input data (2)'!AY$126,'Input data (2)'!$BL$1-$B25,0),IF(AND('Input data (2)'!$C$2=1,$A25&gt;=0),OFFSET('Input data (2)'!AY$126,'Input data (2)'!$BL$1-$A25,0),""))))</f>
        <v>2932</v>
      </c>
      <c r="BD41" s="1">
        <f ca="1">IF(AND('Input data (2)'!$C$2=4,$D25&gt;=0),OFFSET('Input data (2)'!AZ$126,'Input data (2)'!$BL$1-$D25,0),IF(AND('Input data (2)'!$C$2=3,$C25&gt;=0),OFFSET('Input data (2)'!AZ$126,'Input data (2)'!$BL$1-$C25,0),IF(AND('Input data (2)'!$C$2=2,$B25&gt;=0),OFFSET('Input data (2)'!AZ$126,'Input data (2)'!$BL$1-$B25,0),IF(AND('Input data (2)'!$C$2=1,$A25&gt;=0),OFFSET('Input data (2)'!AZ$126,'Input data (2)'!$BL$1-$A25,0),""))))</f>
        <v>1709</v>
      </c>
      <c r="BE41" s="1">
        <f ca="1">IF(AND('Input data (2)'!$C$2=4,$D25&gt;=0),OFFSET('Input data (2)'!BA$126,'Input data (2)'!$BL$1-$D25,0),IF(AND('Input data (2)'!$C$2=3,$C25&gt;=0),OFFSET('Input data (2)'!BA$126,'Input data (2)'!$BL$1-$C25,0),IF(AND('Input data (2)'!$C$2=2,$B25&gt;=0),OFFSET('Input data (2)'!BA$126,'Input data (2)'!$BL$1-$B25,0),IF(AND('Input data (2)'!$C$2=1,$A25&gt;=0),OFFSET('Input data (2)'!BA$126,'Input data (2)'!$BL$1-$A25,0),""))))</f>
        <v>1882</v>
      </c>
      <c r="BF41" s="1">
        <f ca="1">IF(AND('Input data (2)'!$C$2=4,$D25&gt;=0),OFFSET('Input data (2)'!AP$126,'Input data (2)'!$BL$1-$D25,0),IF(AND('Input data (2)'!$C$2=3,$C25&gt;=0),OFFSET('Input data (2)'!AP$126,'Input data (2)'!$BL$1-$C25,0),IF(AND('Input data (2)'!$C$2=2,$B25&gt;=0),OFFSET('Input data (2)'!AP$126,'Input data (2)'!$BL$1-$B25,0),IF(AND('Input data (2)'!$C$2=1,$A25&gt;=0),OFFSET('Input data (2)'!AP$126,'Input data (2)'!$BL$1-$A25,0),""))))</f>
        <v>132</v>
      </c>
      <c r="BG41" s="1">
        <f ca="1">IF(AND('Input data (2)'!$C$2=4,$D25&gt;=0),OFFSET('Input data (2)'!AN$126,'Input data (2)'!$BL$1-$D25,0),IF(AND('Input data (2)'!$C$2=3,$C25&gt;=0),OFFSET('Input data (2)'!AN$126,'Input data (2)'!$BL$1-$C25,0),IF(AND('Input data (2)'!$C$2=2,$B25&gt;=0),OFFSET('Input data (2)'!AN$126,'Input data (2)'!$BL$1-$B25,0),IF(AND('Input data (2)'!$C$2=1,$A25&gt;=0),OFFSET('Input data (2)'!AN$126,'Input data (2)'!$BL$1-$A25,0),""))))</f>
        <v>111</v>
      </c>
      <c r="BH41" s="1">
        <f ca="1">IF(AND('Input data (2)'!$C$2=4,$D25&gt;=0),OFFSET('Input data (2)'!AO$126,'Input data (2)'!$BL$1-$D25,0),IF(AND('Input data (2)'!$C$2=3,$C25&gt;=0),OFFSET('Input data (2)'!AO$126,'Input data (2)'!$BL$1-$C25,0),IF(AND('Input data (2)'!$C$2=2,$B25&gt;=0),OFFSET('Input data (2)'!AO$126,'Input data (2)'!$BL$1-$B25,0),IF(AND('Input data (2)'!$C$2=1,$A25&gt;=0),OFFSET('Input data (2)'!AO$126,'Input data (2)'!$BL$1-$A25,0),""))))</f>
        <v>21</v>
      </c>
      <c r="BJ41" s="1">
        <f ca="1">IF(AND('Input data (2)'!$C$2=4,$D25&gt;=0),OFFSET('Input data (2)'!AU$126,'Input data (2)'!$BL$1-$D25,0),IF(AND('Input data (2)'!$C$2=3,$C25&gt;=0),OFFSET('Input data (2)'!AU$126,'Input data (2)'!$BL$1-$C25,0),IF(AND('Input data (2)'!$C$2=2,$B25&gt;=0),OFFSET('Input data (2)'!AU$126,'Input data (2)'!$BL$1-$B25,0),IF(AND('Input data (2)'!$C$2=1,$A25&gt;=0),OFFSET('Input data (2)'!AU$126,'Input data (2)'!$BL$1-$A25,0),""))))</f>
        <v>17</v>
      </c>
      <c r="BK41" s="1">
        <f ca="1">IF(AND('Input data (2)'!$C$2=4,$D25&gt;=0),OFFSET('Input data (2)'!AV$126,'Input data (2)'!$BL$1-$D25,0),IF(AND('Input data (2)'!$C$2=3,$C25&gt;=0),OFFSET('Input data (2)'!AV$126,'Input data (2)'!$BL$1-$C25,0),IF(AND('Input data (2)'!$C$2=2,$B25&gt;=0),OFFSET('Input data (2)'!AV$126,'Input data (2)'!$BL$1-$B25,0),IF(AND('Input data (2)'!$C$2=1,$A25&gt;=0),OFFSET('Input data (2)'!AV$126,'Input data (2)'!$BL$1-$A25,0),""))))</f>
        <v>0</v>
      </c>
      <c r="BL41" s="1">
        <f ca="1">IF(AND('Input data (2)'!$C$2=4,$D25&gt;=0),OFFSET('Input data (2)'!AW$126,'Input data (2)'!$BL$1-$D25,0),IF(AND('Input data (2)'!$C$2=3,$C25&gt;=0),OFFSET('Input data (2)'!AW$126,'Input data (2)'!$BL$1-$C25,0),IF(AND('Input data (2)'!$C$2=2,$B25&gt;=0),OFFSET('Input data (2)'!AW$126,'Input data (2)'!$BL$1-$B25,0),IF(AND('Input data (2)'!$C$2=1,$A25&gt;=0),OFFSET('Input data (2)'!AW$126,'Input data (2)'!$BL$1-$A25,0),""))))</f>
        <v>35</v>
      </c>
      <c r="BM41" s="1">
        <f ca="1">IF(AND('Input data (2)'!$C$2=4,$D25&gt;=0),OFFSET('Input data (2)'!AX$126,'Input data (2)'!$BL$1-$D25,0),IF(AND('Input data (2)'!$C$2=3,$C25&gt;=0),OFFSET('Input data (2)'!AX$126,'Input data (2)'!$BL$1-$C25,0),IF(AND('Input data (2)'!$C$2=2,$B25&gt;=0),OFFSET('Input data (2)'!AX$126,'Input data (2)'!$BL$1-$B25,0),IF(AND('Input data (2)'!$C$2=1,$A25&gt;=0),OFFSET('Input data (2)'!AX$126,'Input data (2)'!$BL$1-$A25,0),""))))</f>
        <v>2</v>
      </c>
      <c r="BO41" s="1">
        <f ca="1">IF(AND('Input data (2)'!$C$2=4,$D25&gt;=0),OFFSET('Input data (2)'!BL$126,'Input data (2)'!$BL$1-$D25,0),IF(AND('Input data (2)'!$C$2=3,$C25&gt;=0),OFFSET('Input data (2)'!BL$126,'Input data (2)'!$BL$1-$C25,0),IF(AND('Input data (2)'!$C$2=2,$B25&gt;=0),OFFSET('Input data (2)'!BL$126,'Input data (2)'!$BL$1-$B25,0),IF(AND('Input data (2)'!$C$2=1,$A25&gt;=0),OFFSET('Input data (2)'!BL$126,'Input data (2)'!$BL$1-$A25,0),""))))</f>
        <v>479</v>
      </c>
      <c r="BP41" s="1">
        <f ca="1">IF(AND('Input data (2)'!$C$2=4,$D25&gt;=0),OFFSET('Input data (2)'!BI$126,'Input data (2)'!$BL$1-$D25,0),IF(AND('Input data (2)'!$C$2=3,$C25&gt;=0),OFFSET('Input data (2)'!BI$126,'Input data (2)'!$BL$1-$C25,0),IF(AND('Input data (2)'!$C$2=2,$B25&gt;=0),OFFSET('Input data (2)'!BI$126,'Input data (2)'!$BL$1-$B25,0),IF(AND('Input data (2)'!$C$2=1,$A25&gt;=0),OFFSET('Input data (2)'!BI$126,'Input data (2)'!$BL$1-$A25,0),""))))</f>
        <v>331</v>
      </c>
      <c r="BQ41" s="1" t="str">
        <f ca="1">IF(AND('Input data (2)'!$C$2=4,$D25&gt;=0),OFFSET('Input data (2)'!BK$126,'Input data (2)'!$BL$1-$D25,0),IF(AND('Input data (2)'!$C$2=3,$C25&gt;=0),OFFSET('Input data (2)'!BK$126,'Input data (2)'!$BL$1-$C25,0),IF(AND('Input data (2)'!$C$2=2,$B25&gt;=0),OFFSET('Input data (2)'!BK$126,'Input data (2)'!$BL$1-$B25,0),IF(AND('Input data (2)'!$C$2=1,$A25&gt;=0),OFFSET('Input data (2)'!BK$126,'Input data (2)'!$BL$1-$A25,0),""))))</f>
        <v>..</v>
      </c>
      <c r="BR41" s="1">
        <f ca="1">IF(AND('Input data (2)'!$C$2=4,$D25&gt;=0),OFFSET('Input data (2)'!BJ$126,'Input data (2)'!$BL$1-$D25,0),IF(AND('Input data (2)'!$C$2=3,$C25&gt;=0),OFFSET('Input data (2)'!BJ$126,'Input data (2)'!$BL$1-$C25,0),IF(AND('Input data (2)'!$C$2=2,$B25&gt;=0),OFFSET('Input data (2)'!BJ$126,'Input data (2)'!$BL$1-$B25,0),IF(AND('Input data (2)'!$C$2=1,$A25&gt;=0),OFFSET('Input data (2)'!BJ$126,'Input data (2)'!$BL$1-$A25,0),""))))</f>
        <v>148</v>
      </c>
      <c r="BS41" s="1">
        <f ca="1">IF(AND('Input data (2)'!$C$2=4,$D25&gt;=0),OFFSET('Input data (2)'!BF$126,'Input data (2)'!$BL$1-$D25,0),IF(AND('Input data (2)'!$C$2=3,$C25&gt;=0),OFFSET('Input data (2)'!BF$126,'Input data (2)'!$BL$1-$C25,0),IF(AND('Input data (2)'!$C$2=2,$B25&gt;=0),OFFSET('Input data (2)'!BF$126,'Input data (2)'!$BL$1-$B25,0),IF(AND('Input data (2)'!$C$2=1,$A25&gt;=0),OFFSET('Input data (2)'!BF$126,'Input data (2)'!$BL$1-$A25,0),""))))</f>
        <v>57</v>
      </c>
      <c r="BT41" s="1">
        <f ca="1">IF(AND('Input data (2)'!$C$2=4,$D25&gt;=0),OFFSET('Input data (2)'!BD$126,'Input data (2)'!$BL$1-$D25,0),IF(AND('Input data (2)'!$C$2=3,$C25&gt;=0),OFFSET('Input data (2)'!BD$126,'Input data (2)'!$BL$1-$C25,0),IF(AND('Input data (2)'!$C$2=2,$B25&gt;=0),OFFSET('Input data (2)'!BD$126,'Input data (2)'!$BL$1-$B25,0),IF(AND('Input data (2)'!$C$2=1,$A25&gt;=0),OFFSET('Input data (2)'!BD$126,'Input data (2)'!$BL$1-$A25,0),""))))</f>
        <v>42</v>
      </c>
      <c r="BU41" s="1">
        <f ca="1">IF(AND('Input data (2)'!$C$2=4,$D25&gt;=0),OFFSET('Input data (2)'!BE$126,'Input data (2)'!$BL$1-$D25,0),IF(AND('Input data (2)'!$C$2=3,$C25&gt;=0),OFFSET('Input data (2)'!BE$126,'Input data (2)'!$BL$1-$C25,0),IF(AND('Input data (2)'!$C$2=2,$B25&gt;=0),OFFSET('Input data (2)'!BE$126,'Input data (2)'!$BL$1-$B25,0),IF(AND('Input data (2)'!$C$2=1,$A25&gt;=0),OFFSET('Input data (2)'!BE$126,'Input data (2)'!$BL$1-$A25,0),""))))</f>
        <v>15</v>
      </c>
      <c r="BW41" s="7">
        <f ca="1">IF(AND('Input data (2)'!$C$2=4,$D25&gt;=0),OFFSET('Input data (2)'!J$126,'Input data (2)'!$BL$1-$D25,0),IF(AND('Input data (2)'!$C$2=3,$C25&gt;=0),OFFSET('Input data (2)'!J$126,'Input data (2)'!$BL$1-$C25,0),IF(AND('Input data (2)'!$C$2=2,$B25&gt;=0),OFFSET('Input data (2)'!J$126,'Input data (2)'!$BL$1-$B25,0),IF(AND('Input data (2)'!$C$2=1,$A25&gt;=0),OFFSET('Input data (2)'!J$126,'Input data (2)'!$BL$1-$A25,0),""))))</f>
        <v>0.6131943056904825</v>
      </c>
      <c r="BX41" s="7">
        <f ca="1">IF(AND('Input data (2)'!$C$2=4,$D25&gt;=0),OFFSET('Input data (2)'!K$126,'Input data (2)'!$BL$1-$D25,0),IF(AND('Input data (2)'!$C$2=3,$C25&gt;=0),OFFSET('Input data (2)'!K$126,'Input data (2)'!$BL$1-$C25,0),IF(AND('Input data (2)'!$C$2=2,$B25&gt;=0),OFFSET('Input data (2)'!K$126,'Input data (2)'!$BL$1-$B25,0),IF(AND('Input data (2)'!$C$2=1,$A25&gt;=0),OFFSET('Input data (2)'!K$126,'Input data (2)'!$BL$1-$A25,0),""))))</f>
        <v>0.55750427630367905</v>
      </c>
      <c r="BY41" s="7">
        <f ca="1">IF(AND('Input data (2)'!$C$2=4,$D25&gt;=0),OFFSET('Input data (2)'!AS$126,'Input data (2)'!$BL$1-$D25,0),IF(AND('Input data (2)'!$C$2=3,$C25&gt;=0),OFFSET('Input data (2)'!AS$126,'Input data (2)'!$BL$1-$C25,0),IF(AND('Input data (2)'!$C$2=2,$B25&gt;=0),OFFSET('Input data (2)'!AS$126,'Input data (2)'!$BL$1-$B25,0),IF(AND('Input data (2)'!$C$2=1,$A25&gt;=0),OFFSET('Input data (2)'!AS$126,'Input data (2)'!$BL$1-$A25,0),""))))</f>
        <v>0.34437510915924813</v>
      </c>
      <c r="BZ41" s="7">
        <f ca="1">IF(AND('Input data (2)'!$C$2=4,$D25&gt;=0),OFFSET('Input data (2)'!AT$126,'Input data (2)'!$BL$1-$D25,0),IF(AND('Input data (2)'!$C$2=3,$C25&gt;=0),OFFSET('Input data (2)'!AT$126,'Input data (2)'!$BL$1-$C25,0),IF(AND('Input data (2)'!$C$2=2,$B25&gt;=0),OFFSET('Input data (2)'!AT$126,'Input data (2)'!$BL$1-$B25,0),IF(AND('Input data (2)'!$C$2=1,$A25&gt;=0),OFFSET('Input data (2)'!AT$126,'Input data (2)'!$BL$1-$A25,0),""))))</f>
        <v>0.31396189246094863</v>
      </c>
      <c r="CB41" s="122"/>
      <c r="CC41" s="122"/>
      <c r="CD41" s="122"/>
      <c r="CE41" s="122"/>
      <c r="CG41" s="1">
        <v>3</v>
      </c>
      <c r="CI41" s="1">
        <f t="shared" ca="1" si="24"/>
        <v>2012</v>
      </c>
      <c r="CJ41" s="1" t="str">
        <f t="shared" si="25"/>
        <v>Q3</v>
      </c>
      <c r="CK41" s="1" t="str">
        <f t="shared" ca="1" si="12"/>
        <v>12</v>
      </c>
      <c r="CL41" s="1" t="str">
        <f t="shared" ca="1" si="13"/>
        <v>Q3 12</v>
      </c>
      <c r="CM41" s="1">
        <f ca="1">OFFSET('Input data (2)'!AJ$126,'Input data (2)'!$BL$1-'Output data - DO NOT TOUCH (2)'!$CG41,0)/1000</f>
        <v>7.7140000000000004</v>
      </c>
      <c r="CN41" s="1">
        <f ca="1">OFFSET('Input data (2)'!AK$126,'Input data (2)'!$BL$1-'Output data - DO NOT TOUCH (2)'!$CG41,0)/1000</f>
        <v>12.131</v>
      </c>
      <c r="CO41" s="1" t="e">
        <f ca="1">OFFSET('Input data (2)'!AL$126,'Input data (2)'!$BL$1-'Output data - DO NOT TOUCH (2)'!$CG41,0)/1000</f>
        <v>#VALUE!</v>
      </c>
      <c r="CP41" s="1"/>
      <c r="CQ41" s="1">
        <f ca="1">OFFSET('Input data (2)'!AG$126,'Input data (2)'!$BL$1-'Output data - DO NOT TOUCH (2)'!$CG41,0)/1000</f>
        <v>1.0780000000000001</v>
      </c>
      <c r="CR41" s="1">
        <f ca="1">OFFSET('Input data (2)'!AH$126,'Input data (2)'!$BL$1-'Output data - DO NOT TOUCH (2)'!$CG41,0)/1000</f>
        <v>2.8759999999999999</v>
      </c>
      <c r="CS41" s="1">
        <f ca="1">OFFSET('Input data (2)'!AI$126,'Input data (2)'!$BL$1-'Output data - DO NOT TOUCH (2)'!$CG41,0)/1000</f>
        <v>3.9540000000000002</v>
      </c>
      <c r="CT41" s="1"/>
      <c r="CU41" s="1">
        <f ca="1">OFFSET('Input data (2)'!L$126,'Input data (2)'!$BL$1-'Output data - DO NOT TOUCH (2)'!$CG41,0)</f>
        <v>277</v>
      </c>
      <c r="CV41" s="1">
        <f ca="1">OFFSET('Input data (2)'!M$126,'Input data (2)'!$BL$1-'Output data - DO NOT TOUCH (2)'!$CG41,0)</f>
        <v>0</v>
      </c>
      <c r="CW41" s="67">
        <f ca="1">OFFSET('Input data (2)'!N$126,'Input data (2)'!$BL$1-'Output data - DO NOT TOUCH (2)'!$CG41,0)</f>
        <v>548</v>
      </c>
      <c r="CX41" s="1">
        <f ca="1">OFFSET('Input data (2)'!P$126,'Input data (2)'!$BL$1-'Output data - DO NOT TOUCH (2)'!$CG41,0)</f>
        <v>161</v>
      </c>
      <c r="CY41" s="1"/>
      <c r="CZ41" s="1">
        <f ca="1">OFFSET('Input data (2)'!AY$126,'Input data (2)'!$BL$1-'Output data - DO NOT TOUCH (2)'!$CG41,0)/1000</f>
        <v>1.861</v>
      </c>
      <c r="DA41" s="1">
        <f ca="1">OFFSET('Input data (2)'!BA$126,'Input data (2)'!$BL$1-'Output data - DO NOT TOUCH (2)'!$CG41,0)/1000</f>
        <v>2.2040000000000002</v>
      </c>
      <c r="DB41" s="1">
        <f ca="1">OFFSET('Input data (2)'!BB$126,'Input data (2)'!$BL$1-'Output data - DO NOT TOUCH (2)'!$CG41,0)/1000</f>
        <v>4.0650000000000004</v>
      </c>
      <c r="DD41" s="1">
        <f ca="1">OFFSET('Input data (2)'!AN$126,'Input data (2)'!$BL$1-'Output data - DO NOT TOUCH (2)'!$CG41,0)</f>
        <v>204</v>
      </c>
      <c r="DE41" s="1">
        <f ca="1">OFFSET('Input data (2)'!AO$126,'Input data (2)'!$BL$1-'Output data - DO NOT TOUCH (2)'!$CG41,0)</f>
        <v>78</v>
      </c>
      <c r="DF41" s="1">
        <f ca="1">OFFSET('Input data (2)'!AP$126,'Input data (2)'!$BL$1-'Output data - DO NOT TOUCH (2)'!$CG41,0)</f>
        <v>282</v>
      </c>
      <c r="DG41" s="1"/>
      <c r="DH41" s="1">
        <f ca="1">OFFSET('Input data (2)'!AU$126,'Input data (2)'!$BL$1-'Output data - DO NOT TOUCH (2)'!$CG41,0)</f>
        <v>5</v>
      </c>
      <c r="DI41" s="1">
        <f ca="1">OFFSET('Input data (2)'!AV$126,'Input data (2)'!$BL$1-'Output data - DO NOT TOUCH (2)'!$CG41,0)</f>
        <v>0</v>
      </c>
      <c r="DJ41" s="1">
        <f ca="1">OFFSET('Input data (2)'!AW$126,'Input data (2)'!$BL$1-'Output data - DO NOT TOUCH (2)'!$CG41,0)</f>
        <v>33</v>
      </c>
      <c r="DK41" s="1">
        <f ca="1">OFFSET('Input data (2)'!AX$126,'Input data (2)'!$BL$1-'Output data - DO NOT TOUCH (2)'!$CG41,0)</f>
        <v>2</v>
      </c>
      <c r="DM41" s="1">
        <f ca="1">OFFSET('Input data (2)'!BI$126,'Input data (2)'!$BL$1-'Output data - DO NOT TOUCH (2)'!$CG41,0)</f>
        <v>307</v>
      </c>
      <c r="DN41" s="1">
        <f ca="1">OFFSET('Input data (2)'!BJ$126,'Input data (2)'!$BL$1-'Output data - DO NOT TOUCH (2)'!$CG41,0)</f>
        <v>393</v>
      </c>
      <c r="DO41" s="1">
        <f ca="1">OFFSET('Input data (2)'!BL$126,'Input data (2)'!$BL$1-'Output data - DO NOT TOUCH (2)'!$CG41,0)</f>
        <v>844</v>
      </c>
      <c r="DQ41" s="1">
        <f ca="1">OFFSET('Input data (2)'!BD$126,'Input data (2)'!$BL$1-'Output data - DO NOT TOUCH (2)'!$CG41,0)</f>
        <v>60</v>
      </c>
      <c r="DR41" s="1">
        <f ca="1">OFFSET('Input data (2)'!BE$126,'Input data (2)'!$BL$1-'Output data - DO NOT TOUCH (2)'!$CG41,0)</f>
        <v>35</v>
      </c>
      <c r="DS41" s="1">
        <f ca="1">OFFSET('Input data (2)'!BF$126,'Input data (2)'!$BL$1-'Output data - DO NOT TOUCH (2)'!$CG41,0)</f>
        <v>95</v>
      </c>
      <c r="DU41" s="1">
        <f ca="1">OFFSET('Input data (2)'!B$126,'Input data (2)'!$BL$1-'Output data - DO NOT TOUCH (2)'!$CG41-1,0)</f>
        <v>2012</v>
      </c>
      <c r="DV41" s="1" t="str">
        <f ca="1">OFFSET('Input data (2)'!C$126,'Input data (2)'!$BL$1-'Output data - DO NOT TOUCH (2)'!$CG41-1,0)</f>
        <v>Q2</v>
      </c>
      <c r="DW41" s="1" t="str">
        <f t="shared" ca="1" si="14"/>
        <v>12</v>
      </c>
      <c r="DX41" s="1" t="str">
        <f t="shared" ca="1" si="15"/>
        <v>Q2 12</v>
      </c>
      <c r="DY41" s="1">
        <f ca="1">OFFSET('Input data (2)'!W$126,'Input data (2)'!$BL$1-'Output data - DO NOT TOUCH (2)'!$CG41-1,0)/1000</f>
        <v>1.9730000000000001</v>
      </c>
      <c r="DZ41" s="1">
        <f ca="1">OFFSET('Input data (2)'!Y$126,'Input data (2)'!$BL$1-'Output data - DO NOT TOUCH (2)'!$CG41-1,0)/1000</f>
        <v>6.12</v>
      </c>
      <c r="EA41" s="1">
        <f ca="1">OFFSET('Input data (2)'!Q$126,'Input data (2)'!$BL$1-'Output data - DO NOT TOUCH (2)'!$CG41-1,0)/1000</f>
        <v>8.093</v>
      </c>
    </row>
    <row r="42" spans="1:131" x14ac:dyDescent="0.15">
      <c r="A42" s="1">
        <v>2</v>
      </c>
      <c r="B42" s="1">
        <v>3</v>
      </c>
      <c r="C42" s="1">
        <v>4</v>
      </c>
      <c r="D42" s="1">
        <v>1</v>
      </c>
      <c r="E42" s="1" t="str">
        <f>F42&amp;G42</f>
        <v>2008Q3</v>
      </c>
      <c r="F42" s="1">
        <f>F37+1</f>
        <v>2008</v>
      </c>
      <c r="G42" s="1" t="s">
        <v>3</v>
      </c>
      <c r="H42" s="1">
        <f>VLOOKUP($E42,'Input data (2)'!$A:$BL,'Output data - DO NOT TOUCH (2)'!H$71,FALSE)</f>
        <v>4059</v>
      </c>
      <c r="I42" s="1">
        <f>VLOOKUP($E42,'Input data (2)'!$A:$BL,'Output data - DO NOT TOUCH (2)'!I$71,FALSE)</f>
        <v>1467</v>
      </c>
      <c r="J42" s="1">
        <f>VLOOKUP($E42,'Input data (2)'!$A:$BL,'Output data - DO NOT TOUCH (2)'!J$71,FALSE)</f>
        <v>2592</v>
      </c>
      <c r="K42" s="1">
        <f>VLOOKUP($E42,'Input data (2)'!$A:$BL,'Output data - DO NOT TOUCH (2)'!K$71,FALSE)</f>
        <v>4152</v>
      </c>
      <c r="L42" s="1">
        <f>VLOOKUP($E42,'Input data (2)'!$A:$BL,'Output data - DO NOT TOUCH (2)'!L$71,FALSE)</f>
        <v>1537</v>
      </c>
      <c r="M42" s="1">
        <f>VLOOKUP($E42,'Input data (2)'!$A:$BL,'Output data - DO NOT TOUCH (2)'!M$71,FALSE)</f>
        <v>2615</v>
      </c>
      <c r="O42" s="119">
        <f ca="1">IF(AND('Input data (2)'!$C$2=4,$D26&gt;=0),OFFSET('Input data (2)'!O$126,'Input data (2)'!$BL$1-$D26,0),IF(AND('Input data (2)'!$C$2=3,$C26&gt;=0),OFFSET('Input data (2)'!O$126,'Input data (2)'!$BL$1-$C26,0),IF(AND('Input data (2)'!$C$2=2,$B26&gt;=0),OFFSET('Input data (2)'!O$126,'Input data (2)'!$BL$1-$B26,0),IF(AND('Input data (2)'!$C$2=1,$A26&gt;=0),OFFSET('Input data (2)'!O$126,'Input data (2)'!$BL$1-$A26,0),""))))</f>
        <v>264</v>
      </c>
      <c r="Q42" s="1">
        <f ca="1">IF(AND('Input data (2)'!$C$2=4,$D26&gt;=0),OFFSET('Input data (2)'!AC$126,'Input data (2)'!$BL$1-$D26,0),IF(AND('Input data (2)'!$C$2=3,$C26&gt;=0),OFFSET('Input data (2)'!AC$126,'Input data (2)'!$BL$1-$C26,0),IF(AND('Input data (2)'!$C$2=2,$B26&gt;=0),OFFSET('Input data (2)'!AC$126,'Input data (2)'!$BL$1-$B26,0),IF(AND('Input data (2)'!$C$2=1,$A26&gt;=0),OFFSET('Input data (2)'!AC$126,'Input data (2)'!$BL$1-$A26,0),""))))</f>
        <v>27488</v>
      </c>
      <c r="R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S42" s="1" t="str">
        <f ca="1">IF(AND('Input data (2)'!$C$2=4,$D26&gt;=0),OFFSET('Input data (2)'!R$126,'Input data (2)'!$BL$1-$D26,0),IF(AND('Input data (2)'!$C$2=3,$C26&gt;=0),OFFSET('Input data (2)'!R$126,'Input data (2)'!$BL$1-$C26,0),IF(AND('Input data (2)'!$C$2=2,$B26&gt;=0),OFFSET('Input data (2)'!R$126,'Input data (2)'!$BL$1-$B26,0),IF(AND('Input data (2)'!$C$2=1,$A26&gt;=0),OFFSET('Input data (2)'!R$126,'Input data (2)'!$BL$1-$A26,0),""))))</f>
        <v>:</v>
      </c>
      <c r="T42" s="1">
        <f ca="1">IF(AND('Input data (2)'!$C$2=4,$D26&gt;=0),OFFSET('Input data (2)'!AA$126,'Input data (2)'!$BL$1-$D26,0),IF(AND('Input data (2)'!$C$2=3,$C26&gt;=0),OFFSET('Input data (2)'!AA$126,'Input data (2)'!$BL$1-$C26,0),IF(AND('Input data (2)'!$C$2=2,$B26&gt;=0),OFFSET('Input data (2)'!AA$126,'Input data (2)'!$BL$1-$B26,0),IF(AND('Input data (2)'!$C$2=1,$A26&gt;=0),OFFSET('Input data (2)'!AA$126,'Input data (2)'!$BL$1-$A26,0),""))))</f>
        <v>10251</v>
      </c>
      <c r="U42" s="1">
        <f ca="1">IF(AND('Input data (2)'!$C$2=4,$D26&gt;=0),OFFSET('Input data (2)'!AL$126,'Input data (2)'!$BL$1-$D26,0),IF(AND('Input data (2)'!$C$2=3,$C26&gt;=0),OFFSET('Input data (2)'!AL$126,'Input data (2)'!$BL$1-$C26,0),IF(AND('Input data (2)'!$C$2=2,$B26&gt;=0),OFFSET('Input data (2)'!AL$126,'Input data (2)'!$BL$1-$B26,0),IF(AND('Input data (2)'!$C$2=1,$A26&gt;=0),OFFSET('Input data (2)'!AL$126,'Input data (2)'!$BL$1-$A26,0),""))))</f>
        <v>27276</v>
      </c>
      <c r="V42" s="1">
        <f ca="1">IF(AND('Input data (2)'!$C$2=4,$D26&gt;=0),OFFSET('Input data (2)'!AJ$126,'Input data (2)'!$BL$1-$D26,0),IF(AND('Input data (2)'!$C$2=3,$C26&gt;=0),OFFSET('Input data (2)'!AJ$126,'Input data (2)'!$BL$1-$C26,0),IF(AND('Input data (2)'!$C$2=2,$B26&gt;=0),OFFSET('Input data (2)'!AJ$126,'Input data (2)'!$BL$1-$B26,0),IF(AND('Input data (2)'!$C$2=1,$A26&gt;=0),OFFSET('Input data (2)'!AJ$126,'Input data (2)'!$BL$1-$A26,0),""))))</f>
        <v>17474</v>
      </c>
      <c r="W42" s="1">
        <f ca="1">IF(AND('Input data (2)'!$C$2=4,$D26&gt;=0),OFFSET('Input data (2)'!AK$126,'Input data (2)'!$BL$1-$D26,0),IF(AND('Input data (2)'!$C$2=3,$C26&gt;=0),OFFSET('Input data (2)'!AK$126,'Input data (2)'!$BL$1-$C26,0),IF(AND('Input data (2)'!$C$2=2,$B26&gt;=0),OFFSET('Input data (2)'!AK$126,'Input data (2)'!$BL$1-$B26,0),IF(AND('Input data (2)'!$C$2=1,$A26&gt;=0),OFFSET('Input data (2)'!AK$126,'Input data (2)'!$BL$1-$A26,0),""))))</f>
        <v>9802</v>
      </c>
      <c r="Y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Z42" s="1">
        <f ca="1">IF(AND('Input data (2)'!$C$2=4,$D26&gt;=0),OFFSET('Input data (2)'!S$126,'Input data (2)'!$BL$1-$D26,0),IF(AND('Input data (2)'!$C$2=3,$C26&gt;=0),OFFSET('Input data (2)'!S$126,'Input data (2)'!$BL$1-$C26,0),IF(AND('Input data (2)'!$C$2=2,$B26&gt;=0),OFFSET('Input data (2)'!S$126,'Input data (2)'!$BL$1-$B26,0),IF(AND('Input data (2)'!$C$2=1,$A26&gt;=0),OFFSET('Input data (2)'!S$126,'Input data (2)'!$BL$1-$A26,0),""))))</f>
        <v>14369</v>
      </c>
      <c r="AA42" s="1">
        <f ca="1">IF(AND('Input data (2)'!$C$2=4,$D26&gt;=0),OFFSET('Input data (2)'!T$126,'Input data (2)'!$BL$1-$D26,0),IF(AND('Input data (2)'!$C$2=3,$C26&gt;=0),OFFSET('Input data (2)'!T$126,'Input data (2)'!$BL$1-$C26,0),IF(AND('Input data (2)'!$C$2=2,$B26&gt;=0),OFFSET('Input data (2)'!T$126,'Input data (2)'!$BL$1-$B26,0),IF(AND('Input data (2)'!$C$2=1,$A26&gt;=0),OFFSET('Input data (2)'!T$126,'Input data (2)'!$BL$1-$A26,0),""))))</f>
        <v>83.361373788942387</v>
      </c>
      <c r="AB42" s="1">
        <f ca="1">IF(AND('Input data (2)'!$C$2=4,$D26&gt;=0),OFFSET('Input data (2)'!U$126,'Input data (2)'!$BL$1-$D26,0),IF(AND('Input data (2)'!$C$2=3,$C26&gt;=0),OFFSET('Input data (2)'!U$126,'Input data (2)'!$BL$1-$C26,0),IF(AND('Input data (2)'!$C$2=2,$B26&gt;=0),OFFSET('Input data (2)'!U$126,'Input data (2)'!$BL$1-$B26,0),IF(AND('Input data (2)'!$C$2=1,$A26&gt;=0),OFFSET('Input data (2)'!U$126,'Input data (2)'!$BL$1-$A26,0),""))))</f>
        <v>2868</v>
      </c>
      <c r="AC42" s="1">
        <f ca="1">IF(AND('Input data (2)'!$C$2=4,$D26&gt;=0),OFFSET('Input data (2)'!V$126,'Input data (2)'!$BL$1-$D26,0),IF(AND('Input data (2)'!$C$2=3,$C26&gt;=0),OFFSET('Input data (2)'!V$126,'Input data (2)'!$BL$1-$C26,0),IF(AND('Input data (2)'!$C$2=2,$B26&gt;=0),OFFSET('Input data (2)'!V$126,'Input data (2)'!$BL$1-$B26,0),IF(AND('Input data (2)'!$C$2=1,$A26&gt;=0),OFFSET('Input data (2)'!V$126,'Input data (2)'!$BL$1-$A26,0),""))))</f>
        <v>16.638626211057609</v>
      </c>
      <c r="AD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AE42" s="1">
        <f ca="1">IF(AND('Input data (2)'!$C$2=4,$D26&gt;=0),OFFSET('Input data (2)'!W$126,'Input data (2)'!$BL$1-$D26,0),IF(AND('Input data (2)'!$C$2=3,$C26&gt;=0),OFFSET('Input data (2)'!W$126,'Input data (2)'!$BL$1-$C26,0),IF(AND('Input data (2)'!$C$2=2,$B26&gt;=0),OFFSET('Input data (2)'!W$126,'Input data (2)'!$BL$1-$B26,0),IF(AND('Input data (2)'!$C$2=1,$A26&gt;=0),OFFSET('Input data (2)'!W$126,'Input data (2)'!$BL$1-$A26,0),""))))</f>
        <v>2115</v>
      </c>
      <c r="AF42" s="1">
        <f ca="1">IF(AND('Input data (2)'!$C$2=4,$D26&gt;=0),OFFSET('Input data (2)'!X$126,'Input data (2)'!$BL$1-$D26,0),IF(AND('Input data (2)'!$C$2=3,$C26&gt;=0),OFFSET('Input data (2)'!X$126,'Input data (2)'!$BL$1-$C26,0),IF(AND('Input data (2)'!$C$2=2,$B26&gt;=0),OFFSET('Input data (2)'!X$126,'Input data (2)'!$BL$1-$B26,0),IF(AND('Input data (2)'!$C$2=1,$A26&gt;=0),OFFSET('Input data (2)'!X$126,'Input data (2)'!$BL$1-$A26,0),""))))</f>
        <v>12.270116609618844</v>
      </c>
      <c r="AG42" s="1">
        <f ca="1">IF(AND('Input data (2)'!$C$2=4,$D26&gt;=0),OFFSET('Input data (2)'!Y$126,'Input data (2)'!$BL$1-$D26,0),IF(AND('Input data (2)'!$C$2=3,$C26&gt;=0),OFFSET('Input data (2)'!Y$126,'Input data (2)'!$BL$1-$C26,0),IF(AND('Input data (2)'!$C$2=2,$B26&gt;=0),OFFSET('Input data (2)'!Y$126,'Input data (2)'!$BL$1-$B26,0),IF(AND('Input data (2)'!$C$2=1,$A26&gt;=0),OFFSET('Input data (2)'!Y$126,'Input data (2)'!$BL$1-$A26,0),""))))</f>
        <v>15122</v>
      </c>
      <c r="AH42" s="1">
        <f ca="1">IF(AND('Input data (2)'!$C$2=4,$D26&gt;=0),OFFSET('Input data (2)'!Z$126,'Input data (2)'!$BL$1-$D26,0),IF(AND('Input data (2)'!$C$2=3,$C26&gt;=0),OFFSET('Input data (2)'!Z$126,'Input data (2)'!$BL$1-$C26,0),IF(AND('Input data (2)'!$C$2=2,$B26&gt;=0),OFFSET('Input data (2)'!Z$126,'Input data (2)'!$BL$1-$B26,0),IF(AND('Input data (2)'!$C$2=1,$A26&gt;=0),OFFSET('Input data (2)'!Z$126,'Input data (2)'!$BL$1-$A26,0),""))))</f>
        <v>87.729883390381161</v>
      </c>
      <c r="AI42" s="3"/>
      <c r="AJ42" s="124">
        <f ca="1">IF(AND('Input data (2)'!$C$2=4,$D26&gt;=0),OFFSET('Input data (2)'!AF$126,'Input data (2)'!$BL$1-$D26,0),IF(AND('Input data (2)'!$C$2=3,$C26&gt;=0),OFFSET('Input data (2)'!AF$126,'Input data (2)'!$BL$1-$C26,0),IF(AND('Input data (2)'!$C$2=2,$B26&gt;=0),OFFSET('Input data (2)'!AF$126,'Input data (2)'!$BL$1-$B26,0),IF(AND('Input data (2)'!$C$2=1,$A26&gt;=0),OFFSET('Input data (2)'!AF$126,'Input data (2)'!$BL$1-$A26,0),""))))</f>
        <v>3923</v>
      </c>
      <c r="AK42" s="124">
        <f ca="1">IF(AND('Input data (2)'!$C$2=4,$D26&gt;=0),OFFSET('Input data (2)'!AD$126,'Input data (2)'!$BL$1-$D26,0),IF(AND('Input data (2)'!$C$2=3,$C26&gt;=0),OFFSET('Input data (2)'!AD$126,'Input data (2)'!$BL$1-$C26,0),IF(AND('Input data (2)'!$C$2=2,$B26&gt;=0),OFFSET('Input data (2)'!AD$126,'Input data (2)'!$BL$1-$B26,0),IF(AND('Input data (2)'!$C$2=1,$A26&gt;=0),OFFSET('Input data (2)'!AD$126,'Input data (2)'!$BL$1-$A26,0),""))))</f>
        <v>15</v>
      </c>
      <c r="AL42" s="124">
        <f ca="1">IF(AND('Input data (2)'!$C$2=4,$D26&gt;=0),OFFSET('Input data (2)'!AE$126,'Input data (2)'!$BL$1-$D26,0),IF(AND('Input data (2)'!$C$2=3,$C26&gt;=0),OFFSET('Input data (2)'!AE$126,'Input data (2)'!$BL$1-$C26,0),IF(AND('Input data (2)'!$C$2=2,$B26&gt;=0),OFFSET('Input data (2)'!AE$126,'Input data (2)'!$BL$1-$B26,0),IF(AND('Input data (2)'!$C$2=1,$A26&gt;=0),OFFSET('Input data (2)'!AE$126,'Input data (2)'!$BL$1-$A26,0),""))))</f>
        <v>3908</v>
      </c>
      <c r="AW42" s="1">
        <f ca="1">IF(AND('Input data (2)'!$C$2=4,$D26&gt;=0),OFFSET('Input data (2)'!L$126,'Input data (2)'!$BL$1-$D26,0),IF(AND('Input data (2)'!$C$2=3,$C26&gt;=0),OFFSET('Input data (2)'!L$126,'Input data (2)'!$BL$1-$C26,0),IF(AND('Input data (2)'!$C$2=2,$B26&gt;=0),OFFSET('Input data (2)'!L$126,'Input data (2)'!$BL$1-$B26,0),IF(AND('Input data (2)'!$C$2=1,$A26&gt;=0),OFFSET('Input data (2)'!L$126,'Input data (2)'!$BL$1-$A26,0),""))))</f>
        <v>270</v>
      </c>
      <c r="AX42" s="1">
        <f ca="1">IF(AND('Input data (2)'!$C$2=4,$D26&gt;=0),OFFSET('Input data (2)'!M$126,'Input data (2)'!$BL$1-$D26,0),IF(AND('Input data (2)'!$C$2=3,$C26&gt;=0),OFFSET('Input data (2)'!M$126,'Input data (2)'!$BL$1-$C26,0),IF(AND('Input data (2)'!$C$2=2,$B26&gt;=0),OFFSET('Input data (2)'!M$126,'Input data (2)'!$BL$1-$B26,0),IF(AND('Input data (2)'!$C$2=1,$A26&gt;=0),OFFSET('Input data (2)'!M$126,'Input data (2)'!$BL$1-$A26,0),""))))</f>
        <v>1</v>
      </c>
      <c r="AY42" s="1">
        <f ca="1">IF(AND('Input data (2)'!$C$2=4,$D26&gt;=0),OFFSET('Input data (2)'!N$126,'Input data (2)'!$BL$1-$D26,0),IF(AND('Input data (2)'!$C$2=3,$C26&gt;=0),OFFSET('Input data (2)'!N$126,'Input data (2)'!$BL$1-$C26,0),IF(AND('Input data (2)'!$C$2=2,$B26&gt;=0),OFFSET('Input data (2)'!N$126,'Input data (2)'!$BL$1-$B26,0),IF(AND('Input data (2)'!$C$2=1,$A26&gt;=0),OFFSET('Input data (2)'!N$126,'Input data (2)'!$BL$1-$A26,0),""))))</f>
        <v>1006</v>
      </c>
      <c r="AZ42" s="1">
        <f ca="1">IF(AND('Input data (2)'!$C$2=4,$D26&gt;=0),OFFSET('Input data (2)'!P$126,'Input data (2)'!$BL$1-$D26,0),IF(AND('Input data (2)'!$C$2=3,$C26&gt;=0),OFFSET('Input data (2)'!P$126,'Input data (2)'!$BL$1-$C26,0),IF(AND('Input data (2)'!$C$2=2,$B26&gt;=0),OFFSET('Input data (2)'!P$126,'Input data (2)'!$BL$1-$B26,0),IF(AND('Input data (2)'!$C$2=1,$A26&gt;=0),OFFSET('Input data (2)'!P$126,'Input data (2)'!$BL$1-$A26,0),""))))</f>
        <v>167</v>
      </c>
      <c r="BB42" s="1">
        <f ca="1">IF(AND('Input data (2)'!$C$2=4,$D26&gt;=0),OFFSET('Input data (2)'!BB$126,'Input data (2)'!$BL$1-$D26,0),IF(AND('Input data (2)'!$C$2=3,$C26&gt;=0),OFFSET('Input data (2)'!BB$126,'Input data (2)'!$BL$1-$C26,0),IF(AND('Input data (2)'!$C$2=2,$B26&gt;=0),OFFSET('Input data (2)'!BB$126,'Input data (2)'!$BL$1-$B26,0),IF(AND('Input data (2)'!$C$2=1,$A26&gt;=0),OFFSET('Input data (2)'!BB$126,'Input data (2)'!$BL$1-$A26,0),""))))</f>
        <v>6020</v>
      </c>
      <c r="BC42" s="1">
        <f ca="1">IF(AND('Input data (2)'!$C$2=4,$D26&gt;=0),OFFSET('Input data (2)'!AY$126,'Input data (2)'!$BL$1-$D26,0),IF(AND('Input data (2)'!$C$2=3,$C26&gt;=0),OFFSET('Input data (2)'!AY$126,'Input data (2)'!$BL$1-$C26,0),IF(AND('Input data (2)'!$C$2=2,$B26&gt;=0),OFFSET('Input data (2)'!AY$126,'Input data (2)'!$BL$1-$B26,0),IF(AND('Input data (2)'!$C$2=1,$A26&gt;=0),OFFSET('Input data (2)'!AY$126,'Input data (2)'!$BL$1-$A26,0),""))))</f>
        <v>4077</v>
      </c>
      <c r="BD42" s="1">
        <f ca="1">IF(AND('Input data (2)'!$C$2=4,$D26&gt;=0),OFFSET('Input data (2)'!AZ$126,'Input data (2)'!$BL$1-$D26,0),IF(AND('Input data (2)'!$C$2=3,$C26&gt;=0),OFFSET('Input data (2)'!AZ$126,'Input data (2)'!$BL$1-$C26,0),IF(AND('Input data (2)'!$C$2=2,$B26&gt;=0),OFFSET('Input data (2)'!AZ$126,'Input data (2)'!$BL$1-$B26,0),IF(AND('Input data (2)'!$C$2=1,$A26&gt;=0),OFFSET('Input data (2)'!AZ$126,'Input data (2)'!$BL$1-$A26,0),""))))</f>
        <v>2773</v>
      </c>
      <c r="BE42" s="1">
        <f ca="1">IF(AND('Input data (2)'!$C$2=4,$D26&gt;=0),OFFSET('Input data (2)'!BA$126,'Input data (2)'!$BL$1-$D26,0),IF(AND('Input data (2)'!$C$2=3,$C26&gt;=0),OFFSET('Input data (2)'!BA$126,'Input data (2)'!$BL$1-$C26,0),IF(AND('Input data (2)'!$C$2=2,$B26&gt;=0),OFFSET('Input data (2)'!BA$126,'Input data (2)'!$BL$1-$B26,0),IF(AND('Input data (2)'!$C$2=1,$A26&gt;=0),OFFSET('Input data (2)'!BA$126,'Input data (2)'!$BL$1-$A26,0),""))))</f>
        <v>1943</v>
      </c>
      <c r="BF42" s="1">
        <f ca="1">IF(AND('Input data (2)'!$C$2=4,$D26&gt;=0),OFFSET('Input data (2)'!AP$126,'Input data (2)'!$BL$1-$D26,0),IF(AND('Input data (2)'!$C$2=3,$C26&gt;=0),OFFSET('Input data (2)'!AP$126,'Input data (2)'!$BL$1-$C26,0),IF(AND('Input data (2)'!$C$2=2,$B26&gt;=0),OFFSET('Input data (2)'!AP$126,'Input data (2)'!$BL$1-$B26,0),IF(AND('Input data (2)'!$C$2=1,$A26&gt;=0),OFFSET('Input data (2)'!AP$126,'Input data (2)'!$BL$1-$A26,0),""))))</f>
        <v>127</v>
      </c>
      <c r="BG42" s="1">
        <f ca="1">IF(AND('Input data (2)'!$C$2=4,$D26&gt;=0),OFFSET('Input data (2)'!AN$126,'Input data (2)'!$BL$1-$D26,0),IF(AND('Input data (2)'!$C$2=3,$C26&gt;=0),OFFSET('Input data (2)'!AN$126,'Input data (2)'!$BL$1-$C26,0),IF(AND('Input data (2)'!$C$2=2,$B26&gt;=0),OFFSET('Input data (2)'!AN$126,'Input data (2)'!$BL$1-$B26,0),IF(AND('Input data (2)'!$C$2=1,$A26&gt;=0),OFFSET('Input data (2)'!AN$126,'Input data (2)'!$BL$1-$A26,0),""))))</f>
        <v>111</v>
      </c>
      <c r="BH42" s="1">
        <f ca="1">IF(AND('Input data (2)'!$C$2=4,$D26&gt;=0),OFFSET('Input data (2)'!AO$126,'Input data (2)'!$BL$1-$D26,0),IF(AND('Input data (2)'!$C$2=3,$C26&gt;=0),OFFSET('Input data (2)'!AO$126,'Input data (2)'!$BL$1-$C26,0),IF(AND('Input data (2)'!$C$2=2,$B26&gt;=0),OFFSET('Input data (2)'!AO$126,'Input data (2)'!$BL$1-$B26,0),IF(AND('Input data (2)'!$C$2=1,$A26&gt;=0),OFFSET('Input data (2)'!AO$126,'Input data (2)'!$BL$1-$A26,0),""))))</f>
        <v>16</v>
      </c>
      <c r="BJ42" s="1">
        <f ca="1">IF(AND('Input data (2)'!$C$2=4,$D26&gt;=0),OFFSET('Input data (2)'!AU$126,'Input data (2)'!$BL$1-$D26,0),IF(AND('Input data (2)'!$C$2=3,$C26&gt;=0),OFFSET('Input data (2)'!AU$126,'Input data (2)'!$BL$1-$C26,0),IF(AND('Input data (2)'!$C$2=2,$B26&gt;=0),OFFSET('Input data (2)'!AU$126,'Input data (2)'!$BL$1-$B26,0),IF(AND('Input data (2)'!$C$2=1,$A26&gt;=0),OFFSET('Input data (2)'!AU$126,'Input data (2)'!$BL$1-$A26,0),""))))</f>
        <v>43</v>
      </c>
      <c r="BK42" s="1">
        <f ca="1">IF(AND('Input data (2)'!$C$2=4,$D26&gt;=0),OFFSET('Input data (2)'!AV$126,'Input data (2)'!$BL$1-$D26,0),IF(AND('Input data (2)'!$C$2=3,$C26&gt;=0),OFFSET('Input data (2)'!AV$126,'Input data (2)'!$BL$1-$C26,0),IF(AND('Input data (2)'!$C$2=2,$B26&gt;=0),OFFSET('Input data (2)'!AV$126,'Input data (2)'!$BL$1-$B26,0),IF(AND('Input data (2)'!$C$2=1,$A26&gt;=0),OFFSET('Input data (2)'!AV$126,'Input data (2)'!$BL$1-$A26,0),""))))</f>
        <v>0</v>
      </c>
      <c r="BL42" s="1">
        <f ca="1">IF(AND('Input data (2)'!$C$2=4,$D26&gt;=0),OFFSET('Input data (2)'!AW$126,'Input data (2)'!$BL$1-$D26,0),IF(AND('Input data (2)'!$C$2=3,$C26&gt;=0),OFFSET('Input data (2)'!AW$126,'Input data (2)'!$BL$1-$C26,0),IF(AND('Input data (2)'!$C$2=2,$B26&gt;=0),OFFSET('Input data (2)'!AW$126,'Input data (2)'!$BL$1-$B26,0),IF(AND('Input data (2)'!$C$2=1,$A26&gt;=0),OFFSET('Input data (2)'!AW$126,'Input data (2)'!$BL$1-$A26,0),""))))</f>
        <v>21</v>
      </c>
      <c r="BM42" s="1">
        <f ca="1">IF(AND('Input data (2)'!$C$2=4,$D26&gt;=0),OFFSET('Input data (2)'!AX$126,'Input data (2)'!$BL$1-$D26,0),IF(AND('Input data (2)'!$C$2=3,$C26&gt;=0),OFFSET('Input data (2)'!AX$126,'Input data (2)'!$BL$1-$C26,0),IF(AND('Input data (2)'!$C$2=2,$B26&gt;=0),OFFSET('Input data (2)'!AX$126,'Input data (2)'!$BL$1-$B26,0),IF(AND('Input data (2)'!$C$2=1,$A26&gt;=0),OFFSET('Input data (2)'!AX$126,'Input data (2)'!$BL$1-$A26,0),""))))</f>
        <v>0</v>
      </c>
      <c r="BO42" s="1">
        <f ca="1">IF(AND('Input data (2)'!$C$2=4,$D26&gt;=0),OFFSET('Input data (2)'!BL$126,'Input data (2)'!$BL$1-$D26,0),IF(AND('Input data (2)'!$C$2=3,$C26&gt;=0),OFFSET('Input data (2)'!BL$126,'Input data (2)'!$BL$1-$C26,0),IF(AND('Input data (2)'!$C$2=2,$B26&gt;=0),OFFSET('Input data (2)'!BL$126,'Input data (2)'!$BL$1-$B26,0),IF(AND('Input data (2)'!$C$2=1,$A26&gt;=0),OFFSET('Input data (2)'!BL$126,'Input data (2)'!$BL$1-$A26,0),""))))</f>
        <v>386</v>
      </c>
      <c r="BP42" s="1">
        <f ca="1">IF(AND('Input data (2)'!$C$2=4,$D26&gt;=0),OFFSET('Input data (2)'!BI$126,'Input data (2)'!$BL$1-$D26,0),IF(AND('Input data (2)'!$C$2=3,$C26&gt;=0),OFFSET('Input data (2)'!BI$126,'Input data (2)'!$BL$1-$C26,0),IF(AND('Input data (2)'!$C$2=2,$B26&gt;=0),OFFSET('Input data (2)'!BI$126,'Input data (2)'!$BL$1-$B26,0),IF(AND('Input data (2)'!$C$2=1,$A26&gt;=0),OFFSET('Input data (2)'!BI$126,'Input data (2)'!$BL$1-$A26,0),""))))</f>
        <v>229</v>
      </c>
      <c r="BQ42" s="1" t="str">
        <f ca="1">IF(AND('Input data (2)'!$C$2=4,$D26&gt;=0),OFFSET('Input data (2)'!BK$126,'Input data (2)'!$BL$1-$D26,0),IF(AND('Input data (2)'!$C$2=3,$C26&gt;=0),OFFSET('Input data (2)'!BK$126,'Input data (2)'!$BL$1-$C26,0),IF(AND('Input data (2)'!$C$2=2,$B26&gt;=0),OFFSET('Input data (2)'!BK$126,'Input data (2)'!$BL$1-$B26,0),IF(AND('Input data (2)'!$C$2=1,$A26&gt;=0),OFFSET('Input data (2)'!BK$126,'Input data (2)'!$BL$1-$A26,0),""))))</f>
        <v>..</v>
      </c>
      <c r="BR42" s="1">
        <f ca="1">IF(AND('Input data (2)'!$C$2=4,$D26&gt;=0),OFFSET('Input data (2)'!BJ$126,'Input data (2)'!$BL$1-$D26,0),IF(AND('Input data (2)'!$C$2=3,$C26&gt;=0),OFFSET('Input data (2)'!BJ$126,'Input data (2)'!$BL$1-$C26,0),IF(AND('Input data (2)'!$C$2=2,$B26&gt;=0),OFFSET('Input data (2)'!BJ$126,'Input data (2)'!$BL$1-$B26,0),IF(AND('Input data (2)'!$C$2=1,$A26&gt;=0),OFFSET('Input data (2)'!BJ$126,'Input data (2)'!$BL$1-$A26,0),""))))</f>
        <v>157</v>
      </c>
      <c r="BS42" s="1">
        <f ca="1">IF(AND('Input data (2)'!$C$2=4,$D26&gt;=0),OFFSET('Input data (2)'!BF$126,'Input data (2)'!$BL$1-$D26,0),IF(AND('Input data (2)'!$C$2=3,$C26&gt;=0),OFFSET('Input data (2)'!BF$126,'Input data (2)'!$BL$1-$C26,0),IF(AND('Input data (2)'!$C$2=2,$B26&gt;=0),OFFSET('Input data (2)'!BF$126,'Input data (2)'!$BL$1-$B26,0),IF(AND('Input data (2)'!$C$2=1,$A26&gt;=0),OFFSET('Input data (2)'!BF$126,'Input data (2)'!$BL$1-$A26,0),""))))</f>
        <v>44</v>
      </c>
      <c r="BT42" s="1">
        <f ca="1">IF(AND('Input data (2)'!$C$2=4,$D26&gt;=0),OFFSET('Input data (2)'!BD$126,'Input data (2)'!$BL$1-$D26,0),IF(AND('Input data (2)'!$C$2=3,$C26&gt;=0),OFFSET('Input data (2)'!BD$126,'Input data (2)'!$BL$1-$C26,0),IF(AND('Input data (2)'!$C$2=2,$B26&gt;=0),OFFSET('Input data (2)'!BD$126,'Input data (2)'!$BL$1-$B26,0),IF(AND('Input data (2)'!$C$2=1,$A26&gt;=0),OFFSET('Input data (2)'!BD$126,'Input data (2)'!$BL$1-$A26,0),""))))</f>
        <v>27</v>
      </c>
      <c r="BU42" s="1">
        <f ca="1">IF(AND('Input data (2)'!$C$2=4,$D26&gt;=0),OFFSET('Input data (2)'!BE$126,'Input data (2)'!$BL$1-$D26,0),IF(AND('Input data (2)'!$C$2=3,$C26&gt;=0),OFFSET('Input data (2)'!BE$126,'Input data (2)'!$BL$1-$C26,0),IF(AND('Input data (2)'!$C$2=2,$B26&gt;=0),OFFSET('Input data (2)'!BE$126,'Input data (2)'!$BL$1-$B26,0),IF(AND('Input data (2)'!$C$2=1,$A26&gt;=0),OFFSET('Input data (2)'!BE$126,'Input data (2)'!$BL$1-$A26,0),""))))</f>
        <v>17</v>
      </c>
      <c r="BW42" s="7">
        <f ca="1">IF(AND('Input data (2)'!$C$2=4,$D26&gt;=0),OFFSET('Input data (2)'!J$126,'Input data (2)'!$BL$1-$D26,0),IF(AND('Input data (2)'!$C$2=3,$C26&gt;=0),OFFSET('Input data (2)'!J$126,'Input data (2)'!$BL$1-$C26,0),IF(AND('Input data (2)'!$C$2=2,$B26&gt;=0),OFFSET('Input data (2)'!J$126,'Input data (2)'!$BL$1-$B26,0),IF(AND('Input data (2)'!$C$2=1,$A26&gt;=0),OFFSET('Input data (2)'!J$126,'Input data (2)'!$BL$1-$A26,0),""))))</f>
        <v>0.64941834511360541</v>
      </c>
      <c r="BX42" s="7">
        <f ca="1">IF(AND('Input data (2)'!$C$2=4,$D26&gt;=0),OFFSET('Input data (2)'!K$126,'Input data (2)'!$BL$1-$D26,0),IF(AND('Input data (2)'!$C$2=3,$C26&gt;=0),OFFSET('Input data (2)'!K$126,'Input data (2)'!$BL$1-$C26,0),IF(AND('Input data (2)'!$C$2=2,$B26&gt;=0),OFFSET('Input data (2)'!K$126,'Input data (2)'!$BL$1-$B26,0),IF(AND('Input data (2)'!$C$2=1,$A26&gt;=0),OFFSET('Input data (2)'!K$126,'Input data (2)'!$BL$1-$A26,0),""))))</f>
        <v>0.58854149120510735</v>
      </c>
      <c r="BY42" s="7">
        <f ca="1">IF(AND('Input data (2)'!$C$2=4,$D26&gt;=0),OFFSET('Input data (2)'!AS$126,'Input data (2)'!$BL$1-$D26,0),IF(AND('Input data (2)'!$C$2=3,$C26&gt;=0),OFFSET('Input data (2)'!AS$126,'Input data (2)'!$BL$1-$C26,0),IF(AND('Input data (2)'!$C$2=2,$B26&gt;=0),OFFSET('Input data (2)'!AS$126,'Input data (2)'!$BL$1-$B26,0),IF(AND('Input data (2)'!$C$2=1,$A26&gt;=0),OFFSET('Input data (2)'!AS$126,'Input data (2)'!$BL$1-$A26,0),""))))</f>
        <v>0.34108084473843747</v>
      </c>
      <c r="BZ42" s="7">
        <f ca="1">IF(AND('Input data (2)'!$C$2=4,$D26&gt;=0),OFFSET('Input data (2)'!AT$126,'Input data (2)'!$BL$1-$D26,0),IF(AND('Input data (2)'!$C$2=3,$C26&gt;=0),OFFSET('Input data (2)'!AT$126,'Input data (2)'!$BL$1-$C26,0),IF(AND('Input data (2)'!$C$2=2,$B26&gt;=0),OFFSET('Input data (2)'!AT$126,'Input data (2)'!$BL$1-$B26,0),IF(AND('Input data (2)'!$C$2=1,$A26&gt;=0),OFFSET('Input data (2)'!AT$126,'Input data (2)'!$BL$1-$A26,0),""))))</f>
        <v>0.31111300560972721</v>
      </c>
      <c r="CB42" s="122"/>
      <c r="CC42" s="122"/>
      <c r="CD42" s="122"/>
      <c r="CE42" s="122"/>
      <c r="CG42" s="1">
        <v>2</v>
      </c>
      <c r="CI42" s="1">
        <f t="shared" ca="1" si="24"/>
        <v>2012</v>
      </c>
      <c r="CJ42" s="1" t="str">
        <f t="shared" si="25"/>
        <v>Q4</v>
      </c>
      <c r="CK42" s="1" t="str">
        <f t="shared" ca="1" si="12"/>
        <v>12</v>
      </c>
      <c r="CL42" s="1" t="str">
        <f t="shared" ca="1" si="13"/>
        <v>Q4 12</v>
      </c>
      <c r="CM42" s="1">
        <f ca="1">OFFSET('Input data (2)'!AJ$126,'Input data (2)'!$BL$1-'Output data - DO NOT TOUCH (2)'!$CG42,0)/1000</f>
        <v>7.274</v>
      </c>
      <c r="CN42" s="1">
        <f ca="1">OFFSET('Input data (2)'!AK$126,'Input data (2)'!$BL$1-'Output data - DO NOT TOUCH (2)'!$CG42,0)/1000</f>
        <v>10.798</v>
      </c>
      <c r="CO42" s="1" t="e">
        <f ca="1">OFFSET('Input data (2)'!AL$126,'Input data (2)'!$BL$1-'Output data - DO NOT TOUCH (2)'!$CG42,0)/1000</f>
        <v>#VALUE!</v>
      </c>
      <c r="CP42" s="1"/>
      <c r="CQ42" s="1">
        <f ca="1">OFFSET('Input data (2)'!AG$126,'Input data (2)'!$BL$1-'Output data - DO NOT TOUCH (2)'!$CG42,0)/1000</f>
        <v>0.93300000000000005</v>
      </c>
      <c r="CR42" s="1">
        <f ca="1">OFFSET('Input data (2)'!AH$126,'Input data (2)'!$BL$1-'Output data - DO NOT TOUCH (2)'!$CG42,0)/1000</f>
        <v>2.89</v>
      </c>
      <c r="CS42" s="1">
        <f ca="1">OFFSET('Input data (2)'!AI$126,'Input data (2)'!$BL$1-'Output data - DO NOT TOUCH (2)'!$CG42,0)/1000</f>
        <v>3.823</v>
      </c>
      <c r="CT42" s="1"/>
      <c r="CU42" s="1">
        <f ca="1">OFFSET('Input data (2)'!L$126,'Input data (2)'!$BL$1-'Output data - DO NOT TOUCH (2)'!$CG42,0)</f>
        <v>276</v>
      </c>
      <c r="CV42" s="1">
        <f ca="1">OFFSET('Input data (2)'!M$126,'Input data (2)'!$BL$1-'Output data - DO NOT TOUCH (2)'!$CG42,0)</f>
        <v>0</v>
      </c>
      <c r="CW42" s="67">
        <f ca="1">OFFSET('Input data (2)'!N$126,'Input data (2)'!$BL$1-'Output data - DO NOT TOUCH (2)'!$CG42,0)</f>
        <v>580</v>
      </c>
      <c r="CX42" s="1">
        <f ca="1">OFFSET('Input data (2)'!P$126,'Input data (2)'!$BL$1-'Output data - DO NOT TOUCH (2)'!$CG42,0)</f>
        <v>151</v>
      </c>
      <c r="CY42" s="1"/>
      <c r="CZ42" s="1">
        <f ca="1">OFFSET('Input data (2)'!AY$126,'Input data (2)'!$BL$1-'Output data - DO NOT TOUCH (2)'!$CG42,0)/1000</f>
        <v>1.833</v>
      </c>
      <c r="DA42" s="1">
        <f ca="1">OFFSET('Input data (2)'!BA$126,'Input data (2)'!$BL$1-'Output data - DO NOT TOUCH (2)'!$CG42,0)/1000</f>
        <v>2.0299999999999998</v>
      </c>
      <c r="DB42" s="1">
        <f ca="1">OFFSET('Input data (2)'!BB$126,'Input data (2)'!$BL$1-'Output data - DO NOT TOUCH (2)'!$CG42,0)/1000</f>
        <v>3.863</v>
      </c>
      <c r="DD42" s="1">
        <f ca="1">OFFSET('Input data (2)'!AN$126,'Input data (2)'!$BL$1-'Output data - DO NOT TOUCH (2)'!$CG42,0)</f>
        <v>98</v>
      </c>
      <c r="DE42" s="1">
        <f ca="1">OFFSET('Input data (2)'!AO$126,'Input data (2)'!$BL$1-'Output data - DO NOT TOUCH (2)'!$CG42,0)</f>
        <v>71</v>
      </c>
      <c r="DF42" s="1">
        <f ca="1">OFFSET('Input data (2)'!AP$126,'Input data (2)'!$BL$1-'Output data - DO NOT TOUCH (2)'!$CG42,0)</f>
        <v>169</v>
      </c>
      <c r="DG42" s="1"/>
      <c r="DH42" s="1">
        <f ca="1">OFFSET('Input data (2)'!AU$126,'Input data (2)'!$BL$1-'Output data - DO NOT TOUCH (2)'!$CG42,0)</f>
        <v>8</v>
      </c>
      <c r="DI42" s="1">
        <f ca="1">OFFSET('Input data (2)'!AV$126,'Input data (2)'!$BL$1-'Output data - DO NOT TOUCH (2)'!$CG42,0)</f>
        <v>0</v>
      </c>
      <c r="DJ42" s="1">
        <f ca="1">OFFSET('Input data (2)'!AW$126,'Input data (2)'!$BL$1-'Output data - DO NOT TOUCH (2)'!$CG42,0)</f>
        <v>44</v>
      </c>
      <c r="DK42" s="1">
        <f ca="1">OFFSET('Input data (2)'!AX$126,'Input data (2)'!$BL$1-'Output data - DO NOT TOUCH (2)'!$CG42,0)</f>
        <v>4</v>
      </c>
      <c r="DM42" s="1">
        <f ca="1">OFFSET('Input data (2)'!BI$126,'Input data (2)'!$BL$1-'Output data - DO NOT TOUCH (2)'!$CG42,0)</f>
        <v>359</v>
      </c>
      <c r="DN42" s="1">
        <f ca="1">OFFSET('Input data (2)'!BJ$126,'Input data (2)'!$BL$1-'Output data - DO NOT TOUCH (2)'!$CG42,0)</f>
        <v>280</v>
      </c>
      <c r="DO42" s="1">
        <f ca="1">OFFSET('Input data (2)'!BL$126,'Input data (2)'!$BL$1-'Output data - DO NOT TOUCH (2)'!$CG42,0)</f>
        <v>756</v>
      </c>
      <c r="DQ42" s="1">
        <f ca="1">OFFSET('Input data (2)'!BD$126,'Input data (2)'!$BL$1-'Output data - DO NOT TOUCH (2)'!$CG42,0)</f>
        <v>48</v>
      </c>
      <c r="DR42" s="1">
        <f ca="1">OFFSET('Input data (2)'!BE$126,'Input data (2)'!$BL$1-'Output data - DO NOT TOUCH (2)'!$CG42,0)</f>
        <v>38</v>
      </c>
      <c r="DS42" s="1">
        <f ca="1">OFFSET('Input data (2)'!BF$126,'Input data (2)'!$BL$1-'Output data - DO NOT TOUCH (2)'!$CG42,0)</f>
        <v>86</v>
      </c>
      <c r="DU42" s="1">
        <f ca="1">OFFSET('Input data (2)'!B$126,'Input data (2)'!$BL$1-'Output data - DO NOT TOUCH (2)'!$CG42-1,0)</f>
        <v>2012</v>
      </c>
      <c r="DV42" s="1" t="str">
        <f ca="1">OFFSET('Input data (2)'!C$126,'Input data (2)'!$BL$1-'Output data - DO NOT TOUCH (2)'!$CG42-1,0)</f>
        <v>Q3</v>
      </c>
      <c r="DW42" s="1" t="str">
        <f t="shared" ca="1" si="14"/>
        <v>12</v>
      </c>
      <c r="DX42" s="1" t="str">
        <f t="shared" ca="1" si="15"/>
        <v>Q3 12</v>
      </c>
      <c r="DY42" s="1">
        <f ca="1">OFFSET('Input data (2)'!W$126,'Input data (2)'!$BL$1-'Output data - DO NOT TOUCH (2)'!$CG42-1,0)/1000</f>
        <v>1.827</v>
      </c>
      <c r="DZ42" s="1">
        <f ca="1">OFFSET('Input data (2)'!Y$126,'Input data (2)'!$BL$1-'Output data - DO NOT TOUCH (2)'!$CG42-1,0)/1000</f>
        <v>5.8150000000000004</v>
      </c>
      <c r="EA42" s="1">
        <f ca="1">OFFSET('Input data (2)'!Q$126,'Input data (2)'!$BL$1-'Output data - DO NOT TOUCH (2)'!$CG42-1,0)/1000</f>
        <v>7.6420000000000003</v>
      </c>
    </row>
    <row r="43" spans="1:131" x14ac:dyDescent="0.15">
      <c r="A43" s="1">
        <v>1</v>
      </c>
      <c r="B43" s="1">
        <v>2</v>
      </c>
      <c r="C43" s="1">
        <v>3</v>
      </c>
      <c r="D43" s="1">
        <v>0</v>
      </c>
      <c r="E43" s="1" t="str">
        <f>F43&amp;G43</f>
        <v>2008Q4</v>
      </c>
      <c r="F43" s="1">
        <f>F38+1</f>
        <v>2008</v>
      </c>
      <c r="G43" s="1" t="s">
        <v>4</v>
      </c>
      <c r="H43" s="1">
        <f>VLOOKUP($E43,'Input data (2)'!$A:$BL,'Output data - DO NOT TOUCH (2)'!H$71,FALSE)</f>
        <v>4525</v>
      </c>
      <c r="I43" s="1">
        <f>VLOOKUP($E43,'Input data (2)'!$A:$BL,'Output data - DO NOT TOUCH (2)'!I$71,FALSE)</f>
        <v>1537</v>
      </c>
      <c r="J43" s="1">
        <f>VLOOKUP($E43,'Input data (2)'!$A:$BL,'Output data - DO NOT TOUCH (2)'!J$71,FALSE)</f>
        <v>2988</v>
      </c>
      <c r="K43" s="1">
        <f>VLOOKUP($E43,'Input data (2)'!$A:$BL,'Output data - DO NOT TOUCH (2)'!K$71,FALSE)</f>
        <v>4640</v>
      </c>
      <c r="L43" s="1">
        <f>VLOOKUP($E43,'Input data (2)'!$A:$BL,'Output data - DO NOT TOUCH (2)'!L$71,FALSE)</f>
        <v>1518</v>
      </c>
      <c r="M43" s="1">
        <f>VLOOKUP($E43,'Input data (2)'!$A:$BL,'Output data - DO NOT TOUCH (2)'!M$71,FALSE)</f>
        <v>3122</v>
      </c>
      <c r="O43" s="119">
        <f ca="1">IF(AND('Input data (2)'!$C$2=4,$D27&gt;=0),OFFSET('Input data (2)'!O$126,'Input data (2)'!$BL$1-$D27,0),IF(AND('Input data (2)'!$C$2=3,$C27&gt;=0),OFFSET('Input data (2)'!O$126,'Input data (2)'!$BL$1-$C27,0),IF(AND('Input data (2)'!$C$2=2,$B27&gt;=0),OFFSET('Input data (2)'!O$126,'Input data (2)'!$BL$1-$B27,0),IF(AND('Input data (2)'!$C$2=1,$A27&gt;=0),OFFSET('Input data (2)'!O$126,'Input data (2)'!$BL$1-$A27,0),""))))</f>
        <v>236</v>
      </c>
      <c r="Q43" s="1">
        <f ca="1">IF(AND('Input data (2)'!$C$2=4,$D27&gt;=0),OFFSET('Input data (2)'!AC$126,'Input data (2)'!$BL$1-$D27,0),IF(AND('Input data (2)'!$C$2=3,$C27&gt;=0),OFFSET('Input data (2)'!AC$126,'Input data (2)'!$BL$1-$C27,0),IF(AND('Input data (2)'!$C$2=2,$B27&gt;=0),OFFSET('Input data (2)'!AC$126,'Input data (2)'!$BL$1-$B27,0),IF(AND('Input data (2)'!$C$2=1,$A27&gt;=0),OFFSET('Input data (2)'!AC$126,'Input data (2)'!$BL$1-$A27,0),""))))</f>
        <v>28471</v>
      </c>
      <c r="R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S43" s="1" t="str">
        <f ca="1">IF(AND('Input data (2)'!$C$2=4,$D27&gt;=0),OFFSET('Input data (2)'!R$126,'Input data (2)'!$BL$1-$D27,0),IF(AND('Input data (2)'!$C$2=3,$C27&gt;=0),OFFSET('Input data (2)'!R$126,'Input data (2)'!$BL$1-$C27,0),IF(AND('Input data (2)'!$C$2=2,$B27&gt;=0),OFFSET('Input data (2)'!R$126,'Input data (2)'!$BL$1-$B27,0),IF(AND('Input data (2)'!$C$2=1,$A27&gt;=0),OFFSET('Input data (2)'!R$126,'Input data (2)'!$BL$1-$A27,0),""))))</f>
        <v>:</v>
      </c>
      <c r="T43" s="1">
        <f ca="1">IF(AND('Input data (2)'!$C$2=4,$D27&gt;=0),OFFSET('Input data (2)'!AA$126,'Input data (2)'!$BL$1-$D27,0),IF(AND('Input data (2)'!$C$2=3,$C27&gt;=0),OFFSET('Input data (2)'!AA$126,'Input data (2)'!$BL$1-$C27,0),IF(AND('Input data (2)'!$C$2=2,$B27&gt;=0),OFFSET('Input data (2)'!AA$126,'Input data (2)'!$BL$1-$B27,0),IF(AND('Input data (2)'!$C$2=1,$A27&gt;=0),OFFSET('Input data (2)'!AA$126,'Input data (2)'!$BL$1-$A27,0),""))))</f>
        <v>10467</v>
      </c>
      <c r="U43" s="1">
        <f ca="1">IF(AND('Input data (2)'!$C$2=4,$D27&gt;=0),OFFSET('Input data (2)'!AL$126,'Input data (2)'!$BL$1-$D27,0),IF(AND('Input data (2)'!$C$2=3,$C27&gt;=0),OFFSET('Input data (2)'!AL$126,'Input data (2)'!$BL$1-$C27,0),IF(AND('Input data (2)'!$C$2=2,$B27&gt;=0),OFFSET('Input data (2)'!AL$126,'Input data (2)'!$BL$1-$B27,0),IF(AND('Input data (2)'!$C$2=1,$A27&gt;=0),OFFSET('Input data (2)'!AL$126,'Input data (2)'!$BL$1-$A27,0),""))))</f>
        <v>29234</v>
      </c>
      <c r="V43" s="1">
        <f ca="1">IF(AND('Input data (2)'!$C$2=4,$D27&gt;=0),OFFSET('Input data (2)'!AJ$126,'Input data (2)'!$BL$1-$D27,0),IF(AND('Input data (2)'!$C$2=3,$C27&gt;=0),OFFSET('Input data (2)'!AJ$126,'Input data (2)'!$BL$1-$C27,0),IF(AND('Input data (2)'!$C$2=2,$B27&gt;=0),OFFSET('Input data (2)'!AJ$126,'Input data (2)'!$BL$1-$B27,0),IF(AND('Input data (2)'!$C$2=1,$A27&gt;=0),OFFSET('Input data (2)'!AJ$126,'Input data (2)'!$BL$1-$A27,0),""))))</f>
        <v>18936</v>
      </c>
      <c r="W43" s="1">
        <f ca="1">IF(AND('Input data (2)'!$C$2=4,$D27&gt;=0),OFFSET('Input data (2)'!AK$126,'Input data (2)'!$BL$1-$D27,0),IF(AND('Input data (2)'!$C$2=3,$C27&gt;=0),OFFSET('Input data (2)'!AK$126,'Input data (2)'!$BL$1-$C27,0),IF(AND('Input data (2)'!$C$2=2,$B27&gt;=0),OFFSET('Input data (2)'!AK$126,'Input data (2)'!$BL$1-$B27,0),IF(AND('Input data (2)'!$C$2=1,$A27&gt;=0),OFFSET('Input data (2)'!AK$126,'Input data (2)'!$BL$1-$A27,0),""))))</f>
        <v>10298</v>
      </c>
      <c r="Y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Z43" s="1">
        <f ca="1">IF(AND('Input data (2)'!$C$2=4,$D27&gt;=0),OFFSET('Input data (2)'!S$126,'Input data (2)'!$BL$1-$D27,0),IF(AND('Input data (2)'!$C$2=3,$C27&gt;=0),OFFSET('Input data (2)'!S$126,'Input data (2)'!$BL$1-$C27,0),IF(AND('Input data (2)'!$C$2=2,$B27&gt;=0),OFFSET('Input data (2)'!S$126,'Input data (2)'!$BL$1-$B27,0),IF(AND('Input data (2)'!$C$2=1,$A27&gt;=0),OFFSET('Input data (2)'!S$126,'Input data (2)'!$BL$1-$A27,0),""))))</f>
        <v>15202</v>
      </c>
      <c r="AA43" s="1">
        <f ca="1">IF(AND('Input data (2)'!$C$2=4,$D27&gt;=0),OFFSET('Input data (2)'!T$126,'Input data (2)'!$BL$1-$D27,0),IF(AND('Input data (2)'!$C$2=3,$C27&gt;=0),OFFSET('Input data (2)'!T$126,'Input data (2)'!$BL$1-$C27,0),IF(AND('Input data (2)'!$C$2=2,$B27&gt;=0),OFFSET('Input data (2)'!T$126,'Input data (2)'!$BL$1-$B27,0),IF(AND('Input data (2)'!$C$2=1,$A27&gt;=0),OFFSET('Input data (2)'!T$126,'Input data (2)'!$BL$1-$A27,0),""))))</f>
        <v>84.436791824039105</v>
      </c>
      <c r="AB43" s="1">
        <f ca="1">IF(AND('Input data (2)'!$C$2=4,$D27&gt;=0),OFFSET('Input data (2)'!U$126,'Input data (2)'!$BL$1-$D27,0),IF(AND('Input data (2)'!$C$2=3,$C27&gt;=0),OFFSET('Input data (2)'!U$126,'Input data (2)'!$BL$1-$C27,0),IF(AND('Input data (2)'!$C$2=2,$B27&gt;=0),OFFSET('Input data (2)'!U$126,'Input data (2)'!$BL$1-$B27,0),IF(AND('Input data (2)'!$C$2=1,$A27&gt;=0),OFFSET('Input data (2)'!U$126,'Input data (2)'!$BL$1-$A27,0),""))))</f>
        <v>2802</v>
      </c>
      <c r="AC43" s="1">
        <f ca="1">IF(AND('Input data (2)'!$C$2=4,$D27&gt;=0),OFFSET('Input data (2)'!V$126,'Input data (2)'!$BL$1-$D27,0),IF(AND('Input data (2)'!$C$2=3,$C27&gt;=0),OFFSET('Input data (2)'!V$126,'Input data (2)'!$BL$1-$C27,0),IF(AND('Input data (2)'!$C$2=2,$B27&gt;=0),OFFSET('Input data (2)'!V$126,'Input data (2)'!$BL$1-$B27,0),IF(AND('Input data (2)'!$C$2=1,$A27&gt;=0),OFFSET('Input data (2)'!V$126,'Input data (2)'!$BL$1-$A27,0),""))))</f>
        <v>15.563208175960897</v>
      </c>
      <c r="AD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AE43" s="1">
        <f ca="1">IF(AND('Input data (2)'!$C$2=4,$D27&gt;=0),OFFSET('Input data (2)'!W$126,'Input data (2)'!$BL$1-$D27,0),IF(AND('Input data (2)'!$C$2=3,$C27&gt;=0),OFFSET('Input data (2)'!W$126,'Input data (2)'!$BL$1-$C27,0),IF(AND('Input data (2)'!$C$2=2,$B27&gt;=0),OFFSET('Input data (2)'!W$126,'Input data (2)'!$BL$1-$B27,0),IF(AND('Input data (2)'!$C$2=1,$A27&gt;=0),OFFSET('Input data (2)'!W$126,'Input data (2)'!$BL$1-$A27,0),""))))</f>
        <v>2325</v>
      </c>
      <c r="AF43" s="1">
        <f ca="1">IF(AND('Input data (2)'!$C$2=4,$D27&gt;=0),OFFSET('Input data (2)'!X$126,'Input data (2)'!$BL$1-$D27,0),IF(AND('Input data (2)'!$C$2=3,$C27&gt;=0),OFFSET('Input data (2)'!X$126,'Input data (2)'!$BL$1-$C27,0),IF(AND('Input data (2)'!$C$2=2,$B27&gt;=0),OFFSET('Input data (2)'!X$126,'Input data (2)'!$BL$1-$B27,0),IF(AND('Input data (2)'!$C$2=1,$A27&gt;=0),OFFSET('Input data (2)'!X$126,'Input data (2)'!$BL$1-$A27,0),""))))</f>
        <v>12.913796934014663</v>
      </c>
      <c r="AG43" s="1">
        <f ca="1">IF(AND('Input data (2)'!$C$2=4,$D27&gt;=0),OFFSET('Input data (2)'!Y$126,'Input data (2)'!$BL$1-$D27,0),IF(AND('Input data (2)'!$C$2=3,$C27&gt;=0),OFFSET('Input data (2)'!Y$126,'Input data (2)'!$BL$1-$C27,0),IF(AND('Input data (2)'!$C$2=2,$B27&gt;=0),OFFSET('Input data (2)'!Y$126,'Input data (2)'!$BL$1-$B27,0),IF(AND('Input data (2)'!$C$2=1,$A27&gt;=0),OFFSET('Input data (2)'!Y$126,'Input data (2)'!$BL$1-$A27,0),""))))</f>
        <v>15679</v>
      </c>
      <c r="AH43" s="1">
        <f ca="1">IF(AND('Input data (2)'!$C$2=4,$D27&gt;=0),OFFSET('Input data (2)'!Z$126,'Input data (2)'!$BL$1-$D27,0),IF(AND('Input data (2)'!$C$2=3,$C27&gt;=0),OFFSET('Input data (2)'!Z$126,'Input data (2)'!$BL$1-$C27,0),IF(AND('Input data (2)'!$C$2=2,$B27&gt;=0),OFFSET('Input data (2)'!Z$126,'Input data (2)'!$BL$1-$B27,0),IF(AND('Input data (2)'!$C$2=1,$A27&gt;=0),OFFSET('Input data (2)'!Z$126,'Input data (2)'!$BL$1-$A27,0),""))))</f>
        <v>87.08620306598533</v>
      </c>
      <c r="AI43" s="3"/>
      <c r="AJ43" s="124">
        <f ca="1">IF(AND('Input data (2)'!$C$2=4,$D27&gt;=0),OFFSET('Input data (2)'!AF$126,'Input data (2)'!$BL$1-$D27,0),IF(AND('Input data (2)'!$C$2=3,$C27&gt;=0),OFFSET('Input data (2)'!AF$126,'Input data (2)'!$BL$1-$C27,0),IF(AND('Input data (2)'!$C$2=2,$B27&gt;=0),OFFSET('Input data (2)'!AF$126,'Input data (2)'!$BL$1-$B27,0),IF(AND('Input data (2)'!$C$2=1,$A27&gt;=0),OFFSET('Input data (2)'!AF$126,'Input data (2)'!$BL$1-$A27,0),""))))</f>
        <v>4517</v>
      </c>
      <c r="AK43" s="124">
        <f ca="1">IF(AND('Input data (2)'!$C$2=4,$D27&gt;=0),OFFSET('Input data (2)'!AD$126,'Input data (2)'!$BL$1-$D27,0),IF(AND('Input data (2)'!$C$2=3,$C27&gt;=0),OFFSET('Input data (2)'!AD$126,'Input data (2)'!$BL$1-$C27,0),IF(AND('Input data (2)'!$C$2=2,$B27&gt;=0),OFFSET('Input data (2)'!AD$126,'Input data (2)'!$BL$1-$B27,0),IF(AND('Input data (2)'!$C$2=1,$A27&gt;=0),OFFSET('Input data (2)'!AD$126,'Input data (2)'!$BL$1-$A27,0),""))))</f>
        <v>22</v>
      </c>
      <c r="AL43" s="124">
        <f ca="1">IF(AND('Input data (2)'!$C$2=4,$D27&gt;=0),OFFSET('Input data (2)'!AE$126,'Input data (2)'!$BL$1-$D27,0),IF(AND('Input data (2)'!$C$2=3,$C27&gt;=0),OFFSET('Input data (2)'!AE$126,'Input data (2)'!$BL$1-$C27,0),IF(AND('Input data (2)'!$C$2=2,$B27&gt;=0),OFFSET('Input data (2)'!AE$126,'Input data (2)'!$BL$1-$B27,0),IF(AND('Input data (2)'!$C$2=1,$A27&gt;=0),OFFSET('Input data (2)'!AE$126,'Input data (2)'!$BL$1-$A27,0),""))))</f>
        <v>4495</v>
      </c>
      <c r="AW43" s="1">
        <f ca="1">IF(AND('Input data (2)'!$C$2=4,$D27&gt;=0),OFFSET('Input data (2)'!L$126,'Input data (2)'!$BL$1-$D27,0),IF(AND('Input data (2)'!$C$2=3,$C27&gt;=0),OFFSET('Input data (2)'!L$126,'Input data (2)'!$BL$1-$C27,0),IF(AND('Input data (2)'!$C$2=2,$B27&gt;=0),OFFSET('Input data (2)'!L$126,'Input data (2)'!$BL$1-$B27,0),IF(AND('Input data (2)'!$C$2=1,$A27&gt;=0),OFFSET('Input data (2)'!L$126,'Input data (2)'!$BL$1-$A27,0),""))))</f>
        <v>261</v>
      </c>
      <c r="AX43" s="1">
        <f ca="1">IF(AND('Input data (2)'!$C$2=4,$D27&gt;=0),OFFSET('Input data (2)'!M$126,'Input data (2)'!$BL$1-$D27,0),IF(AND('Input data (2)'!$C$2=3,$C27&gt;=0),OFFSET('Input data (2)'!M$126,'Input data (2)'!$BL$1-$C27,0),IF(AND('Input data (2)'!$C$2=2,$B27&gt;=0),OFFSET('Input data (2)'!M$126,'Input data (2)'!$BL$1-$B27,0),IF(AND('Input data (2)'!$C$2=1,$A27&gt;=0),OFFSET('Input data (2)'!M$126,'Input data (2)'!$BL$1-$A27,0),""))))</f>
        <v>0</v>
      </c>
      <c r="AY43" s="1">
        <f ca="1">IF(AND('Input data (2)'!$C$2=4,$D27&gt;=0),OFFSET('Input data (2)'!N$126,'Input data (2)'!$BL$1-$D27,0),IF(AND('Input data (2)'!$C$2=3,$C27&gt;=0),OFFSET('Input data (2)'!N$126,'Input data (2)'!$BL$1-$C27,0),IF(AND('Input data (2)'!$C$2=2,$B27&gt;=0),OFFSET('Input data (2)'!N$126,'Input data (2)'!$BL$1-$B27,0),IF(AND('Input data (2)'!$C$2=1,$A27&gt;=0),OFFSET('Input data (2)'!N$126,'Input data (2)'!$BL$1-$A27,0),""))))</f>
        <v>2018</v>
      </c>
      <c r="AZ43" s="1">
        <f ca="1">IF(AND('Input data (2)'!$C$2=4,$D27&gt;=0),OFFSET('Input data (2)'!P$126,'Input data (2)'!$BL$1-$D27,0),IF(AND('Input data (2)'!$C$2=3,$C27&gt;=0),OFFSET('Input data (2)'!P$126,'Input data (2)'!$BL$1-$C27,0),IF(AND('Input data (2)'!$C$2=2,$B27&gt;=0),OFFSET('Input data (2)'!P$126,'Input data (2)'!$BL$1-$B27,0),IF(AND('Input data (2)'!$C$2=1,$A27&gt;=0),OFFSET('Input data (2)'!P$126,'Input data (2)'!$BL$1-$A27,0),""))))</f>
        <v>149</v>
      </c>
      <c r="BB43" s="1">
        <f ca="1">IF(AND('Input data (2)'!$C$2=4,$D27&gt;=0),OFFSET('Input data (2)'!BB$126,'Input data (2)'!$BL$1-$D27,0),IF(AND('Input data (2)'!$C$2=3,$C27&gt;=0),OFFSET('Input data (2)'!BB$126,'Input data (2)'!$BL$1-$C27,0),IF(AND('Input data (2)'!$C$2=2,$B27&gt;=0),OFFSET('Input data (2)'!BB$126,'Input data (2)'!$BL$1-$B27,0),IF(AND('Input data (2)'!$C$2=1,$A27&gt;=0),OFFSET('Input data (2)'!BB$126,'Input data (2)'!$BL$1-$A27,0),""))))</f>
        <v>5833</v>
      </c>
      <c r="BC43" s="1">
        <f ca="1">IF(AND('Input data (2)'!$C$2=4,$D27&gt;=0),OFFSET('Input data (2)'!AY$126,'Input data (2)'!$BL$1-$D27,0),IF(AND('Input data (2)'!$C$2=3,$C27&gt;=0),OFFSET('Input data (2)'!AY$126,'Input data (2)'!$BL$1-$C27,0),IF(AND('Input data (2)'!$C$2=2,$B27&gt;=0),OFFSET('Input data (2)'!AY$126,'Input data (2)'!$BL$1-$B27,0),IF(AND('Input data (2)'!$C$2=1,$A27&gt;=0),OFFSET('Input data (2)'!AY$126,'Input data (2)'!$BL$1-$A27,0),""))))</f>
        <v>3996</v>
      </c>
      <c r="BD43" s="1">
        <f ca="1">IF(AND('Input data (2)'!$C$2=4,$D27&gt;=0),OFFSET('Input data (2)'!AZ$126,'Input data (2)'!$BL$1-$D27,0),IF(AND('Input data (2)'!$C$2=3,$C27&gt;=0),OFFSET('Input data (2)'!AZ$126,'Input data (2)'!$BL$1-$C27,0),IF(AND('Input data (2)'!$C$2=2,$B27&gt;=0),OFFSET('Input data (2)'!AZ$126,'Input data (2)'!$BL$1-$B27,0),IF(AND('Input data (2)'!$C$2=1,$A27&gt;=0),OFFSET('Input data (2)'!AZ$126,'Input data (2)'!$BL$1-$A27,0),""))))</f>
        <v>2651</v>
      </c>
      <c r="BE43" s="1">
        <f ca="1">IF(AND('Input data (2)'!$C$2=4,$D27&gt;=0),OFFSET('Input data (2)'!BA$126,'Input data (2)'!$BL$1-$D27,0),IF(AND('Input data (2)'!$C$2=3,$C27&gt;=0),OFFSET('Input data (2)'!BA$126,'Input data (2)'!$BL$1-$C27,0),IF(AND('Input data (2)'!$C$2=2,$B27&gt;=0),OFFSET('Input data (2)'!BA$126,'Input data (2)'!$BL$1-$B27,0),IF(AND('Input data (2)'!$C$2=1,$A27&gt;=0),OFFSET('Input data (2)'!BA$126,'Input data (2)'!$BL$1-$A27,0),""))))</f>
        <v>1837</v>
      </c>
      <c r="BF43" s="1">
        <f ca="1">IF(AND('Input data (2)'!$C$2=4,$D27&gt;=0),OFFSET('Input data (2)'!AP$126,'Input data (2)'!$BL$1-$D27,0),IF(AND('Input data (2)'!$C$2=3,$C27&gt;=0),OFFSET('Input data (2)'!AP$126,'Input data (2)'!$BL$1-$C27,0),IF(AND('Input data (2)'!$C$2=2,$B27&gt;=0),OFFSET('Input data (2)'!AP$126,'Input data (2)'!$BL$1-$B27,0),IF(AND('Input data (2)'!$C$2=1,$A27&gt;=0),OFFSET('Input data (2)'!AP$126,'Input data (2)'!$BL$1-$A27,0),""))))</f>
        <v>163</v>
      </c>
      <c r="BG43" s="1">
        <f ca="1">IF(AND('Input data (2)'!$C$2=4,$D27&gt;=0),OFFSET('Input data (2)'!AN$126,'Input data (2)'!$BL$1-$D27,0),IF(AND('Input data (2)'!$C$2=3,$C27&gt;=0),OFFSET('Input data (2)'!AN$126,'Input data (2)'!$BL$1-$C27,0),IF(AND('Input data (2)'!$C$2=2,$B27&gt;=0),OFFSET('Input data (2)'!AN$126,'Input data (2)'!$BL$1-$B27,0),IF(AND('Input data (2)'!$C$2=1,$A27&gt;=0),OFFSET('Input data (2)'!AN$126,'Input data (2)'!$BL$1-$A27,0),""))))</f>
        <v>120</v>
      </c>
      <c r="BH43" s="1">
        <f ca="1">IF(AND('Input data (2)'!$C$2=4,$D27&gt;=0),OFFSET('Input data (2)'!AO$126,'Input data (2)'!$BL$1-$D27,0),IF(AND('Input data (2)'!$C$2=3,$C27&gt;=0),OFFSET('Input data (2)'!AO$126,'Input data (2)'!$BL$1-$C27,0),IF(AND('Input data (2)'!$C$2=2,$B27&gt;=0),OFFSET('Input data (2)'!AO$126,'Input data (2)'!$BL$1-$B27,0),IF(AND('Input data (2)'!$C$2=1,$A27&gt;=0),OFFSET('Input data (2)'!AO$126,'Input data (2)'!$BL$1-$A27,0),""))))</f>
        <v>43</v>
      </c>
      <c r="BJ43" s="1">
        <f ca="1">IF(AND('Input data (2)'!$C$2=4,$D27&gt;=0),OFFSET('Input data (2)'!AU$126,'Input data (2)'!$BL$1-$D27,0),IF(AND('Input data (2)'!$C$2=3,$C27&gt;=0),OFFSET('Input data (2)'!AU$126,'Input data (2)'!$BL$1-$C27,0),IF(AND('Input data (2)'!$C$2=2,$B27&gt;=0),OFFSET('Input data (2)'!AU$126,'Input data (2)'!$BL$1-$B27,0),IF(AND('Input data (2)'!$C$2=1,$A27&gt;=0),OFFSET('Input data (2)'!AU$126,'Input data (2)'!$BL$1-$A27,0),""))))</f>
        <v>5</v>
      </c>
      <c r="BK43" s="1">
        <f ca="1">IF(AND('Input data (2)'!$C$2=4,$D27&gt;=0),OFFSET('Input data (2)'!AV$126,'Input data (2)'!$BL$1-$D27,0),IF(AND('Input data (2)'!$C$2=3,$C27&gt;=0),OFFSET('Input data (2)'!AV$126,'Input data (2)'!$BL$1-$C27,0),IF(AND('Input data (2)'!$C$2=2,$B27&gt;=0),OFFSET('Input data (2)'!AV$126,'Input data (2)'!$BL$1-$B27,0),IF(AND('Input data (2)'!$C$2=1,$A27&gt;=0),OFFSET('Input data (2)'!AV$126,'Input data (2)'!$BL$1-$A27,0),""))))</f>
        <v>0</v>
      </c>
      <c r="BL43" s="1">
        <f ca="1">IF(AND('Input data (2)'!$C$2=4,$D27&gt;=0),OFFSET('Input data (2)'!AW$126,'Input data (2)'!$BL$1-$D27,0),IF(AND('Input data (2)'!$C$2=3,$C27&gt;=0),OFFSET('Input data (2)'!AW$126,'Input data (2)'!$BL$1-$C27,0),IF(AND('Input data (2)'!$C$2=2,$B27&gt;=0),OFFSET('Input data (2)'!AW$126,'Input data (2)'!$BL$1-$B27,0),IF(AND('Input data (2)'!$C$2=1,$A27&gt;=0),OFFSET('Input data (2)'!AW$126,'Input data (2)'!$BL$1-$A27,0),""))))</f>
        <v>55</v>
      </c>
      <c r="BM43" s="1">
        <f ca="1">IF(AND('Input data (2)'!$C$2=4,$D27&gt;=0),OFFSET('Input data (2)'!AX$126,'Input data (2)'!$BL$1-$D27,0),IF(AND('Input data (2)'!$C$2=3,$C27&gt;=0),OFFSET('Input data (2)'!AX$126,'Input data (2)'!$BL$1-$C27,0),IF(AND('Input data (2)'!$C$2=2,$B27&gt;=0),OFFSET('Input data (2)'!AX$126,'Input data (2)'!$BL$1-$B27,0),IF(AND('Input data (2)'!$C$2=1,$A27&gt;=0),OFFSET('Input data (2)'!AX$126,'Input data (2)'!$BL$1-$A27,0),""))))</f>
        <v>2</v>
      </c>
      <c r="BO43" s="1">
        <f ca="1">IF(AND('Input data (2)'!$C$2=4,$D27&gt;=0),OFFSET('Input data (2)'!BL$126,'Input data (2)'!$BL$1-$D27,0),IF(AND('Input data (2)'!$C$2=3,$C27&gt;=0),OFFSET('Input data (2)'!BL$126,'Input data (2)'!$BL$1-$C27,0),IF(AND('Input data (2)'!$C$2=2,$B27&gt;=0),OFFSET('Input data (2)'!BL$126,'Input data (2)'!$BL$1-$B27,0),IF(AND('Input data (2)'!$C$2=1,$A27&gt;=0),OFFSET('Input data (2)'!BL$126,'Input data (2)'!$BL$1-$A27,0),""))))</f>
        <v>443</v>
      </c>
      <c r="BP43" s="1">
        <f ca="1">IF(AND('Input data (2)'!$C$2=4,$D27&gt;=0),OFFSET('Input data (2)'!BI$126,'Input data (2)'!$BL$1-$D27,0),IF(AND('Input data (2)'!$C$2=3,$C27&gt;=0),OFFSET('Input data (2)'!BI$126,'Input data (2)'!$BL$1-$C27,0),IF(AND('Input data (2)'!$C$2=2,$B27&gt;=0),OFFSET('Input data (2)'!BI$126,'Input data (2)'!$BL$1-$B27,0),IF(AND('Input data (2)'!$C$2=1,$A27&gt;=0),OFFSET('Input data (2)'!BI$126,'Input data (2)'!$BL$1-$A27,0),""))))</f>
        <v>293</v>
      </c>
      <c r="BQ43" s="1" t="str">
        <f ca="1">IF(AND('Input data (2)'!$C$2=4,$D27&gt;=0),OFFSET('Input data (2)'!BK$126,'Input data (2)'!$BL$1-$D27,0),IF(AND('Input data (2)'!$C$2=3,$C27&gt;=0),OFFSET('Input data (2)'!BK$126,'Input data (2)'!$BL$1-$C27,0),IF(AND('Input data (2)'!$C$2=2,$B27&gt;=0),OFFSET('Input data (2)'!BK$126,'Input data (2)'!$BL$1-$B27,0),IF(AND('Input data (2)'!$C$2=1,$A27&gt;=0),OFFSET('Input data (2)'!BK$126,'Input data (2)'!$BL$1-$A27,0),""))))</f>
        <v>..</v>
      </c>
      <c r="BR43" s="1">
        <f ca="1">IF(AND('Input data (2)'!$C$2=4,$D27&gt;=0),OFFSET('Input data (2)'!BJ$126,'Input data (2)'!$BL$1-$D27,0),IF(AND('Input data (2)'!$C$2=3,$C27&gt;=0),OFFSET('Input data (2)'!BJ$126,'Input data (2)'!$BL$1-$C27,0),IF(AND('Input data (2)'!$C$2=2,$B27&gt;=0),OFFSET('Input data (2)'!BJ$126,'Input data (2)'!$BL$1-$B27,0),IF(AND('Input data (2)'!$C$2=1,$A27&gt;=0),OFFSET('Input data (2)'!BJ$126,'Input data (2)'!$BL$1-$A27,0),""))))</f>
        <v>150</v>
      </c>
      <c r="BS43" s="1">
        <f ca="1">IF(AND('Input data (2)'!$C$2=4,$D27&gt;=0),OFFSET('Input data (2)'!BF$126,'Input data (2)'!$BL$1-$D27,0),IF(AND('Input data (2)'!$C$2=3,$C27&gt;=0),OFFSET('Input data (2)'!BF$126,'Input data (2)'!$BL$1-$C27,0),IF(AND('Input data (2)'!$C$2=2,$B27&gt;=0),OFFSET('Input data (2)'!BF$126,'Input data (2)'!$BL$1-$B27,0),IF(AND('Input data (2)'!$C$2=1,$A27&gt;=0),OFFSET('Input data (2)'!BF$126,'Input data (2)'!$BL$1-$A27,0),""))))</f>
        <v>66</v>
      </c>
      <c r="BT43" s="1">
        <f ca="1">IF(AND('Input data (2)'!$C$2=4,$D27&gt;=0),OFFSET('Input data (2)'!BD$126,'Input data (2)'!$BL$1-$D27,0),IF(AND('Input data (2)'!$C$2=3,$C27&gt;=0),OFFSET('Input data (2)'!BD$126,'Input data (2)'!$BL$1-$C27,0),IF(AND('Input data (2)'!$C$2=2,$B27&gt;=0),OFFSET('Input data (2)'!BD$126,'Input data (2)'!$BL$1-$B27,0),IF(AND('Input data (2)'!$C$2=1,$A27&gt;=0),OFFSET('Input data (2)'!BD$126,'Input data (2)'!$BL$1-$A27,0),""))))</f>
        <v>52</v>
      </c>
      <c r="BU43" s="1">
        <f ca="1">IF(AND('Input data (2)'!$C$2=4,$D27&gt;=0),OFFSET('Input data (2)'!BE$126,'Input data (2)'!$BL$1-$D27,0),IF(AND('Input data (2)'!$C$2=3,$C27&gt;=0),OFFSET('Input data (2)'!BE$126,'Input data (2)'!$BL$1-$C27,0),IF(AND('Input data (2)'!$C$2=2,$B27&gt;=0),OFFSET('Input data (2)'!BE$126,'Input data (2)'!$BL$1-$B27,0),IF(AND('Input data (2)'!$C$2=1,$A27&gt;=0),OFFSET('Input data (2)'!BE$126,'Input data (2)'!$BL$1-$A27,0),""))))</f>
        <v>14</v>
      </c>
      <c r="BW43" s="7">
        <f ca="1">IF(AND('Input data (2)'!$C$2=4,$D27&gt;=0),OFFSET('Input data (2)'!J$126,'Input data (2)'!$BL$1-$D27,0),IF(AND('Input data (2)'!$C$2=3,$C27&gt;=0),OFFSET('Input data (2)'!J$126,'Input data (2)'!$BL$1-$C27,0),IF(AND('Input data (2)'!$C$2=2,$B27&gt;=0),OFFSET('Input data (2)'!J$126,'Input data (2)'!$BL$1-$B27,0),IF(AND('Input data (2)'!$C$2=1,$A27&gt;=0),OFFSET('Input data (2)'!J$126,'Input data (2)'!$BL$1-$A27,0),""))))</f>
        <v>0.71826028736495495</v>
      </c>
      <c r="BX43" s="7">
        <f ca="1">IF(AND('Input data (2)'!$C$2=4,$D27&gt;=0),OFFSET('Input data (2)'!K$126,'Input data (2)'!$BL$1-$D27,0),IF(AND('Input data (2)'!$C$2=3,$C27&gt;=0),OFFSET('Input data (2)'!K$126,'Input data (2)'!$BL$1-$C27,0),IF(AND('Input data (2)'!$C$2=2,$B27&gt;=0),OFFSET('Input data (2)'!K$126,'Input data (2)'!$BL$1-$B27,0),IF(AND('Input data (2)'!$C$2=1,$A27&gt;=0),OFFSET('Input data (2)'!K$126,'Input data (2)'!$BL$1-$A27,0),""))))</f>
        <v>0.64385674135564142</v>
      </c>
      <c r="BY43" s="7">
        <f ca="1">IF(AND('Input data (2)'!$C$2=4,$D27&gt;=0),OFFSET('Input data (2)'!AS$126,'Input data (2)'!$BL$1-$D27,0),IF(AND('Input data (2)'!$C$2=3,$C27&gt;=0),OFFSET('Input data (2)'!AS$126,'Input data (2)'!$BL$1-$C27,0),IF(AND('Input data (2)'!$C$2=2,$B27&gt;=0),OFFSET('Input data (2)'!AS$126,'Input data (2)'!$BL$1-$B27,0),IF(AND('Input data (2)'!$C$2=1,$A27&gt;=0),OFFSET('Input data (2)'!AS$126,'Input data (2)'!$BL$1-$A27,0),""))))</f>
        <v>0.39854248045791824</v>
      </c>
      <c r="BZ43" s="7">
        <f ca="1">IF(AND('Input data (2)'!$C$2=4,$D27&gt;=0),OFFSET('Input data (2)'!AT$126,'Input data (2)'!$BL$1-$D27,0),IF(AND('Input data (2)'!$C$2=3,$C27&gt;=0),OFFSET('Input data (2)'!AT$126,'Input data (2)'!$BL$1-$C27,0),IF(AND('Input data (2)'!$C$2=2,$B27&gt;=0),OFFSET('Input data (2)'!AT$126,'Input data (2)'!$BL$1-$B27,0),IF(AND('Input data (2)'!$C$2=1,$A27&gt;=0),OFFSET('Input data (2)'!AT$126,'Input data (2)'!$BL$1-$A27,0),""))))</f>
        <v>0.36301307782323783</v>
      </c>
      <c r="CB43" s="122"/>
      <c r="CC43" s="122"/>
      <c r="CD43" s="122"/>
      <c r="CE43" s="122"/>
      <c r="CG43" s="1">
        <v>1</v>
      </c>
      <c r="CI43" s="1">
        <f t="shared" ca="1" si="24"/>
        <v>2013</v>
      </c>
      <c r="CJ43" s="1" t="str">
        <f t="shared" si="25"/>
        <v>Q1</v>
      </c>
      <c r="CK43" s="1" t="str">
        <f t="shared" ca="1" si="12"/>
        <v>13</v>
      </c>
      <c r="CL43" s="1" t="str">
        <f t="shared" ca="1" si="13"/>
        <v>Q1 13</v>
      </c>
      <c r="CM43" s="1">
        <f ca="1">OFFSET('Input data (2)'!AJ$126,'Input data (2)'!$BL$1-'Output data - DO NOT TOUCH (2)'!$CG43,0)/1000</f>
        <v>6.6297460956043199</v>
      </c>
      <c r="CN43" s="1">
        <f ca="1">OFFSET('Input data (2)'!AK$126,'Input data (2)'!$BL$1-'Output data - DO NOT TOUCH (2)'!$CG43,0)/1000</f>
        <v>11.982720977050299</v>
      </c>
      <c r="CO43" s="1" t="e">
        <f ca="1">OFFSET('Input data (2)'!AL$126,'Input data (2)'!$BL$1-'Output data - DO NOT TOUCH (2)'!$CG43,0)/1000</f>
        <v>#VALUE!</v>
      </c>
      <c r="CP43" s="1"/>
      <c r="CQ43" s="1">
        <f ca="1">OFFSET('Input data (2)'!AG$126,'Input data (2)'!$BL$1-'Output data - DO NOT TOUCH (2)'!$CG43,0)/1000</f>
        <v>1.02883399058485</v>
      </c>
      <c r="CR43" s="1">
        <f ca="1">OFFSET('Input data (2)'!AH$126,'Input data (2)'!$BL$1-'Output data - DO NOT TOUCH (2)'!$CG43,0)/1000</f>
        <v>2.5724194415021899</v>
      </c>
      <c r="CS43" s="1">
        <f ca="1">OFFSET('Input data (2)'!AI$126,'Input data (2)'!$BL$1-'Output data - DO NOT TOUCH (2)'!$CG43,0)/1000</f>
        <v>3.6012534320870402</v>
      </c>
      <c r="CT43" s="1"/>
      <c r="CU43" s="1">
        <f ca="1">OFFSET('Input data (2)'!L$126,'Input data (2)'!$BL$1-'Output data - DO NOT TOUCH (2)'!$CG43,0)</f>
        <v>236</v>
      </c>
      <c r="CV43" s="1">
        <f ca="1">OFFSET('Input data (2)'!M$126,'Input data (2)'!$BL$1-'Output data - DO NOT TOUCH (2)'!$CG43,0)</f>
        <v>0</v>
      </c>
      <c r="CW43" s="67">
        <f ca="1">OFFSET('Input data (2)'!N$126,'Input data (2)'!$BL$1-'Output data - DO NOT TOUCH (2)'!$CG43,0)</f>
        <v>557</v>
      </c>
      <c r="CX43" s="1">
        <f ca="1">OFFSET('Input data (2)'!P$126,'Input data (2)'!$BL$1-'Output data - DO NOT TOUCH (2)'!$CG43,0)</f>
        <v>142</v>
      </c>
      <c r="CY43" s="1"/>
      <c r="CZ43" s="1">
        <f ca="1">OFFSET('Input data (2)'!AY$126,'Input data (2)'!$BL$1-'Output data - DO NOT TOUCH (2)'!$CG43,0)/1000</f>
        <v>1.8340000000000001</v>
      </c>
      <c r="DA43" s="1">
        <f ca="1">OFFSET('Input data (2)'!BA$126,'Input data (2)'!$BL$1-'Output data - DO NOT TOUCH (2)'!$CG43,0)/1000</f>
        <v>1.6519999999999999</v>
      </c>
      <c r="DB43" s="1">
        <f ca="1">OFFSET('Input data (2)'!BB$126,'Input data (2)'!$BL$1-'Output data - DO NOT TOUCH (2)'!$CG43,0)/1000</f>
        <v>3.4860000000000002</v>
      </c>
      <c r="DD43" s="1">
        <f ca="1">OFFSET('Input data (2)'!AN$126,'Input data (2)'!$BL$1-'Output data - DO NOT TOUCH (2)'!$CG43,0)</f>
        <v>59</v>
      </c>
      <c r="DE43" s="1">
        <f ca="1">OFFSET('Input data (2)'!AO$126,'Input data (2)'!$BL$1-'Output data - DO NOT TOUCH (2)'!$CG43,0)</f>
        <v>54</v>
      </c>
      <c r="DF43" s="1">
        <f ca="1">OFFSET('Input data (2)'!AP$126,'Input data (2)'!$BL$1-'Output data - DO NOT TOUCH (2)'!$CG43,0)</f>
        <v>113</v>
      </c>
      <c r="DG43" s="1"/>
      <c r="DH43" s="1">
        <f ca="1">OFFSET('Input data (2)'!AU$126,'Input data (2)'!$BL$1-'Output data - DO NOT TOUCH (2)'!$CG43,0)</f>
        <v>7</v>
      </c>
      <c r="DI43" s="1">
        <f ca="1">OFFSET('Input data (2)'!AV$126,'Input data (2)'!$BL$1-'Output data - DO NOT TOUCH (2)'!$CG43,0)</f>
        <v>0</v>
      </c>
      <c r="DJ43" s="1">
        <f ca="1">OFFSET('Input data (2)'!AW$126,'Input data (2)'!$BL$1-'Output data - DO NOT TOUCH (2)'!$CG43,0)</f>
        <v>42</v>
      </c>
      <c r="DK43" s="1">
        <f ca="1">OFFSET('Input data (2)'!AX$126,'Input data (2)'!$BL$1-'Output data - DO NOT TOUCH (2)'!$CG43,0)</f>
        <v>2</v>
      </c>
      <c r="DM43" s="1">
        <f ca="1">OFFSET('Input data (2)'!BI$126,'Input data (2)'!$BL$1-'Output data - DO NOT TOUCH (2)'!$CG43,0)</f>
        <v>328</v>
      </c>
      <c r="DN43" s="1">
        <f ca="1">OFFSET('Input data (2)'!BJ$126,'Input data (2)'!$BL$1-'Output data - DO NOT TOUCH (2)'!$CG43,0)</f>
        <v>389</v>
      </c>
      <c r="DO43" s="1">
        <f ca="1">OFFSET('Input data (2)'!BL$126,'Input data (2)'!$BL$1-'Output data - DO NOT TOUCH (2)'!$CG43,0)</f>
        <v>836</v>
      </c>
      <c r="DQ43" s="1">
        <f ca="1">OFFSET('Input data (2)'!BD$126,'Input data (2)'!$BL$1-'Output data - DO NOT TOUCH (2)'!$CG43,0)</f>
        <v>30</v>
      </c>
      <c r="DR43" s="1">
        <f ca="1">OFFSET('Input data (2)'!BE$126,'Input data (2)'!$BL$1-'Output data - DO NOT TOUCH (2)'!$CG43,0)</f>
        <v>25</v>
      </c>
      <c r="DS43" s="1">
        <f ca="1">OFFSET('Input data (2)'!BF$126,'Input data (2)'!$BL$1-'Output data - DO NOT TOUCH (2)'!$CG43,0)</f>
        <v>55</v>
      </c>
      <c r="DU43" s="1">
        <f ca="1">OFFSET('Input data (2)'!B$126,'Input data (2)'!$BL$1-'Output data - DO NOT TOUCH (2)'!$CG43-1,0)</f>
        <v>2012</v>
      </c>
      <c r="DV43" s="1" t="str">
        <f ca="1">OFFSET('Input data (2)'!C$126,'Input data (2)'!$BL$1-'Output data - DO NOT TOUCH (2)'!$CG43-1,0)</f>
        <v>Q4</v>
      </c>
      <c r="DW43" s="1" t="str">
        <f t="shared" ca="1" si="14"/>
        <v>12</v>
      </c>
      <c r="DX43" s="1" t="str">
        <f t="shared" ca="1" si="15"/>
        <v>Q4 12</v>
      </c>
      <c r="DY43" s="1">
        <f ca="1">OFFSET('Input data (2)'!W$126,'Input data (2)'!$BL$1-'Output data - DO NOT TOUCH (2)'!$CG43-1,0)/1000</f>
        <v>1.71</v>
      </c>
      <c r="DZ43" s="1">
        <f ca="1">OFFSET('Input data (2)'!Y$126,'Input data (2)'!$BL$1-'Output data - DO NOT TOUCH (2)'!$CG43-1,0)/1000</f>
        <v>5.2110000000000003</v>
      </c>
      <c r="EA43" s="1">
        <f ca="1">OFFSET('Input data (2)'!Q$126,'Input data (2)'!$BL$1-'Output data - DO NOT TOUCH (2)'!$CG43-1,0)/1000</f>
        <v>6.9210000000000003</v>
      </c>
    </row>
    <row r="44" spans="1:131" x14ac:dyDescent="0.15">
      <c r="A44" s="1">
        <v>0</v>
      </c>
      <c r="B44" s="1">
        <v>1</v>
      </c>
      <c r="C44" s="1">
        <v>2</v>
      </c>
      <c r="D44" s="1">
        <v>-1</v>
      </c>
      <c r="CG44" s="1">
        <v>0</v>
      </c>
      <c r="CI44" s="1">
        <f t="shared" si="24"/>
        <v>2013</v>
      </c>
      <c r="CJ44" s="1" t="str">
        <f t="shared" si="25"/>
        <v>Q2</v>
      </c>
      <c r="CK44" s="1" t="str">
        <f t="shared" si="12"/>
        <v>13</v>
      </c>
      <c r="CL44" s="1" t="str">
        <f t="shared" si="13"/>
        <v>Q2 13</v>
      </c>
      <c r="CM44" s="1">
        <f ca="1">OFFSET('Input data (2)'!AJ$126,'Input data (2)'!$BL$1-'Output data - DO NOT TOUCH (2)'!$CG44,0)/1000</f>
        <v>6.1917959128950999</v>
      </c>
      <c r="CN44" s="1">
        <f ca="1">OFFSET('Input data (2)'!AK$126,'Input data (2)'!$BL$1-'Output data - DO NOT TOUCH (2)'!$CG44,0)/1000</f>
        <v>12.0230569837868</v>
      </c>
      <c r="CO44" s="1">
        <f ca="1">OFFSET('Input data (2)'!AL$126,'Input data (2)'!$BL$1-'Output data - DO NOT TOUCH (2)'!$CG44,0)/1000</f>
        <v>18.214852896681901</v>
      </c>
      <c r="CP44" s="1"/>
      <c r="CQ44" s="1">
        <f ca="1">OFFSET('Input data (2)'!AG$126,'Input data (2)'!$BL$1-'Output data - DO NOT TOUCH (2)'!$CG44,0)/1000</f>
        <v>0.961004552723978</v>
      </c>
      <c r="CR44" s="1">
        <f ca="1">OFFSET('Input data (2)'!AH$126,'Input data (2)'!$BL$1-'Output data - DO NOT TOUCH (2)'!$CG44,0)/1000</f>
        <v>3.01689847808293</v>
      </c>
      <c r="CS44" s="1">
        <f ca="1">OFFSET('Input data (2)'!AI$126,'Input data (2)'!$BL$1-'Output data - DO NOT TOUCH (2)'!$CG44,0)/1000</f>
        <v>3.9779030308069081</v>
      </c>
      <c r="CT44" s="1"/>
      <c r="CU44" s="1">
        <f ca="1">OFFSET('Input data (2)'!L$126,'Input data (2)'!$BL$1-'Output data - DO NOT TOUCH (2)'!$CG44,0)</f>
        <v>192</v>
      </c>
      <c r="CV44" s="1">
        <f ca="1">OFFSET('Input data (2)'!M$126,'Input data (2)'!$BL$1-'Output data - DO NOT TOUCH (2)'!$CG44,0)</f>
        <v>0</v>
      </c>
      <c r="CW44" s="67">
        <f ca="1">OFFSET('Input data (2)'!N$126,'Input data (2)'!$BL$1-'Output data - DO NOT TOUCH (2)'!$CG44,0)</f>
        <v>622</v>
      </c>
      <c r="CX44" s="1">
        <f ca="1">OFFSET('Input data (2)'!P$126,'Input data (2)'!$BL$1-'Output data - DO NOT TOUCH (2)'!$CG44,0)</f>
        <v>160</v>
      </c>
      <c r="CY44" s="1"/>
      <c r="CZ44" s="1">
        <f ca="1">OFFSET('Input data (2)'!AY$126,'Input data (2)'!$BL$1-'Output data - DO NOT TOUCH (2)'!$CG44,0)/1000</f>
        <v>1.9610000000000001</v>
      </c>
      <c r="DA44" s="1">
        <f ca="1">OFFSET('Input data (2)'!BA$126,'Input data (2)'!$BL$1-'Output data - DO NOT TOUCH (2)'!$CG44,0)/1000</f>
        <v>2.0379999999999998</v>
      </c>
      <c r="DB44" s="1">
        <f ca="1">OFFSET('Input data (2)'!BB$126,'Input data (2)'!$BL$1-'Output data - DO NOT TOUCH (2)'!$CG44,0)/1000</f>
        <v>3.9990000000000001</v>
      </c>
      <c r="DD44" s="1">
        <f ca="1">OFFSET('Input data (2)'!AN$126,'Input data (2)'!$BL$1-'Output data - DO NOT TOUCH (2)'!$CG44,0)</f>
        <v>83</v>
      </c>
      <c r="DE44" s="1">
        <f ca="1">OFFSET('Input data (2)'!AO$126,'Input data (2)'!$BL$1-'Output data - DO NOT TOUCH (2)'!$CG44,0)</f>
        <v>75</v>
      </c>
      <c r="DF44" s="1">
        <f ca="1">OFFSET('Input data (2)'!AP$126,'Input data (2)'!$BL$1-'Output data - DO NOT TOUCH (2)'!$CG44,0)</f>
        <v>158</v>
      </c>
      <c r="DG44" s="1"/>
      <c r="DH44" s="1">
        <f ca="1">OFFSET('Input data (2)'!AU$126,'Input data (2)'!$BL$1-'Output data - DO NOT TOUCH (2)'!$CG44,0)</f>
        <v>1</v>
      </c>
      <c r="DI44" s="1">
        <f ca="1">OFFSET('Input data (2)'!AV$126,'Input data (2)'!$BL$1-'Output data - DO NOT TOUCH (2)'!$CG44,0)</f>
        <v>0</v>
      </c>
      <c r="DJ44" s="1">
        <f ca="1">OFFSET('Input data (2)'!AW$126,'Input data (2)'!$BL$1-'Output data - DO NOT TOUCH (2)'!$CG44,0)</f>
        <v>35</v>
      </c>
      <c r="DK44" s="1">
        <f ca="1">OFFSET('Input data (2)'!AX$126,'Input data (2)'!$BL$1-'Output data - DO NOT TOUCH (2)'!$CG44,0)</f>
        <v>3</v>
      </c>
      <c r="DM44" s="1">
        <f ca="1">OFFSET('Input data (2)'!BI$126,'Input data (2)'!$BL$1-'Output data - DO NOT TOUCH (2)'!$CG44,0)</f>
        <v>374</v>
      </c>
      <c r="DN44" s="1">
        <f ca="1">OFFSET('Input data (2)'!BJ$126,'Input data (2)'!$BL$1-'Output data - DO NOT TOUCH (2)'!$CG44,0)</f>
        <v>353</v>
      </c>
      <c r="DO44" s="1">
        <f ca="1">OFFSET('Input data (2)'!BL$126,'Input data (2)'!$BL$1-'Output data - DO NOT TOUCH (2)'!$CG44,0)</f>
        <v>894</v>
      </c>
      <c r="DQ44" s="1">
        <f ca="1">OFFSET('Input data (2)'!BD$126,'Input data (2)'!$BL$1-'Output data - DO NOT TOUCH (2)'!$CG44,0)</f>
        <v>66</v>
      </c>
      <c r="DR44" s="1">
        <f ca="1">OFFSET('Input data (2)'!BE$126,'Input data (2)'!$BL$1-'Output data - DO NOT TOUCH (2)'!$CG44,0)</f>
        <v>39</v>
      </c>
      <c r="DS44" s="1">
        <f ca="1">OFFSET('Input data (2)'!BF$126,'Input data (2)'!$BL$1-'Output data - DO NOT TOUCH (2)'!$CG44,0)</f>
        <v>105</v>
      </c>
      <c r="DU44" s="1">
        <f ca="1">OFFSET('Input data (2)'!B$126,'Input data (2)'!$BL$1-'Output data - DO NOT TOUCH (2)'!$CG44-1,0)</f>
        <v>2013</v>
      </c>
      <c r="DV44" s="1" t="str">
        <f ca="1">OFFSET('Input data (2)'!C$126,'Input data (2)'!$BL$1-'Output data - DO NOT TOUCH (2)'!$CG44-1,0)</f>
        <v>Q1</v>
      </c>
      <c r="DW44" s="1" t="str">
        <f t="shared" ca="1" si="14"/>
        <v>13</v>
      </c>
      <c r="DX44" s="1" t="str">
        <f t="shared" ca="1" si="15"/>
        <v>Q1 13</v>
      </c>
      <c r="DY44" s="1">
        <f ca="1">OFFSET('Input data (2)'!W$126,'Input data (2)'!$BL$1-'Output data - DO NOT TOUCH (2)'!$CG44-1,0)/1000</f>
        <v>1.6819999999999999</v>
      </c>
      <c r="DZ44" s="1">
        <f ca="1">OFFSET('Input data (2)'!Y$126,'Input data (2)'!$BL$1-'Output data - DO NOT TOUCH (2)'!$CG44-1,0)/1000</f>
        <v>4.9909999999999997</v>
      </c>
      <c r="EA44" s="1">
        <f ca="1">OFFSET('Input data (2)'!Q$126,'Input data (2)'!$BL$1-'Output data - DO NOT TOUCH (2)'!$CG44-1,0)/1000</f>
        <v>6.673</v>
      </c>
    </row>
    <row r="45" spans="1:131" x14ac:dyDescent="0.15">
      <c r="A45" s="1">
        <v>-1</v>
      </c>
      <c r="B45" s="1">
        <v>0</v>
      </c>
      <c r="C45" s="1">
        <v>1</v>
      </c>
      <c r="D45" s="1">
        <v>-2</v>
      </c>
      <c r="E45" s="1" t="str">
        <f>F45&amp;G45</f>
        <v>2009Q1</v>
      </c>
      <c r="F45" s="1">
        <f>F40+1</f>
        <v>2009</v>
      </c>
      <c r="G45" s="1" t="s">
        <v>1</v>
      </c>
      <c r="H45" s="1">
        <f>VLOOKUP($E45,'Input data (2)'!$A:$BL,'Output data - DO NOT TOUCH (2)'!H$71,FALSE)</f>
        <v>5110</v>
      </c>
      <c r="I45" s="1">
        <f>VLOOKUP($E45,'Input data (2)'!$A:$BL,'Output data - DO NOT TOUCH (2)'!I$71,FALSE)</f>
        <v>1555</v>
      </c>
      <c r="J45" s="1">
        <f>VLOOKUP($E45,'Input data (2)'!$A:$BL,'Output data - DO NOT TOUCH (2)'!J$71,FALSE)</f>
        <v>3555</v>
      </c>
      <c r="K45" s="1">
        <f>VLOOKUP($E45,'Input data (2)'!$A:$BL,'Output data - DO NOT TOUCH (2)'!K$71,FALSE)</f>
        <v>4883</v>
      </c>
      <c r="L45" s="1">
        <f>VLOOKUP($E45,'Input data (2)'!$A:$BL,'Output data - DO NOT TOUCH (2)'!L$71,FALSE)</f>
        <v>1522</v>
      </c>
      <c r="M45" s="1">
        <f>VLOOKUP($E45,'Input data (2)'!$A:$BL,'Output data - DO NOT TOUCH (2)'!M$71,FALSE)</f>
        <v>3361</v>
      </c>
      <c r="O45" s="119">
        <f ca="1">IF(AND('Input data (2)'!$C$2=4,$D28&gt;=0),OFFSET('Input data (2)'!O$126,'Input data (2)'!$BL$1-$D28,0),IF(AND('Input data (2)'!$C$2=3,$C28&gt;=0),OFFSET('Input data (2)'!O$126,'Input data (2)'!$BL$1-$C28,0),IF(AND('Input data (2)'!$C$2=2,$B28&gt;=0),OFFSET('Input data (2)'!O$126,'Input data (2)'!$BL$1-$B28,0),IF(AND('Input data (2)'!$C$2=1,$A28&gt;=0),OFFSET('Input data (2)'!O$126,'Input data (2)'!$BL$1-$A28,0),""))))</f>
        <v>340</v>
      </c>
      <c r="Q45" s="1">
        <f ca="1">IF(AND('Input data (2)'!$C$2=4,$D28&gt;=0),OFFSET('Input data (2)'!AC$126,'Input data (2)'!$BL$1-$D28,0),IF(AND('Input data (2)'!$C$2=3,$C28&gt;=0),OFFSET('Input data (2)'!AC$126,'Input data (2)'!$BL$1-$C28,0),IF(AND('Input data (2)'!$C$2=2,$B28&gt;=0),OFFSET('Input data (2)'!AC$126,'Input data (2)'!$BL$1-$B28,0),IF(AND('Input data (2)'!$C$2=1,$A28&gt;=0),OFFSET('Input data (2)'!AC$126,'Input data (2)'!$BL$1-$A28,0),""))))</f>
        <v>30253</v>
      </c>
      <c r="R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S45" s="1" t="str">
        <f ca="1">IF(AND('Input data (2)'!$C$2=4,$D28&gt;=0),OFFSET('Input data (2)'!R$126,'Input data (2)'!$BL$1-$D28,0),IF(AND('Input data (2)'!$C$2=3,$C28&gt;=0),OFFSET('Input data (2)'!R$126,'Input data (2)'!$BL$1-$C28,0),IF(AND('Input data (2)'!$C$2=2,$B28&gt;=0),OFFSET('Input data (2)'!R$126,'Input data (2)'!$BL$1-$B28,0),IF(AND('Input data (2)'!$C$2=1,$A28&gt;=0),OFFSET('Input data (2)'!R$126,'Input data (2)'!$BL$1-$A28,0),""))))</f>
        <v>:</v>
      </c>
      <c r="T45" s="1">
        <f ca="1">IF(AND('Input data (2)'!$C$2=4,$D28&gt;=0),OFFSET('Input data (2)'!AA$126,'Input data (2)'!$BL$1-$D28,0),IF(AND('Input data (2)'!$C$2=3,$C28&gt;=0),OFFSET('Input data (2)'!AA$126,'Input data (2)'!$BL$1-$C28,0),IF(AND('Input data (2)'!$C$2=2,$B28&gt;=0),OFFSET('Input data (2)'!AA$126,'Input data (2)'!$BL$1-$B28,0),IF(AND('Input data (2)'!$C$2=1,$A28&gt;=0),OFFSET('Input data (2)'!AA$126,'Input data (2)'!$BL$1-$A28,0),""))))</f>
        <v>9807</v>
      </c>
      <c r="U45" s="1">
        <f ca="1">IF(AND('Input data (2)'!$C$2=4,$D28&gt;=0),OFFSET('Input data (2)'!AL$126,'Input data (2)'!$BL$1-$D28,0),IF(AND('Input data (2)'!$C$2=3,$C28&gt;=0),OFFSET('Input data (2)'!AL$126,'Input data (2)'!$BL$1-$C28,0),IF(AND('Input data (2)'!$C$2=2,$B28&gt;=0),OFFSET('Input data (2)'!AL$126,'Input data (2)'!$BL$1-$B28,0),IF(AND('Input data (2)'!$C$2=1,$A28&gt;=0),OFFSET('Input data (2)'!AL$126,'Input data (2)'!$BL$1-$A28,0),""))))</f>
        <v>29680</v>
      </c>
      <c r="V45" s="1">
        <f ca="1">IF(AND('Input data (2)'!$C$2=4,$D28&gt;=0),OFFSET('Input data (2)'!AJ$126,'Input data (2)'!$BL$1-$D28,0),IF(AND('Input data (2)'!$C$2=3,$C28&gt;=0),OFFSET('Input data (2)'!AJ$126,'Input data (2)'!$BL$1-$C28,0),IF(AND('Input data (2)'!$C$2=2,$B28&gt;=0),OFFSET('Input data (2)'!AJ$126,'Input data (2)'!$BL$1-$B28,0),IF(AND('Input data (2)'!$C$2=1,$A28&gt;=0),OFFSET('Input data (2)'!AJ$126,'Input data (2)'!$BL$1-$A28,0),""))))</f>
        <v>18958</v>
      </c>
      <c r="W45" s="1">
        <f ca="1">IF(AND('Input data (2)'!$C$2=4,$D28&gt;=0),OFFSET('Input data (2)'!AK$126,'Input data (2)'!$BL$1-$D28,0),IF(AND('Input data (2)'!$C$2=3,$C28&gt;=0),OFFSET('Input data (2)'!AK$126,'Input data (2)'!$BL$1-$C28,0),IF(AND('Input data (2)'!$C$2=2,$B28&gt;=0),OFFSET('Input data (2)'!AK$126,'Input data (2)'!$BL$1-$B28,0),IF(AND('Input data (2)'!$C$2=1,$A28&gt;=0),OFFSET('Input data (2)'!AK$126,'Input data (2)'!$BL$1-$A28,0),""))))</f>
        <v>10722</v>
      </c>
      <c r="Y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Z45" s="1">
        <f ca="1">IF(AND('Input data (2)'!$C$2=4,$D28&gt;=0),OFFSET('Input data (2)'!S$126,'Input data (2)'!$BL$1-$D28,0),IF(AND('Input data (2)'!$C$2=3,$C28&gt;=0),OFFSET('Input data (2)'!S$126,'Input data (2)'!$BL$1-$C28,0),IF(AND('Input data (2)'!$C$2=2,$B28&gt;=0),OFFSET('Input data (2)'!S$126,'Input data (2)'!$BL$1-$B28,0),IF(AND('Input data (2)'!$C$2=1,$A28&gt;=0),OFFSET('Input data (2)'!S$126,'Input data (2)'!$BL$1-$A28,0),""))))</f>
        <v>17606</v>
      </c>
      <c r="AA45" s="1">
        <f ca="1">IF(AND('Input data (2)'!$C$2=4,$D28&gt;=0),OFFSET('Input data (2)'!T$126,'Input data (2)'!$BL$1-$D28,0),IF(AND('Input data (2)'!$C$2=3,$C28&gt;=0),OFFSET('Input data (2)'!T$126,'Input data (2)'!$BL$1-$C28,0),IF(AND('Input data (2)'!$C$2=2,$B28&gt;=0),OFFSET('Input data (2)'!T$126,'Input data (2)'!$BL$1-$B28,0),IF(AND('Input data (2)'!$C$2=1,$A28&gt;=0),OFFSET('Input data (2)'!T$126,'Input data (2)'!$BL$1-$A28,0),""))))</f>
        <v>86.109752518830078</v>
      </c>
      <c r="AB45" s="1">
        <f ca="1">IF(AND('Input data (2)'!$C$2=4,$D28&gt;=0),OFFSET('Input data (2)'!U$126,'Input data (2)'!$BL$1-$D28,0),IF(AND('Input data (2)'!$C$2=3,$C28&gt;=0),OFFSET('Input data (2)'!U$126,'Input data (2)'!$BL$1-$C28,0),IF(AND('Input data (2)'!$C$2=2,$B28&gt;=0),OFFSET('Input data (2)'!U$126,'Input data (2)'!$BL$1-$B28,0),IF(AND('Input data (2)'!$C$2=1,$A28&gt;=0),OFFSET('Input data (2)'!U$126,'Input data (2)'!$BL$1-$A28,0),""))))</f>
        <v>2840</v>
      </c>
      <c r="AC45" s="1">
        <f ca="1">IF(AND('Input data (2)'!$C$2=4,$D28&gt;=0),OFFSET('Input data (2)'!V$126,'Input data (2)'!$BL$1-$D28,0),IF(AND('Input data (2)'!$C$2=3,$C28&gt;=0),OFFSET('Input data (2)'!V$126,'Input data (2)'!$BL$1-$C28,0),IF(AND('Input data (2)'!$C$2=2,$B28&gt;=0),OFFSET('Input data (2)'!V$126,'Input data (2)'!$BL$1-$B28,0),IF(AND('Input data (2)'!$C$2=1,$A28&gt;=0),OFFSET('Input data (2)'!V$126,'Input data (2)'!$BL$1-$A28,0),""))))</f>
        <v>13.890247481169911</v>
      </c>
      <c r="AD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AE45" s="1">
        <f ca="1">IF(AND('Input data (2)'!$C$2=4,$D28&gt;=0),OFFSET('Input data (2)'!W$126,'Input data (2)'!$BL$1-$D28,0),IF(AND('Input data (2)'!$C$2=3,$C28&gt;=0),OFFSET('Input data (2)'!W$126,'Input data (2)'!$BL$1-$C28,0),IF(AND('Input data (2)'!$C$2=2,$B28&gt;=0),OFFSET('Input data (2)'!W$126,'Input data (2)'!$BL$1-$B28,0),IF(AND('Input data (2)'!$C$2=1,$A28&gt;=0),OFFSET('Input data (2)'!W$126,'Input data (2)'!$BL$1-$A28,0),""))))</f>
        <v>2798</v>
      </c>
      <c r="AF45" s="1">
        <f ca="1">IF(AND('Input data (2)'!$C$2=4,$D28&gt;=0),OFFSET('Input data (2)'!X$126,'Input data (2)'!$BL$1-$D28,0),IF(AND('Input data (2)'!$C$2=3,$C28&gt;=0),OFFSET('Input data (2)'!X$126,'Input data (2)'!$BL$1-$C28,0),IF(AND('Input data (2)'!$C$2=2,$B28&gt;=0),OFFSET('Input data (2)'!X$126,'Input data (2)'!$BL$1-$B28,0),IF(AND('Input data (2)'!$C$2=1,$A28&gt;=0),OFFSET('Input data (2)'!X$126,'Input data (2)'!$BL$1-$A28,0),""))))</f>
        <v>13.684828328279369</v>
      </c>
      <c r="AG45" s="1">
        <f ca="1">IF(AND('Input data (2)'!$C$2=4,$D28&gt;=0),OFFSET('Input data (2)'!Y$126,'Input data (2)'!$BL$1-$D28,0),IF(AND('Input data (2)'!$C$2=3,$C28&gt;=0),OFFSET('Input data (2)'!Y$126,'Input data (2)'!$BL$1-$C28,0),IF(AND('Input data (2)'!$C$2=2,$B28&gt;=0),OFFSET('Input data (2)'!Y$126,'Input data (2)'!$BL$1-$B28,0),IF(AND('Input data (2)'!$C$2=1,$A28&gt;=0),OFFSET('Input data (2)'!Y$126,'Input data (2)'!$BL$1-$A28,0),""))))</f>
        <v>17648</v>
      </c>
      <c r="AH45" s="1">
        <f ca="1">IF(AND('Input data (2)'!$C$2=4,$D28&gt;=0),OFFSET('Input data (2)'!Z$126,'Input data (2)'!$BL$1-$D28,0),IF(AND('Input data (2)'!$C$2=3,$C28&gt;=0),OFFSET('Input data (2)'!Z$126,'Input data (2)'!$BL$1-$C28,0),IF(AND('Input data (2)'!$C$2=2,$B28&gt;=0),OFFSET('Input data (2)'!Z$126,'Input data (2)'!$BL$1-$B28,0),IF(AND('Input data (2)'!$C$2=1,$A28&gt;=0),OFFSET('Input data (2)'!Z$126,'Input data (2)'!$BL$1-$A28,0),""))))</f>
        <v>86.31517167172062</v>
      </c>
      <c r="AI45" s="3"/>
      <c r="AJ45" s="124">
        <f ca="1">IF(AND('Input data (2)'!$C$2=4,$D28&gt;=0),OFFSET('Input data (2)'!AF$126,'Input data (2)'!$BL$1-$D28,0),IF(AND('Input data (2)'!$C$2=3,$C28&gt;=0),OFFSET('Input data (2)'!AF$126,'Input data (2)'!$BL$1-$C28,0),IF(AND('Input data (2)'!$C$2=2,$B28&gt;=0),OFFSET('Input data (2)'!AF$126,'Input data (2)'!$BL$1-$B28,0),IF(AND('Input data (2)'!$C$2=1,$A28&gt;=0),OFFSET('Input data (2)'!AF$126,'Input data (2)'!$BL$1-$A28,0),""))))</f>
        <v>2351</v>
      </c>
      <c r="AK45" s="124">
        <f ca="1">IF(AND('Input data (2)'!$C$2=4,$D28&gt;=0),OFFSET('Input data (2)'!AD$126,'Input data (2)'!$BL$1-$D28,0),IF(AND('Input data (2)'!$C$2=3,$C28&gt;=0),OFFSET('Input data (2)'!AD$126,'Input data (2)'!$BL$1-$C28,0),IF(AND('Input data (2)'!$C$2=2,$B28&gt;=0),OFFSET('Input data (2)'!AD$126,'Input data (2)'!$BL$1-$B28,0),IF(AND('Input data (2)'!$C$2=1,$A28&gt;=0),OFFSET('Input data (2)'!AD$126,'Input data (2)'!$BL$1-$A28,0),""))))</f>
        <v>19</v>
      </c>
      <c r="AL45" s="124">
        <f ca="1">IF(AND('Input data (2)'!$C$2=4,$D28&gt;=0),OFFSET('Input data (2)'!AE$126,'Input data (2)'!$BL$1-$D28,0),IF(AND('Input data (2)'!$C$2=3,$C28&gt;=0),OFFSET('Input data (2)'!AE$126,'Input data (2)'!$BL$1-$C28,0),IF(AND('Input data (2)'!$C$2=2,$B28&gt;=0),OFFSET('Input data (2)'!AE$126,'Input data (2)'!$BL$1-$B28,0),IF(AND('Input data (2)'!$C$2=1,$A28&gt;=0),OFFSET('Input data (2)'!AE$126,'Input data (2)'!$BL$1-$A28,0),""))))</f>
        <v>2332</v>
      </c>
      <c r="AW45" s="1">
        <f ca="1">IF(AND('Input data (2)'!$C$2=4,$D28&gt;=0),OFFSET('Input data (2)'!L$126,'Input data (2)'!$BL$1-$D28,0),IF(AND('Input data (2)'!$C$2=3,$C28&gt;=0),OFFSET('Input data (2)'!L$126,'Input data (2)'!$BL$1-$C28,0),IF(AND('Input data (2)'!$C$2=2,$B28&gt;=0),OFFSET('Input data (2)'!L$126,'Input data (2)'!$BL$1-$B28,0),IF(AND('Input data (2)'!$C$2=1,$A28&gt;=0),OFFSET('Input data (2)'!L$126,'Input data (2)'!$BL$1-$A28,0),""))))</f>
        <v>316</v>
      </c>
      <c r="AX45" s="1">
        <f ca="1">IF(AND('Input data (2)'!$C$2=4,$D28&gt;=0),OFFSET('Input data (2)'!M$126,'Input data (2)'!$BL$1-$D28,0),IF(AND('Input data (2)'!$C$2=3,$C28&gt;=0),OFFSET('Input data (2)'!M$126,'Input data (2)'!$BL$1-$C28,0),IF(AND('Input data (2)'!$C$2=2,$B28&gt;=0),OFFSET('Input data (2)'!M$126,'Input data (2)'!$BL$1-$B28,0),IF(AND('Input data (2)'!$C$2=1,$A28&gt;=0),OFFSET('Input data (2)'!M$126,'Input data (2)'!$BL$1-$A28,0),""))))</f>
        <v>0</v>
      </c>
      <c r="AY45" s="1">
        <f ca="1">IF(AND('Input data (2)'!$C$2=4,$D28&gt;=0),OFFSET('Input data (2)'!N$126,'Input data (2)'!$BL$1-$D28,0),IF(AND('Input data (2)'!$C$2=3,$C28&gt;=0),OFFSET('Input data (2)'!N$126,'Input data (2)'!$BL$1-$C28,0),IF(AND('Input data (2)'!$C$2=2,$B28&gt;=0),OFFSET('Input data (2)'!N$126,'Input data (2)'!$BL$1-$B28,0),IF(AND('Input data (2)'!$C$2=1,$A28&gt;=0),OFFSET('Input data (2)'!N$126,'Input data (2)'!$BL$1-$A28,0),""))))</f>
        <v>1311</v>
      </c>
      <c r="AZ45" s="1">
        <f ca="1">IF(AND('Input data (2)'!$C$2=4,$D28&gt;=0),OFFSET('Input data (2)'!P$126,'Input data (2)'!$BL$1-$D28,0),IF(AND('Input data (2)'!$C$2=3,$C28&gt;=0),OFFSET('Input data (2)'!P$126,'Input data (2)'!$BL$1-$C28,0),IF(AND('Input data (2)'!$C$2=2,$B28&gt;=0),OFFSET('Input data (2)'!P$126,'Input data (2)'!$BL$1-$B28,0),IF(AND('Input data (2)'!$C$2=1,$A28&gt;=0),OFFSET('Input data (2)'!P$126,'Input data (2)'!$BL$1-$A28,0),""))))</f>
        <v>156</v>
      </c>
      <c r="BB45" s="1">
        <f ca="1">IF(AND('Input data (2)'!$C$2=4,$D28&gt;=0),OFFSET('Input data (2)'!BB$126,'Input data (2)'!$BL$1-$D28,0),IF(AND('Input data (2)'!$C$2=3,$C28&gt;=0),OFFSET('Input data (2)'!BB$126,'Input data (2)'!$BL$1-$C28,0),IF(AND('Input data (2)'!$C$2=2,$B28&gt;=0),OFFSET('Input data (2)'!BB$126,'Input data (2)'!$BL$1-$B28,0),IF(AND('Input data (2)'!$C$2=1,$A28&gt;=0),OFFSET('Input data (2)'!BB$126,'Input data (2)'!$BL$1-$A28,0),""))))</f>
        <v>5743</v>
      </c>
      <c r="BC45" s="1">
        <f ca="1">IF(AND('Input data (2)'!$C$2=4,$D28&gt;=0),OFFSET('Input data (2)'!AY$126,'Input data (2)'!$BL$1-$D28,0),IF(AND('Input data (2)'!$C$2=3,$C28&gt;=0),OFFSET('Input data (2)'!AY$126,'Input data (2)'!$BL$1-$C28,0),IF(AND('Input data (2)'!$C$2=2,$B28&gt;=0),OFFSET('Input data (2)'!AY$126,'Input data (2)'!$BL$1-$B28,0),IF(AND('Input data (2)'!$C$2=1,$A28&gt;=0),OFFSET('Input data (2)'!AY$126,'Input data (2)'!$BL$1-$A28,0),""))))</f>
        <v>3772</v>
      </c>
      <c r="BD45" s="1">
        <f ca="1">IF(AND('Input data (2)'!$C$2=4,$D28&gt;=0),OFFSET('Input data (2)'!AZ$126,'Input data (2)'!$BL$1-$D28,0),IF(AND('Input data (2)'!$C$2=3,$C28&gt;=0),OFFSET('Input data (2)'!AZ$126,'Input data (2)'!$BL$1-$C28,0),IF(AND('Input data (2)'!$C$2=2,$B28&gt;=0),OFFSET('Input data (2)'!AZ$126,'Input data (2)'!$BL$1-$B28,0),IF(AND('Input data (2)'!$C$2=1,$A28&gt;=0),OFFSET('Input data (2)'!AZ$126,'Input data (2)'!$BL$1-$A28,0),""))))</f>
        <v>2284</v>
      </c>
      <c r="BE45" s="1">
        <f ca="1">IF(AND('Input data (2)'!$C$2=4,$D28&gt;=0),OFFSET('Input data (2)'!BA$126,'Input data (2)'!$BL$1-$D28,0),IF(AND('Input data (2)'!$C$2=3,$C28&gt;=0),OFFSET('Input data (2)'!BA$126,'Input data (2)'!$BL$1-$C28,0),IF(AND('Input data (2)'!$C$2=2,$B28&gt;=0),OFFSET('Input data (2)'!BA$126,'Input data (2)'!$BL$1-$B28,0),IF(AND('Input data (2)'!$C$2=1,$A28&gt;=0),OFFSET('Input data (2)'!BA$126,'Input data (2)'!$BL$1-$A28,0),""))))</f>
        <v>1971</v>
      </c>
      <c r="BF45" s="1">
        <f ca="1">IF(AND('Input data (2)'!$C$2=4,$D28&gt;=0),OFFSET('Input data (2)'!AP$126,'Input data (2)'!$BL$1-$D28,0),IF(AND('Input data (2)'!$C$2=3,$C28&gt;=0),OFFSET('Input data (2)'!AP$126,'Input data (2)'!$BL$1-$C28,0),IF(AND('Input data (2)'!$C$2=2,$B28&gt;=0),OFFSET('Input data (2)'!AP$126,'Input data (2)'!$BL$1-$B28,0),IF(AND('Input data (2)'!$C$2=1,$A28&gt;=0),OFFSET('Input data (2)'!AP$126,'Input data (2)'!$BL$1-$A28,0),""))))</f>
        <v>161</v>
      </c>
      <c r="BG45" s="1">
        <f ca="1">IF(AND('Input data (2)'!$C$2=4,$D28&gt;=0),OFFSET('Input data (2)'!AN$126,'Input data (2)'!$BL$1-$D28,0),IF(AND('Input data (2)'!$C$2=3,$C28&gt;=0),OFFSET('Input data (2)'!AN$126,'Input data (2)'!$BL$1-$C28,0),IF(AND('Input data (2)'!$C$2=2,$B28&gt;=0),OFFSET('Input data (2)'!AN$126,'Input data (2)'!$BL$1-$B28,0),IF(AND('Input data (2)'!$C$2=1,$A28&gt;=0),OFFSET('Input data (2)'!AN$126,'Input data (2)'!$BL$1-$A28,0),""))))</f>
        <v>124</v>
      </c>
      <c r="BH45" s="1">
        <f ca="1">IF(AND('Input data (2)'!$C$2=4,$D28&gt;=0),OFFSET('Input data (2)'!AO$126,'Input data (2)'!$BL$1-$D28,0),IF(AND('Input data (2)'!$C$2=3,$C28&gt;=0),OFFSET('Input data (2)'!AO$126,'Input data (2)'!$BL$1-$C28,0),IF(AND('Input data (2)'!$C$2=2,$B28&gt;=0),OFFSET('Input data (2)'!AO$126,'Input data (2)'!$BL$1-$B28,0),IF(AND('Input data (2)'!$C$2=1,$A28&gt;=0),OFFSET('Input data (2)'!AO$126,'Input data (2)'!$BL$1-$A28,0),""))))</f>
        <v>37</v>
      </c>
      <c r="BJ45" s="1">
        <f ca="1">IF(AND('Input data (2)'!$C$2=4,$D28&gt;=0),OFFSET('Input data (2)'!AU$126,'Input data (2)'!$BL$1-$D28,0),IF(AND('Input data (2)'!$C$2=3,$C28&gt;=0),OFFSET('Input data (2)'!AU$126,'Input data (2)'!$BL$1-$C28,0),IF(AND('Input data (2)'!$C$2=2,$B28&gt;=0),OFFSET('Input data (2)'!AU$126,'Input data (2)'!$BL$1-$B28,0),IF(AND('Input data (2)'!$C$2=1,$A28&gt;=0),OFFSET('Input data (2)'!AU$126,'Input data (2)'!$BL$1-$A28,0),""))))</f>
        <v>9</v>
      </c>
      <c r="BK45" s="1">
        <f ca="1">IF(AND('Input data (2)'!$C$2=4,$D28&gt;=0),OFFSET('Input data (2)'!AV$126,'Input data (2)'!$BL$1-$D28,0),IF(AND('Input data (2)'!$C$2=3,$C28&gt;=0),OFFSET('Input data (2)'!AV$126,'Input data (2)'!$BL$1-$C28,0),IF(AND('Input data (2)'!$C$2=2,$B28&gt;=0),OFFSET('Input data (2)'!AV$126,'Input data (2)'!$BL$1-$B28,0),IF(AND('Input data (2)'!$C$2=1,$A28&gt;=0),OFFSET('Input data (2)'!AV$126,'Input data (2)'!$BL$1-$A28,0),""))))</f>
        <v>0</v>
      </c>
      <c r="BL45" s="1">
        <f ca="1">IF(AND('Input data (2)'!$C$2=4,$D28&gt;=0),OFFSET('Input data (2)'!AW$126,'Input data (2)'!$BL$1-$D28,0),IF(AND('Input data (2)'!$C$2=3,$C28&gt;=0),OFFSET('Input data (2)'!AW$126,'Input data (2)'!$BL$1-$C28,0),IF(AND('Input data (2)'!$C$2=2,$B28&gt;=0),OFFSET('Input data (2)'!AW$126,'Input data (2)'!$BL$1-$B28,0),IF(AND('Input data (2)'!$C$2=1,$A28&gt;=0),OFFSET('Input data (2)'!AW$126,'Input data (2)'!$BL$1-$A28,0),""))))</f>
        <v>67</v>
      </c>
      <c r="BM45" s="1">
        <f ca="1">IF(AND('Input data (2)'!$C$2=4,$D28&gt;=0),OFFSET('Input data (2)'!AX$126,'Input data (2)'!$BL$1-$D28,0),IF(AND('Input data (2)'!$C$2=3,$C28&gt;=0),OFFSET('Input data (2)'!AX$126,'Input data (2)'!$BL$1-$C28,0),IF(AND('Input data (2)'!$C$2=2,$B28&gt;=0),OFFSET('Input data (2)'!AX$126,'Input data (2)'!$BL$1-$B28,0),IF(AND('Input data (2)'!$C$2=1,$A28&gt;=0),OFFSET('Input data (2)'!AX$126,'Input data (2)'!$BL$1-$A28,0),""))))</f>
        <v>2</v>
      </c>
      <c r="BO45" s="1">
        <f ca="1">IF(AND('Input data (2)'!$C$2=4,$D28&gt;=0),OFFSET('Input data (2)'!BL$126,'Input data (2)'!$BL$1-$D28,0),IF(AND('Input data (2)'!$C$2=3,$C28&gt;=0),OFFSET('Input data (2)'!BL$126,'Input data (2)'!$BL$1-$C28,0),IF(AND('Input data (2)'!$C$2=2,$B28&gt;=0),OFFSET('Input data (2)'!BL$126,'Input data (2)'!$BL$1-$B28,0),IF(AND('Input data (2)'!$C$2=1,$A28&gt;=0),OFFSET('Input data (2)'!BL$126,'Input data (2)'!$BL$1-$A28,0),""))))</f>
        <v>446</v>
      </c>
      <c r="BP45" s="1">
        <f ca="1">IF(AND('Input data (2)'!$C$2=4,$D28&gt;=0),OFFSET('Input data (2)'!BI$126,'Input data (2)'!$BL$1-$D28,0),IF(AND('Input data (2)'!$C$2=3,$C28&gt;=0),OFFSET('Input data (2)'!BI$126,'Input data (2)'!$BL$1-$C28,0),IF(AND('Input data (2)'!$C$2=2,$B28&gt;=0),OFFSET('Input data (2)'!BI$126,'Input data (2)'!$BL$1-$B28,0),IF(AND('Input data (2)'!$C$2=1,$A28&gt;=0),OFFSET('Input data (2)'!BI$126,'Input data (2)'!$BL$1-$A28,0),""))))</f>
        <v>302</v>
      </c>
      <c r="BQ45" s="1" t="str">
        <f ca="1">IF(AND('Input data (2)'!$C$2=4,$D28&gt;=0),OFFSET('Input data (2)'!BK$126,'Input data (2)'!$BL$1-$D28,0),IF(AND('Input data (2)'!$C$2=3,$C28&gt;=0),OFFSET('Input data (2)'!BK$126,'Input data (2)'!$BL$1-$C28,0),IF(AND('Input data (2)'!$C$2=2,$B28&gt;=0),OFFSET('Input data (2)'!BK$126,'Input data (2)'!$BL$1-$B28,0),IF(AND('Input data (2)'!$C$2=1,$A28&gt;=0),OFFSET('Input data (2)'!BK$126,'Input data (2)'!$BL$1-$A28,0),""))))</f>
        <v>..</v>
      </c>
      <c r="BR45" s="1">
        <f ca="1">IF(AND('Input data (2)'!$C$2=4,$D28&gt;=0),OFFSET('Input data (2)'!BJ$126,'Input data (2)'!$BL$1-$D28,0),IF(AND('Input data (2)'!$C$2=3,$C28&gt;=0),OFFSET('Input data (2)'!BJ$126,'Input data (2)'!$BL$1-$C28,0),IF(AND('Input data (2)'!$C$2=2,$B28&gt;=0),OFFSET('Input data (2)'!BJ$126,'Input data (2)'!$BL$1-$B28,0),IF(AND('Input data (2)'!$C$2=1,$A28&gt;=0),OFFSET('Input data (2)'!BJ$126,'Input data (2)'!$BL$1-$A28,0),""))))</f>
        <v>144</v>
      </c>
      <c r="BS45" s="1">
        <f ca="1">IF(AND('Input data (2)'!$C$2=4,$D28&gt;=0),OFFSET('Input data (2)'!BF$126,'Input data (2)'!$BL$1-$D28,0),IF(AND('Input data (2)'!$C$2=3,$C28&gt;=0),OFFSET('Input data (2)'!BF$126,'Input data (2)'!$BL$1-$C28,0),IF(AND('Input data (2)'!$C$2=2,$B28&gt;=0),OFFSET('Input data (2)'!BF$126,'Input data (2)'!$BL$1-$B28,0),IF(AND('Input data (2)'!$C$2=1,$A28&gt;=0),OFFSET('Input data (2)'!BF$126,'Input data (2)'!$BL$1-$A28,0),""))))</f>
        <v>57</v>
      </c>
      <c r="BT45" s="1">
        <f ca="1">IF(AND('Input data (2)'!$C$2=4,$D28&gt;=0),OFFSET('Input data (2)'!BD$126,'Input data (2)'!$BL$1-$D28,0),IF(AND('Input data (2)'!$C$2=3,$C28&gt;=0),OFFSET('Input data (2)'!BD$126,'Input data (2)'!$BL$1-$C28,0),IF(AND('Input data (2)'!$C$2=2,$B28&gt;=0),OFFSET('Input data (2)'!BD$126,'Input data (2)'!$BL$1-$B28,0),IF(AND('Input data (2)'!$C$2=1,$A28&gt;=0),OFFSET('Input data (2)'!BD$126,'Input data (2)'!$BL$1-$A28,0),""))))</f>
        <v>34</v>
      </c>
      <c r="BU45" s="1">
        <f ca="1">IF(AND('Input data (2)'!$C$2=4,$D28&gt;=0),OFFSET('Input data (2)'!BE$126,'Input data (2)'!$BL$1-$D28,0),IF(AND('Input data (2)'!$C$2=3,$C28&gt;=0),OFFSET('Input data (2)'!BE$126,'Input data (2)'!$BL$1-$C28,0),IF(AND('Input data (2)'!$C$2=2,$B28&gt;=0),OFFSET('Input data (2)'!BE$126,'Input data (2)'!$BL$1-$B28,0),IF(AND('Input data (2)'!$C$2=1,$A28&gt;=0),OFFSET('Input data (2)'!BE$126,'Input data (2)'!$BL$1-$A28,0),""))))</f>
        <v>23</v>
      </c>
      <c r="BW45" s="7">
        <f ca="1">IF(AND('Input data (2)'!$C$2=4,$D28&gt;=0),OFFSET('Input data (2)'!J$126,'Input data (2)'!$BL$1-$D28,0),IF(AND('Input data (2)'!$C$2=3,$C28&gt;=0),OFFSET('Input data (2)'!J$126,'Input data (2)'!$BL$1-$C28,0),IF(AND('Input data (2)'!$C$2=2,$B28&gt;=0),OFFSET('Input data (2)'!J$126,'Input data (2)'!$BL$1-$B28,0),IF(AND('Input data (2)'!$C$2=1,$A28&gt;=0),OFFSET('Input data (2)'!J$126,'Input data (2)'!$BL$1-$A28,0),""))))</f>
        <v>0.81003676805459035</v>
      </c>
      <c r="BX45" s="7">
        <f ca="1">IF(AND('Input data (2)'!$C$2=4,$D28&gt;=0),OFFSET('Input data (2)'!K$126,'Input data (2)'!$BL$1-$D28,0),IF(AND('Input data (2)'!$C$2=3,$C28&gt;=0),OFFSET('Input data (2)'!K$126,'Input data (2)'!$BL$1-$C28,0),IF(AND('Input data (2)'!$C$2=2,$B28&gt;=0),OFFSET('Input data (2)'!K$126,'Input data (2)'!$BL$1-$B28,0),IF(AND('Input data (2)'!$C$2=1,$A28&gt;=0),OFFSET('Input data (2)'!K$126,'Input data (2)'!$BL$1-$A28,0),""))))</f>
        <v>0.71254207251716728</v>
      </c>
      <c r="BY45" s="7">
        <f ca="1">IF(AND('Input data (2)'!$C$2=4,$D28&gt;=0),OFFSET('Input data (2)'!AS$126,'Input data (2)'!$BL$1-$D28,0),IF(AND('Input data (2)'!$C$2=3,$C28&gt;=0),OFFSET('Input data (2)'!AS$126,'Input data (2)'!$BL$1-$C28,0),IF(AND('Input data (2)'!$C$2=2,$B28&gt;=0),OFFSET('Input data (2)'!AS$126,'Input data (2)'!$BL$1-$B28,0),IF(AND('Input data (2)'!$C$2=1,$A28&gt;=0),OFFSET('Input data (2)'!AS$126,'Input data (2)'!$BL$1-$A28,0),""))))</f>
        <v>0.4418443528110737</v>
      </c>
      <c r="BZ45" s="7">
        <f ca="1">IF(AND('Input data (2)'!$C$2=4,$D28&gt;=0),OFFSET('Input data (2)'!AT$126,'Input data (2)'!$BL$1-$D28,0),IF(AND('Input data (2)'!$C$2=3,$C28&gt;=0),OFFSET('Input data (2)'!AT$126,'Input data (2)'!$BL$1-$C28,0),IF(AND('Input data (2)'!$C$2=2,$B28&gt;=0),OFFSET('Input data (2)'!AT$126,'Input data (2)'!$BL$1-$B28,0),IF(AND('Input data (2)'!$C$2=1,$A28&gt;=0),OFFSET('Input data (2)'!AT$126,'Input data (2)'!$BL$1-$A28,0),""))))</f>
        <v>0.39943407796158448</v>
      </c>
      <c r="CB45" s="122"/>
      <c r="CC45" s="122"/>
      <c r="CD45" s="122"/>
      <c r="CE45" s="122"/>
      <c r="CK45" s="1"/>
      <c r="CL45" s="1"/>
      <c r="CM45" s="1"/>
      <c r="CN45" s="1"/>
      <c r="CO45" s="1"/>
      <c r="CP45" s="1"/>
      <c r="DJ45" s="1"/>
      <c r="DK45" s="1"/>
      <c r="DL45" s="1"/>
    </row>
    <row r="46" spans="1:131" x14ac:dyDescent="0.15">
      <c r="A46" s="1">
        <v>-2</v>
      </c>
      <c r="B46" s="1">
        <v>-1</v>
      </c>
      <c r="C46" s="1">
        <v>0</v>
      </c>
      <c r="D46" s="1">
        <v>-3</v>
      </c>
      <c r="E46" s="1" t="str">
        <f>F46&amp;G46</f>
        <v>2009Q2</v>
      </c>
      <c r="F46" s="1">
        <f>F41+1</f>
        <v>2009</v>
      </c>
      <c r="G46" s="1" t="s">
        <v>2</v>
      </c>
      <c r="H46" s="1">
        <f>VLOOKUP($E46,'Input data (2)'!$A:$BL,'Output data - DO NOT TOUCH (2)'!H$71,FALSE)</f>
        <v>5059</v>
      </c>
      <c r="I46" s="1">
        <f>VLOOKUP($E46,'Input data (2)'!$A:$BL,'Output data - DO NOT TOUCH (2)'!I$71,FALSE)</f>
        <v>1520</v>
      </c>
      <c r="J46" s="1">
        <f>VLOOKUP($E46,'Input data (2)'!$A:$BL,'Output data - DO NOT TOUCH (2)'!J$71,FALSE)</f>
        <v>3539</v>
      </c>
      <c r="K46" s="1">
        <f>VLOOKUP($E46,'Input data (2)'!$A:$BL,'Output data - DO NOT TOUCH (2)'!K$71,FALSE)</f>
        <v>5033</v>
      </c>
      <c r="L46" s="1">
        <f>VLOOKUP($E46,'Input data (2)'!$A:$BL,'Output data - DO NOT TOUCH (2)'!L$71,FALSE)</f>
        <v>1517</v>
      </c>
      <c r="M46" s="1">
        <f>VLOOKUP($E46,'Input data (2)'!$A:$BL,'Output data - DO NOT TOUCH (2)'!M$71,FALSE)</f>
        <v>3516</v>
      </c>
      <c r="O46" s="119">
        <f ca="1">IF(AND('Input data (2)'!$C$2=4,$D29&gt;=0),OFFSET('Input data (2)'!O$126,'Input data (2)'!$BL$1-$D29,0),IF(AND('Input data (2)'!$C$2=3,$C29&gt;=0),OFFSET('Input data (2)'!O$126,'Input data (2)'!$BL$1-$C29,0),IF(AND('Input data (2)'!$C$2=2,$B29&gt;=0),OFFSET('Input data (2)'!O$126,'Input data (2)'!$BL$1-$B29,0),IF(AND('Input data (2)'!$C$2=1,$A29&gt;=0),OFFSET('Input data (2)'!O$126,'Input data (2)'!$BL$1-$A29,0),""))))</f>
        <v>370</v>
      </c>
      <c r="Q46" s="1">
        <f ca="1">IF(AND('Input data (2)'!$C$2=4,$D29&gt;=0),OFFSET('Input data (2)'!AC$126,'Input data (2)'!$BL$1-$D29,0),IF(AND('Input data (2)'!$C$2=3,$C29&gt;=0),OFFSET('Input data (2)'!AC$126,'Input data (2)'!$BL$1-$C29,0),IF(AND('Input data (2)'!$C$2=2,$B29&gt;=0),OFFSET('Input data (2)'!AC$126,'Input data (2)'!$BL$1-$B29,0),IF(AND('Input data (2)'!$C$2=1,$A29&gt;=0),OFFSET('Input data (2)'!AC$126,'Input data (2)'!$BL$1-$A29,0),""))))</f>
        <v>33073</v>
      </c>
      <c r="R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S46" s="1">
        <f ca="1">IF(AND('Input data (2)'!$C$2=4,$D29&gt;=0),OFFSET('Input data (2)'!R$126,'Input data (2)'!$BL$1-$D29,0),IF(AND('Input data (2)'!$C$2=3,$C29&gt;=0),OFFSET('Input data (2)'!R$126,'Input data (2)'!$BL$1-$C29,0),IF(AND('Input data (2)'!$C$2=2,$B29&gt;=0),OFFSET('Input data (2)'!R$126,'Input data (2)'!$BL$1-$B29,0),IF(AND('Input data (2)'!$C$2=1,$A29&gt;=0),OFFSET('Input data (2)'!R$126,'Input data (2)'!$BL$1-$A29,0),""))))</f>
        <v>1978</v>
      </c>
      <c r="T46" s="1">
        <f ca="1">IF(AND('Input data (2)'!$C$2=4,$D29&gt;=0),OFFSET('Input data (2)'!AA$126,'Input data (2)'!$BL$1-$D29,0),IF(AND('Input data (2)'!$C$2=3,$C29&gt;=0),OFFSET('Input data (2)'!AA$126,'Input data (2)'!$BL$1-$C29,0),IF(AND('Input data (2)'!$C$2=2,$B29&gt;=0),OFFSET('Input data (2)'!AA$126,'Input data (2)'!$BL$1-$B29,0),IF(AND('Input data (2)'!$C$2=1,$A29&gt;=0),OFFSET('Input data (2)'!AA$126,'Input data (2)'!$BL$1-$A29,0),""))))</f>
        <v>12225</v>
      </c>
      <c r="U46" s="1" t="str">
        <f ca="1">IF(AND('Input data (2)'!$C$2=4,$D29&gt;=0),OFFSET('Input data (2)'!AL$126,'Input data (2)'!$BL$1-$D29,0),IF(AND('Input data (2)'!$C$2=3,$C29&gt;=0),OFFSET('Input data (2)'!AL$126,'Input data (2)'!$BL$1-$C29,0),IF(AND('Input data (2)'!$C$2=2,$B29&gt;=0),OFFSET('Input data (2)'!AL$126,'Input data (2)'!$BL$1-$B29,0),IF(AND('Input data (2)'!$C$2=1,$A29&gt;=0),OFFSET('Input data (2)'!AL$126,'Input data (2)'!$BL$1-$A29,0),""))))</f>
        <v>:</v>
      </c>
      <c r="V46" s="1">
        <f ca="1">IF(AND('Input data (2)'!$C$2=4,$D29&gt;=0),OFFSET('Input data (2)'!AJ$126,'Input data (2)'!$BL$1-$D29,0),IF(AND('Input data (2)'!$C$2=3,$C29&gt;=0),OFFSET('Input data (2)'!AJ$126,'Input data (2)'!$BL$1-$C29,0),IF(AND('Input data (2)'!$C$2=2,$B29&gt;=0),OFFSET('Input data (2)'!AJ$126,'Input data (2)'!$BL$1-$B29,0),IF(AND('Input data (2)'!$C$2=1,$A29&gt;=0),OFFSET('Input data (2)'!AJ$126,'Input data (2)'!$BL$1-$A29,0),""))))</f>
        <v>19121</v>
      </c>
      <c r="W46" s="1">
        <f ca="1">IF(AND('Input data (2)'!$C$2=4,$D29&gt;=0),OFFSET('Input data (2)'!AK$126,'Input data (2)'!$BL$1-$D29,0),IF(AND('Input data (2)'!$C$2=3,$C29&gt;=0),OFFSET('Input data (2)'!AK$126,'Input data (2)'!$BL$1-$C29,0),IF(AND('Input data (2)'!$C$2=2,$B29&gt;=0),OFFSET('Input data (2)'!AK$126,'Input data (2)'!$BL$1-$B29,0),IF(AND('Input data (2)'!$C$2=1,$A29&gt;=0),OFFSET('Input data (2)'!AK$126,'Input data (2)'!$BL$1-$A29,0),""))))</f>
        <v>12033</v>
      </c>
      <c r="Y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Z46" s="1">
        <f ca="1">IF(AND('Input data (2)'!$C$2=4,$D29&gt;=0),OFFSET('Input data (2)'!S$126,'Input data (2)'!$BL$1-$D29,0),IF(AND('Input data (2)'!$C$2=3,$C29&gt;=0),OFFSET('Input data (2)'!S$126,'Input data (2)'!$BL$1-$C29,0),IF(AND('Input data (2)'!$C$2=2,$B29&gt;=0),OFFSET('Input data (2)'!S$126,'Input data (2)'!$BL$1-$B29,0),IF(AND('Input data (2)'!$C$2=1,$A29&gt;=0),OFFSET('Input data (2)'!S$126,'Input data (2)'!$BL$1-$A29,0),""))))</f>
        <v>16265</v>
      </c>
      <c r="AA46" s="1">
        <f ca="1">IF(AND('Input data (2)'!$C$2=4,$D29&gt;=0),OFFSET('Input data (2)'!T$126,'Input data (2)'!$BL$1-$D29,0),IF(AND('Input data (2)'!$C$2=3,$C29&gt;=0),OFFSET('Input data (2)'!T$126,'Input data (2)'!$BL$1-$C29,0),IF(AND('Input data (2)'!$C$2=2,$B29&gt;=0),OFFSET('Input data (2)'!T$126,'Input data (2)'!$BL$1-$B29,0),IF(AND('Input data (2)'!$C$2=1,$A29&gt;=0),OFFSET('Input data (2)'!T$126,'Input data (2)'!$BL$1-$A29,0),""))))</f>
        <v>86.19501854795972</v>
      </c>
      <c r="AB46" s="1">
        <f ca="1">IF(AND('Input data (2)'!$C$2=4,$D29&gt;=0),OFFSET('Input data (2)'!U$126,'Input data (2)'!$BL$1-$D29,0),IF(AND('Input data (2)'!$C$2=3,$C29&gt;=0),OFFSET('Input data (2)'!U$126,'Input data (2)'!$BL$1-$C29,0),IF(AND('Input data (2)'!$C$2=2,$B29&gt;=0),OFFSET('Input data (2)'!U$126,'Input data (2)'!$BL$1-$B29,0),IF(AND('Input data (2)'!$C$2=1,$A29&gt;=0),OFFSET('Input data (2)'!U$126,'Input data (2)'!$BL$1-$A29,0),""))))</f>
        <v>2605</v>
      </c>
      <c r="AC46" s="1">
        <f ca="1">IF(AND('Input data (2)'!$C$2=4,$D29&gt;=0),OFFSET('Input data (2)'!V$126,'Input data (2)'!$BL$1-$D29,0),IF(AND('Input data (2)'!$C$2=3,$C29&gt;=0),OFFSET('Input data (2)'!V$126,'Input data (2)'!$BL$1-$C29,0),IF(AND('Input data (2)'!$C$2=2,$B29&gt;=0),OFFSET('Input data (2)'!V$126,'Input data (2)'!$BL$1-$B29,0),IF(AND('Input data (2)'!$C$2=1,$A29&gt;=0),OFFSET('Input data (2)'!V$126,'Input data (2)'!$BL$1-$A29,0),""))))</f>
        <v>13.804981452040277</v>
      </c>
      <c r="AD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AE46" s="1">
        <f ca="1">IF(AND('Input data (2)'!$C$2=4,$D29&gt;=0),OFFSET('Input data (2)'!W$126,'Input data (2)'!$BL$1-$D29,0),IF(AND('Input data (2)'!$C$2=3,$C29&gt;=0),OFFSET('Input data (2)'!W$126,'Input data (2)'!$BL$1-$C29,0),IF(AND('Input data (2)'!$C$2=2,$B29&gt;=0),OFFSET('Input data (2)'!W$126,'Input data (2)'!$BL$1-$B29,0),IF(AND('Input data (2)'!$C$2=1,$A29&gt;=0),OFFSET('Input data (2)'!W$126,'Input data (2)'!$BL$1-$A29,0),""))))</f>
        <v>2470</v>
      </c>
      <c r="AF46" s="1">
        <f ca="1">IF(AND('Input data (2)'!$C$2=4,$D29&gt;=0),OFFSET('Input data (2)'!X$126,'Input data (2)'!$BL$1-$D29,0),IF(AND('Input data (2)'!$C$2=3,$C29&gt;=0),OFFSET('Input data (2)'!X$126,'Input data (2)'!$BL$1-$C29,0),IF(AND('Input data (2)'!$C$2=2,$B29&gt;=0),OFFSET('Input data (2)'!X$126,'Input data (2)'!$BL$1-$B29,0),IF(AND('Input data (2)'!$C$2=1,$A29&gt;=0),OFFSET('Input data (2)'!X$126,'Input data (2)'!$BL$1-$A29,0),""))))</f>
        <v>13.089560148383677</v>
      </c>
      <c r="AG46" s="1">
        <f ca="1">IF(AND('Input data (2)'!$C$2=4,$D29&gt;=0),OFFSET('Input data (2)'!Y$126,'Input data (2)'!$BL$1-$D29,0),IF(AND('Input data (2)'!$C$2=3,$C29&gt;=0),OFFSET('Input data (2)'!Y$126,'Input data (2)'!$BL$1-$C29,0),IF(AND('Input data (2)'!$C$2=2,$B29&gt;=0),OFFSET('Input data (2)'!Y$126,'Input data (2)'!$BL$1-$B29,0),IF(AND('Input data (2)'!$C$2=1,$A29&gt;=0),OFFSET('Input data (2)'!Y$126,'Input data (2)'!$BL$1-$A29,0),""))))</f>
        <v>16400</v>
      </c>
      <c r="AH46" s="1">
        <f ca="1">IF(AND('Input data (2)'!$C$2=4,$D29&gt;=0),OFFSET('Input data (2)'!Z$126,'Input data (2)'!$BL$1-$D29,0),IF(AND('Input data (2)'!$C$2=3,$C29&gt;=0),OFFSET('Input data (2)'!Z$126,'Input data (2)'!$BL$1-$C29,0),IF(AND('Input data (2)'!$C$2=2,$B29&gt;=0),OFFSET('Input data (2)'!Z$126,'Input data (2)'!$BL$1-$B29,0),IF(AND('Input data (2)'!$C$2=1,$A29&gt;=0),OFFSET('Input data (2)'!Z$126,'Input data (2)'!$BL$1-$A29,0),""))))</f>
        <v>86.910439851616317</v>
      </c>
      <c r="AI46" s="3"/>
      <c r="AJ46" s="124">
        <f ca="1">IF(AND('Input data (2)'!$C$2=4,$D29&gt;=0),OFFSET('Input data (2)'!AF$126,'Input data (2)'!$BL$1-$D29,0),IF(AND('Input data (2)'!$C$2=3,$C29&gt;=0),OFFSET('Input data (2)'!AF$126,'Input data (2)'!$BL$1-$C29,0),IF(AND('Input data (2)'!$C$2=2,$B29&gt;=0),OFFSET('Input data (2)'!AF$126,'Input data (2)'!$BL$1-$B29,0),IF(AND('Input data (2)'!$C$2=1,$A29&gt;=0),OFFSET('Input data (2)'!AF$126,'Input data (2)'!$BL$1-$A29,0),""))))</f>
        <v>3121</v>
      </c>
      <c r="AK46" s="124">
        <f ca="1">IF(AND('Input data (2)'!$C$2=4,$D29&gt;=0),OFFSET('Input data (2)'!AD$126,'Input data (2)'!$BL$1-$D29,0),IF(AND('Input data (2)'!$C$2=3,$C29&gt;=0),OFFSET('Input data (2)'!AD$126,'Input data (2)'!$BL$1-$C29,0),IF(AND('Input data (2)'!$C$2=2,$B29&gt;=0),OFFSET('Input data (2)'!AD$126,'Input data (2)'!$BL$1-$B29,0),IF(AND('Input data (2)'!$C$2=1,$A29&gt;=0),OFFSET('Input data (2)'!AD$126,'Input data (2)'!$BL$1-$A29,0),""))))</f>
        <v>13</v>
      </c>
      <c r="AL46" s="124">
        <f ca="1">IF(AND('Input data (2)'!$C$2=4,$D29&gt;=0),OFFSET('Input data (2)'!AE$126,'Input data (2)'!$BL$1-$D29,0),IF(AND('Input data (2)'!$C$2=3,$C29&gt;=0),OFFSET('Input data (2)'!AE$126,'Input data (2)'!$BL$1-$C29,0),IF(AND('Input data (2)'!$C$2=2,$B29&gt;=0),OFFSET('Input data (2)'!AE$126,'Input data (2)'!$BL$1-$B29,0),IF(AND('Input data (2)'!$C$2=1,$A29&gt;=0),OFFSET('Input data (2)'!AE$126,'Input data (2)'!$BL$1-$A29,0),""))))</f>
        <v>3108</v>
      </c>
      <c r="AW46" s="1">
        <f ca="1">IF(AND('Input data (2)'!$C$2=4,$D29&gt;=0),OFFSET('Input data (2)'!L$126,'Input data (2)'!$BL$1-$D29,0),IF(AND('Input data (2)'!$C$2=3,$C29&gt;=0),OFFSET('Input data (2)'!L$126,'Input data (2)'!$BL$1-$C29,0),IF(AND('Input data (2)'!$C$2=2,$B29&gt;=0),OFFSET('Input data (2)'!L$126,'Input data (2)'!$BL$1-$B29,0),IF(AND('Input data (2)'!$C$2=1,$A29&gt;=0),OFFSET('Input data (2)'!L$126,'Input data (2)'!$BL$1-$A29,0),""))))</f>
        <v>345</v>
      </c>
      <c r="AX46" s="1">
        <f ca="1">IF(AND('Input data (2)'!$C$2=4,$D29&gt;=0),OFFSET('Input data (2)'!M$126,'Input data (2)'!$BL$1-$D29,0),IF(AND('Input data (2)'!$C$2=3,$C29&gt;=0),OFFSET('Input data (2)'!M$126,'Input data (2)'!$BL$1-$C29,0),IF(AND('Input data (2)'!$C$2=2,$B29&gt;=0),OFFSET('Input data (2)'!M$126,'Input data (2)'!$BL$1-$B29,0),IF(AND('Input data (2)'!$C$2=1,$A29&gt;=0),OFFSET('Input data (2)'!M$126,'Input data (2)'!$BL$1-$A29,0),""))))</f>
        <v>0</v>
      </c>
      <c r="AY46" s="1">
        <f ca="1">IF(AND('Input data (2)'!$C$2=4,$D29&gt;=0),OFFSET('Input data (2)'!N$126,'Input data (2)'!$BL$1-$D29,0),IF(AND('Input data (2)'!$C$2=3,$C29&gt;=0),OFFSET('Input data (2)'!N$126,'Input data (2)'!$BL$1-$C29,0),IF(AND('Input data (2)'!$C$2=2,$B29&gt;=0),OFFSET('Input data (2)'!N$126,'Input data (2)'!$BL$1-$B29,0),IF(AND('Input data (2)'!$C$2=1,$A29&gt;=0),OFFSET('Input data (2)'!N$126,'Input data (2)'!$BL$1-$A29,0),""))))</f>
        <v>1027</v>
      </c>
      <c r="AZ46" s="1">
        <f ca="1">IF(AND('Input data (2)'!$C$2=4,$D29&gt;=0),OFFSET('Input data (2)'!P$126,'Input data (2)'!$BL$1-$D29,0),IF(AND('Input data (2)'!$C$2=3,$C29&gt;=0),OFFSET('Input data (2)'!P$126,'Input data (2)'!$BL$1-$C29,0),IF(AND('Input data (2)'!$C$2=2,$B29&gt;=0),OFFSET('Input data (2)'!P$126,'Input data (2)'!$BL$1-$B29,0),IF(AND('Input data (2)'!$C$2=1,$A29&gt;=0),OFFSET('Input data (2)'!P$126,'Input data (2)'!$BL$1-$A29,0),""))))</f>
        <v>157</v>
      </c>
      <c r="BB46" s="1">
        <f ca="1">IF(AND('Input data (2)'!$C$2=4,$D29&gt;=0),OFFSET('Input data (2)'!BB$126,'Input data (2)'!$BL$1-$D29,0),IF(AND('Input data (2)'!$C$2=3,$C29&gt;=0),OFFSET('Input data (2)'!BB$126,'Input data (2)'!$BL$1-$C29,0),IF(AND('Input data (2)'!$C$2=2,$B29&gt;=0),OFFSET('Input data (2)'!BB$126,'Input data (2)'!$BL$1-$B29,0),IF(AND('Input data (2)'!$C$2=1,$A29&gt;=0),OFFSET('Input data (2)'!BB$126,'Input data (2)'!$BL$1-$A29,0),""))))</f>
        <v>6328</v>
      </c>
      <c r="BC46" s="1">
        <f ca="1">IF(AND('Input data (2)'!$C$2=4,$D29&gt;=0),OFFSET('Input data (2)'!AY$126,'Input data (2)'!$BL$1-$D29,0),IF(AND('Input data (2)'!$C$2=3,$C29&gt;=0),OFFSET('Input data (2)'!AY$126,'Input data (2)'!$BL$1-$C29,0),IF(AND('Input data (2)'!$C$2=2,$B29&gt;=0),OFFSET('Input data (2)'!AY$126,'Input data (2)'!$BL$1-$B29,0),IF(AND('Input data (2)'!$C$2=1,$A29&gt;=0),OFFSET('Input data (2)'!AY$126,'Input data (2)'!$BL$1-$A29,0),""))))</f>
        <v>3764</v>
      </c>
      <c r="BD46" s="1">
        <f ca="1">IF(AND('Input data (2)'!$C$2=4,$D29&gt;=0),OFFSET('Input data (2)'!AZ$126,'Input data (2)'!$BL$1-$D29,0),IF(AND('Input data (2)'!$C$2=3,$C29&gt;=0),OFFSET('Input data (2)'!AZ$126,'Input data (2)'!$BL$1-$C29,0),IF(AND('Input data (2)'!$C$2=2,$B29&gt;=0),OFFSET('Input data (2)'!AZ$126,'Input data (2)'!$BL$1-$B29,0),IF(AND('Input data (2)'!$C$2=1,$A29&gt;=0),OFFSET('Input data (2)'!AZ$126,'Input data (2)'!$BL$1-$A29,0),""))))</f>
        <v>2394</v>
      </c>
      <c r="BE46" s="1">
        <f ca="1">IF(AND('Input data (2)'!$C$2=4,$D29&gt;=0),OFFSET('Input data (2)'!BA$126,'Input data (2)'!$BL$1-$D29,0),IF(AND('Input data (2)'!$C$2=3,$C29&gt;=0),OFFSET('Input data (2)'!BA$126,'Input data (2)'!$BL$1-$C29,0),IF(AND('Input data (2)'!$C$2=2,$B29&gt;=0),OFFSET('Input data (2)'!BA$126,'Input data (2)'!$BL$1-$B29,0),IF(AND('Input data (2)'!$C$2=1,$A29&gt;=0),OFFSET('Input data (2)'!BA$126,'Input data (2)'!$BL$1-$A29,0),""))))</f>
        <v>2564</v>
      </c>
      <c r="BF46" s="1">
        <f ca="1">IF(AND('Input data (2)'!$C$2=4,$D29&gt;=0),OFFSET('Input data (2)'!AP$126,'Input data (2)'!$BL$1-$D29,0),IF(AND('Input data (2)'!$C$2=3,$C29&gt;=0),OFFSET('Input data (2)'!AP$126,'Input data (2)'!$BL$1-$C29,0),IF(AND('Input data (2)'!$C$2=2,$B29&gt;=0),OFFSET('Input data (2)'!AP$126,'Input data (2)'!$BL$1-$B29,0),IF(AND('Input data (2)'!$C$2=1,$A29&gt;=0),OFFSET('Input data (2)'!AP$126,'Input data (2)'!$BL$1-$A29,0),""))))</f>
        <v>146</v>
      </c>
      <c r="BG46" s="1">
        <f ca="1">IF(AND('Input data (2)'!$C$2=4,$D29&gt;=0),OFFSET('Input data (2)'!AN$126,'Input data (2)'!$BL$1-$D29,0),IF(AND('Input data (2)'!$C$2=3,$C29&gt;=0),OFFSET('Input data (2)'!AN$126,'Input data (2)'!$BL$1-$C29,0),IF(AND('Input data (2)'!$C$2=2,$B29&gt;=0),OFFSET('Input data (2)'!AN$126,'Input data (2)'!$BL$1-$B29,0),IF(AND('Input data (2)'!$C$2=1,$A29&gt;=0),OFFSET('Input data (2)'!AN$126,'Input data (2)'!$BL$1-$A29,0),""))))</f>
        <v>107</v>
      </c>
      <c r="BH46" s="1">
        <f ca="1">IF(AND('Input data (2)'!$C$2=4,$D29&gt;=0),OFFSET('Input data (2)'!AO$126,'Input data (2)'!$BL$1-$D29,0),IF(AND('Input data (2)'!$C$2=3,$C29&gt;=0),OFFSET('Input data (2)'!AO$126,'Input data (2)'!$BL$1-$C29,0),IF(AND('Input data (2)'!$C$2=2,$B29&gt;=0),OFFSET('Input data (2)'!AO$126,'Input data (2)'!$BL$1-$B29,0),IF(AND('Input data (2)'!$C$2=1,$A29&gt;=0),OFFSET('Input data (2)'!AO$126,'Input data (2)'!$BL$1-$A29,0),""))))</f>
        <v>39</v>
      </c>
      <c r="BJ46" s="1">
        <f ca="1">IF(AND('Input data (2)'!$C$2=4,$D29&gt;=0),OFFSET('Input data (2)'!AU$126,'Input data (2)'!$BL$1-$D29,0),IF(AND('Input data (2)'!$C$2=3,$C29&gt;=0),OFFSET('Input data (2)'!AU$126,'Input data (2)'!$BL$1-$C29,0),IF(AND('Input data (2)'!$C$2=2,$B29&gt;=0),OFFSET('Input data (2)'!AU$126,'Input data (2)'!$BL$1-$B29,0),IF(AND('Input data (2)'!$C$2=1,$A29&gt;=0),OFFSET('Input data (2)'!AU$126,'Input data (2)'!$BL$1-$A29,0),""))))</f>
        <v>8</v>
      </c>
      <c r="BK46" s="1">
        <f ca="1">IF(AND('Input data (2)'!$C$2=4,$D29&gt;=0),OFFSET('Input data (2)'!AV$126,'Input data (2)'!$BL$1-$D29,0),IF(AND('Input data (2)'!$C$2=3,$C29&gt;=0),OFFSET('Input data (2)'!AV$126,'Input data (2)'!$BL$1-$C29,0),IF(AND('Input data (2)'!$C$2=2,$B29&gt;=0),OFFSET('Input data (2)'!AV$126,'Input data (2)'!$BL$1-$B29,0),IF(AND('Input data (2)'!$C$2=1,$A29&gt;=0),OFFSET('Input data (2)'!AV$126,'Input data (2)'!$BL$1-$A29,0),""))))</f>
        <v>0</v>
      </c>
      <c r="BL46" s="1">
        <f ca="1">IF(AND('Input data (2)'!$C$2=4,$D29&gt;=0),OFFSET('Input data (2)'!AW$126,'Input data (2)'!$BL$1-$D29,0),IF(AND('Input data (2)'!$C$2=3,$C29&gt;=0),OFFSET('Input data (2)'!AW$126,'Input data (2)'!$BL$1-$C29,0),IF(AND('Input data (2)'!$C$2=2,$B29&gt;=0),OFFSET('Input data (2)'!AW$126,'Input data (2)'!$BL$1-$B29,0),IF(AND('Input data (2)'!$C$2=1,$A29&gt;=0),OFFSET('Input data (2)'!AW$126,'Input data (2)'!$BL$1-$A29,0),""))))</f>
        <v>30</v>
      </c>
      <c r="BM46" s="1">
        <f ca="1">IF(AND('Input data (2)'!$C$2=4,$D29&gt;=0),OFFSET('Input data (2)'!AX$126,'Input data (2)'!$BL$1-$D29,0),IF(AND('Input data (2)'!$C$2=3,$C29&gt;=0),OFFSET('Input data (2)'!AX$126,'Input data (2)'!$BL$1-$C29,0),IF(AND('Input data (2)'!$C$2=2,$B29&gt;=0),OFFSET('Input data (2)'!AX$126,'Input data (2)'!$BL$1-$B29,0),IF(AND('Input data (2)'!$C$2=1,$A29&gt;=0),OFFSET('Input data (2)'!AX$126,'Input data (2)'!$BL$1-$A29,0),""))))</f>
        <v>2</v>
      </c>
      <c r="BO46" s="1">
        <f ca="1">IF(AND('Input data (2)'!$C$2=4,$D29&gt;=0),OFFSET('Input data (2)'!BL$126,'Input data (2)'!$BL$1-$D29,0),IF(AND('Input data (2)'!$C$2=3,$C29&gt;=0),OFFSET('Input data (2)'!BL$126,'Input data (2)'!$BL$1-$C29,0),IF(AND('Input data (2)'!$C$2=2,$B29&gt;=0),OFFSET('Input data (2)'!BL$126,'Input data (2)'!$BL$1-$B29,0),IF(AND('Input data (2)'!$C$2=1,$A29&gt;=0),OFFSET('Input data (2)'!BL$126,'Input data (2)'!$BL$1-$A29,0),""))))</f>
        <v>560</v>
      </c>
      <c r="BP46" s="1">
        <f ca="1">IF(AND('Input data (2)'!$C$2=4,$D29&gt;=0),OFFSET('Input data (2)'!BI$126,'Input data (2)'!$BL$1-$D29,0),IF(AND('Input data (2)'!$C$2=3,$C29&gt;=0),OFFSET('Input data (2)'!BI$126,'Input data (2)'!$BL$1-$C29,0),IF(AND('Input data (2)'!$C$2=2,$B29&gt;=0),OFFSET('Input data (2)'!BI$126,'Input data (2)'!$BL$1-$B29,0),IF(AND('Input data (2)'!$C$2=1,$A29&gt;=0),OFFSET('Input data (2)'!BI$126,'Input data (2)'!$BL$1-$A29,0),""))))</f>
        <v>355</v>
      </c>
      <c r="BQ46" s="1" t="str">
        <f ca="1">IF(AND('Input data (2)'!$C$2=4,$D29&gt;=0),OFFSET('Input data (2)'!BK$126,'Input data (2)'!$BL$1-$D29,0),IF(AND('Input data (2)'!$C$2=3,$C29&gt;=0),OFFSET('Input data (2)'!BK$126,'Input data (2)'!$BL$1-$C29,0),IF(AND('Input data (2)'!$C$2=2,$B29&gt;=0),OFFSET('Input data (2)'!BK$126,'Input data (2)'!$BL$1-$B29,0),IF(AND('Input data (2)'!$C$2=1,$A29&gt;=0),OFFSET('Input data (2)'!BK$126,'Input data (2)'!$BL$1-$A29,0),""))))</f>
        <v>..</v>
      </c>
      <c r="BR46" s="1">
        <f ca="1">IF(AND('Input data (2)'!$C$2=4,$D29&gt;=0),OFFSET('Input data (2)'!BJ$126,'Input data (2)'!$BL$1-$D29,0),IF(AND('Input data (2)'!$C$2=3,$C29&gt;=0),OFFSET('Input data (2)'!BJ$126,'Input data (2)'!$BL$1-$C29,0),IF(AND('Input data (2)'!$C$2=2,$B29&gt;=0),OFFSET('Input data (2)'!BJ$126,'Input data (2)'!$BL$1-$B29,0),IF(AND('Input data (2)'!$C$2=1,$A29&gt;=0),OFFSET('Input data (2)'!BJ$126,'Input data (2)'!$BL$1-$A29,0),""))))</f>
        <v>205</v>
      </c>
      <c r="BS46" s="1">
        <f ca="1">IF(AND('Input data (2)'!$C$2=4,$D29&gt;=0),OFFSET('Input data (2)'!BF$126,'Input data (2)'!$BL$1-$D29,0),IF(AND('Input data (2)'!$C$2=3,$C29&gt;=0),OFFSET('Input data (2)'!BF$126,'Input data (2)'!$BL$1-$C29,0),IF(AND('Input data (2)'!$C$2=2,$B29&gt;=0),OFFSET('Input data (2)'!BF$126,'Input data (2)'!$BL$1-$B29,0),IF(AND('Input data (2)'!$C$2=1,$A29&gt;=0),OFFSET('Input data (2)'!BF$126,'Input data (2)'!$BL$1-$A29,0),""))))</f>
        <v>65</v>
      </c>
      <c r="BT46" s="1">
        <f ca="1">IF(AND('Input data (2)'!$C$2=4,$D29&gt;=0),OFFSET('Input data (2)'!BD$126,'Input data (2)'!$BL$1-$D29,0),IF(AND('Input data (2)'!$C$2=3,$C29&gt;=0),OFFSET('Input data (2)'!BD$126,'Input data (2)'!$BL$1-$C29,0),IF(AND('Input data (2)'!$C$2=2,$B29&gt;=0),OFFSET('Input data (2)'!BD$126,'Input data (2)'!$BL$1-$B29,0),IF(AND('Input data (2)'!$C$2=1,$A29&gt;=0),OFFSET('Input data (2)'!BD$126,'Input data (2)'!$BL$1-$A29,0),""))))</f>
        <v>46</v>
      </c>
      <c r="BU46" s="1">
        <f ca="1">IF(AND('Input data (2)'!$C$2=4,$D29&gt;=0),OFFSET('Input data (2)'!BE$126,'Input data (2)'!$BL$1-$D29,0),IF(AND('Input data (2)'!$C$2=3,$C29&gt;=0),OFFSET('Input data (2)'!BE$126,'Input data (2)'!$BL$1-$C29,0),IF(AND('Input data (2)'!$C$2=2,$B29&gt;=0),OFFSET('Input data (2)'!BE$126,'Input data (2)'!$BL$1-$B29,0),IF(AND('Input data (2)'!$C$2=1,$A29&gt;=0),OFFSET('Input data (2)'!BE$126,'Input data (2)'!$BL$1-$A29,0),""))))</f>
        <v>19</v>
      </c>
      <c r="BW46" s="7">
        <f ca="1">IF(AND('Input data (2)'!$C$2=4,$D29&gt;=0),OFFSET('Input data (2)'!J$126,'Input data (2)'!$BL$1-$D29,0),IF(AND('Input data (2)'!$C$2=3,$C29&gt;=0),OFFSET('Input data (2)'!J$126,'Input data (2)'!$BL$1-$C29,0),IF(AND('Input data (2)'!$C$2=2,$B29&gt;=0),OFFSET('Input data (2)'!J$126,'Input data (2)'!$BL$1-$B29,0),IF(AND('Input data (2)'!$C$2=1,$A29&gt;=0),OFFSET('Input data (2)'!J$126,'Input data (2)'!$BL$1-$A29,0),""))))</f>
        <v>0.89413077474388492</v>
      </c>
      <c r="BX46" s="7">
        <f ca="1">IF(AND('Input data (2)'!$C$2=4,$D29&gt;=0),OFFSET('Input data (2)'!K$126,'Input data (2)'!$BL$1-$D29,0),IF(AND('Input data (2)'!$C$2=3,$C29&gt;=0),OFFSET('Input data (2)'!K$126,'Input data (2)'!$BL$1-$C29,0),IF(AND('Input data (2)'!$C$2=2,$B29&gt;=0),OFFSET('Input data (2)'!K$126,'Input data (2)'!$BL$1-$B29,0),IF(AND('Input data (2)'!$C$2=1,$A29&gt;=0),OFFSET('Input data (2)'!K$126,'Input data (2)'!$BL$1-$A29,0),""))))</f>
        <v>0.77533856573693305</v>
      </c>
      <c r="BY46" s="7">
        <f ca="1">IF(AND('Input data (2)'!$C$2=4,$D29&gt;=0),OFFSET('Input data (2)'!AS$126,'Input data (2)'!$BL$1-$D29,0),IF(AND('Input data (2)'!$C$2=3,$C29&gt;=0),OFFSET('Input data (2)'!AS$126,'Input data (2)'!$BL$1-$C29,0),IF(AND('Input data (2)'!$C$2=2,$B29&gt;=0),OFFSET('Input data (2)'!AS$126,'Input data (2)'!$BL$1-$B29,0),IF(AND('Input data (2)'!$C$2=1,$A29&gt;=0),OFFSET('Input data (2)'!AS$126,'Input data (2)'!$BL$1-$A29,0),""))))</f>
        <v>0.45284163816916456</v>
      </c>
      <c r="BZ46" s="7">
        <f ca="1">IF(AND('Input data (2)'!$C$2=4,$D29&gt;=0),OFFSET('Input data (2)'!AT$126,'Input data (2)'!$BL$1-$D29,0),IF(AND('Input data (2)'!$C$2=3,$C29&gt;=0),OFFSET('Input data (2)'!AT$126,'Input data (2)'!$BL$1-$C29,0),IF(AND('Input data (2)'!$C$2=2,$B29&gt;=0),OFFSET('Input data (2)'!AT$126,'Input data (2)'!$BL$1-$B29,0),IF(AND('Input data (2)'!$C$2=1,$A29&gt;=0),OFFSET('Input data (2)'!AT$126,'Input data (2)'!$BL$1-$A29,0),""))))</f>
        <v>0.40726736898116639</v>
      </c>
      <c r="CB46" s="122"/>
      <c r="CC46" s="122"/>
      <c r="CD46" s="122"/>
      <c r="CE46" s="122"/>
      <c r="CK46" s="1"/>
      <c r="CL46" s="1"/>
      <c r="CM46" s="1"/>
      <c r="CN46" s="1"/>
      <c r="CO46" s="1"/>
      <c r="CP46" s="1"/>
    </row>
    <row r="47" spans="1:131" x14ac:dyDescent="0.15">
      <c r="E47" s="1" t="str">
        <f>F47&amp;G47</f>
        <v>2009Q3</v>
      </c>
      <c r="F47" s="1">
        <f>F42+1</f>
        <v>2009</v>
      </c>
      <c r="G47" s="1" t="s">
        <v>3</v>
      </c>
      <c r="H47" s="1">
        <f>VLOOKUP($E47,'Input data (2)'!$A:$BL,'Output data - DO NOT TOUCH (2)'!H$71,FALSE)</f>
        <v>4536</v>
      </c>
      <c r="I47" s="1">
        <f>VLOOKUP($E47,'Input data (2)'!$A:$BL,'Output data - DO NOT TOUCH (2)'!I$71,FALSE)</f>
        <v>1253</v>
      </c>
      <c r="J47" s="1">
        <f>VLOOKUP($E47,'Input data (2)'!$A:$BL,'Output data - DO NOT TOUCH (2)'!J$71,FALSE)</f>
        <v>3283</v>
      </c>
      <c r="K47" s="1">
        <f>VLOOKUP($E47,'Input data (2)'!$A:$BL,'Output data - DO NOT TOUCH (2)'!K$71,FALSE)</f>
        <v>4641</v>
      </c>
      <c r="L47" s="1">
        <f>VLOOKUP($E47,'Input data (2)'!$A:$BL,'Output data - DO NOT TOUCH (2)'!L$71,FALSE)</f>
        <v>1305</v>
      </c>
      <c r="M47" s="1">
        <f>VLOOKUP($E47,'Input data (2)'!$A:$BL,'Output data - DO NOT TOUCH (2)'!M$71,FALSE)</f>
        <v>3336</v>
      </c>
      <c r="O47" s="119">
        <f ca="1">IF(AND('Input data (2)'!$C$2=4,$D30&gt;=0),OFFSET('Input data (2)'!O$126,'Input data (2)'!$BL$1-$D30,0),IF(AND('Input data (2)'!$C$2=3,$C30&gt;=0),OFFSET('Input data (2)'!O$126,'Input data (2)'!$BL$1-$C30,0),IF(AND('Input data (2)'!$C$2=2,$B30&gt;=0),OFFSET('Input data (2)'!O$126,'Input data (2)'!$BL$1-$B30,0),IF(AND('Input data (2)'!$C$2=1,$A30&gt;=0),OFFSET('Input data (2)'!O$126,'Input data (2)'!$BL$1-$A30,0),""))))</f>
        <v>355</v>
      </c>
      <c r="Q47" s="1">
        <f ca="1">IF(AND('Input data (2)'!$C$2=4,$D30&gt;=0),OFFSET('Input data (2)'!AC$126,'Input data (2)'!$BL$1-$D30,0),IF(AND('Input data (2)'!$C$2=3,$C30&gt;=0),OFFSET('Input data (2)'!AC$126,'Input data (2)'!$BL$1-$C30,0),IF(AND('Input data (2)'!$C$2=2,$B30&gt;=0),OFFSET('Input data (2)'!AC$126,'Input data (2)'!$BL$1-$B30,0),IF(AND('Input data (2)'!$C$2=1,$A30&gt;=0),OFFSET('Input data (2)'!AC$126,'Input data (2)'!$BL$1-$A30,0),""))))</f>
        <v>35242</v>
      </c>
      <c r="R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S47" s="1">
        <f ca="1">IF(AND('Input data (2)'!$C$2=4,$D30&gt;=0),OFFSET('Input data (2)'!R$126,'Input data (2)'!$BL$1-$D30,0),IF(AND('Input data (2)'!$C$2=3,$C30&gt;=0),OFFSET('Input data (2)'!R$126,'Input data (2)'!$BL$1-$C30,0),IF(AND('Input data (2)'!$C$2=2,$B30&gt;=0),OFFSET('Input data (2)'!R$126,'Input data (2)'!$BL$1-$B30,0),IF(AND('Input data (2)'!$C$2=1,$A30&gt;=0),OFFSET('Input data (2)'!R$126,'Input data (2)'!$BL$1-$A30,0),""))))</f>
        <v>4505</v>
      </c>
      <c r="T47" s="1">
        <f ca="1">IF(AND('Input data (2)'!$C$2=4,$D30&gt;=0),OFFSET('Input data (2)'!AA$126,'Input data (2)'!$BL$1-$D30,0),IF(AND('Input data (2)'!$C$2=3,$C30&gt;=0),OFFSET('Input data (2)'!AA$126,'Input data (2)'!$BL$1-$C30,0),IF(AND('Input data (2)'!$C$2=2,$B30&gt;=0),OFFSET('Input data (2)'!AA$126,'Input data (2)'!$BL$1-$B30,0),IF(AND('Input data (2)'!$C$2=1,$A30&gt;=0),OFFSET('Input data (2)'!AA$126,'Input data (2)'!$BL$1-$A30,0),""))))</f>
        <v>12390</v>
      </c>
      <c r="U47" s="1" t="str">
        <f ca="1">IF(AND('Input data (2)'!$C$2=4,$D30&gt;=0),OFFSET('Input data (2)'!AL$126,'Input data (2)'!$BL$1-$D30,0),IF(AND('Input data (2)'!$C$2=3,$C30&gt;=0),OFFSET('Input data (2)'!AL$126,'Input data (2)'!$BL$1-$C30,0),IF(AND('Input data (2)'!$C$2=2,$B30&gt;=0),OFFSET('Input data (2)'!AL$126,'Input data (2)'!$BL$1-$B30,0),IF(AND('Input data (2)'!$C$2=1,$A30&gt;=0),OFFSET('Input data (2)'!AL$126,'Input data (2)'!$BL$1-$A30,0),""))))</f>
        <v>:</v>
      </c>
      <c r="V47" s="1">
        <f ca="1">IF(AND('Input data (2)'!$C$2=4,$D30&gt;=0),OFFSET('Input data (2)'!AJ$126,'Input data (2)'!$BL$1-$D30,0),IF(AND('Input data (2)'!$C$2=3,$C30&gt;=0),OFFSET('Input data (2)'!AJ$126,'Input data (2)'!$BL$1-$C30,0),IF(AND('Input data (2)'!$C$2=2,$B30&gt;=0),OFFSET('Input data (2)'!AJ$126,'Input data (2)'!$BL$1-$B30,0),IF(AND('Input data (2)'!$C$2=1,$A30&gt;=0),OFFSET('Input data (2)'!AJ$126,'Input data (2)'!$BL$1-$A30,0),""))))</f>
        <v>18659</v>
      </c>
      <c r="W47" s="1">
        <f ca="1">IF(AND('Input data (2)'!$C$2=4,$D30&gt;=0),OFFSET('Input data (2)'!AK$126,'Input data (2)'!$BL$1-$D30,0),IF(AND('Input data (2)'!$C$2=3,$C30&gt;=0),OFFSET('Input data (2)'!AK$126,'Input data (2)'!$BL$1-$C30,0),IF(AND('Input data (2)'!$C$2=2,$B30&gt;=0),OFFSET('Input data (2)'!AK$126,'Input data (2)'!$BL$1-$B30,0),IF(AND('Input data (2)'!$C$2=1,$A30&gt;=0),OFFSET('Input data (2)'!AK$126,'Input data (2)'!$BL$1-$A30,0),""))))</f>
        <v>11868</v>
      </c>
      <c r="Y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Z47" s="1">
        <f ca="1">IF(AND('Input data (2)'!$C$2=4,$D30&gt;=0),OFFSET('Input data (2)'!S$126,'Input data (2)'!$BL$1-$D30,0),IF(AND('Input data (2)'!$C$2=3,$C30&gt;=0),OFFSET('Input data (2)'!S$126,'Input data (2)'!$BL$1-$C30,0),IF(AND('Input data (2)'!$C$2=2,$B30&gt;=0),OFFSET('Input data (2)'!S$126,'Input data (2)'!$BL$1-$B30,0),IF(AND('Input data (2)'!$C$2=1,$A30&gt;=0),OFFSET('Input data (2)'!S$126,'Input data (2)'!$BL$1-$A30,0),""))))</f>
        <v>15616</v>
      </c>
      <c r="AA47" s="1">
        <f ca="1">IF(AND('Input data (2)'!$C$2=4,$D30&gt;=0),OFFSET('Input data (2)'!T$126,'Input data (2)'!$BL$1-$D30,0),IF(AND('Input data (2)'!$C$2=3,$C30&gt;=0),OFFSET('Input data (2)'!T$126,'Input data (2)'!$BL$1-$C30,0),IF(AND('Input data (2)'!$C$2=2,$B30&gt;=0),OFFSET('Input data (2)'!T$126,'Input data (2)'!$BL$1-$B30,0),IF(AND('Input data (2)'!$C$2=1,$A30&gt;=0),OFFSET('Input data (2)'!T$126,'Input data (2)'!$BL$1-$A30,0),""))))</f>
        <v>85.114732653839866</v>
      </c>
      <c r="AB47" s="1">
        <f ca="1">IF(AND('Input data (2)'!$C$2=4,$D30&gt;=0),OFFSET('Input data (2)'!U$126,'Input data (2)'!$BL$1-$D30,0),IF(AND('Input data (2)'!$C$2=3,$C30&gt;=0),OFFSET('Input data (2)'!U$126,'Input data (2)'!$BL$1-$C30,0),IF(AND('Input data (2)'!$C$2=2,$B30&gt;=0),OFFSET('Input data (2)'!U$126,'Input data (2)'!$BL$1-$B30,0),IF(AND('Input data (2)'!$C$2=1,$A30&gt;=0),OFFSET('Input data (2)'!U$126,'Input data (2)'!$BL$1-$A30,0),""))))</f>
        <v>2731</v>
      </c>
      <c r="AC47" s="1">
        <f ca="1">IF(AND('Input data (2)'!$C$2=4,$D30&gt;=0),OFFSET('Input data (2)'!V$126,'Input data (2)'!$BL$1-$D30,0),IF(AND('Input data (2)'!$C$2=3,$C30&gt;=0),OFFSET('Input data (2)'!V$126,'Input data (2)'!$BL$1-$C30,0),IF(AND('Input data (2)'!$C$2=2,$B30&gt;=0),OFFSET('Input data (2)'!V$126,'Input data (2)'!$BL$1-$B30,0),IF(AND('Input data (2)'!$C$2=1,$A30&gt;=0),OFFSET('Input data (2)'!V$126,'Input data (2)'!$BL$1-$A30,0),""))))</f>
        <v>14.885267346160136</v>
      </c>
      <c r="AD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AE47" s="1">
        <f ca="1">IF(AND('Input data (2)'!$C$2=4,$D30&gt;=0),OFFSET('Input data (2)'!W$126,'Input data (2)'!$BL$1-$D30,0),IF(AND('Input data (2)'!$C$2=3,$C30&gt;=0),OFFSET('Input data (2)'!W$126,'Input data (2)'!$BL$1-$C30,0),IF(AND('Input data (2)'!$C$2=2,$B30&gt;=0),OFFSET('Input data (2)'!W$126,'Input data (2)'!$BL$1-$B30,0),IF(AND('Input data (2)'!$C$2=1,$A30&gt;=0),OFFSET('Input data (2)'!W$126,'Input data (2)'!$BL$1-$A30,0),""))))</f>
        <v>2280</v>
      </c>
      <c r="AF47" s="1">
        <f ca="1">IF(AND('Input data (2)'!$C$2=4,$D30&gt;=0),OFFSET('Input data (2)'!X$126,'Input data (2)'!$BL$1-$D30,0),IF(AND('Input data (2)'!$C$2=3,$C30&gt;=0),OFFSET('Input data (2)'!X$126,'Input data (2)'!$BL$1-$C30,0),IF(AND('Input data (2)'!$C$2=2,$B30&gt;=0),OFFSET('Input data (2)'!X$126,'Input data (2)'!$BL$1-$B30,0),IF(AND('Input data (2)'!$C$2=1,$A30&gt;=0),OFFSET('Input data (2)'!X$126,'Input data (2)'!$BL$1-$A30,0),""))))</f>
        <v>12.427099798332153</v>
      </c>
      <c r="AG47" s="1">
        <f ca="1">IF(AND('Input data (2)'!$C$2=4,$D30&gt;=0),OFFSET('Input data (2)'!Y$126,'Input data (2)'!$BL$1-$D30,0),IF(AND('Input data (2)'!$C$2=3,$C30&gt;=0),OFFSET('Input data (2)'!Y$126,'Input data (2)'!$BL$1-$C30,0),IF(AND('Input data (2)'!$C$2=2,$B30&gt;=0),OFFSET('Input data (2)'!Y$126,'Input data (2)'!$BL$1-$B30,0),IF(AND('Input data (2)'!$C$2=1,$A30&gt;=0),OFFSET('Input data (2)'!Y$126,'Input data (2)'!$BL$1-$A30,0),""))))</f>
        <v>16067</v>
      </c>
      <c r="AH47" s="1">
        <f ca="1">IF(AND('Input data (2)'!$C$2=4,$D30&gt;=0),OFFSET('Input data (2)'!Z$126,'Input data (2)'!$BL$1-$D30,0),IF(AND('Input data (2)'!$C$2=3,$C30&gt;=0),OFFSET('Input data (2)'!Z$126,'Input data (2)'!$BL$1-$C30,0),IF(AND('Input data (2)'!$C$2=2,$B30&gt;=0),OFFSET('Input data (2)'!Z$126,'Input data (2)'!$BL$1-$B30,0),IF(AND('Input data (2)'!$C$2=1,$A30&gt;=0),OFFSET('Input data (2)'!Z$126,'Input data (2)'!$BL$1-$A30,0),""))))</f>
        <v>87.572900201667849</v>
      </c>
      <c r="AI47" s="3"/>
      <c r="AJ47" s="124">
        <f ca="1">IF(AND('Input data (2)'!$C$2=4,$D30&gt;=0),OFFSET('Input data (2)'!AF$126,'Input data (2)'!$BL$1-$D30,0),IF(AND('Input data (2)'!$C$2=3,$C30&gt;=0),OFFSET('Input data (2)'!AF$126,'Input data (2)'!$BL$1-$C30,0),IF(AND('Input data (2)'!$C$2=2,$B30&gt;=0),OFFSET('Input data (2)'!AF$126,'Input data (2)'!$BL$1-$B30,0),IF(AND('Input data (2)'!$C$2=1,$A30&gt;=0),OFFSET('Input data (2)'!AF$126,'Input data (2)'!$BL$1-$A30,0),""))))</f>
        <v>4989</v>
      </c>
      <c r="AK47" s="124">
        <f ca="1">IF(AND('Input data (2)'!$C$2=4,$D30&gt;=0),OFFSET('Input data (2)'!AD$126,'Input data (2)'!$BL$1-$D30,0),IF(AND('Input data (2)'!$C$2=3,$C30&gt;=0),OFFSET('Input data (2)'!AD$126,'Input data (2)'!$BL$1-$C30,0),IF(AND('Input data (2)'!$C$2=2,$B30&gt;=0),OFFSET('Input data (2)'!AD$126,'Input data (2)'!$BL$1-$B30,0),IF(AND('Input data (2)'!$C$2=1,$A30&gt;=0),OFFSET('Input data (2)'!AD$126,'Input data (2)'!$BL$1-$A30,0),""))))</f>
        <v>21</v>
      </c>
      <c r="AL47" s="124">
        <f ca="1">IF(AND('Input data (2)'!$C$2=4,$D30&gt;=0),OFFSET('Input data (2)'!AE$126,'Input data (2)'!$BL$1-$D30,0),IF(AND('Input data (2)'!$C$2=3,$C30&gt;=0),OFFSET('Input data (2)'!AE$126,'Input data (2)'!$BL$1-$C30,0),IF(AND('Input data (2)'!$C$2=2,$B30&gt;=0),OFFSET('Input data (2)'!AE$126,'Input data (2)'!$BL$1-$B30,0),IF(AND('Input data (2)'!$C$2=1,$A30&gt;=0),OFFSET('Input data (2)'!AE$126,'Input data (2)'!$BL$1-$A30,0),""))))</f>
        <v>4968</v>
      </c>
      <c r="AW47" s="1">
        <f ca="1">IF(AND('Input data (2)'!$C$2=4,$D30&gt;=0),OFFSET('Input data (2)'!L$126,'Input data (2)'!$BL$1-$D30,0),IF(AND('Input data (2)'!$C$2=3,$C30&gt;=0),OFFSET('Input data (2)'!L$126,'Input data (2)'!$BL$1-$C30,0),IF(AND('Input data (2)'!$C$2=2,$B30&gt;=0),OFFSET('Input data (2)'!L$126,'Input data (2)'!$BL$1-$B30,0),IF(AND('Input data (2)'!$C$2=1,$A30&gt;=0),OFFSET('Input data (2)'!L$126,'Input data (2)'!$BL$1-$A30,0),""))))</f>
        <v>410</v>
      </c>
      <c r="AX47" s="1">
        <f ca="1">IF(AND('Input data (2)'!$C$2=4,$D30&gt;=0),OFFSET('Input data (2)'!M$126,'Input data (2)'!$BL$1-$D30,0),IF(AND('Input data (2)'!$C$2=3,$C30&gt;=0),OFFSET('Input data (2)'!M$126,'Input data (2)'!$BL$1-$C30,0),IF(AND('Input data (2)'!$C$2=2,$B30&gt;=0),OFFSET('Input data (2)'!M$126,'Input data (2)'!$BL$1-$B30,0),IF(AND('Input data (2)'!$C$2=1,$A30&gt;=0),OFFSET('Input data (2)'!M$126,'Input data (2)'!$BL$1-$A30,0),""))))</f>
        <v>0</v>
      </c>
      <c r="AY47" s="1">
        <f ca="1">IF(AND('Input data (2)'!$C$2=4,$D30&gt;=0),OFFSET('Input data (2)'!N$126,'Input data (2)'!$BL$1-$D30,0),IF(AND('Input data (2)'!$C$2=3,$C30&gt;=0),OFFSET('Input data (2)'!N$126,'Input data (2)'!$BL$1-$C30,0),IF(AND('Input data (2)'!$C$2=2,$B30&gt;=0),OFFSET('Input data (2)'!N$126,'Input data (2)'!$BL$1-$B30,0),IF(AND('Input data (2)'!$C$2=1,$A30&gt;=0),OFFSET('Input data (2)'!N$126,'Input data (2)'!$BL$1-$A30,0),""))))</f>
        <v>974</v>
      </c>
      <c r="AZ47" s="1">
        <f ca="1">IF(AND('Input data (2)'!$C$2=4,$D30&gt;=0),OFFSET('Input data (2)'!P$126,'Input data (2)'!$BL$1-$D30,0),IF(AND('Input data (2)'!$C$2=3,$C30&gt;=0),OFFSET('Input data (2)'!P$126,'Input data (2)'!$BL$1-$C30,0),IF(AND('Input data (2)'!$C$2=2,$B30&gt;=0),OFFSET('Input data (2)'!P$126,'Input data (2)'!$BL$1-$B30,0),IF(AND('Input data (2)'!$C$2=1,$A30&gt;=0),OFFSET('Input data (2)'!P$126,'Input data (2)'!$BL$1-$A30,0),""))))</f>
        <v>194</v>
      </c>
      <c r="BB47" s="1">
        <f ca="1">IF(AND('Input data (2)'!$C$2=4,$D30&gt;=0),OFFSET('Input data (2)'!BB$126,'Input data (2)'!$BL$1-$D30,0),IF(AND('Input data (2)'!$C$2=3,$C30&gt;=0),OFFSET('Input data (2)'!BB$126,'Input data (2)'!$BL$1-$C30,0),IF(AND('Input data (2)'!$C$2=2,$B30&gt;=0),OFFSET('Input data (2)'!BB$126,'Input data (2)'!$BL$1-$B30,0),IF(AND('Input data (2)'!$C$2=1,$A30&gt;=0),OFFSET('Input data (2)'!BB$126,'Input data (2)'!$BL$1-$A30,0),""))))</f>
        <v>5777</v>
      </c>
      <c r="BC47" s="1">
        <f ca="1">IF(AND('Input data (2)'!$C$2=4,$D30&gt;=0),OFFSET('Input data (2)'!AY$126,'Input data (2)'!$BL$1-$D30,0),IF(AND('Input data (2)'!$C$2=3,$C30&gt;=0),OFFSET('Input data (2)'!AY$126,'Input data (2)'!$BL$1-$C30,0),IF(AND('Input data (2)'!$C$2=2,$B30&gt;=0),OFFSET('Input data (2)'!AY$126,'Input data (2)'!$BL$1-$B30,0),IF(AND('Input data (2)'!$C$2=1,$A30&gt;=0),OFFSET('Input data (2)'!AY$126,'Input data (2)'!$BL$1-$A30,0),""))))</f>
        <v>3514</v>
      </c>
      <c r="BD47" s="1">
        <f ca="1">IF(AND('Input data (2)'!$C$2=4,$D30&gt;=0),OFFSET('Input data (2)'!AZ$126,'Input data (2)'!$BL$1-$D30,0),IF(AND('Input data (2)'!$C$2=3,$C30&gt;=0),OFFSET('Input data (2)'!AZ$126,'Input data (2)'!$BL$1-$C30,0),IF(AND('Input data (2)'!$C$2=2,$B30&gt;=0),OFFSET('Input data (2)'!AZ$126,'Input data (2)'!$BL$1-$B30,0),IF(AND('Input data (2)'!$C$2=1,$A30&gt;=0),OFFSET('Input data (2)'!AZ$126,'Input data (2)'!$BL$1-$A30,0),""))))</f>
        <v>2107</v>
      </c>
      <c r="BE47" s="1">
        <f ca="1">IF(AND('Input data (2)'!$C$2=4,$D30&gt;=0),OFFSET('Input data (2)'!BA$126,'Input data (2)'!$BL$1-$D30,0),IF(AND('Input data (2)'!$C$2=3,$C30&gt;=0),OFFSET('Input data (2)'!BA$126,'Input data (2)'!$BL$1-$C30,0),IF(AND('Input data (2)'!$C$2=2,$B30&gt;=0),OFFSET('Input data (2)'!BA$126,'Input data (2)'!$BL$1-$B30,0),IF(AND('Input data (2)'!$C$2=1,$A30&gt;=0),OFFSET('Input data (2)'!BA$126,'Input data (2)'!$BL$1-$A30,0),""))))</f>
        <v>2263</v>
      </c>
      <c r="BF47" s="1">
        <f ca="1">IF(AND('Input data (2)'!$C$2=4,$D30&gt;=0),OFFSET('Input data (2)'!AP$126,'Input data (2)'!$BL$1-$D30,0),IF(AND('Input data (2)'!$C$2=3,$C30&gt;=0),OFFSET('Input data (2)'!AP$126,'Input data (2)'!$BL$1-$C30,0),IF(AND('Input data (2)'!$C$2=2,$B30&gt;=0),OFFSET('Input data (2)'!AP$126,'Input data (2)'!$BL$1-$B30,0),IF(AND('Input data (2)'!$C$2=1,$A30&gt;=0),OFFSET('Input data (2)'!AP$126,'Input data (2)'!$BL$1-$A30,0),""))))</f>
        <v>123</v>
      </c>
      <c r="BG47" s="1">
        <f ca="1">IF(AND('Input data (2)'!$C$2=4,$D30&gt;=0),OFFSET('Input data (2)'!AN$126,'Input data (2)'!$BL$1-$D30,0),IF(AND('Input data (2)'!$C$2=3,$C30&gt;=0),OFFSET('Input data (2)'!AN$126,'Input data (2)'!$BL$1-$C30,0),IF(AND('Input data (2)'!$C$2=2,$B30&gt;=0),OFFSET('Input data (2)'!AN$126,'Input data (2)'!$BL$1-$B30,0),IF(AND('Input data (2)'!$C$2=1,$A30&gt;=0),OFFSET('Input data (2)'!AN$126,'Input data (2)'!$BL$1-$A30,0),""))))</f>
        <v>95</v>
      </c>
      <c r="BH47" s="1">
        <f ca="1">IF(AND('Input data (2)'!$C$2=4,$D30&gt;=0),OFFSET('Input data (2)'!AO$126,'Input data (2)'!$BL$1-$D30,0),IF(AND('Input data (2)'!$C$2=3,$C30&gt;=0),OFFSET('Input data (2)'!AO$126,'Input data (2)'!$BL$1-$C30,0),IF(AND('Input data (2)'!$C$2=2,$B30&gt;=0),OFFSET('Input data (2)'!AO$126,'Input data (2)'!$BL$1-$B30,0),IF(AND('Input data (2)'!$C$2=1,$A30&gt;=0),OFFSET('Input data (2)'!AO$126,'Input data (2)'!$BL$1-$A30,0),""))))</f>
        <v>28</v>
      </c>
      <c r="BJ47" s="1">
        <f ca="1">IF(AND('Input data (2)'!$C$2=4,$D30&gt;=0),OFFSET('Input data (2)'!AU$126,'Input data (2)'!$BL$1-$D30,0),IF(AND('Input data (2)'!$C$2=3,$C30&gt;=0),OFFSET('Input data (2)'!AU$126,'Input data (2)'!$BL$1-$C30,0),IF(AND('Input data (2)'!$C$2=2,$B30&gt;=0),OFFSET('Input data (2)'!AU$126,'Input data (2)'!$BL$1-$B30,0),IF(AND('Input data (2)'!$C$2=1,$A30&gt;=0),OFFSET('Input data (2)'!AU$126,'Input data (2)'!$BL$1-$A30,0),""))))</f>
        <v>17</v>
      </c>
      <c r="BK47" s="1">
        <f ca="1">IF(AND('Input data (2)'!$C$2=4,$D30&gt;=0),OFFSET('Input data (2)'!AV$126,'Input data (2)'!$BL$1-$D30,0),IF(AND('Input data (2)'!$C$2=3,$C30&gt;=0),OFFSET('Input data (2)'!AV$126,'Input data (2)'!$BL$1-$C30,0),IF(AND('Input data (2)'!$C$2=2,$B30&gt;=0),OFFSET('Input data (2)'!AV$126,'Input data (2)'!$BL$1-$B30,0),IF(AND('Input data (2)'!$C$2=1,$A30&gt;=0),OFFSET('Input data (2)'!AV$126,'Input data (2)'!$BL$1-$A30,0),""))))</f>
        <v>0</v>
      </c>
      <c r="BL47" s="1">
        <f ca="1">IF(AND('Input data (2)'!$C$2=4,$D30&gt;=0),OFFSET('Input data (2)'!AW$126,'Input data (2)'!$BL$1-$D30,0),IF(AND('Input data (2)'!$C$2=3,$C30&gt;=0),OFFSET('Input data (2)'!AW$126,'Input data (2)'!$BL$1-$C30,0),IF(AND('Input data (2)'!$C$2=2,$B30&gt;=0),OFFSET('Input data (2)'!AW$126,'Input data (2)'!$BL$1-$B30,0),IF(AND('Input data (2)'!$C$2=1,$A30&gt;=0),OFFSET('Input data (2)'!AW$126,'Input data (2)'!$BL$1-$A30,0),""))))</f>
        <v>14</v>
      </c>
      <c r="BM47" s="1">
        <f ca="1">IF(AND('Input data (2)'!$C$2=4,$D30&gt;=0),OFFSET('Input data (2)'!AX$126,'Input data (2)'!$BL$1-$D30,0),IF(AND('Input data (2)'!$C$2=3,$C30&gt;=0),OFFSET('Input data (2)'!AX$126,'Input data (2)'!$BL$1-$C30,0),IF(AND('Input data (2)'!$C$2=2,$B30&gt;=0),OFFSET('Input data (2)'!AX$126,'Input data (2)'!$BL$1-$B30,0),IF(AND('Input data (2)'!$C$2=1,$A30&gt;=0),OFFSET('Input data (2)'!AX$126,'Input data (2)'!$BL$1-$A30,0),""))))</f>
        <v>0</v>
      </c>
      <c r="BO47" s="1">
        <f ca="1">IF(AND('Input data (2)'!$C$2=4,$D30&gt;=0),OFFSET('Input data (2)'!BL$126,'Input data (2)'!$BL$1-$D30,0),IF(AND('Input data (2)'!$C$2=3,$C30&gt;=0),OFFSET('Input data (2)'!BL$126,'Input data (2)'!$BL$1-$C30,0),IF(AND('Input data (2)'!$C$2=2,$B30&gt;=0),OFFSET('Input data (2)'!BL$126,'Input data (2)'!$BL$1-$B30,0),IF(AND('Input data (2)'!$C$2=1,$A30&gt;=0),OFFSET('Input data (2)'!BL$126,'Input data (2)'!$BL$1-$A30,0),""))))</f>
        <v>379</v>
      </c>
      <c r="BP47" s="1">
        <f ca="1">IF(AND('Input data (2)'!$C$2=4,$D30&gt;=0),OFFSET('Input data (2)'!BI$126,'Input data (2)'!$BL$1-$D30,0),IF(AND('Input data (2)'!$C$2=3,$C30&gt;=0),OFFSET('Input data (2)'!BI$126,'Input data (2)'!$BL$1-$C30,0),IF(AND('Input data (2)'!$C$2=2,$B30&gt;=0),OFFSET('Input data (2)'!BI$126,'Input data (2)'!$BL$1-$B30,0),IF(AND('Input data (2)'!$C$2=1,$A30&gt;=0),OFFSET('Input data (2)'!BI$126,'Input data (2)'!$BL$1-$A30,0),""))))</f>
        <v>198</v>
      </c>
      <c r="BQ47" s="1" t="str">
        <f ca="1">IF(AND('Input data (2)'!$C$2=4,$D30&gt;=0),OFFSET('Input data (2)'!BK$126,'Input data (2)'!$BL$1-$D30,0),IF(AND('Input data (2)'!$C$2=3,$C30&gt;=0),OFFSET('Input data (2)'!BK$126,'Input data (2)'!$BL$1-$C30,0),IF(AND('Input data (2)'!$C$2=2,$B30&gt;=0),OFFSET('Input data (2)'!BK$126,'Input data (2)'!$BL$1-$B30,0),IF(AND('Input data (2)'!$C$2=1,$A30&gt;=0),OFFSET('Input data (2)'!BK$126,'Input data (2)'!$BL$1-$A30,0),""))))</f>
        <v>..</v>
      </c>
      <c r="BR47" s="1">
        <f ca="1">IF(AND('Input data (2)'!$C$2=4,$D30&gt;=0),OFFSET('Input data (2)'!BJ$126,'Input data (2)'!$BL$1-$D30,0),IF(AND('Input data (2)'!$C$2=3,$C30&gt;=0),OFFSET('Input data (2)'!BJ$126,'Input data (2)'!$BL$1-$C30,0),IF(AND('Input data (2)'!$C$2=2,$B30&gt;=0),OFFSET('Input data (2)'!BJ$126,'Input data (2)'!$BL$1-$B30,0),IF(AND('Input data (2)'!$C$2=1,$A30&gt;=0),OFFSET('Input data (2)'!BJ$126,'Input data (2)'!$BL$1-$A30,0),""))))</f>
        <v>181</v>
      </c>
      <c r="BS47" s="1">
        <f ca="1">IF(AND('Input data (2)'!$C$2=4,$D30&gt;=0),OFFSET('Input data (2)'!BF$126,'Input data (2)'!$BL$1-$D30,0),IF(AND('Input data (2)'!$C$2=3,$C30&gt;=0),OFFSET('Input data (2)'!BF$126,'Input data (2)'!$BL$1-$C30,0),IF(AND('Input data (2)'!$C$2=2,$B30&gt;=0),OFFSET('Input data (2)'!BF$126,'Input data (2)'!$BL$1-$B30,0),IF(AND('Input data (2)'!$C$2=1,$A30&gt;=0),OFFSET('Input data (2)'!BF$126,'Input data (2)'!$BL$1-$A30,0),""))))</f>
        <v>51</v>
      </c>
      <c r="BT47" s="1">
        <f ca="1">IF(AND('Input data (2)'!$C$2=4,$D30&gt;=0),OFFSET('Input data (2)'!BD$126,'Input data (2)'!$BL$1-$D30,0),IF(AND('Input data (2)'!$C$2=3,$C30&gt;=0),OFFSET('Input data (2)'!BD$126,'Input data (2)'!$BL$1-$C30,0),IF(AND('Input data (2)'!$C$2=2,$B30&gt;=0),OFFSET('Input data (2)'!BD$126,'Input data (2)'!$BL$1-$B30,0),IF(AND('Input data (2)'!$C$2=1,$A30&gt;=0),OFFSET('Input data (2)'!BD$126,'Input data (2)'!$BL$1-$A30,0),""))))</f>
        <v>27</v>
      </c>
      <c r="BU47" s="1">
        <f ca="1">IF(AND('Input data (2)'!$C$2=4,$D30&gt;=0),OFFSET('Input data (2)'!BE$126,'Input data (2)'!$BL$1-$D30,0),IF(AND('Input data (2)'!$C$2=3,$C30&gt;=0),OFFSET('Input data (2)'!BE$126,'Input data (2)'!$BL$1-$C30,0),IF(AND('Input data (2)'!$C$2=2,$B30&gt;=0),OFFSET('Input data (2)'!BE$126,'Input data (2)'!$BL$1-$B30,0),IF(AND('Input data (2)'!$C$2=1,$A30&gt;=0),OFFSET('Input data (2)'!BE$126,'Input data (2)'!$BL$1-$A30,0),""))))</f>
        <v>24</v>
      </c>
      <c r="BW47" s="7">
        <f ca="1">IF(AND('Input data (2)'!$C$2=4,$D30&gt;=0),OFFSET('Input data (2)'!J$126,'Input data (2)'!$BL$1-$D30,0),IF(AND('Input data (2)'!$C$2=3,$C30&gt;=0),OFFSET('Input data (2)'!J$126,'Input data (2)'!$BL$1-$C30,0),IF(AND('Input data (2)'!$C$2=2,$B30&gt;=0),OFFSET('Input data (2)'!J$126,'Input data (2)'!$BL$1-$B30,0),IF(AND('Input data (2)'!$C$2=1,$A30&gt;=0),OFFSET('Input data (2)'!J$126,'Input data (2)'!$BL$1-$A30,0),""))))</f>
        <v>0.93608435108930765</v>
      </c>
      <c r="BX47" s="7">
        <f ca="1">IF(AND('Input data (2)'!$C$2=4,$D30&gt;=0),OFFSET('Input data (2)'!K$126,'Input data (2)'!$BL$1-$D30,0),IF(AND('Input data (2)'!$C$2=3,$C30&gt;=0),OFFSET('Input data (2)'!K$126,'Input data (2)'!$BL$1-$C30,0),IF(AND('Input data (2)'!$C$2=2,$B30&gt;=0),OFFSET('Input data (2)'!K$126,'Input data (2)'!$BL$1-$B30,0),IF(AND('Input data (2)'!$C$2=1,$A30&gt;=0),OFFSET('Input data (2)'!K$126,'Input data (2)'!$BL$1-$A30,0),""))))</f>
        <v>0.80782710797488755</v>
      </c>
      <c r="BY47" s="7">
        <f ca="1">IF(AND('Input data (2)'!$C$2=4,$D30&gt;=0),OFFSET('Input data (2)'!AS$126,'Input data (2)'!$BL$1-$D30,0),IF(AND('Input data (2)'!$C$2=3,$C30&gt;=0),OFFSET('Input data (2)'!AS$126,'Input data (2)'!$BL$1-$C30,0),IF(AND('Input data (2)'!$C$2=2,$B30&gt;=0),OFFSET('Input data (2)'!AS$126,'Input data (2)'!$BL$1-$B30,0),IF(AND('Input data (2)'!$C$2=1,$A30&gt;=0),OFFSET('Input data (2)'!AS$126,'Input data (2)'!$BL$1-$A30,0),""))))</f>
        <v>0.45105861860445656</v>
      </c>
      <c r="BZ47" s="7">
        <f ca="1">IF(AND('Input data (2)'!$C$2=4,$D30&gt;=0),OFFSET('Input data (2)'!AT$126,'Input data (2)'!$BL$1-$D30,0),IF(AND('Input data (2)'!$C$2=3,$C30&gt;=0),OFFSET('Input data (2)'!AT$126,'Input data (2)'!$BL$1-$C30,0),IF(AND('Input data (2)'!$C$2=2,$B30&gt;=0),OFFSET('Input data (2)'!AT$126,'Input data (2)'!$BL$1-$B30,0),IF(AND('Input data (2)'!$C$2=1,$A30&gt;=0),OFFSET('Input data (2)'!AT$126,'Input data (2)'!$BL$1-$A30,0),""))))</f>
        <v>0.40440457734152291</v>
      </c>
      <c r="CB47" s="122"/>
      <c r="CC47" s="122"/>
      <c r="CD47" s="122"/>
      <c r="CE47" s="122"/>
      <c r="CK47" s="1"/>
      <c r="CL47" s="1"/>
      <c r="CM47" s="1"/>
      <c r="CN47" s="1"/>
      <c r="CO47" s="1"/>
      <c r="CP47" s="1"/>
    </row>
    <row r="48" spans="1:131" x14ac:dyDescent="0.15">
      <c r="E48" s="1" t="str">
        <f>F48&amp;G48</f>
        <v>2009Q4</v>
      </c>
      <c r="F48" s="1">
        <f>F43+1</f>
        <v>2009</v>
      </c>
      <c r="G48" s="1" t="s">
        <v>4</v>
      </c>
      <c r="H48" s="1">
        <f>VLOOKUP($E48,'Input data (2)'!$A:$BL,'Output data - DO NOT TOUCH (2)'!H$71,FALSE)</f>
        <v>4372</v>
      </c>
      <c r="I48" s="1">
        <f>VLOOKUP($E48,'Input data (2)'!$A:$BL,'Output data - DO NOT TOUCH (2)'!I$71,FALSE)</f>
        <v>1315</v>
      </c>
      <c r="J48" s="1">
        <f>VLOOKUP($E48,'Input data (2)'!$A:$BL,'Output data - DO NOT TOUCH (2)'!J$71,FALSE)</f>
        <v>3057</v>
      </c>
      <c r="K48" s="1">
        <f>VLOOKUP($E48,'Input data (2)'!$A:$BL,'Output data - DO NOT TOUCH (2)'!K$71,FALSE)</f>
        <v>4520</v>
      </c>
      <c r="L48" s="1">
        <f>VLOOKUP($E48,'Input data (2)'!$A:$BL,'Output data - DO NOT TOUCH (2)'!L$71,FALSE)</f>
        <v>1299</v>
      </c>
      <c r="M48" s="1">
        <f>VLOOKUP($E48,'Input data (2)'!$A:$BL,'Output data - DO NOT TOUCH (2)'!M$71,FALSE)</f>
        <v>3221</v>
      </c>
      <c r="O48" s="119">
        <f ca="1">IF(AND('Input data (2)'!$C$2=4,$D31&gt;=0),OFFSET('Input data (2)'!O$126,'Input data (2)'!$BL$1-$D31,0),IF(AND('Input data (2)'!$C$2=3,$C31&gt;=0),OFFSET('Input data (2)'!O$126,'Input data (2)'!$BL$1-$C31,0),IF(AND('Input data (2)'!$C$2=2,$B31&gt;=0),OFFSET('Input data (2)'!O$126,'Input data (2)'!$BL$1-$B31,0),IF(AND('Input data (2)'!$C$2=1,$A31&gt;=0),OFFSET('Input data (2)'!O$126,'Input data (2)'!$BL$1-$A31,0),""))))</f>
        <v>404</v>
      </c>
      <c r="Q48" s="1">
        <f ca="1">IF(AND('Input data (2)'!$C$2=4,$D31&gt;=0),OFFSET('Input data (2)'!AC$126,'Input data (2)'!$BL$1-$D31,0),IF(AND('Input data (2)'!$C$2=3,$C31&gt;=0),OFFSET('Input data (2)'!AC$126,'Input data (2)'!$BL$1-$C31,0),IF(AND('Input data (2)'!$C$2=2,$B31&gt;=0),OFFSET('Input data (2)'!AC$126,'Input data (2)'!$BL$1-$B31,0),IF(AND('Input data (2)'!$C$2=1,$A31&gt;=0),OFFSET('Input data (2)'!AC$126,'Input data (2)'!$BL$1-$A31,0),""))))</f>
        <v>35574</v>
      </c>
      <c r="R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S48" s="1">
        <f ca="1">IF(AND('Input data (2)'!$C$2=4,$D31&gt;=0),OFFSET('Input data (2)'!R$126,'Input data (2)'!$BL$1-$D31,0),IF(AND('Input data (2)'!$C$2=3,$C31&gt;=0),OFFSET('Input data (2)'!R$126,'Input data (2)'!$BL$1-$C31,0),IF(AND('Input data (2)'!$C$2=2,$B31&gt;=0),OFFSET('Input data (2)'!R$126,'Input data (2)'!$BL$1-$B31,0),IF(AND('Input data (2)'!$C$2=1,$A31&gt;=0),OFFSET('Input data (2)'!R$126,'Input data (2)'!$BL$1-$A31,0),""))))</f>
        <v>5348</v>
      </c>
      <c r="T48" s="1">
        <f ca="1">IF(AND('Input data (2)'!$C$2=4,$D31&gt;=0),OFFSET('Input data (2)'!AA$126,'Input data (2)'!$BL$1-$D31,0),IF(AND('Input data (2)'!$C$2=3,$C31&gt;=0),OFFSET('Input data (2)'!AA$126,'Input data (2)'!$BL$1-$C31,0),IF(AND('Input data (2)'!$C$2=2,$B31&gt;=0),OFFSET('Input data (2)'!AA$126,'Input data (2)'!$BL$1-$B31,0),IF(AND('Input data (2)'!$C$2=1,$A31&gt;=0),OFFSET('Input data (2)'!AA$126,'Input data (2)'!$BL$1-$A31,0),""))))</f>
        <v>13219</v>
      </c>
      <c r="U48" s="1" t="str">
        <f ca="1">IF(AND('Input data (2)'!$C$2=4,$D31&gt;=0),OFFSET('Input data (2)'!AL$126,'Input data (2)'!$BL$1-$D31,0),IF(AND('Input data (2)'!$C$2=3,$C31&gt;=0),OFFSET('Input data (2)'!AL$126,'Input data (2)'!$BL$1-$C31,0),IF(AND('Input data (2)'!$C$2=2,$B31&gt;=0),OFFSET('Input data (2)'!AL$126,'Input data (2)'!$BL$1-$B31,0),IF(AND('Input data (2)'!$C$2=1,$A31&gt;=0),OFFSET('Input data (2)'!AL$126,'Input data (2)'!$BL$1-$A31,0),""))))</f>
        <v>:</v>
      </c>
      <c r="V48" s="1">
        <f ca="1">IF(AND('Input data (2)'!$C$2=4,$D31&gt;=0),OFFSET('Input data (2)'!AJ$126,'Input data (2)'!$BL$1-$D31,0),IF(AND('Input data (2)'!$C$2=3,$C31&gt;=0),OFFSET('Input data (2)'!AJ$126,'Input data (2)'!$BL$1-$C31,0),IF(AND('Input data (2)'!$C$2=2,$B31&gt;=0),OFFSET('Input data (2)'!AJ$126,'Input data (2)'!$BL$1-$B31,0),IF(AND('Input data (2)'!$C$2=1,$A31&gt;=0),OFFSET('Input data (2)'!AJ$126,'Input data (2)'!$BL$1-$A31,0),""))))</f>
        <v>17933</v>
      </c>
      <c r="W48" s="1">
        <f ca="1">IF(AND('Input data (2)'!$C$2=4,$D31&gt;=0),OFFSET('Input data (2)'!AK$126,'Input data (2)'!$BL$1-$D31,0),IF(AND('Input data (2)'!$C$2=3,$C31&gt;=0),OFFSET('Input data (2)'!AK$126,'Input data (2)'!$BL$1-$C31,0),IF(AND('Input data (2)'!$C$2=2,$B31&gt;=0),OFFSET('Input data (2)'!AK$126,'Input data (2)'!$BL$1-$B31,0),IF(AND('Input data (2)'!$C$2=1,$A31&gt;=0),OFFSET('Input data (2)'!AK$126,'Input data (2)'!$BL$1-$A31,0),""))))</f>
        <v>13018</v>
      </c>
      <c r="Y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Z48" s="1">
        <f ca="1">IF(AND('Input data (2)'!$C$2=4,$D31&gt;=0),OFFSET('Input data (2)'!S$126,'Input data (2)'!$BL$1-$D31,0),IF(AND('Input data (2)'!$C$2=3,$C31&gt;=0),OFFSET('Input data (2)'!S$126,'Input data (2)'!$BL$1-$C31,0),IF(AND('Input data (2)'!$C$2=2,$B31&gt;=0),OFFSET('Input data (2)'!S$126,'Input data (2)'!$BL$1-$B31,0),IF(AND('Input data (2)'!$C$2=1,$A31&gt;=0),OFFSET('Input data (2)'!S$126,'Input data (2)'!$BL$1-$A31,0),""))))</f>
        <v>14317</v>
      </c>
      <c r="AA48" s="1">
        <f ca="1">IF(AND('Input data (2)'!$C$2=4,$D31&gt;=0),OFFSET('Input data (2)'!T$126,'Input data (2)'!$BL$1-$D31,0),IF(AND('Input data (2)'!$C$2=3,$C31&gt;=0),OFFSET('Input data (2)'!T$126,'Input data (2)'!$BL$1-$C31,0),IF(AND('Input data (2)'!$C$2=2,$B31&gt;=0),OFFSET('Input data (2)'!T$126,'Input data (2)'!$BL$1-$B31,0),IF(AND('Input data (2)'!$C$2=1,$A31&gt;=0),OFFSET('Input data (2)'!T$126,'Input data (2)'!$BL$1-$A31,0),""))))</f>
        <v>84.182983477391659</v>
      </c>
      <c r="AB48" s="1">
        <f ca="1">IF(AND('Input data (2)'!$C$2=4,$D31&gt;=0),OFFSET('Input data (2)'!U$126,'Input data (2)'!$BL$1-$D31,0),IF(AND('Input data (2)'!$C$2=3,$C31&gt;=0),OFFSET('Input data (2)'!U$126,'Input data (2)'!$BL$1-$C31,0),IF(AND('Input data (2)'!$C$2=2,$B31&gt;=0),OFFSET('Input data (2)'!U$126,'Input data (2)'!$BL$1-$B31,0),IF(AND('Input data (2)'!$C$2=1,$A31&gt;=0),OFFSET('Input data (2)'!U$126,'Input data (2)'!$BL$1-$A31,0),""))))</f>
        <v>2690</v>
      </c>
      <c r="AC48" s="1">
        <f ca="1">IF(AND('Input data (2)'!$C$2=4,$D31&gt;=0),OFFSET('Input data (2)'!V$126,'Input data (2)'!$BL$1-$D31,0),IF(AND('Input data (2)'!$C$2=3,$C31&gt;=0),OFFSET('Input data (2)'!V$126,'Input data (2)'!$BL$1-$C31,0),IF(AND('Input data (2)'!$C$2=2,$B31&gt;=0),OFFSET('Input data (2)'!V$126,'Input data (2)'!$BL$1-$B31,0),IF(AND('Input data (2)'!$C$2=1,$A31&gt;=0),OFFSET('Input data (2)'!V$126,'Input data (2)'!$BL$1-$A31,0),""))))</f>
        <v>15.817016522608338</v>
      </c>
      <c r="AD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AE48" s="1">
        <f ca="1">IF(AND('Input data (2)'!$C$2=4,$D31&gt;=0),OFFSET('Input data (2)'!W$126,'Input data (2)'!$BL$1-$D31,0),IF(AND('Input data (2)'!$C$2=3,$C31&gt;=0),OFFSET('Input data (2)'!W$126,'Input data (2)'!$BL$1-$C31,0),IF(AND('Input data (2)'!$C$2=2,$B31&gt;=0),OFFSET('Input data (2)'!W$126,'Input data (2)'!$BL$1-$B31,0),IF(AND('Input data (2)'!$C$2=1,$A31&gt;=0),OFFSET('Input data (2)'!W$126,'Input data (2)'!$BL$1-$A31,0),""))))</f>
        <v>2205</v>
      </c>
      <c r="AF48" s="1">
        <f ca="1">IF(AND('Input data (2)'!$C$2=4,$D31&gt;=0),OFFSET('Input data (2)'!X$126,'Input data (2)'!$BL$1-$D31,0),IF(AND('Input data (2)'!$C$2=3,$C31&gt;=0),OFFSET('Input data (2)'!X$126,'Input data (2)'!$BL$1-$C31,0),IF(AND('Input data (2)'!$C$2=2,$B31&gt;=0),OFFSET('Input data (2)'!X$126,'Input data (2)'!$BL$1-$B31,0),IF(AND('Input data (2)'!$C$2=1,$A31&gt;=0),OFFSET('Input data (2)'!X$126,'Input data (2)'!$BL$1-$A31,0),""))))</f>
        <v>12.965249603104603</v>
      </c>
      <c r="AG48" s="1">
        <f ca="1">IF(AND('Input data (2)'!$C$2=4,$D31&gt;=0),OFFSET('Input data (2)'!Y$126,'Input data (2)'!$BL$1-$D31,0),IF(AND('Input data (2)'!$C$2=3,$C31&gt;=0),OFFSET('Input data (2)'!Y$126,'Input data (2)'!$BL$1-$C31,0),IF(AND('Input data (2)'!$C$2=2,$B31&gt;=0),OFFSET('Input data (2)'!Y$126,'Input data (2)'!$BL$1-$B31,0),IF(AND('Input data (2)'!$C$2=1,$A31&gt;=0),OFFSET('Input data (2)'!Y$126,'Input data (2)'!$BL$1-$A31,0),""))))</f>
        <v>14802</v>
      </c>
      <c r="AH48" s="1">
        <f ca="1">IF(AND('Input data (2)'!$C$2=4,$D31&gt;=0),OFFSET('Input data (2)'!Z$126,'Input data (2)'!$BL$1-$D31,0),IF(AND('Input data (2)'!$C$2=3,$C31&gt;=0),OFFSET('Input data (2)'!Z$126,'Input data (2)'!$BL$1-$C31,0),IF(AND('Input data (2)'!$C$2=2,$B31&gt;=0),OFFSET('Input data (2)'!Z$126,'Input data (2)'!$BL$1-$B31,0),IF(AND('Input data (2)'!$C$2=1,$A31&gt;=0),OFFSET('Input data (2)'!Z$126,'Input data (2)'!$BL$1-$A31,0),""))))</f>
        <v>87.034750396895404</v>
      </c>
      <c r="AI48" s="3"/>
      <c r="AJ48" s="124">
        <f ca="1">IF(AND('Input data (2)'!$C$2=4,$D31&gt;=0),OFFSET('Input data (2)'!AF$126,'Input data (2)'!$BL$1-$D31,0),IF(AND('Input data (2)'!$C$2=3,$C31&gt;=0),OFFSET('Input data (2)'!AF$126,'Input data (2)'!$BL$1-$C31,0),IF(AND('Input data (2)'!$C$2=2,$B31&gt;=0),OFFSET('Input data (2)'!AF$126,'Input data (2)'!$BL$1-$B31,0),IF(AND('Input data (2)'!$C$2=1,$A31&gt;=0),OFFSET('Input data (2)'!AF$126,'Input data (2)'!$BL$1-$A31,0),""))))</f>
        <v>4940</v>
      </c>
      <c r="AK48" s="124">
        <f ca="1">IF(AND('Input data (2)'!$C$2=4,$D31&gt;=0),OFFSET('Input data (2)'!AD$126,'Input data (2)'!$BL$1-$D31,0),IF(AND('Input data (2)'!$C$2=3,$C31&gt;=0),OFFSET('Input data (2)'!AD$126,'Input data (2)'!$BL$1-$C31,0),IF(AND('Input data (2)'!$C$2=2,$B31&gt;=0),OFFSET('Input data (2)'!AD$126,'Input data (2)'!$BL$1-$B31,0),IF(AND('Input data (2)'!$C$2=1,$A31&gt;=0),OFFSET('Input data (2)'!AD$126,'Input data (2)'!$BL$1-$A31,0),""))))</f>
        <v>11</v>
      </c>
      <c r="AL48" s="124">
        <f ca="1">IF(AND('Input data (2)'!$C$2=4,$D31&gt;=0),OFFSET('Input data (2)'!AE$126,'Input data (2)'!$BL$1-$D31,0),IF(AND('Input data (2)'!$C$2=3,$C31&gt;=0),OFFSET('Input data (2)'!AE$126,'Input data (2)'!$BL$1-$C31,0),IF(AND('Input data (2)'!$C$2=2,$B31&gt;=0),OFFSET('Input data (2)'!AE$126,'Input data (2)'!$BL$1-$B31,0),IF(AND('Input data (2)'!$C$2=1,$A31&gt;=0),OFFSET('Input data (2)'!AE$126,'Input data (2)'!$BL$1-$A31,0),""))))</f>
        <v>4929</v>
      </c>
      <c r="AW48" s="1">
        <f ca="1">IF(AND('Input data (2)'!$C$2=4,$D31&gt;=0),OFFSET('Input data (2)'!L$126,'Input data (2)'!$BL$1-$D31,0),IF(AND('Input data (2)'!$C$2=3,$C31&gt;=0),OFFSET('Input data (2)'!L$126,'Input data (2)'!$BL$1-$C31,0),IF(AND('Input data (2)'!$C$2=2,$B31&gt;=0),OFFSET('Input data (2)'!L$126,'Input data (2)'!$BL$1-$B31,0),IF(AND('Input data (2)'!$C$2=1,$A31&gt;=0),OFFSET('Input data (2)'!L$126,'Input data (2)'!$BL$1-$A31,0),""))))</f>
        <v>397</v>
      </c>
      <c r="AX48" s="1">
        <f ca="1">IF(AND('Input data (2)'!$C$2=4,$D31&gt;=0),OFFSET('Input data (2)'!M$126,'Input data (2)'!$BL$1-$D31,0),IF(AND('Input data (2)'!$C$2=3,$C31&gt;=0),OFFSET('Input data (2)'!M$126,'Input data (2)'!$BL$1-$C31,0),IF(AND('Input data (2)'!$C$2=2,$B31&gt;=0),OFFSET('Input data (2)'!M$126,'Input data (2)'!$BL$1-$B31,0),IF(AND('Input data (2)'!$C$2=1,$A31&gt;=0),OFFSET('Input data (2)'!M$126,'Input data (2)'!$BL$1-$A31,0),""))))</f>
        <v>0</v>
      </c>
      <c r="AY48" s="1">
        <f ca="1">IF(AND('Input data (2)'!$C$2=4,$D31&gt;=0),OFFSET('Input data (2)'!N$126,'Input data (2)'!$BL$1-$D31,0),IF(AND('Input data (2)'!$C$2=3,$C31&gt;=0),OFFSET('Input data (2)'!N$126,'Input data (2)'!$BL$1-$C31,0),IF(AND('Input data (2)'!$C$2=2,$B31&gt;=0),OFFSET('Input data (2)'!N$126,'Input data (2)'!$BL$1-$B31,0),IF(AND('Input data (2)'!$C$2=1,$A31&gt;=0),OFFSET('Input data (2)'!N$126,'Input data (2)'!$BL$1-$A31,0),""))))</f>
        <v>849</v>
      </c>
      <c r="AZ48" s="1">
        <f ca="1">IF(AND('Input data (2)'!$C$2=4,$D31&gt;=0),OFFSET('Input data (2)'!P$126,'Input data (2)'!$BL$1-$D31,0),IF(AND('Input data (2)'!$C$2=3,$C31&gt;=0),OFFSET('Input data (2)'!P$126,'Input data (2)'!$BL$1-$C31,0),IF(AND('Input data (2)'!$C$2=2,$B31&gt;=0),OFFSET('Input data (2)'!P$126,'Input data (2)'!$BL$1-$B31,0),IF(AND('Input data (2)'!$C$2=1,$A31&gt;=0),OFFSET('Input data (2)'!P$126,'Input data (2)'!$BL$1-$A31,0),""))))</f>
        <v>219</v>
      </c>
      <c r="BB48" s="1">
        <f ca="1">IF(AND('Input data (2)'!$C$2=4,$D31&gt;=0),OFFSET('Input data (2)'!BB$126,'Input data (2)'!$BL$1-$D31,0),IF(AND('Input data (2)'!$C$2=3,$C31&gt;=0),OFFSET('Input data (2)'!BB$126,'Input data (2)'!$BL$1-$C31,0),IF(AND('Input data (2)'!$C$2=2,$B31&gt;=0),OFFSET('Input data (2)'!BB$126,'Input data (2)'!$BL$1-$B31,0),IF(AND('Input data (2)'!$C$2=1,$A31&gt;=0),OFFSET('Input data (2)'!BB$126,'Input data (2)'!$BL$1-$A31,0),""))))</f>
        <v>5693</v>
      </c>
      <c r="BC48" s="1">
        <f ca="1">IF(AND('Input data (2)'!$C$2=4,$D31&gt;=0),OFFSET('Input data (2)'!AY$126,'Input data (2)'!$BL$1-$D31,0),IF(AND('Input data (2)'!$C$2=3,$C31&gt;=0),OFFSET('Input data (2)'!AY$126,'Input data (2)'!$BL$1-$C31,0),IF(AND('Input data (2)'!$C$2=2,$B31&gt;=0),OFFSET('Input data (2)'!AY$126,'Input data (2)'!$BL$1-$B31,0),IF(AND('Input data (2)'!$C$2=1,$A31&gt;=0),OFFSET('Input data (2)'!AY$126,'Input data (2)'!$BL$1-$A31,0),""))))</f>
        <v>3365</v>
      </c>
      <c r="BD48" s="1">
        <f ca="1">IF(AND('Input data (2)'!$C$2=4,$D31&gt;=0),OFFSET('Input data (2)'!AZ$126,'Input data (2)'!$BL$1-$D31,0),IF(AND('Input data (2)'!$C$2=3,$C31&gt;=0),OFFSET('Input data (2)'!AZ$126,'Input data (2)'!$BL$1-$C31,0),IF(AND('Input data (2)'!$C$2=2,$B31&gt;=0),OFFSET('Input data (2)'!AZ$126,'Input data (2)'!$BL$1-$B31,0),IF(AND('Input data (2)'!$C$2=1,$A31&gt;=0),OFFSET('Input data (2)'!AZ$126,'Input data (2)'!$BL$1-$A31,0),""))))</f>
        <v>1990</v>
      </c>
      <c r="BE48" s="1">
        <f ca="1">IF(AND('Input data (2)'!$C$2=4,$D31&gt;=0),OFFSET('Input data (2)'!BA$126,'Input data (2)'!$BL$1-$D31,0),IF(AND('Input data (2)'!$C$2=3,$C31&gt;=0),OFFSET('Input data (2)'!BA$126,'Input data (2)'!$BL$1-$C31,0),IF(AND('Input data (2)'!$C$2=2,$B31&gt;=0),OFFSET('Input data (2)'!BA$126,'Input data (2)'!$BL$1-$B31,0),IF(AND('Input data (2)'!$C$2=1,$A31&gt;=0),OFFSET('Input data (2)'!BA$126,'Input data (2)'!$BL$1-$A31,0),""))))</f>
        <v>2328</v>
      </c>
      <c r="BF48" s="1">
        <f ca="1">IF(AND('Input data (2)'!$C$2=4,$D31&gt;=0),OFFSET('Input data (2)'!AP$126,'Input data (2)'!$BL$1-$D31,0),IF(AND('Input data (2)'!$C$2=3,$C31&gt;=0),OFFSET('Input data (2)'!AP$126,'Input data (2)'!$BL$1-$C31,0),IF(AND('Input data (2)'!$C$2=2,$B31&gt;=0),OFFSET('Input data (2)'!AP$126,'Input data (2)'!$BL$1-$B31,0),IF(AND('Input data (2)'!$C$2=1,$A31&gt;=0),OFFSET('Input data (2)'!AP$126,'Input data (2)'!$BL$1-$A31,0),""))))</f>
        <v>154</v>
      </c>
      <c r="BG48" s="1">
        <f ca="1">IF(AND('Input data (2)'!$C$2=4,$D31&gt;=0),OFFSET('Input data (2)'!AN$126,'Input data (2)'!$BL$1-$D31,0),IF(AND('Input data (2)'!$C$2=3,$C31&gt;=0),OFFSET('Input data (2)'!AN$126,'Input data (2)'!$BL$1-$C31,0),IF(AND('Input data (2)'!$C$2=2,$B31&gt;=0),OFFSET('Input data (2)'!AN$126,'Input data (2)'!$BL$1-$B31,0),IF(AND('Input data (2)'!$C$2=1,$A31&gt;=0),OFFSET('Input data (2)'!AN$126,'Input data (2)'!$BL$1-$A31,0),""))))</f>
        <v>106</v>
      </c>
      <c r="BH48" s="1">
        <f ca="1">IF(AND('Input data (2)'!$C$2=4,$D31&gt;=0),OFFSET('Input data (2)'!AO$126,'Input data (2)'!$BL$1-$D31,0),IF(AND('Input data (2)'!$C$2=3,$C31&gt;=0),OFFSET('Input data (2)'!AO$126,'Input data (2)'!$BL$1-$C31,0),IF(AND('Input data (2)'!$C$2=2,$B31&gt;=0),OFFSET('Input data (2)'!AO$126,'Input data (2)'!$BL$1-$B31,0),IF(AND('Input data (2)'!$C$2=1,$A31&gt;=0),OFFSET('Input data (2)'!AO$126,'Input data (2)'!$BL$1-$A31,0),""))))</f>
        <v>48</v>
      </c>
      <c r="BJ48" s="1">
        <f ca="1">IF(AND('Input data (2)'!$C$2=4,$D31&gt;=0),OFFSET('Input data (2)'!AU$126,'Input data (2)'!$BL$1-$D31,0),IF(AND('Input data (2)'!$C$2=3,$C31&gt;=0),OFFSET('Input data (2)'!AU$126,'Input data (2)'!$BL$1-$C31,0),IF(AND('Input data (2)'!$C$2=2,$B31&gt;=0),OFFSET('Input data (2)'!AU$126,'Input data (2)'!$BL$1-$B31,0),IF(AND('Input data (2)'!$C$2=1,$A31&gt;=0),OFFSET('Input data (2)'!AU$126,'Input data (2)'!$BL$1-$A31,0),""))))</f>
        <v>6</v>
      </c>
      <c r="BK48" s="1">
        <f ca="1">IF(AND('Input data (2)'!$C$2=4,$D31&gt;=0),OFFSET('Input data (2)'!AV$126,'Input data (2)'!$BL$1-$D31,0),IF(AND('Input data (2)'!$C$2=3,$C31&gt;=0),OFFSET('Input data (2)'!AV$126,'Input data (2)'!$BL$1-$C31,0),IF(AND('Input data (2)'!$C$2=2,$B31&gt;=0),OFFSET('Input data (2)'!AV$126,'Input data (2)'!$BL$1-$B31,0),IF(AND('Input data (2)'!$C$2=1,$A31&gt;=0),OFFSET('Input data (2)'!AV$126,'Input data (2)'!$BL$1-$A31,0),""))))</f>
        <v>0</v>
      </c>
      <c r="BL48" s="1">
        <f ca="1">IF(AND('Input data (2)'!$C$2=4,$D31&gt;=0),OFFSET('Input data (2)'!AW$126,'Input data (2)'!$BL$1-$D31,0),IF(AND('Input data (2)'!$C$2=3,$C31&gt;=0),OFFSET('Input data (2)'!AW$126,'Input data (2)'!$BL$1-$C31,0),IF(AND('Input data (2)'!$C$2=2,$B31&gt;=0),OFFSET('Input data (2)'!AW$126,'Input data (2)'!$BL$1-$B31,0),IF(AND('Input data (2)'!$C$2=1,$A31&gt;=0),OFFSET('Input data (2)'!AW$126,'Input data (2)'!$BL$1-$A31,0),""))))</f>
        <v>23</v>
      </c>
      <c r="BM48" s="1">
        <f ca="1">IF(AND('Input data (2)'!$C$2=4,$D31&gt;=0),OFFSET('Input data (2)'!AX$126,'Input data (2)'!$BL$1-$D31,0),IF(AND('Input data (2)'!$C$2=3,$C31&gt;=0),OFFSET('Input data (2)'!AX$126,'Input data (2)'!$BL$1-$C31,0),IF(AND('Input data (2)'!$C$2=2,$B31&gt;=0),OFFSET('Input data (2)'!AX$126,'Input data (2)'!$BL$1-$B31,0),IF(AND('Input data (2)'!$C$2=1,$A31&gt;=0),OFFSET('Input data (2)'!AX$126,'Input data (2)'!$BL$1-$A31,0),""))))</f>
        <v>2</v>
      </c>
      <c r="BO48" s="1">
        <f ca="1">IF(AND('Input data (2)'!$C$2=4,$D31&gt;=0),OFFSET('Input data (2)'!BL$126,'Input data (2)'!$BL$1-$D31,0),IF(AND('Input data (2)'!$C$2=3,$C31&gt;=0),OFFSET('Input data (2)'!BL$126,'Input data (2)'!$BL$1-$C31,0),IF(AND('Input data (2)'!$C$2=2,$B31&gt;=0),OFFSET('Input data (2)'!BL$126,'Input data (2)'!$BL$1-$B31,0),IF(AND('Input data (2)'!$C$2=1,$A31&gt;=0),OFFSET('Input data (2)'!BL$126,'Input data (2)'!$BL$1-$A31,0),""))))</f>
        <v>573</v>
      </c>
      <c r="BP48" s="1">
        <f ca="1">IF(AND('Input data (2)'!$C$2=4,$D31&gt;=0),OFFSET('Input data (2)'!BI$126,'Input data (2)'!$BL$1-$D31,0),IF(AND('Input data (2)'!$C$2=3,$C31&gt;=0),OFFSET('Input data (2)'!BI$126,'Input data (2)'!$BL$1-$C31,0),IF(AND('Input data (2)'!$C$2=2,$B31&gt;=0),OFFSET('Input data (2)'!BI$126,'Input data (2)'!$BL$1-$B31,0),IF(AND('Input data (2)'!$C$2=1,$A31&gt;=0),OFFSET('Input data (2)'!BI$126,'Input data (2)'!$BL$1-$A31,0),""))))</f>
        <v>381</v>
      </c>
      <c r="BQ48" s="1" t="str">
        <f ca="1">IF(AND('Input data (2)'!$C$2=4,$D31&gt;=0),OFFSET('Input data (2)'!BK$126,'Input data (2)'!$BL$1-$D31,0),IF(AND('Input data (2)'!$C$2=3,$C31&gt;=0),OFFSET('Input data (2)'!BK$126,'Input data (2)'!$BL$1-$C31,0),IF(AND('Input data (2)'!$C$2=2,$B31&gt;=0),OFFSET('Input data (2)'!BK$126,'Input data (2)'!$BL$1-$B31,0),IF(AND('Input data (2)'!$C$2=1,$A31&gt;=0),OFFSET('Input data (2)'!BK$126,'Input data (2)'!$BL$1-$A31,0),""))))</f>
        <v>..</v>
      </c>
      <c r="BR48" s="1">
        <f ca="1">IF(AND('Input data (2)'!$C$2=4,$D31&gt;=0),OFFSET('Input data (2)'!BJ$126,'Input data (2)'!$BL$1-$D31,0),IF(AND('Input data (2)'!$C$2=3,$C31&gt;=0),OFFSET('Input data (2)'!BJ$126,'Input data (2)'!$BL$1-$C31,0),IF(AND('Input data (2)'!$C$2=2,$B31&gt;=0),OFFSET('Input data (2)'!BJ$126,'Input data (2)'!$BL$1-$B31,0),IF(AND('Input data (2)'!$C$2=1,$A31&gt;=0),OFFSET('Input data (2)'!BJ$126,'Input data (2)'!$BL$1-$A31,0),""))))</f>
        <v>192</v>
      </c>
      <c r="BS48" s="1">
        <f ca="1">IF(AND('Input data (2)'!$C$2=4,$D31&gt;=0),OFFSET('Input data (2)'!BF$126,'Input data (2)'!$BL$1-$D31,0),IF(AND('Input data (2)'!$C$2=3,$C31&gt;=0),OFFSET('Input data (2)'!BF$126,'Input data (2)'!$BL$1-$C31,0),IF(AND('Input data (2)'!$C$2=2,$B31&gt;=0),OFFSET('Input data (2)'!BF$126,'Input data (2)'!$BL$1-$B31,0),IF(AND('Input data (2)'!$C$2=1,$A31&gt;=0),OFFSET('Input data (2)'!BF$126,'Input data (2)'!$BL$1-$A31,0),""))))</f>
        <v>74</v>
      </c>
      <c r="BT48" s="1">
        <f ca="1">IF(AND('Input data (2)'!$C$2=4,$D31&gt;=0),OFFSET('Input data (2)'!BD$126,'Input data (2)'!$BL$1-$D31,0),IF(AND('Input data (2)'!$C$2=3,$C31&gt;=0),OFFSET('Input data (2)'!BD$126,'Input data (2)'!$BL$1-$C31,0),IF(AND('Input data (2)'!$C$2=2,$B31&gt;=0),OFFSET('Input data (2)'!BD$126,'Input data (2)'!$BL$1-$B31,0),IF(AND('Input data (2)'!$C$2=1,$A31&gt;=0),OFFSET('Input data (2)'!BD$126,'Input data (2)'!$BL$1-$A31,0),""))))</f>
        <v>57</v>
      </c>
      <c r="BU48" s="1">
        <f ca="1">IF(AND('Input data (2)'!$C$2=4,$D31&gt;=0),OFFSET('Input data (2)'!BE$126,'Input data (2)'!$BL$1-$D31,0),IF(AND('Input data (2)'!$C$2=3,$C31&gt;=0),OFFSET('Input data (2)'!BE$126,'Input data (2)'!$BL$1-$C31,0),IF(AND('Input data (2)'!$C$2=2,$B31&gt;=0),OFFSET('Input data (2)'!BE$126,'Input data (2)'!$BL$1-$B31,0),IF(AND('Input data (2)'!$C$2=1,$A31&gt;=0),OFFSET('Input data (2)'!BE$126,'Input data (2)'!$BL$1-$A31,0),""))))</f>
        <v>17</v>
      </c>
      <c r="BW48" s="7">
        <f ca="1">IF(AND('Input data (2)'!$C$2=4,$D31&gt;=0),OFFSET('Input data (2)'!J$126,'Input data (2)'!$BL$1-$D31,0),IF(AND('Input data (2)'!$C$2=3,$C31&gt;=0),OFFSET('Input data (2)'!J$126,'Input data (2)'!$BL$1-$C31,0),IF(AND('Input data (2)'!$C$2=2,$B31&gt;=0),OFFSET('Input data (2)'!J$126,'Input data (2)'!$BL$1-$B31,0),IF(AND('Input data (2)'!$C$2=1,$A31&gt;=0),OFFSET('Input data (2)'!J$126,'Input data (2)'!$BL$1-$A31,0),""))))</f>
        <v>0.94561621364071879</v>
      </c>
      <c r="BX48" s="7">
        <f ca="1">IF(AND('Input data (2)'!$C$2=4,$D31&gt;=0),OFFSET('Input data (2)'!K$126,'Input data (2)'!$BL$1-$D31,0),IF(AND('Input data (2)'!$C$2=3,$C31&gt;=0),OFFSET('Input data (2)'!K$126,'Input data (2)'!$BL$1-$C31,0),IF(AND('Input data (2)'!$C$2=2,$B31&gt;=0),OFFSET('Input data (2)'!K$126,'Input data (2)'!$BL$1-$B31,0),IF(AND('Input data (2)'!$C$2=1,$A31&gt;=0),OFFSET('Input data (2)'!K$126,'Input data (2)'!$BL$1-$A31,0),""))))</f>
        <v>0.822482825160051</v>
      </c>
      <c r="BY48" s="7">
        <f ca="1">IF(AND('Input data (2)'!$C$2=4,$D31&gt;=0),OFFSET('Input data (2)'!AS$126,'Input data (2)'!$BL$1-$D31,0),IF(AND('Input data (2)'!$C$2=3,$C31&gt;=0),OFFSET('Input data (2)'!AS$126,'Input data (2)'!$BL$1-$C31,0),IF(AND('Input data (2)'!$C$2=2,$B31&gt;=0),OFFSET('Input data (2)'!AS$126,'Input data (2)'!$BL$1-$B31,0),IF(AND('Input data (2)'!$C$2=1,$A31&gt;=0),OFFSET('Input data (2)'!AS$126,'Input data (2)'!$BL$1-$A31,0),""))))</f>
        <v>0.44744471906051936</v>
      </c>
      <c r="BZ48" s="7">
        <f ca="1">IF(AND('Input data (2)'!$C$2=4,$D31&gt;=0),OFFSET('Input data (2)'!AT$126,'Input data (2)'!$BL$1-$D31,0),IF(AND('Input data (2)'!$C$2=3,$C31&gt;=0),OFFSET('Input data (2)'!AT$126,'Input data (2)'!$BL$1-$C31,0),IF(AND('Input data (2)'!$C$2=2,$B31&gt;=0),OFFSET('Input data (2)'!AT$126,'Input data (2)'!$BL$1-$B31,0),IF(AND('Input data (2)'!$C$2=1,$A31&gt;=0),OFFSET('Input data (2)'!AT$126,'Input data (2)'!$BL$1-$A31,0),""))))</f>
        <v>0.39835066454303925</v>
      </c>
      <c r="CB48" s="122"/>
      <c r="CC48" s="122"/>
      <c r="CD48" s="122"/>
      <c r="CE48" s="122"/>
      <c r="CK48" s="1"/>
      <c r="CL48" s="1"/>
      <c r="CM48" s="1"/>
      <c r="CN48" s="1"/>
      <c r="CO48" s="1"/>
      <c r="CP48" s="1"/>
    </row>
    <row r="49" spans="5:94" x14ac:dyDescent="0.15">
      <c r="CK49" s="1"/>
      <c r="CL49" s="1"/>
      <c r="CM49" s="1"/>
      <c r="CN49" s="1"/>
      <c r="CO49" s="1"/>
      <c r="CP49" s="1"/>
    </row>
    <row r="50" spans="5:94" x14ac:dyDescent="0.15">
      <c r="E50" s="1" t="str">
        <f>F50&amp;G50</f>
        <v>2010Q1</v>
      </c>
      <c r="F50" s="1">
        <f>F45+1</f>
        <v>2010</v>
      </c>
      <c r="G50" s="1" t="s">
        <v>1</v>
      </c>
      <c r="H50" s="1">
        <f>VLOOKUP($E50,'Input data (2)'!$A:$BL,'Output data - DO NOT TOUCH (2)'!H$71,FALSE)</f>
        <v>4196</v>
      </c>
      <c r="I50" s="1">
        <f>VLOOKUP($E50,'Input data (2)'!$A:$BL,'Output data - DO NOT TOUCH (2)'!I$71,FALSE)</f>
        <v>1330</v>
      </c>
      <c r="J50" s="1">
        <f>VLOOKUP($E50,'Input data (2)'!$A:$BL,'Output data - DO NOT TOUCH (2)'!J$71,FALSE)</f>
        <v>2866</v>
      </c>
      <c r="K50" s="1">
        <f>VLOOKUP($E50,'Input data (2)'!$A:$BL,'Output data - DO NOT TOUCH (2)'!K$71,FALSE)</f>
        <v>4014</v>
      </c>
      <c r="L50" s="1">
        <f>VLOOKUP($E50,'Input data (2)'!$A:$BL,'Output data - DO NOT TOUCH (2)'!L$71,FALSE)</f>
        <v>1301</v>
      </c>
      <c r="M50" s="1">
        <f>VLOOKUP($E50,'Input data (2)'!$A:$BL,'Output data - DO NOT TOUCH (2)'!M$71,FALSE)</f>
        <v>2713</v>
      </c>
      <c r="O50" s="119">
        <f ca="1">IF(AND('Input data (2)'!$C$2=4,$D32&gt;=0),OFFSET('Input data (2)'!O$126,'Input data (2)'!$BL$1-$D32,0),IF(AND('Input data (2)'!$C$2=3,$C32&gt;=0),OFFSET('Input data (2)'!O$126,'Input data (2)'!$BL$1-$C32,0),IF(AND('Input data (2)'!$C$2=2,$B32&gt;=0),OFFSET('Input data (2)'!O$126,'Input data (2)'!$BL$1-$B32,0),IF(AND('Input data (2)'!$C$2=1,$A32&gt;=0),OFFSET('Input data (2)'!O$126,'Input data (2)'!$BL$1-$A32,0),""))))</f>
        <v>469</v>
      </c>
      <c r="Q50" s="1">
        <f ca="1">IF(AND('Input data (2)'!$C$2=4,$D32&gt;=0),OFFSET('Input data (2)'!AC$126,'Input data (2)'!$BL$1-$D32,0),IF(AND('Input data (2)'!$C$2=3,$C32&gt;=0),OFFSET('Input data (2)'!AC$126,'Input data (2)'!$BL$1-$C32,0),IF(AND('Input data (2)'!$C$2=2,$B32&gt;=0),OFFSET('Input data (2)'!AC$126,'Input data (2)'!$BL$1-$B32,0),IF(AND('Input data (2)'!$C$2=1,$A32&gt;=0),OFFSET('Input data (2)'!AC$126,'Input data (2)'!$BL$1-$A32,0),""))))</f>
        <v>35682</v>
      </c>
      <c r="R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S50" s="1">
        <f ca="1">IF(AND('Input data (2)'!$C$2=4,$D32&gt;=0),OFFSET('Input data (2)'!R$126,'Input data (2)'!$BL$1-$D32,0),IF(AND('Input data (2)'!$C$2=3,$C32&gt;=0),OFFSET('Input data (2)'!R$126,'Input data (2)'!$BL$1-$C32,0),IF(AND('Input data (2)'!$C$2=2,$B32&gt;=0),OFFSET('Input data (2)'!R$126,'Input data (2)'!$BL$1-$B32,0),IF(AND('Input data (2)'!$C$2=1,$A32&gt;=0),OFFSET('Input data (2)'!R$126,'Input data (2)'!$BL$1-$A32,0),""))))</f>
        <v>5644</v>
      </c>
      <c r="T50" s="1">
        <f ca="1">IF(AND('Input data (2)'!$C$2=4,$D32&gt;=0),OFFSET('Input data (2)'!AA$126,'Input data (2)'!$BL$1-$D32,0),IF(AND('Input data (2)'!$C$2=3,$C32&gt;=0),OFFSET('Input data (2)'!AA$126,'Input data (2)'!$BL$1-$C32,0),IF(AND('Input data (2)'!$C$2=2,$B32&gt;=0),OFFSET('Input data (2)'!AA$126,'Input data (2)'!$BL$1-$B32,0),IF(AND('Input data (2)'!$C$2=1,$A32&gt;=0),OFFSET('Input data (2)'!AA$126,'Input data (2)'!$BL$1-$A32,0),""))))</f>
        <v>11782</v>
      </c>
      <c r="U50" s="1" t="str">
        <f ca="1">IF(AND('Input data (2)'!$C$2=4,$D32&gt;=0),OFFSET('Input data (2)'!AL$126,'Input data (2)'!$BL$1-$D32,0),IF(AND('Input data (2)'!$C$2=3,$C32&gt;=0),OFFSET('Input data (2)'!AL$126,'Input data (2)'!$BL$1-$C32,0),IF(AND('Input data (2)'!$C$2=2,$B32&gt;=0),OFFSET('Input data (2)'!AL$126,'Input data (2)'!$BL$1-$B32,0),IF(AND('Input data (2)'!$C$2=1,$A32&gt;=0),OFFSET('Input data (2)'!AL$126,'Input data (2)'!$BL$1-$A32,0),""))))</f>
        <v>:</v>
      </c>
      <c r="V50" s="1">
        <f ca="1">IF(AND('Input data (2)'!$C$2=4,$D32&gt;=0),OFFSET('Input data (2)'!AJ$126,'Input data (2)'!$BL$1-$D32,0),IF(AND('Input data (2)'!$C$2=3,$C32&gt;=0),OFFSET('Input data (2)'!AJ$126,'Input data (2)'!$BL$1-$C32,0),IF(AND('Input data (2)'!$C$2=2,$B32&gt;=0),OFFSET('Input data (2)'!AJ$126,'Input data (2)'!$BL$1-$B32,0),IF(AND('Input data (2)'!$C$2=1,$A32&gt;=0),OFFSET('Input data (2)'!AJ$126,'Input data (2)'!$BL$1-$A32,0),""))))</f>
        <v>17058</v>
      </c>
      <c r="W50" s="1">
        <f ca="1">IF(AND('Input data (2)'!$C$2=4,$D32&gt;=0),OFFSET('Input data (2)'!AK$126,'Input data (2)'!$BL$1-$D32,0),IF(AND('Input data (2)'!$C$2=3,$C32&gt;=0),OFFSET('Input data (2)'!AK$126,'Input data (2)'!$BL$1-$C32,0),IF(AND('Input data (2)'!$C$2=2,$B32&gt;=0),OFFSET('Input data (2)'!AK$126,'Input data (2)'!$BL$1-$B32,0),IF(AND('Input data (2)'!$C$2=1,$A32&gt;=0),OFFSET('Input data (2)'!AK$126,'Input data (2)'!$BL$1-$A32,0),""))))</f>
        <v>12754</v>
      </c>
      <c r="Y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Z50" s="1">
        <f ca="1">IF(AND('Input data (2)'!$C$2=4,$D32&gt;=0),OFFSET('Input data (2)'!S$126,'Input data (2)'!$BL$1-$D32,0),IF(AND('Input data (2)'!$C$2=3,$C32&gt;=0),OFFSET('Input data (2)'!S$126,'Input data (2)'!$BL$1-$C32,0),IF(AND('Input data (2)'!$C$2=2,$B32&gt;=0),OFFSET('Input data (2)'!S$126,'Input data (2)'!$BL$1-$B32,0),IF(AND('Input data (2)'!$C$2=1,$A32&gt;=0),OFFSET('Input data (2)'!S$126,'Input data (2)'!$BL$1-$A32,0),""))))</f>
        <v>15783</v>
      </c>
      <c r="AA50" s="1">
        <f ca="1">IF(AND('Input data (2)'!$C$2=4,$D32&gt;=0),OFFSET('Input data (2)'!T$126,'Input data (2)'!$BL$1-$D32,0),IF(AND('Input data (2)'!$C$2=3,$C32&gt;=0),OFFSET('Input data (2)'!T$126,'Input data (2)'!$BL$1-$C32,0),IF(AND('Input data (2)'!$C$2=2,$B32&gt;=0),OFFSET('Input data (2)'!T$126,'Input data (2)'!$BL$1-$B32,0),IF(AND('Input data (2)'!$C$2=1,$A32&gt;=0),OFFSET('Input data (2)'!T$126,'Input data (2)'!$BL$1-$A32,0),""))))</f>
        <v>86.453768624014032</v>
      </c>
      <c r="AB50" s="1">
        <f ca="1">IF(AND('Input data (2)'!$C$2=4,$D32&gt;=0),OFFSET('Input data (2)'!U$126,'Input data (2)'!$BL$1-$D32,0),IF(AND('Input data (2)'!$C$2=3,$C32&gt;=0),OFFSET('Input data (2)'!U$126,'Input data (2)'!$BL$1-$C32,0),IF(AND('Input data (2)'!$C$2=2,$B32&gt;=0),OFFSET('Input data (2)'!U$126,'Input data (2)'!$BL$1-$B32,0),IF(AND('Input data (2)'!$C$2=1,$A32&gt;=0),OFFSET('Input data (2)'!U$126,'Input data (2)'!$BL$1-$A32,0),""))))</f>
        <v>2473</v>
      </c>
      <c r="AC50" s="1">
        <f ca="1">IF(AND('Input data (2)'!$C$2=4,$D32&gt;=0),OFFSET('Input data (2)'!V$126,'Input data (2)'!$BL$1-$D32,0),IF(AND('Input data (2)'!$C$2=3,$C32&gt;=0),OFFSET('Input data (2)'!V$126,'Input data (2)'!$BL$1-$C32,0),IF(AND('Input data (2)'!$C$2=2,$B32&gt;=0),OFFSET('Input data (2)'!V$126,'Input data (2)'!$BL$1-$B32,0),IF(AND('Input data (2)'!$C$2=1,$A32&gt;=0),OFFSET('Input data (2)'!V$126,'Input data (2)'!$BL$1-$A32,0),""))))</f>
        <v>13.546231375985975</v>
      </c>
      <c r="AD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AE50" s="1">
        <f ca="1">IF(AND('Input data (2)'!$C$2=4,$D32&gt;=0),OFFSET('Input data (2)'!W$126,'Input data (2)'!$BL$1-$D32,0),IF(AND('Input data (2)'!$C$2=3,$C32&gt;=0),OFFSET('Input data (2)'!W$126,'Input data (2)'!$BL$1-$C32,0),IF(AND('Input data (2)'!$C$2=2,$B32&gt;=0),OFFSET('Input data (2)'!W$126,'Input data (2)'!$BL$1-$B32,0),IF(AND('Input data (2)'!$C$2=1,$A32&gt;=0),OFFSET('Input data (2)'!W$126,'Input data (2)'!$BL$1-$A32,0),""))))</f>
        <v>2321</v>
      </c>
      <c r="AF50" s="1">
        <f ca="1">IF(AND('Input data (2)'!$C$2=4,$D32&gt;=0),OFFSET('Input data (2)'!X$126,'Input data (2)'!$BL$1-$D32,0),IF(AND('Input data (2)'!$C$2=3,$C32&gt;=0),OFFSET('Input data (2)'!X$126,'Input data (2)'!$BL$1-$C32,0),IF(AND('Input data (2)'!$C$2=2,$B32&gt;=0),OFFSET('Input data (2)'!X$126,'Input data (2)'!$BL$1-$B32,0),IF(AND('Input data (2)'!$C$2=1,$A32&gt;=0),OFFSET('Input data (2)'!X$126,'Input data (2)'!$BL$1-$A32,0),""))))</f>
        <v>12.713628396143733</v>
      </c>
      <c r="AG50" s="1">
        <f ca="1">IF(AND('Input data (2)'!$C$2=4,$D32&gt;=0),OFFSET('Input data (2)'!Y$126,'Input data (2)'!$BL$1-$D32,0),IF(AND('Input data (2)'!$C$2=3,$C32&gt;=0),OFFSET('Input data (2)'!Y$126,'Input data (2)'!$BL$1-$C32,0),IF(AND('Input data (2)'!$C$2=2,$B32&gt;=0),OFFSET('Input data (2)'!Y$126,'Input data (2)'!$BL$1-$B32,0),IF(AND('Input data (2)'!$C$2=1,$A32&gt;=0),OFFSET('Input data (2)'!Y$126,'Input data (2)'!$BL$1-$A32,0),""))))</f>
        <v>15935</v>
      </c>
      <c r="AH50" s="1">
        <f ca="1">IF(AND('Input data (2)'!$C$2=4,$D32&gt;=0),OFFSET('Input data (2)'!Z$126,'Input data (2)'!$BL$1-$D32,0),IF(AND('Input data (2)'!$C$2=3,$C32&gt;=0),OFFSET('Input data (2)'!Z$126,'Input data (2)'!$BL$1-$C32,0),IF(AND('Input data (2)'!$C$2=2,$B32&gt;=0),OFFSET('Input data (2)'!Z$126,'Input data (2)'!$BL$1-$B32,0),IF(AND('Input data (2)'!$C$2=1,$A32&gt;=0),OFFSET('Input data (2)'!Z$126,'Input data (2)'!$BL$1-$A32,0),""))))</f>
        <v>87.286371603856267</v>
      </c>
      <c r="AI50" s="3"/>
      <c r="AJ50" s="124">
        <f ca="1">IF(AND('Input data (2)'!$C$2=4,$D32&gt;=0),OFFSET('Input data (2)'!AF$126,'Input data (2)'!$BL$1-$D32,0),IF(AND('Input data (2)'!$C$2=3,$C32&gt;=0),OFFSET('Input data (2)'!AF$126,'Input data (2)'!$BL$1-$C32,0),IF(AND('Input data (2)'!$C$2=2,$B32&gt;=0),OFFSET('Input data (2)'!AF$126,'Input data (2)'!$BL$1-$B32,0),IF(AND('Input data (2)'!$C$2=1,$A32&gt;=0),OFFSET('Input data (2)'!AF$126,'Input data (2)'!$BL$1-$A32,0),""))))</f>
        <v>2750</v>
      </c>
      <c r="AK50" s="124">
        <f ca="1">IF(AND('Input data (2)'!$C$2=4,$D32&gt;=0),OFFSET('Input data (2)'!AD$126,'Input data (2)'!$BL$1-$D32,0),IF(AND('Input data (2)'!$C$2=3,$C32&gt;=0),OFFSET('Input data (2)'!AD$126,'Input data (2)'!$BL$1-$C32,0),IF(AND('Input data (2)'!$C$2=2,$B32&gt;=0),OFFSET('Input data (2)'!AD$126,'Input data (2)'!$BL$1-$B32,0),IF(AND('Input data (2)'!$C$2=1,$A32&gt;=0),OFFSET('Input data (2)'!AD$126,'Input data (2)'!$BL$1-$A32,0),""))))</f>
        <v>14</v>
      </c>
      <c r="AL50" s="124">
        <f ca="1">IF(AND('Input data (2)'!$C$2=4,$D32&gt;=0),OFFSET('Input data (2)'!AE$126,'Input data (2)'!$BL$1-$D32,0),IF(AND('Input data (2)'!$C$2=3,$C32&gt;=0),OFFSET('Input data (2)'!AE$126,'Input data (2)'!$BL$1-$C32,0),IF(AND('Input data (2)'!$C$2=2,$B32&gt;=0),OFFSET('Input data (2)'!AE$126,'Input data (2)'!$BL$1-$B32,0),IF(AND('Input data (2)'!$C$2=1,$A32&gt;=0),OFFSET('Input data (2)'!AE$126,'Input data (2)'!$BL$1-$A32,0),""))))</f>
        <v>2736</v>
      </c>
      <c r="AW50" s="1">
        <f ca="1">IF(AND('Input data (2)'!$C$2=4,$D32&gt;=0),OFFSET('Input data (2)'!L$126,'Input data (2)'!$BL$1-$D32,0),IF(AND('Input data (2)'!$C$2=3,$C32&gt;=0),OFFSET('Input data (2)'!L$126,'Input data (2)'!$BL$1-$C32,0),IF(AND('Input data (2)'!$C$2=2,$B32&gt;=0),OFFSET('Input data (2)'!L$126,'Input data (2)'!$BL$1-$B32,0),IF(AND('Input data (2)'!$C$2=1,$A32&gt;=0),OFFSET('Input data (2)'!L$126,'Input data (2)'!$BL$1-$A32,0),""))))</f>
        <v>356</v>
      </c>
      <c r="AX50" s="1">
        <f ca="1">IF(AND('Input data (2)'!$C$2=4,$D32&gt;=0),OFFSET('Input data (2)'!M$126,'Input data (2)'!$BL$1-$D32,0),IF(AND('Input data (2)'!$C$2=3,$C32&gt;=0),OFFSET('Input data (2)'!M$126,'Input data (2)'!$BL$1-$C32,0),IF(AND('Input data (2)'!$C$2=2,$B32&gt;=0),OFFSET('Input data (2)'!M$126,'Input data (2)'!$BL$1-$B32,0),IF(AND('Input data (2)'!$C$2=1,$A32&gt;=0),OFFSET('Input data (2)'!M$126,'Input data (2)'!$BL$1-$A32,0),""))))</f>
        <v>4</v>
      </c>
      <c r="AY50" s="1">
        <f ca="1">IF(AND('Input data (2)'!$C$2=4,$D32&gt;=0),OFFSET('Input data (2)'!N$126,'Input data (2)'!$BL$1-$D32,0),IF(AND('Input data (2)'!$C$2=3,$C32&gt;=0),OFFSET('Input data (2)'!N$126,'Input data (2)'!$BL$1-$C32,0),IF(AND('Input data (2)'!$C$2=2,$B32&gt;=0),OFFSET('Input data (2)'!N$126,'Input data (2)'!$BL$1-$B32,0),IF(AND('Input data (2)'!$C$2=1,$A32&gt;=0),OFFSET('Input data (2)'!N$126,'Input data (2)'!$BL$1-$A32,0),""))))</f>
        <v>779</v>
      </c>
      <c r="AZ50" s="1">
        <f ca="1">IF(AND('Input data (2)'!$C$2=4,$D32&gt;=0),OFFSET('Input data (2)'!P$126,'Input data (2)'!$BL$1-$D32,0),IF(AND('Input data (2)'!$C$2=3,$C32&gt;=0),OFFSET('Input data (2)'!P$126,'Input data (2)'!$BL$1-$C32,0),IF(AND('Input data (2)'!$C$2=2,$B32&gt;=0),OFFSET('Input data (2)'!P$126,'Input data (2)'!$BL$1-$B32,0),IF(AND('Input data (2)'!$C$2=1,$A32&gt;=0),OFFSET('Input data (2)'!P$126,'Input data (2)'!$BL$1-$A32,0),""))))</f>
        <v>204</v>
      </c>
      <c r="BB50" s="1">
        <f ca="1">IF(AND('Input data (2)'!$C$2=4,$D32&gt;=0),OFFSET('Input data (2)'!BB$126,'Input data (2)'!$BL$1-$D32,0),IF(AND('Input data (2)'!$C$2=3,$C32&gt;=0),OFFSET('Input data (2)'!BB$126,'Input data (2)'!$BL$1-$C32,0),IF(AND('Input data (2)'!$C$2=2,$B32&gt;=0),OFFSET('Input data (2)'!BB$126,'Input data (2)'!$BL$1-$B32,0),IF(AND('Input data (2)'!$C$2=1,$A32&gt;=0),OFFSET('Input data (2)'!BB$126,'Input data (2)'!$BL$1-$A32,0),""))))</f>
        <v>5200</v>
      </c>
      <c r="BC50" s="1">
        <f ca="1">IF(AND('Input data (2)'!$C$2=4,$D32&gt;=0),OFFSET('Input data (2)'!AY$126,'Input data (2)'!$BL$1-$D32,0),IF(AND('Input data (2)'!$C$2=3,$C32&gt;=0),OFFSET('Input data (2)'!AY$126,'Input data (2)'!$BL$1-$C32,0),IF(AND('Input data (2)'!$C$2=2,$B32&gt;=0),OFFSET('Input data (2)'!AY$126,'Input data (2)'!$BL$1-$B32,0),IF(AND('Input data (2)'!$C$2=1,$A32&gt;=0),OFFSET('Input data (2)'!AY$126,'Input data (2)'!$BL$1-$A32,0),""))))</f>
        <v>3167</v>
      </c>
      <c r="BD50" s="1">
        <f ca="1">IF(AND('Input data (2)'!$C$2=4,$D32&gt;=0),OFFSET('Input data (2)'!AZ$126,'Input data (2)'!$BL$1-$D32,0),IF(AND('Input data (2)'!$C$2=3,$C32&gt;=0),OFFSET('Input data (2)'!AZ$126,'Input data (2)'!$BL$1-$C32,0),IF(AND('Input data (2)'!$C$2=2,$B32&gt;=0),OFFSET('Input data (2)'!AZ$126,'Input data (2)'!$BL$1-$B32,0),IF(AND('Input data (2)'!$C$2=1,$A32&gt;=0),OFFSET('Input data (2)'!AZ$126,'Input data (2)'!$BL$1-$A32,0),""))))</f>
        <v>1905</v>
      </c>
      <c r="BE50" s="1">
        <f ca="1">IF(AND('Input data (2)'!$C$2=4,$D32&gt;=0),OFFSET('Input data (2)'!BA$126,'Input data (2)'!$BL$1-$D32,0),IF(AND('Input data (2)'!$C$2=3,$C32&gt;=0),OFFSET('Input data (2)'!BA$126,'Input data (2)'!$BL$1-$C32,0),IF(AND('Input data (2)'!$C$2=2,$B32&gt;=0),OFFSET('Input data (2)'!BA$126,'Input data (2)'!$BL$1-$B32,0),IF(AND('Input data (2)'!$C$2=1,$A32&gt;=0),OFFSET('Input data (2)'!BA$126,'Input data (2)'!$BL$1-$A32,0),""))))</f>
        <v>2033</v>
      </c>
      <c r="BF50" s="1">
        <f ca="1">IF(AND('Input data (2)'!$C$2=4,$D32&gt;=0),OFFSET('Input data (2)'!AP$126,'Input data (2)'!$BL$1-$D32,0),IF(AND('Input data (2)'!$C$2=3,$C32&gt;=0),OFFSET('Input data (2)'!AP$126,'Input data (2)'!$BL$1-$C32,0),IF(AND('Input data (2)'!$C$2=2,$B32&gt;=0),OFFSET('Input data (2)'!AP$126,'Input data (2)'!$BL$1-$B32,0),IF(AND('Input data (2)'!$C$2=1,$A32&gt;=0),OFFSET('Input data (2)'!AP$126,'Input data (2)'!$BL$1-$A32,0),""))))</f>
        <v>275</v>
      </c>
      <c r="BG50" s="1">
        <f ca="1">IF(AND('Input data (2)'!$C$2=4,$D32&gt;=0),OFFSET('Input data (2)'!AN$126,'Input data (2)'!$BL$1-$D32,0),IF(AND('Input data (2)'!$C$2=3,$C32&gt;=0),OFFSET('Input data (2)'!AN$126,'Input data (2)'!$BL$1-$C32,0),IF(AND('Input data (2)'!$C$2=2,$B32&gt;=0),OFFSET('Input data (2)'!AN$126,'Input data (2)'!$BL$1-$B32,0),IF(AND('Input data (2)'!$C$2=1,$A32&gt;=0),OFFSET('Input data (2)'!AN$126,'Input data (2)'!$BL$1-$A32,0),""))))</f>
        <v>202</v>
      </c>
      <c r="BH50" s="1">
        <f ca="1">IF(AND('Input data (2)'!$C$2=4,$D32&gt;=0),OFFSET('Input data (2)'!AO$126,'Input data (2)'!$BL$1-$D32,0),IF(AND('Input data (2)'!$C$2=3,$C32&gt;=0),OFFSET('Input data (2)'!AO$126,'Input data (2)'!$BL$1-$C32,0),IF(AND('Input data (2)'!$C$2=2,$B32&gt;=0),OFFSET('Input data (2)'!AO$126,'Input data (2)'!$BL$1-$B32,0),IF(AND('Input data (2)'!$C$2=1,$A32&gt;=0),OFFSET('Input data (2)'!AO$126,'Input data (2)'!$BL$1-$A32,0),""))))</f>
        <v>73</v>
      </c>
      <c r="BJ50" s="1">
        <f ca="1">IF(AND('Input data (2)'!$C$2=4,$D32&gt;=0),OFFSET('Input data (2)'!AU$126,'Input data (2)'!$BL$1-$D32,0),IF(AND('Input data (2)'!$C$2=3,$C32&gt;=0),OFFSET('Input data (2)'!AU$126,'Input data (2)'!$BL$1-$C32,0),IF(AND('Input data (2)'!$C$2=2,$B32&gt;=0),OFFSET('Input data (2)'!AU$126,'Input data (2)'!$BL$1-$B32,0),IF(AND('Input data (2)'!$C$2=1,$A32&gt;=0),OFFSET('Input data (2)'!AU$126,'Input data (2)'!$BL$1-$A32,0),""))))</f>
        <v>6</v>
      </c>
      <c r="BK50" s="1">
        <f ca="1">IF(AND('Input data (2)'!$C$2=4,$D32&gt;=0),OFFSET('Input data (2)'!AV$126,'Input data (2)'!$BL$1-$D32,0),IF(AND('Input data (2)'!$C$2=3,$C32&gt;=0),OFFSET('Input data (2)'!AV$126,'Input data (2)'!$BL$1-$C32,0),IF(AND('Input data (2)'!$C$2=2,$B32&gt;=0),OFFSET('Input data (2)'!AV$126,'Input data (2)'!$BL$1-$B32,0),IF(AND('Input data (2)'!$C$2=1,$A32&gt;=0),OFFSET('Input data (2)'!AV$126,'Input data (2)'!$BL$1-$A32,0),""))))</f>
        <v>0</v>
      </c>
      <c r="BL50" s="1">
        <f ca="1">IF(AND('Input data (2)'!$C$2=4,$D32&gt;=0),OFFSET('Input data (2)'!AW$126,'Input data (2)'!$BL$1-$D32,0),IF(AND('Input data (2)'!$C$2=3,$C32&gt;=0),OFFSET('Input data (2)'!AW$126,'Input data (2)'!$BL$1-$C32,0),IF(AND('Input data (2)'!$C$2=2,$B32&gt;=0),OFFSET('Input data (2)'!AW$126,'Input data (2)'!$BL$1-$B32,0),IF(AND('Input data (2)'!$C$2=1,$A32&gt;=0),OFFSET('Input data (2)'!AW$126,'Input data (2)'!$BL$1-$A32,0),""))))</f>
        <v>92</v>
      </c>
      <c r="BM50" s="1">
        <f ca="1">IF(AND('Input data (2)'!$C$2=4,$D32&gt;=0),OFFSET('Input data (2)'!AX$126,'Input data (2)'!$BL$1-$D32,0),IF(AND('Input data (2)'!$C$2=3,$C32&gt;=0),OFFSET('Input data (2)'!AX$126,'Input data (2)'!$BL$1-$C32,0),IF(AND('Input data (2)'!$C$2=2,$B32&gt;=0),OFFSET('Input data (2)'!AX$126,'Input data (2)'!$BL$1-$B32,0),IF(AND('Input data (2)'!$C$2=1,$A32&gt;=0),OFFSET('Input data (2)'!AX$126,'Input data (2)'!$BL$1-$A32,0),""))))</f>
        <v>2</v>
      </c>
      <c r="BO50" s="1">
        <f ca="1">IF(AND('Input data (2)'!$C$2=4,$D32&gt;=0),OFFSET('Input data (2)'!BL$126,'Input data (2)'!$BL$1-$D32,0),IF(AND('Input data (2)'!$C$2=3,$C32&gt;=0),OFFSET('Input data (2)'!BL$126,'Input data (2)'!$BL$1-$C32,0),IF(AND('Input data (2)'!$C$2=2,$B32&gt;=0),OFFSET('Input data (2)'!BL$126,'Input data (2)'!$BL$1-$B32,0),IF(AND('Input data (2)'!$C$2=1,$A32&gt;=0),OFFSET('Input data (2)'!BL$126,'Input data (2)'!$BL$1-$A32,0),""))))</f>
        <v>554</v>
      </c>
      <c r="BP50" s="1">
        <f ca="1">IF(AND('Input data (2)'!$C$2=4,$D32&gt;=0),OFFSET('Input data (2)'!BI$126,'Input data (2)'!$BL$1-$D32,0),IF(AND('Input data (2)'!$C$2=3,$C32&gt;=0),OFFSET('Input data (2)'!BI$126,'Input data (2)'!$BL$1-$C32,0),IF(AND('Input data (2)'!$C$2=2,$B32&gt;=0),OFFSET('Input data (2)'!BI$126,'Input data (2)'!$BL$1-$B32,0),IF(AND('Input data (2)'!$C$2=1,$A32&gt;=0),OFFSET('Input data (2)'!BI$126,'Input data (2)'!$BL$1-$A32,0),""))))</f>
        <v>316</v>
      </c>
      <c r="BQ50" s="1" t="str">
        <f ca="1">IF(AND('Input data (2)'!$C$2=4,$D32&gt;=0),OFFSET('Input data (2)'!BK$126,'Input data (2)'!$BL$1-$D32,0),IF(AND('Input data (2)'!$C$2=3,$C32&gt;=0),OFFSET('Input data (2)'!BK$126,'Input data (2)'!$BL$1-$C32,0),IF(AND('Input data (2)'!$C$2=2,$B32&gt;=0),OFFSET('Input data (2)'!BK$126,'Input data (2)'!$BL$1-$B32,0),IF(AND('Input data (2)'!$C$2=1,$A32&gt;=0),OFFSET('Input data (2)'!BK$126,'Input data (2)'!$BL$1-$A32,0),""))))</f>
        <v>..</v>
      </c>
      <c r="BR50" s="1">
        <f ca="1">IF(AND('Input data (2)'!$C$2=4,$D32&gt;=0),OFFSET('Input data (2)'!BJ$126,'Input data (2)'!$BL$1-$D32,0),IF(AND('Input data (2)'!$C$2=3,$C32&gt;=0),OFFSET('Input data (2)'!BJ$126,'Input data (2)'!$BL$1-$C32,0),IF(AND('Input data (2)'!$C$2=2,$B32&gt;=0),OFFSET('Input data (2)'!BJ$126,'Input data (2)'!$BL$1-$B32,0),IF(AND('Input data (2)'!$C$2=1,$A32&gt;=0),OFFSET('Input data (2)'!BJ$126,'Input data (2)'!$BL$1-$A32,0),""))))</f>
        <v>238</v>
      </c>
      <c r="BS50" s="1">
        <f ca="1">IF(AND('Input data (2)'!$C$2=4,$D32&gt;=0),OFFSET('Input data (2)'!BF$126,'Input data (2)'!$BL$1-$D32,0),IF(AND('Input data (2)'!$C$2=3,$C32&gt;=0),OFFSET('Input data (2)'!BF$126,'Input data (2)'!$BL$1-$C32,0),IF(AND('Input data (2)'!$C$2=2,$B32&gt;=0),OFFSET('Input data (2)'!BF$126,'Input data (2)'!$BL$1-$B32,0),IF(AND('Input data (2)'!$C$2=1,$A32&gt;=0),OFFSET('Input data (2)'!BF$126,'Input data (2)'!$BL$1-$A32,0),""))))</f>
        <v>102</v>
      </c>
      <c r="BT50" s="1">
        <f ca="1">IF(AND('Input data (2)'!$C$2=4,$D32&gt;=0),OFFSET('Input data (2)'!BD$126,'Input data (2)'!$BL$1-$D32,0),IF(AND('Input data (2)'!$C$2=3,$C32&gt;=0),OFFSET('Input data (2)'!BD$126,'Input data (2)'!$BL$1-$C32,0),IF(AND('Input data (2)'!$C$2=2,$B32&gt;=0),OFFSET('Input data (2)'!BD$126,'Input data (2)'!$BL$1-$B32,0),IF(AND('Input data (2)'!$C$2=1,$A32&gt;=0),OFFSET('Input data (2)'!BD$126,'Input data (2)'!$BL$1-$A32,0),""))))</f>
        <v>49</v>
      </c>
      <c r="BU50" s="1">
        <f ca="1">IF(AND('Input data (2)'!$C$2=4,$D32&gt;=0),OFFSET('Input data (2)'!BE$126,'Input data (2)'!$BL$1-$D32,0),IF(AND('Input data (2)'!$C$2=3,$C32&gt;=0),OFFSET('Input data (2)'!BE$126,'Input data (2)'!$BL$1-$C32,0),IF(AND('Input data (2)'!$C$2=2,$B32&gt;=0),OFFSET('Input data (2)'!BE$126,'Input data (2)'!$BL$1-$B32,0),IF(AND('Input data (2)'!$C$2=1,$A32&gt;=0),OFFSET('Input data (2)'!BE$126,'Input data (2)'!$BL$1-$A32,0),""))))</f>
        <v>53</v>
      </c>
      <c r="BW50" s="7">
        <f ca="1">IF(AND('Input data (2)'!$C$2=4,$D32&gt;=0),OFFSET('Input data (2)'!J$126,'Input data (2)'!$BL$1-$D32,0),IF(AND('Input data (2)'!$C$2=3,$C32&gt;=0),OFFSET('Input data (2)'!J$126,'Input data (2)'!$BL$1-$C32,0),IF(AND('Input data (2)'!$C$2=2,$B32&gt;=0),OFFSET('Input data (2)'!J$126,'Input data (2)'!$BL$1-$B32,0),IF(AND('Input data (2)'!$C$2=1,$A32&gt;=0),OFFSET('Input data (2)'!J$126,'Input data (2)'!$BL$1-$A32,0),""))))</f>
        <v>0.90910694117403501</v>
      </c>
      <c r="BX50" s="7">
        <f ca="1">IF(AND('Input data (2)'!$C$2=4,$D32&gt;=0),OFFSET('Input data (2)'!K$126,'Input data (2)'!$BL$1-$D32,0),IF(AND('Input data (2)'!$C$2=3,$C32&gt;=0),OFFSET('Input data (2)'!K$126,'Input data (2)'!$BL$1-$C32,0),IF(AND('Input data (2)'!$C$2=2,$B32&gt;=0),OFFSET('Input data (2)'!K$126,'Input data (2)'!$BL$1-$B32,0),IF(AND('Input data (2)'!$C$2=1,$A32&gt;=0),OFFSET('Input data (2)'!K$126,'Input data (2)'!$BL$1-$A32,0),""))))</f>
        <v>0.80505898561386358</v>
      </c>
      <c r="BY50" s="7">
        <f ca="1">IF(AND('Input data (2)'!$C$2=4,$D32&gt;=0),OFFSET('Input data (2)'!AS$126,'Input data (2)'!$BL$1-$D32,0),IF(AND('Input data (2)'!$C$2=3,$C32&gt;=0),OFFSET('Input data (2)'!AS$126,'Input data (2)'!$BL$1-$C32,0),IF(AND('Input data (2)'!$C$2=2,$B32&gt;=0),OFFSET('Input data (2)'!AS$126,'Input data (2)'!$BL$1-$B32,0),IF(AND('Input data (2)'!$C$2=1,$A32&gt;=0),OFFSET('Input data (2)'!AS$126,'Input data (2)'!$BL$1-$A32,0),""))))</f>
        <v>0.53633139337948332</v>
      </c>
      <c r="BZ50" s="7">
        <f ca="1">IF(AND('Input data (2)'!$C$2=4,$D32&gt;=0),OFFSET('Input data (2)'!AT$126,'Input data (2)'!$BL$1-$D32,0),IF(AND('Input data (2)'!$C$2=3,$C32&gt;=0),OFFSET('Input data (2)'!AT$126,'Input data (2)'!$BL$1-$C32,0),IF(AND('Input data (2)'!$C$2=2,$B32&gt;=0),OFFSET('Input data (2)'!AT$126,'Input data (2)'!$BL$1-$B32,0),IF(AND('Input data (2)'!$C$2=1,$A32&gt;=0),OFFSET('Input data (2)'!AT$126,'Input data (2)'!$BL$1-$A32,0),""))))</f>
        <v>0.4763470053719841</v>
      </c>
      <c r="CB50" s="122"/>
      <c r="CC50" s="122"/>
      <c r="CD50" s="122"/>
      <c r="CE50" s="122"/>
      <c r="CK50" s="1"/>
      <c r="CL50" s="1"/>
      <c r="CM50" s="1"/>
      <c r="CN50" s="1"/>
      <c r="CO50" s="1"/>
      <c r="CP50" s="1"/>
    </row>
    <row r="51" spans="5:94" x14ac:dyDescent="0.15">
      <c r="E51" s="1" t="str">
        <f>F51&amp;G51</f>
        <v>2010Q2</v>
      </c>
      <c r="F51" s="1">
        <f>F46+1</f>
        <v>2010</v>
      </c>
      <c r="G51" s="1" t="s">
        <v>2</v>
      </c>
      <c r="H51" s="1">
        <f>VLOOKUP($E51,'Input data (2)'!$A:$BL,'Output data - DO NOT TOUCH (2)'!H$71,FALSE)</f>
        <v>4094</v>
      </c>
      <c r="I51" s="1">
        <f>VLOOKUP($E51,'Input data (2)'!$A:$BL,'Output data - DO NOT TOUCH (2)'!I$71,FALSE)</f>
        <v>1185</v>
      </c>
      <c r="J51" s="1">
        <f>VLOOKUP($E51,'Input data (2)'!$A:$BL,'Output data - DO NOT TOUCH (2)'!J$71,FALSE)</f>
        <v>2909</v>
      </c>
      <c r="K51" s="1">
        <f>VLOOKUP($E51,'Input data (2)'!$A:$BL,'Output data - DO NOT TOUCH (2)'!K$71,FALSE)</f>
        <v>4063</v>
      </c>
      <c r="L51" s="1">
        <f>VLOOKUP($E51,'Input data (2)'!$A:$BL,'Output data - DO NOT TOUCH (2)'!L$71,FALSE)</f>
        <v>1184</v>
      </c>
      <c r="M51" s="1">
        <f>VLOOKUP($E51,'Input data (2)'!$A:$BL,'Output data - DO NOT TOUCH (2)'!M$71,FALSE)</f>
        <v>2879</v>
      </c>
      <c r="O51" s="119">
        <f ca="1">IF(AND('Input data (2)'!$C$2=4,$D33&gt;=0),OFFSET('Input data (2)'!O$126,'Input data (2)'!$BL$1-$D33,0),IF(AND('Input data (2)'!$C$2=3,$C33&gt;=0),OFFSET('Input data (2)'!O$126,'Input data (2)'!$BL$1-$C33,0),IF(AND('Input data (2)'!$C$2=2,$B33&gt;=0),OFFSET('Input data (2)'!O$126,'Input data (2)'!$BL$1-$B33,0),IF(AND('Input data (2)'!$C$2=1,$A33&gt;=0),OFFSET('Input data (2)'!O$126,'Input data (2)'!$BL$1-$A33,0),""))))</f>
        <v>399</v>
      </c>
      <c r="Q51" s="1">
        <f ca="1">IF(AND('Input data (2)'!$C$2=4,$D33&gt;=0),OFFSET('Input data (2)'!AC$126,'Input data (2)'!$BL$1-$D33,0),IF(AND('Input data (2)'!$C$2=3,$C33&gt;=0),OFFSET('Input data (2)'!AC$126,'Input data (2)'!$BL$1-$C33,0),IF(AND('Input data (2)'!$C$2=2,$B33&gt;=0),OFFSET('Input data (2)'!AC$126,'Input data (2)'!$BL$1-$B33,0),IF(AND('Input data (2)'!$C$2=1,$A33&gt;=0),OFFSET('Input data (2)'!AC$126,'Input data (2)'!$BL$1-$A33,0),""))))</f>
        <v>34743</v>
      </c>
      <c r="R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S51" s="1">
        <f ca="1">IF(AND('Input data (2)'!$C$2=4,$D33&gt;=0),OFFSET('Input data (2)'!R$126,'Input data (2)'!$BL$1-$D33,0),IF(AND('Input data (2)'!$C$2=3,$C33&gt;=0),OFFSET('Input data (2)'!R$126,'Input data (2)'!$BL$1-$C33,0),IF(AND('Input data (2)'!$C$2=2,$B33&gt;=0),OFFSET('Input data (2)'!R$126,'Input data (2)'!$BL$1-$B33,0),IF(AND('Input data (2)'!$C$2=1,$A33&gt;=0),OFFSET('Input data (2)'!R$126,'Input data (2)'!$BL$1-$A33,0),""))))</f>
        <v>6295</v>
      </c>
      <c r="T51" s="1">
        <f ca="1">IF(AND('Input data (2)'!$C$2=4,$D33&gt;=0),OFFSET('Input data (2)'!AA$126,'Input data (2)'!$BL$1-$D33,0),IF(AND('Input data (2)'!$C$2=3,$C33&gt;=0),OFFSET('Input data (2)'!AA$126,'Input data (2)'!$BL$1-$C33,0),IF(AND('Input data (2)'!$C$2=2,$B33&gt;=0),OFFSET('Input data (2)'!AA$126,'Input data (2)'!$BL$1-$B33,0),IF(AND('Input data (2)'!$C$2=1,$A33&gt;=0),OFFSET('Input data (2)'!AA$126,'Input data (2)'!$BL$1-$A33,0),""))))</f>
        <v>13466</v>
      </c>
      <c r="U51" s="1" t="str">
        <f ca="1">IF(AND('Input data (2)'!$C$2=4,$D33&gt;=0),OFFSET('Input data (2)'!AL$126,'Input data (2)'!$BL$1-$D33,0),IF(AND('Input data (2)'!$C$2=3,$C33&gt;=0),OFFSET('Input data (2)'!AL$126,'Input data (2)'!$BL$1-$C33,0),IF(AND('Input data (2)'!$C$2=2,$B33&gt;=0),OFFSET('Input data (2)'!AL$126,'Input data (2)'!$BL$1-$B33,0),IF(AND('Input data (2)'!$C$2=1,$A33&gt;=0),OFFSET('Input data (2)'!AL$126,'Input data (2)'!$BL$1-$A33,0),""))))</f>
        <v>:</v>
      </c>
      <c r="V51" s="1">
        <f ca="1">IF(AND('Input data (2)'!$C$2=4,$D33&gt;=0),OFFSET('Input data (2)'!AJ$126,'Input data (2)'!$BL$1-$D33,0),IF(AND('Input data (2)'!$C$2=3,$C33&gt;=0),OFFSET('Input data (2)'!AJ$126,'Input data (2)'!$BL$1-$C33,0),IF(AND('Input data (2)'!$C$2=2,$B33&gt;=0),OFFSET('Input data (2)'!AJ$126,'Input data (2)'!$BL$1-$B33,0),IF(AND('Input data (2)'!$C$2=1,$A33&gt;=0),OFFSET('Input data (2)'!AJ$126,'Input data (2)'!$BL$1-$A33,0),""))))</f>
        <v>15256</v>
      </c>
      <c r="W51" s="1">
        <f ca="1">IF(AND('Input data (2)'!$C$2=4,$D33&gt;=0),OFFSET('Input data (2)'!AK$126,'Input data (2)'!$BL$1-$D33,0),IF(AND('Input data (2)'!$C$2=3,$C33&gt;=0),OFFSET('Input data (2)'!AK$126,'Input data (2)'!$BL$1-$C33,0),IF(AND('Input data (2)'!$C$2=2,$B33&gt;=0),OFFSET('Input data (2)'!AK$126,'Input data (2)'!$BL$1-$B33,0),IF(AND('Input data (2)'!$C$2=1,$A33&gt;=0),OFFSET('Input data (2)'!AK$126,'Input data (2)'!$BL$1-$A33,0),""))))</f>
        <v>13262</v>
      </c>
      <c r="Y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Z51" s="1">
        <f ca="1">IF(AND('Input data (2)'!$C$2=4,$D33&gt;=0),OFFSET('Input data (2)'!S$126,'Input data (2)'!$BL$1-$D33,0),IF(AND('Input data (2)'!$C$2=3,$C33&gt;=0),OFFSET('Input data (2)'!S$126,'Input data (2)'!$BL$1-$C33,0),IF(AND('Input data (2)'!$C$2=2,$B33&gt;=0),OFFSET('Input data (2)'!S$126,'Input data (2)'!$BL$1-$B33,0),IF(AND('Input data (2)'!$C$2=1,$A33&gt;=0),OFFSET('Input data (2)'!S$126,'Input data (2)'!$BL$1-$A33,0),""))))</f>
        <v>12844</v>
      </c>
      <c r="AA51" s="1">
        <f ca="1">IF(AND('Input data (2)'!$C$2=4,$D33&gt;=0),OFFSET('Input data (2)'!T$126,'Input data (2)'!$BL$1-$D33,0),IF(AND('Input data (2)'!$C$2=3,$C33&gt;=0),OFFSET('Input data (2)'!T$126,'Input data (2)'!$BL$1-$C33,0),IF(AND('Input data (2)'!$C$2=2,$B33&gt;=0),OFFSET('Input data (2)'!T$126,'Input data (2)'!$BL$1-$B33,0),IF(AND('Input data (2)'!$C$2=1,$A33&gt;=0),OFFSET('Input data (2)'!T$126,'Input data (2)'!$BL$1-$A33,0),""))))</f>
        <v>85.729542117207316</v>
      </c>
      <c r="AB51" s="1">
        <f ca="1">IF(AND('Input data (2)'!$C$2=4,$D33&gt;=0),OFFSET('Input data (2)'!U$126,'Input data (2)'!$BL$1-$D33,0),IF(AND('Input data (2)'!$C$2=3,$C33&gt;=0),OFFSET('Input data (2)'!U$126,'Input data (2)'!$BL$1-$C33,0),IF(AND('Input data (2)'!$C$2=2,$B33&gt;=0),OFFSET('Input data (2)'!U$126,'Input data (2)'!$BL$1-$B33,0),IF(AND('Input data (2)'!$C$2=1,$A33&gt;=0),OFFSET('Input data (2)'!U$126,'Input data (2)'!$BL$1-$A33,0),""))))</f>
        <v>2138</v>
      </c>
      <c r="AC51" s="1">
        <f ca="1">IF(AND('Input data (2)'!$C$2=4,$D33&gt;=0),OFFSET('Input data (2)'!V$126,'Input data (2)'!$BL$1-$D33,0),IF(AND('Input data (2)'!$C$2=3,$C33&gt;=0),OFFSET('Input data (2)'!V$126,'Input data (2)'!$BL$1-$C33,0),IF(AND('Input data (2)'!$C$2=2,$B33&gt;=0),OFFSET('Input data (2)'!V$126,'Input data (2)'!$BL$1-$B33,0),IF(AND('Input data (2)'!$C$2=1,$A33&gt;=0),OFFSET('Input data (2)'!V$126,'Input data (2)'!$BL$1-$A33,0),""))))</f>
        <v>14.270457882792684</v>
      </c>
      <c r="AD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AE51" s="1">
        <f ca="1">IF(AND('Input data (2)'!$C$2=4,$D33&gt;=0),OFFSET('Input data (2)'!W$126,'Input data (2)'!$BL$1-$D33,0),IF(AND('Input data (2)'!$C$2=3,$C33&gt;=0),OFFSET('Input data (2)'!W$126,'Input data (2)'!$BL$1-$C33,0),IF(AND('Input data (2)'!$C$2=2,$B33&gt;=0),OFFSET('Input data (2)'!W$126,'Input data (2)'!$BL$1-$B33,0),IF(AND('Input data (2)'!$C$2=1,$A33&gt;=0),OFFSET('Input data (2)'!W$126,'Input data (2)'!$BL$1-$A33,0),""))))</f>
        <v>1911</v>
      </c>
      <c r="AF51" s="1">
        <f ca="1">IF(AND('Input data (2)'!$C$2=4,$D33&gt;=0),OFFSET('Input data (2)'!X$126,'Input data (2)'!$BL$1-$D33,0),IF(AND('Input data (2)'!$C$2=3,$C33&gt;=0),OFFSET('Input data (2)'!X$126,'Input data (2)'!$BL$1-$C33,0),IF(AND('Input data (2)'!$C$2=2,$B33&gt;=0),OFFSET('Input data (2)'!X$126,'Input data (2)'!$BL$1-$B33,0),IF(AND('Input data (2)'!$C$2=1,$A33&gt;=0),OFFSET('Input data (2)'!X$126,'Input data (2)'!$BL$1-$A33,0),""))))</f>
        <v>12.75530636764117</v>
      </c>
      <c r="AG51" s="1">
        <f ca="1">IF(AND('Input data (2)'!$C$2=4,$D33&gt;=0),OFFSET('Input data (2)'!Y$126,'Input data (2)'!$BL$1-$D33,0),IF(AND('Input data (2)'!$C$2=3,$C33&gt;=0),OFFSET('Input data (2)'!Y$126,'Input data (2)'!$BL$1-$C33,0),IF(AND('Input data (2)'!$C$2=2,$B33&gt;=0),OFFSET('Input data (2)'!Y$126,'Input data (2)'!$BL$1-$B33,0),IF(AND('Input data (2)'!$C$2=1,$A33&gt;=0),OFFSET('Input data (2)'!Y$126,'Input data (2)'!$BL$1-$A33,0),""))))</f>
        <v>13071</v>
      </c>
      <c r="AH51" s="1">
        <f ca="1">IF(AND('Input data (2)'!$C$2=4,$D33&gt;=0),OFFSET('Input data (2)'!Z$126,'Input data (2)'!$BL$1-$D33,0),IF(AND('Input data (2)'!$C$2=3,$C33&gt;=0),OFFSET('Input data (2)'!Z$126,'Input data (2)'!$BL$1-$C33,0),IF(AND('Input data (2)'!$C$2=2,$B33&gt;=0),OFFSET('Input data (2)'!Z$126,'Input data (2)'!$BL$1-$B33,0),IF(AND('Input data (2)'!$C$2=1,$A33&gt;=0),OFFSET('Input data (2)'!Z$126,'Input data (2)'!$BL$1-$A33,0),""))))</f>
        <v>87.244693632358832</v>
      </c>
      <c r="AI51" s="3"/>
      <c r="AJ51" s="124">
        <f ca="1">IF(AND('Input data (2)'!$C$2=4,$D33&gt;=0),OFFSET('Input data (2)'!AF$126,'Input data (2)'!$BL$1-$D33,0),IF(AND('Input data (2)'!$C$2=3,$C33&gt;=0),OFFSET('Input data (2)'!AF$126,'Input data (2)'!$BL$1-$C33,0),IF(AND('Input data (2)'!$C$2=2,$B33&gt;=0),OFFSET('Input data (2)'!AF$126,'Input data (2)'!$BL$1-$B33,0),IF(AND('Input data (2)'!$C$2=1,$A33&gt;=0),OFFSET('Input data (2)'!AF$126,'Input data (2)'!$BL$1-$A33,0),""))))</f>
        <v>3046</v>
      </c>
      <c r="AK51" s="124">
        <f ca="1">IF(AND('Input data (2)'!$C$2=4,$D33&gt;=0),OFFSET('Input data (2)'!AD$126,'Input data (2)'!$BL$1-$D33,0),IF(AND('Input data (2)'!$C$2=3,$C33&gt;=0),OFFSET('Input data (2)'!AD$126,'Input data (2)'!$BL$1-$C33,0),IF(AND('Input data (2)'!$C$2=2,$B33&gt;=0),OFFSET('Input data (2)'!AD$126,'Input data (2)'!$BL$1-$B33,0),IF(AND('Input data (2)'!$C$2=1,$A33&gt;=0),OFFSET('Input data (2)'!AD$126,'Input data (2)'!$BL$1-$A33,0),""))))</f>
        <v>14</v>
      </c>
      <c r="AL51" s="124">
        <f ca="1">IF(AND('Input data (2)'!$C$2=4,$D33&gt;=0),OFFSET('Input data (2)'!AE$126,'Input data (2)'!$BL$1-$D33,0),IF(AND('Input data (2)'!$C$2=3,$C33&gt;=0),OFFSET('Input data (2)'!AE$126,'Input data (2)'!$BL$1-$C33,0),IF(AND('Input data (2)'!$C$2=2,$B33&gt;=0),OFFSET('Input data (2)'!AE$126,'Input data (2)'!$BL$1-$B33,0),IF(AND('Input data (2)'!$C$2=1,$A33&gt;=0),OFFSET('Input data (2)'!AE$126,'Input data (2)'!$BL$1-$A33,0),""))))</f>
        <v>3032</v>
      </c>
      <c r="AW51" s="1">
        <f ca="1">IF(AND('Input data (2)'!$C$2=4,$D33&gt;=0),OFFSET('Input data (2)'!L$126,'Input data (2)'!$BL$1-$D33,0),IF(AND('Input data (2)'!$C$2=3,$C33&gt;=0),OFFSET('Input data (2)'!L$126,'Input data (2)'!$BL$1-$C33,0),IF(AND('Input data (2)'!$C$2=2,$B33&gt;=0),OFFSET('Input data (2)'!L$126,'Input data (2)'!$BL$1-$B33,0),IF(AND('Input data (2)'!$C$2=1,$A33&gt;=0),OFFSET('Input data (2)'!L$126,'Input data (2)'!$BL$1-$A33,0),""))))</f>
        <v>302</v>
      </c>
      <c r="AX51" s="1">
        <f ca="1">IF(AND('Input data (2)'!$C$2=4,$D33&gt;=0),OFFSET('Input data (2)'!M$126,'Input data (2)'!$BL$1-$D33,0),IF(AND('Input data (2)'!$C$2=3,$C33&gt;=0),OFFSET('Input data (2)'!M$126,'Input data (2)'!$BL$1-$C33,0),IF(AND('Input data (2)'!$C$2=2,$B33&gt;=0),OFFSET('Input data (2)'!M$126,'Input data (2)'!$BL$1-$B33,0),IF(AND('Input data (2)'!$C$2=1,$A33&gt;=0),OFFSET('Input data (2)'!M$126,'Input data (2)'!$BL$1-$A33,0),""))))</f>
        <v>0</v>
      </c>
      <c r="AY51" s="1">
        <f ca="1">IF(AND('Input data (2)'!$C$2=4,$D33&gt;=0),OFFSET('Input data (2)'!N$126,'Input data (2)'!$BL$1-$D33,0),IF(AND('Input data (2)'!$C$2=3,$C33&gt;=0),OFFSET('Input data (2)'!N$126,'Input data (2)'!$BL$1-$C33,0),IF(AND('Input data (2)'!$C$2=2,$B33&gt;=0),OFFSET('Input data (2)'!N$126,'Input data (2)'!$BL$1-$B33,0),IF(AND('Input data (2)'!$C$2=1,$A33&gt;=0),OFFSET('Input data (2)'!N$126,'Input data (2)'!$BL$1-$A33,0),""))))</f>
        <v>777</v>
      </c>
      <c r="AZ51" s="1">
        <f ca="1">IF(AND('Input data (2)'!$C$2=4,$D33&gt;=0),OFFSET('Input data (2)'!P$126,'Input data (2)'!$BL$1-$D33,0),IF(AND('Input data (2)'!$C$2=3,$C33&gt;=0),OFFSET('Input data (2)'!P$126,'Input data (2)'!$BL$1-$C33,0),IF(AND('Input data (2)'!$C$2=2,$B33&gt;=0),OFFSET('Input data (2)'!P$126,'Input data (2)'!$BL$1-$B33,0),IF(AND('Input data (2)'!$C$2=1,$A33&gt;=0),OFFSET('Input data (2)'!P$126,'Input data (2)'!$BL$1-$A33,0),""))))</f>
        <v>232</v>
      </c>
      <c r="BB51" s="1">
        <f ca="1">IF(AND('Input data (2)'!$C$2=4,$D33&gt;=0),OFFSET('Input data (2)'!BB$126,'Input data (2)'!$BL$1-$D33,0),IF(AND('Input data (2)'!$C$2=3,$C33&gt;=0),OFFSET('Input data (2)'!BB$126,'Input data (2)'!$BL$1-$C33,0),IF(AND('Input data (2)'!$C$2=2,$B33&gt;=0),OFFSET('Input data (2)'!BB$126,'Input data (2)'!$BL$1-$B33,0),IF(AND('Input data (2)'!$C$2=1,$A33&gt;=0),OFFSET('Input data (2)'!BB$126,'Input data (2)'!$BL$1-$A33,0),""))))</f>
        <v>5378</v>
      </c>
      <c r="BC51" s="1">
        <f ca="1">IF(AND('Input data (2)'!$C$2=4,$D33&gt;=0),OFFSET('Input data (2)'!AY$126,'Input data (2)'!$BL$1-$D33,0),IF(AND('Input data (2)'!$C$2=3,$C33&gt;=0),OFFSET('Input data (2)'!AY$126,'Input data (2)'!$BL$1-$C33,0),IF(AND('Input data (2)'!$C$2=2,$B33&gt;=0),OFFSET('Input data (2)'!AY$126,'Input data (2)'!$BL$1-$B33,0),IF(AND('Input data (2)'!$C$2=1,$A33&gt;=0),OFFSET('Input data (2)'!AY$126,'Input data (2)'!$BL$1-$A33,0),""))))</f>
        <v>3139</v>
      </c>
      <c r="BD51" s="1">
        <f ca="1">IF(AND('Input data (2)'!$C$2=4,$D33&gt;=0),OFFSET('Input data (2)'!AZ$126,'Input data (2)'!$BL$1-$D33,0),IF(AND('Input data (2)'!$C$2=3,$C33&gt;=0),OFFSET('Input data (2)'!AZ$126,'Input data (2)'!$BL$1-$C33,0),IF(AND('Input data (2)'!$C$2=2,$B33&gt;=0),OFFSET('Input data (2)'!AZ$126,'Input data (2)'!$BL$1-$B33,0),IF(AND('Input data (2)'!$C$2=1,$A33&gt;=0),OFFSET('Input data (2)'!AZ$126,'Input data (2)'!$BL$1-$A33,0),""))))</f>
        <v>1897</v>
      </c>
      <c r="BE51" s="1">
        <f ca="1">IF(AND('Input data (2)'!$C$2=4,$D33&gt;=0),OFFSET('Input data (2)'!BA$126,'Input data (2)'!$BL$1-$D33,0),IF(AND('Input data (2)'!$C$2=3,$C33&gt;=0),OFFSET('Input data (2)'!BA$126,'Input data (2)'!$BL$1-$C33,0),IF(AND('Input data (2)'!$C$2=2,$B33&gt;=0),OFFSET('Input data (2)'!BA$126,'Input data (2)'!$BL$1-$B33,0),IF(AND('Input data (2)'!$C$2=1,$A33&gt;=0),OFFSET('Input data (2)'!BA$126,'Input data (2)'!$BL$1-$A33,0),""))))</f>
        <v>2239</v>
      </c>
      <c r="BF51" s="1">
        <f ca="1">IF(AND('Input data (2)'!$C$2=4,$D33&gt;=0),OFFSET('Input data (2)'!AP$126,'Input data (2)'!$BL$1-$D33,0),IF(AND('Input data (2)'!$C$2=3,$C33&gt;=0),OFFSET('Input data (2)'!AP$126,'Input data (2)'!$BL$1-$C33,0),IF(AND('Input data (2)'!$C$2=2,$B33&gt;=0),OFFSET('Input data (2)'!AP$126,'Input data (2)'!$BL$1-$B33,0),IF(AND('Input data (2)'!$C$2=1,$A33&gt;=0),OFFSET('Input data (2)'!AP$126,'Input data (2)'!$BL$1-$A33,0),""))))</f>
        <v>297</v>
      </c>
      <c r="BG51" s="1">
        <f ca="1">IF(AND('Input data (2)'!$C$2=4,$D33&gt;=0),OFFSET('Input data (2)'!AN$126,'Input data (2)'!$BL$1-$D33,0),IF(AND('Input data (2)'!$C$2=3,$C33&gt;=0),OFFSET('Input data (2)'!AN$126,'Input data (2)'!$BL$1-$C33,0),IF(AND('Input data (2)'!$C$2=2,$B33&gt;=0),OFFSET('Input data (2)'!AN$126,'Input data (2)'!$BL$1-$B33,0),IF(AND('Input data (2)'!$C$2=1,$A33&gt;=0),OFFSET('Input data (2)'!AN$126,'Input data (2)'!$BL$1-$A33,0),""))))</f>
        <v>215</v>
      </c>
      <c r="BH51" s="1">
        <f ca="1">IF(AND('Input data (2)'!$C$2=4,$D33&gt;=0),OFFSET('Input data (2)'!AO$126,'Input data (2)'!$BL$1-$D33,0),IF(AND('Input data (2)'!$C$2=3,$C33&gt;=0),OFFSET('Input data (2)'!AO$126,'Input data (2)'!$BL$1-$C33,0),IF(AND('Input data (2)'!$C$2=2,$B33&gt;=0),OFFSET('Input data (2)'!AO$126,'Input data (2)'!$BL$1-$B33,0),IF(AND('Input data (2)'!$C$2=1,$A33&gt;=0),OFFSET('Input data (2)'!AO$126,'Input data (2)'!$BL$1-$A33,0),""))))</f>
        <v>82</v>
      </c>
      <c r="BJ51" s="1">
        <f ca="1">IF(AND('Input data (2)'!$C$2=4,$D33&gt;=0),OFFSET('Input data (2)'!AU$126,'Input data (2)'!$BL$1-$D33,0),IF(AND('Input data (2)'!$C$2=3,$C33&gt;=0),OFFSET('Input data (2)'!AU$126,'Input data (2)'!$BL$1-$C33,0),IF(AND('Input data (2)'!$C$2=2,$B33&gt;=0),OFFSET('Input data (2)'!AU$126,'Input data (2)'!$BL$1-$B33,0),IF(AND('Input data (2)'!$C$2=1,$A33&gt;=0),OFFSET('Input data (2)'!AU$126,'Input data (2)'!$BL$1-$A33,0),""))))</f>
        <v>22</v>
      </c>
      <c r="BK51" s="1">
        <f ca="1">IF(AND('Input data (2)'!$C$2=4,$D33&gt;=0),OFFSET('Input data (2)'!AV$126,'Input data (2)'!$BL$1-$D33,0),IF(AND('Input data (2)'!$C$2=3,$C33&gt;=0),OFFSET('Input data (2)'!AV$126,'Input data (2)'!$BL$1-$C33,0),IF(AND('Input data (2)'!$C$2=2,$B33&gt;=0),OFFSET('Input data (2)'!AV$126,'Input data (2)'!$BL$1-$B33,0),IF(AND('Input data (2)'!$C$2=1,$A33&gt;=0),OFFSET('Input data (2)'!AV$126,'Input data (2)'!$BL$1-$A33,0),""))))</f>
        <v>1</v>
      </c>
      <c r="BL51" s="1">
        <f ca="1">IF(AND('Input data (2)'!$C$2=4,$D33&gt;=0),OFFSET('Input data (2)'!AW$126,'Input data (2)'!$BL$1-$D33,0),IF(AND('Input data (2)'!$C$2=3,$C33&gt;=0),OFFSET('Input data (2)'!AW$126,'Input data (2)'!$BL$1-$C33,0),IF(AND('Input data (2)'!$C$2=2,$B33&gt;=0),OFFSET('Input data (2)'!AW$126,'Input data (2)'!$BL$1-$B33,0),IF(AND('Input data (2)'!$C$2=1,$A33&gt;=0),OFFSET('Input data (2)'!AW$126,'Input data (2)'!$BL$1-$A33,0),""))))</f>
        <v>51</v>
      </c>
      <c r="BM51" s="1">
        <f ca="1">IF(AND('Input data (2)'!$C$2=4,$D33&gt;=0),OFFSET('Input data (2)'!AX$126,'Input data (2)'!$BL$1-$D33,0),IF(AND('Input data (2)'!$C$2=3,$C33&gt;=0),OFFSET('Input data (2)'!AX$126,'Input data (2)'!$BL$1-$C33,0),IF(AND('Input data (2)'!$C$2=2,$B33&gt;=0),OFFSET('Input data (2)'!AX$126,'Input data (2)'!$BL$1-$B33,0),IF(AND('Input data (2)'!$C$2=1,$A33&gt;=0),OFFSET('Input data (2)'!AX$126,'Input data (2)'!$BL$1-$A33,0),""))))</f>
        <v>1</v>
      </c>
      <c r="BO51" s="1">
        <f ca="1">IF(AND('Input data (2)'!$C$2=4,$D33&gt;=0),OFFSET('Input data (2)'!BL$126,'Input data (2)'!$BL$1-$D33,0),IF(AND('Input data (2)'!$C$2=3,$C33&gt;=0),OFFSET('Input data (2)'!BL$126,'Input data (2)'!$BL$1-$C33,0),IF(AND('Input data (2)'!$C$2=2,$B33&gt;=0),OFFSET('Input data (2)'!BL$126,'Input data (2)'!$BL$1-$B33,0),IF(AND('Input data (2)'!$C$2=1,$A33&gt;=0),OFFSET('Input data (2)'!BL$126,'Input data (2)'!$BL$1-$A33,0),""))))</f>
        <v>636</v>
      </c>
      <c r="BP51" s="1">
        <f ca="1">IF(AND('Input data (2)'!$C$2=4,$D33&gt;=0),OFFSET('Input data (2)'!BI$126,'Input data (2)'!$BL$1-$D33,0),IF(AND('Input data (2)'!$C$2=3,$C33&gt;=0),OFFSET('Input data (2)'!BI$126,'Input data (2)'!$BL$1-$C33,0),IF(AND('Input data (2)'!$C$2=2,$B33&gt;=0),OFFSET('Input data (2)'!BI$126,'Input data (2)'!$BL$1-$B33,0),IF(AND('Input data (2)'!$C$2=1,$A33&gt;=0),OFFSET('Input data (2)'!BI$126,'Input data (2)'!$BL$1-$A33,0),""))))</f>
        <v>363</v>
      </c>
      <c r="BQ51" s="1" t="str">
        <f ca="1">IF(AND('Input data (2)'!$C$2=4,$D33&gt;=0),OFFSET('Input data (2)'!BK$126,'Input data (2)'!$BL$1-$D33,0),IF(AND('Input data (2)'!$C$2=3,$C33&gt;=0),OFFSET('Input data (2)'!BK$126,'Input data (2)'!$BL$1-$C33,0),IF(AND('Input data (2)'!$C$2=2,$B33&gt;=0),OFFSET('Input data (2)'!BK$126,'Input data (2)'!$BL$1-$B33,0),IF(AND('Input data (2)'!$C$2=1,$A33&gt;=0),OFFSET('Input data (2)'!BK$126,'Input data (2)'!$BL$1-$A33,0),""))))</f>
        <v>..</v>
      </c>
      <c r="BR51" s="1">
        <f ca="1">IF(AND('Input data (2)'!$C$2=4,$D33&gt;=0),OFFSET('Input data (2)'!BJ$126,'Input data (2)'!$BL$1-$D33,0),IF(AND('Input data (2)'!$C$2=3,$C33&gt;=0),OFFSET('Input data (2)'!BJ$126,'Input data (2)'!$BL$1-$C33,0),IF(AND('Input data (2)'!$C$2=2,$B33&gt;=0),OFFSET('Input data (2)'!BJ$126,'Input data (2)'!$BL$1-$B33,0),IF(AND('Input data (2)'!$C$2=1,$A33&gt;=0),OFFSET('Input data (2)'!BJ$126,'Input data (2)'!$BL$1-$A33,0),""))))</f>
        <v>273</v>
      </c>
      <c r="BS51" s="1">
        <f ca="1">IF(AND('Input data (2)'!$C$2=4,$D33&gt;=0),OFFSET('Input data (2)'!BF$126,'Input data (2)'!$BL$1-$D33,0),IF(AND('Input data (2)'!$C$2=3,$C33&gt;=0),OFFSET('Input data (2)'!BF$126,'Input data (2)'!$BL$1-$C33,0),IF(AND('Input data (2)'!$C$2=2,$B33&gt;=0),OFFSET('Input data (2)'!BF$126,'Input data (2)'!$BL$1-$B33,0),IF(AND('Input data (2)'!$C$2=1,$A33&gt;=0),OFFSET('Input data (2)'!BF$126,'Input data (2)'!$BL$1-$A33,0),""))))</f>
        <v>116</v>
      </c>
      <c r="BT51" s="1">
        <f ca="1">IF(AND('Input data (2)'!$C$2=4,$D33&gt;=0),OFFSET('Input data (2)'!BD$126,'Input data (2)'!$BL$1-$D33,0),IF(AND('Input data (2)'!$C$2=3,$C33&gt;=0),OFFSET('Input data (2)'!BD$126,'Input data (2)'!$BL$1-$C33,0),IF(AND('Input data (2)'!$C$2=2,$B33&gt;=0),OFFSET('Input data (2)'!BD$126,'Input data (2)'!$BL$1-$B33,0),IF(AND('Input data (2)'!$C$2=1,$A33&gt;=0),OFFSET('Input data (2)'!BD$126,'Input data (2)'!$BL$1-$A33,0),""))))</f>
        <v>92</v>
      </c>
      <c r="BU51" s="1">
        <f ca="1">IF(AND('Input data (2)'!$C$2=4,$D33&gt;=0),OFFSET('Input data (2)'!BE$126,'Input data (2)'!$BL$1-$D33,0),IF(AND('Input data (2)'!$C$2=3,$C33&gt;=0),OFFSET('Input data (2)'!BE$126,'Input data (2)'!$BL$1-$C33,0),IF(AND('Input data (2)'!$C$2=2,$B33&gt;=0),OFFSET('Input data (2)'!BE$126,'Input data (2)'!$BL$1-$B33,0),IF(AND('Input data (2)'!$C$2=1,$A33&gt;=0),OFFSET('Input data (2)'!BE$126,'Input data (2)'!$BL$1-$A33,0),""))))</f>
        <v>24</v>
      </c>
      <c r="BW51" s="7">
        <f ca="1">IF(AND('Input data (2)'!$C$2=4,$D33&gt;=0),OFFSET('Input data (2)'!J$126,'Input data (2)'!$BL$1-$D33,0),IF(AND('Input data (2)'!$C$2=3,$C33&gt;=0),OFFSET('Input data (2)'!J$126,'Input data (2)'!$BL$1-$C33,0),IF(AND('Input data (2)'!$C$2=2,$B33&gt;=0),OFFSET('Input data (2)'!J$126,'Input data (2)'!$BL$1-$B33,0),IF(AND('Input data (2)'!$C$2=1,$A33&gt;=0),OFFSET('Input data (2)'!J$126,'Input data (2)'!$BL$1-$A33,0),""))))</f>
        <v>0.86051333982330791</v>
      </c>
      <c r="BX51" s="7">
        <f ca="1">IF(AND('Input data (2)'!$C$2=4,$D33&gt;=0),OFFSET('Input data (2)'!K$126,'Input data (2)'!$BL$1-$D33,0),IF(AND('Input data (2)'!$C$2=3,$C33&gt;=0),OFFSET('Input data (2)'!K$126,'Input data (2)'!$BL$1-$C33,0),IF(AND('Input data (2)'!$C$2=2,$B33&gt;=0),OFFSET('Input data (2)'!K$126,'Input data (2)'!$BL$1-$B33,0),IF(AND('Input data (2)'!$C$2=1,$A33&gt;=0),OFFSET('Input data (2)'!K$126,'Input data (2)'!$BL$1-$A33,0),""))))</f>
        <v>0.77182702218679822</v>
      </c>
      <c r="BY51" s="7">
        <f ca="1">IF(AND('Input data (2)'!$C$2=4,$D33&gt;=0),OFFSET('Input data (2)'!AS$126,'Input data (2)'!$BL$1-$D33,0),IF(AND('Input data (2)'!$C$2=3,$C33&gt;=0),OFFSET('Input data (2)'!AS$126,'Input data (2)'!$BL$1-$C33,0),IF(AND('Input data (2)'!$C$2=2,$B33&gt;=0),OFFSET('Input data (2)'!AS$126,'Input data (2)'!$BL$1-$B33,0),IF(AND('Input data (2)'!$C$2=1,$A33&gt;=0),OFFSET('Input data (2)'!AS$126,'Input data (2)'!$BL$1-$A33,0),""))))</f>
        <v>0.65384561080141657</v>
      </c>
      <c r="BZ51" s="7">
        <f ca="1">IF(AND('Input data (2)'!$C$2=4,$D33&gt;=0),OFFSET('Input data (2)'!AT$126,'Input data (2)'!$BL$1-$D33,0),IF(AND('Input data (2)'!$C$2=3,$C33&gt;=0),OFFSET('Input data (2)'!AT$126,'Input data (2)'!$BL$1-$C33,0),IF(AND('Input data (2)'!$C$2=2,$B33&gt;=0),OFFSET('Input data (2)'!AT$126,'Input data (2)'!$BL$1-$B33,0),IF(AND('Input data (2)'!$C$2=1,$A33&gt;=0),OFFSET('Input data (2)'!AT$126,'Input data (2)'!$BL$1-$A33,0),""))))</f>
        <v>0.57871566928910223</v>
      </c>
      <c r="CB51" s="122"/>
      <c r="CC51" s="122"/>
      <c r="CD51" s="122"/>
      <c r="CE51" s="122"/>
      <c r="CK51" s="1"/>
      <c r="CL51" s="1"/>
      <c r="CM51" s="1"/>
      <c r="CN51" s="1"/>
      <c r="CO51" s="1"/>
      <c r="CP51" s="1"/>
    </row>
    <row r="52" spans="5:94" x14ac:dyDescent="0.15">
      <c r="E52" s="1" t="str">
        <f>F52&amp;G52</f>
        <v>2010Q3</v>
      </c>
      <c r="F52" s="1">
        <f>F47+1</f>
        <v>2010</v>
      </c>
      <c r="G52" s="1" t="s">
        <v>3</v>
      </c>
      <c r="H52" s="1">
        <f>VLOOKUP($E52,'Input data (2)'!$A:$BL,'Output data - DO NOT TOUCH (2)'!H$71,FALSE)</f>
        <v>3881</v>
      </c>
      <c r="I52" s="1">
        <f>VLOOKUP($E52,'Input data (2)'!$A:$BL,'Output data - DO NOT TOUCH (2)'!I$71,FALSE)</f>
        <v>1082</v>
      </c>
      <c r="J52" s="1">
        <f>VLOOKUP($E52,'Input data (2)'!$A:$BL,'Output data - DO NOT TOUCH (2)'!J$71,FALSE)</f>
        <v>2799</v>
      </c>
      <c r="K52" s="1">
        <f>VLOOKUP($E52,'Input data (2)'!$A:$BL,'Output data - DO NOT TOUCH (2)'!K$71,FALSE)</f>
        <v>3969</v>
      </c>
      <c r="L52" s="1">
        <f>VLOOKUP($E52,'Input data (2)'!$A:$BL,'Output data - DO NOT TOUCH (2)'!L$71,FALSE)</f>
        <v>1128</v>
      </c>
      <c r="M52" s="1">
        <f>VLOOKUP($E52,'Input data (2)'!$A:$BL,'Output data - DO NOT TOUCH (2)'!M$71,FALSE)</f>
        <v>2841</v>
      </c>
      <c r="O52" s="119">
        <f ca="1">IF(AND('Input data (2)'!$C$2=4,$D34&gt;=0),OFFSET('Input data (2)'!O$126,'Input data (2)'!$BL$1-$D34,0),IF(AND('Input data (2)'!$C$2=3,$C34&gt;=0),OFFSET('Input data (2)'!O$126,'Input data (2)'!$BL$1-$C34,0),IF(AND('Input data (2)'!$C$2=2,$B34&gt;=0),OFFSET('Input data (2)'!O$126,'Input data (2)'!$BL$1-$B34,0),IF(AND('Input data (2)'!$C$2=1,$A34&gt;=0),OFFSET('Input data (2)'!O$126,'Input data (2)'!$BL$1-$A34,0),""))))</f>
        <v>333</v>
      </c>
      <c r="Q52" s="1">
        <f ca="1">IF(AND('Input data (2)'!$C$2=4,$D34&gt;=0),OFFSET('Input data (2)'!AC$126,'Input data (2)'!$BL$1-$D34,0),IF(AND('Input data (2)'!$C$2=3,$C34&gt;=0),OFFSET('Input data (2)'!AC$126,'Input data (2)'!$BL$1-$C34,0),IF(AND('Input data (2)'!$C$2=2,$B34&gt;=0),OFFSET('Input data (2)'!AC$126,'Input data (2)'!$BL$1-$B34,0),IF(AND('Input data (2)'!$C$2=1,$A34&gt;=0),OFFSET('Input data (2)'!AC$126,'Input data (2)'!$BL$1-$A34,0),""))))</f>
        <v>33935</v>
      </c>
      <c r="R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S52" s="1">
        <f ca="1">IF(AND('Input data (2)'!$C$2=4,$D34&gt;=0),OFFSET('Input data (2)'!R$126,'Input data (2)'!$BL$1-$D34,0),IF(AND('Input data (2)'!$C$2=3,$C34&gt;=0),OFFSET('Input data (2)'!R$126,'Input data (2)'!$BL$1-$C34,0),IF(AND('Input data (2)'!$C$2=2,$B34&gt;=0),OFFSET('Input data (2)'!R$126,'Input data (2)'!$BL$1-$B34,0),IF(AND('Input data (2)'!$C$2=1,$A34&gt;=0),OFFSET('Input data (2)'!R$126,'Input data (2)'!$BL$1-$A34,0),""))))</f>
        <v>7068</v>
      </c>
      <c r="T52" s="1">
        <f ca="1">IF(AND('Input data (2)'!$C$2=4,$D34&gt;=0),OFFSET('Input data (2)'!AA$126,'Input data (2)'!$BL$1-$D34,0),IF(AND('Input data (2)'!$C$2=3,$C34&gt;=0),OFFSET('Input data (2)'!AA$126,'Input data (2)'!$BL$1-$C34,0),IF(AND('Input data (2)'!$C$2=2,$B34&gt;=0),OFFSET('Input data (2)'!AA$126,'Input data (2)'!$BL$1-$B34,0),IF(AND('Input data (2)'!$C$2=1,$A34&gt;=0),OFFSET('Input data (2)'!AA$126,'Input data (2)'!$BL$1-$A34,0),""))))</f>
        <v>12960</v>
      </c>
      <c r="U52" s="1" t="str">
        <f ca="1">IF(AND('Input data (2)'!$C$2=4,$D34&gt;=0),OFFSET('Input data (2)'!AL$126,'Input data (2)'!$BL$1-$D34,0),IF(AND('Input data (2)'!$C$2=3,$C34&gt;=0),OFFSET('Input data (2)'!AL$126,'Input data (2)'!$BL$1-$C34,0),IF(AND('Input data (2)'!$C$2=2,$B34&gt;=0),OFFSET('Input data (2)'!AL$126,'Input data (2)'!$BL$1-$B34,0),IF(AND('Input data (2)'!$C$2=1,$A34&gt;=0),OFFSET('Input data (2)'!AL$126,'Input data (2)'!$BL$1-$A34,0),""))))</f>
        <v>:</v>
      </c>
      <c r="V52" s="1">
        <f ca="1">IF(AND('Input data (2)'!$C$2=4,$D34&gt;=0),OFFSET('Input data (2)'!AJ$126,'Input data (2)'!$BL$1-$D34,0),IF(AND('Input data (2)'!$C$2=3,$C34&gt;=0),OFFSET('Input data (2)'!AJ$126,'Input data (2)'!$BL$1-$C34,0),IF(AND('Input data (2)'!$C$2=2,$B34&gt;=0),OFFSET('Input data (2)'!AJ$126,'Input data (2)'!$BL$1-$B34,0),IF(AND('Input data (2)'!$C$2=1,$A34&gt;=0),OFFSET('Input data (2)'!AJ$126,'Input data (2)'!$BL$1-$A34,0),""))))</f>
        <v>14155</v>
      </c>
      <c r="W52" s="1">
        <f ca="1">IF(AND('Input data (2)'!$C$2=4,$D34&gt;=0),OFFSET('Input data (2)'!AK$126,'Input data (2)'!$BL$1-$D34,0),IF(AND('Input data (2)'!$C$2=3,$C34&gt;=0),OFFSET('Input data (2)'!AK$126,'Input data (2)'!$BL$1-$C34,0),IF(AND('Input data (2)'!$C$2=2,$B34&gt;=0),OFFSET('Input data (2)'!AK$126,'Input data (2)'!$BL$1-$B34,0),IF(AND('Input data (2)'!$C$2=1,$A34&gt;=0),OFFSET('Input data (2)'!AK$126,'Input data (2)'!$BL$1-$A34,0),""))))</f>
        <v>12379</v>
      </c>
      <c r="Y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Z52" s="1">
        <f ca="1">IF(AND('Input data (2)'!$C$2=4,$D34&gt;=0),OFFSET('Input data (2)'!S$126,'Input data (2)'!$BL$1-$D34,0),IF(AND('Input data (2)'!$C$2=3,$C34&gt;=0),OFFSET('Input data (2)'!S$126,'Input data (2)'!$BL$1-$C34,0),IF(AND('Input data (2)'!$C$2=2,$B34&gt;=0),OFFSET('Input data (2)'!S$126,'Input data (2)'!$BL$1-$B34,0),IF(AND('Input data (2)'!$C$2=1,$A34&gt;=0),OFFSET('Input data (2)'!S$126,'Input data (2)'!$BL$1-$A34,0),""))))</f>
        <v>11734</v>
      </c>
      <c r="AA52" s="1">
        <f ca="1">IF(AND('Input data (2)'!$C$2=4,$D34&gt;=0),OFFSET('Input data (2)'!T$126,'Input data (2)'!$BL$1-$D34,0),IF(AND('Input data (2)'!$C$2=3,$C34&gt;=0),OFFSET('Input data (2)'!T$126,'Input data (2)'!$BL$1-$C34,0),IF(AND('Input data (2)'!$C$2=2,$B34&gt;=0),OFFSET('Input data (2)'!T$126,'Input data (2)'!$BL$1-$B34,0),IF(AND('Input data (2)'!$C$2=1,$A34&gt;=0),OFFSET('Input data (2)'!T$126,'Input data (2)'!$BL$1-$A34,0),""))))</f>
        <v>84.374775293017905</v>
      </c>
      <c r="AB52" s="1">
        <f ca="1">IF(AND('Input data (2)'!$C$2=4,$D34&gt;=0),OFFSET('Input data (2)'!U$126,'Input data (2)'!$BL$1-$D34,0),IF(AND('Input data (2)'!$C$2=3,$C34&gt;=0),OFFSET('Input data (2)'!U$126,'Input data (2)'!$BL$1-$C34,0),IF(AND('Input data (2)'!$C$2=2,$B34&gt;=0),OFFSET('Input data (2)'!U$126,'Input data (2)'!$BL$1-$B34,0),IF(AND('Input data (2)'!$C$2=1,$A34&gt;=0),OFFSET('Input data (2)'!U$126,'Input data (2)'!$BL$1-$A34,0),""))))</f>
        <v>2173</v>
      </c>
      <c r="AC52" s="1">
        <f ca="1">IF(AND('Input data (2)'!$C$2=4,$D34&gt;=0),OFFSET('Input data (2)'!V$126,'Input data (2)'!$BL$1-$D34,0),IF(AND('Input data (2)'!$C$2=3,$C34&gt;=0),OFFSET('Input data (2)'!V$126,'Input data (2)'!$BL$1-$C34,0),IF(AND('Input data (2)'!$C$2=2,$B34&gt;=0),OFFSET('Input data (2)'!V$126,'Input data (2)'!$BL$1-$B34,0),IF(AND('Input data (2)'!$C$2=1,$A34&gt;=0),OFFSET('Input data (2)'!V$126,'Input data (2)'!$BL$1-$A34,0),""))))</f>
        <v>15.625224706982097</v>
      </c>
      <c r="AD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AE52" s="1">
        <f ca="1">IF(AND('Input data (2)'!$C$2=4,$D34&gt;=0),OFFSET('Input data (2)'!W$126,'Input data (2)'!$BL$1-$D34,0),IF(AND('Input data (2)'!$C$2=3,$C34&gt;=0),OFFSET('Input data (2)'!W$126,'Input data (2)'!$BL$1-$C34,0),IF(AND('Input data (2)'!$C$2=2,$B34&gt;=0),OFFSET('Input data (2)'!W$126,'Input data (2)'!$BL$1-$B34,0),IF(AND('Input data (2)'!$C$2=1,$A34&gt;=0),OFFSET('Input data (2)'!W$126,'Input data (2)'!$BL$1-$A34,0),""))))</f>
        <v>1650</v>
      </c>
      <c r="AF52" s="1">
        <f ca="1">IF(AND('Input data (2)'!$C$2=4,$D34&gt;=0),OFFSET('Input data (2)'!X$126,'Input data (2)'!$BL$1-$D34,0),IF(AND('Input data (2)'!$C$2=3,$C34&gt;=0),OFFSET('Input data (2)'!X$126,'Input data (2)'!$BL$1-$C34,0),IF(AND('Input data (2)'!$C$2=2,$B34&gt;=0),OFFSET('Input data (2)'!X$126,'Input data (2)'!$BL$1-$B34,0),IF(AND('Input data (2)'!$C$2=1,$A34&gt;=0),OFFSET('Input data (2)'!X$126,'Input data (2)'!$BL$1-$A34,0),""))))</f>
        <v>11.864528654634357</v>
      </c>
      <c r="AG52" s="1">
        <f ca="1">IF(AND('Input data (2)'!$C$2=4,$D34&gt;=0),OFFSET('Input data (2)'!Y$126,'Input data (2)'!$BL$1-$D34,0),IF(AND('Input data (2)'!$C$2=3,$C34&gt;=0),OFFSET('Input data (2)'!Y$126,'Input data (2)'!$BL$1-$C34,0),IF(AND('Input data (2)'!$C$2=2,$B34&gt;=0),OFFSET('Input data (2)'!Y$126,'Input data (2)'!$BL$1-$B34,0),IF(AND('Input data (2)'!$C$2=1,$A34&gt;=0),OFFSET('Input data (2)'!Y$126,'Input data (2)'!$BL$1-$A34,0),""))))</f>
        <v>12257</v>
      </c>
      <c r="AH52" s="1">
        <f ca="1">IF(AND('Input data (2)'!$C$2=4,$D34&gt;=0),OFFSET('Input data (2)'!Z$126,'Input data (2)'!$BL$1-$D34,0),IF(AND('Input data (2)'!$C$2=3,$C34&gt;=0),OFFSET('Input data (2)'!Z$126,'Input data (2)'!$BL$1-$C34,0),IF(AND('Input data (2)'!$C$2=2,$B34&gt;=0),OFFSET('Input data (2)'!Z$126,'Input data (2)'!$BL$1-$B34,0),IF(AND('Input data (2)'!$C$2=1,$A34&gt;=0),OFFSET('Input data (2)'!Z$126,'Input data (2)'!$BL$1-$A34,0),""))))</f>
        <v>88.135471345365644</v>
      </c>
      <c r="AI52" s="3"/>
      <c r="AJ52" s="124">
        <f ca="1">IF(AND('Input data (2)'!$C$2=4,$D34&gt;=0),OFFSET('Input data (2)'!AF$126,'Input data (2)'!$BL$1-$D34,0),IF(AND('Input data (2)'!$C$2=3,$C34&gt;=0),OFFSET('Input data (2)'!AF$126,'Input data (2)'!$BL$1-$C34,0),IF(AND('Input data (2)'!$C$2=2,$B34&gt;=0),OFFSET('Input data (2)'!AF$126,'Input data (2)'!$BL$1-$B34,0),IF(AND('Input data (2)'!$C$2=1,$A34&gt;=0),OFFSET('Input data (2)'!AF$126,'Input data (2)'!$BL$1-$A34,0),""))))</f>
        <v>4433</v>
      </c>
      <c r="AK52" s="124">
        <f ca="1">IF(AND('Input data (2)'!$C$2=4,$D34&gt;=0),OFFSET('Input data (2)'!AD$126,'Input data (2)'!$BL$1-$D34,0),IF(AND('Input data (2)'!$C$2=3,$C34&gt;=0),OFFSET('Input data (2)'!AD$126,'Input data (2)'!$BL$1-$C34,0),IF(AND('Input data (2)'!$C$2=2,$B34&gt;=0),OFFSET('Input data (2)'!AD$126,'Input data (2)'!$BL$1-$B34,0),IF(AND('Input data (2)'!$C$2=1,$A34&gt;=0),OFFSET('Input data (2)'!AD$126,'Input data (2)'!$BL$1-$A34,0),""))))</f>
        <v>12</v>
      </c>
      <c r="AL52" s="124">
        <f ca="1">IF(AND('Input data (2)'!$C$2=4,$D34&gt;=0),OFFSET('Input data (2)'!AE$126,'Input data (2)'!$BL$1-$D34,0),IF(AND('Input data (2)'!$C$2=3,$C34&gt;=0),OFFSET('Input data (2)'!AE$126,'Input data (2)'!$BL$1-$C34,0),IF(AND('Input data (2)'!$C$2=2,$B34&gt;=0),OFFSET('Input data (2)'!AE$126,'Input data (2)'!$BL$1-$B34,0),IF(AND('Input data (2)'!$C$2=1,$A34&gt;=0),OFFSET('Input data (2)'!AE$126,'Input data (2)'!$BL$1-$A34,0),""))))</f>
        <v>4421</v>
      </c>
      <c r="AW52" s="1">
        <f ca="1">IF(AND('Input data (2)'!$C$2=4,$D34&gt;=0),OFFSET('Input data (2)'!L$126,'Input data (2)'!$BL$1-$D34,0),IF(AND('Input data (2)'!$C$2=3,$C34&gt;=0),OFFSET('Input data (2)'!L$126,'Input data (2)'!$BL$1-$C34,0),IF(AND('Input data (2)'!$C$2=2,$B34&gt;=0),OFFSET('Input data (2)'!L$126,'Input data (2)'!$BL$1-$B34,0),IF(AND('Input data (2)'!$C$2=1,$A34&gt;=0),OFFSET('Input data (2)'!L$126,'Input data (2)'!$BL$1-$A34,0),""))))</f>
        <v>349</v>
      </c>
      <c r="AX52" s="1">
        <f ca="1">IF(AND('Input data (2)'!$C$2=4,$D34&gt;=0),OFFSET('Input data (2)'!M$126,'Input data (2)'!$BL$1-$D34,0),IF(AND('Input data (2)'!$C$2=3,$C34&gt;=0),OFFSET('Input data (2)'!M$126,'Input data (2)'!$BL$1-$C34,0),IF(AND('Input data (2)'!$C$2=2,$B34&gt;=0),OFFSET('Input data (2)'!M$126,'Input data (2)'!$BL$1-$B34,0),IF(AND('Input data (2)'!$C$2=1,$A34&gt;=0),OFFSET('Input data (2)'!M$126,'Input data (2)'!$BL$1-$A34,0),""))))</f>
        <v>0</v>
      </c>
      <c r="AY52" s="1">
        <f ca="1">IF(AND('Input data (2)'!$C$2=4,$D34&gt;=0),OFFSET('Input data (2)'!N$126,'Input data (2)'!$BL$1-$D34,0),IF(AND('Input data (2)'!$C$2=3,$C34&gt;=0),OFFSET('Input data (2)'!N$126,'Input data (2)'!$BL$1-$C34,0),IF(AND('Input data (2)'!$C$2=2,$B34&gt;=0),OFFSET('Input data (2)'!N$126,'Input data (2)'!$BL$1-$B34,0),IF(AND('Input data (2)'!$C$2=1,$A34&gt;=0),OFFSET('Input data (2)'!N$126,'Input data (2)'!$BL$1-$A34,0),""))))</f>
        <v>633</v>
      </c>
      <c r="AZ52" s="1">
        <f ca="1">IF(AND('Input data (2)'!$C$2=4,$D34&gt;=0),OFFSET('Input data (2)'!P$126,'Input data (2)'!$BL$1-$D34,0),IF(AND('Input data (2)'!$C$2=3,$C34&gt;=0),OFFSET('Input data (2)'!P$126,'Input data (2)'!$BL$1-$C34,0),IF(AND('Input data (2)'!$C$2=2,$B34&gt;=0),OFFSET('Input data (2)'!P$126,'Input data (2)'!$BL$1-$B34,0),IF(AND('Input data (2)'!$C$2=1,$A34&gt;=0),OFFSET('Input data (2)'!P$126,'Input data (2)'!$BL$1-$A34,0),""))))</f>
        <v>159</v>
      </c>
      <c r="BB52" s="1">
        <f ca="1">IF(AND('Input data (2)'!$C$2=4,$D34&gt;=0),OFFSET('Input data (2)'!BB$126,'Input data (2)'!$BL$1-$D34,0),IF(AND('Input data (2)'!$C$2=3,$C34&gt;=0),OFFSET('Input data (2)'!BB$126,'Input data (2)'!$BL$1-$C34,0),IF(AND('Input data (2)'!$C$2=2,$B34&gt;=0),OFFSET('Input data (2)'!BB$126,'Input data (2)'!$BL$1-$B34,0),IF(AND('Input data (2)'!$C$2=1,$A34&gt;=0),OFFSET('Input data (2)'!BB$126,'Input data (2)'!$BL$1-$A34,0),""))))</f>
        <v>5175</v>
      </c>
      <c r="BC52" s="1">
        <f ca="1">IF(AND('Input data (2)'!$C$2=4,$D34&gt;=0),OFFSET('Input data (2)'!AY$126,'Input data (2)'!$BL$1-$D34,0),IF(AND('Input data (2)'!$C$2=3,$C34&gt;=0),OFFSET('Input data (2)'!AY$126,'Input data (2)'!$BL$1-$C34,0),IF(AND('Input data (2)'!$C$2=2,$B34&gt;=0),OFFSET('Input data (2)'!AY$126,'Input data (2)'!$BL$1-$B34,0),IF(AND('Input data (2)'!$C$2=1,$A34&gt;=0),OFFSET('Input data (2)'!AY$126,'Input data (2)'!$BL$1-$A34,0),""))))</f>
        <v>3099</v>
      </c>
      <c r="BD52" s="1">
        <f ca="1">IF(AND('Input data (2)'!$C$2=4,$D34&gt;=0),OFFSET('Input data (2)'!AZ$126,'Input data (2)'!$BL$1-$D34,0),IF(AND('Input data (2)'!$C$2=3,$C34&gt;=0),OFFSET('Input data (2)'!AZ$126,'Input data (2)'!$BL$1-$C34,0),IF(AND('Input data (2)'!$C$2=2,$B34&gt;=0),OFFSET('Input data (2)'!AZ$126,'Input data (2)'!$BL$1-$B34,0),IF(AND('Input data (2)'!$C$2=1,$A34&gt;=0),OFFSET('Input data (2)'!AZ$126,'Input data (2)'!$BL$1-$A34,0),""))))</f>
        <v>1631</v>
      </c>
      <c r="BE52" s="1">
        <f ca="1">IF(AND('Input data (2)'!$C$2=4,$D34&gt;=0),OFFSET('Input data (2)'!BA$126,'Input data (2)'!$BL$1-$D34,0),IF(AND('Input data (2)'!$C$2=3,$C34&gt;=0),OFFSET('Input data (2)'!BA$126,'Input data (2)'!$BL$1-$C34,0),IF(AND('Input data (2)'!$C$2=2,$B34&gt;=0),OFFSET('Input data (2)'!BA$126,'Input data (2)'!$BL$1-$B34,0),IF(AND('Input data (2)'!$C$2=1,$A34&gt;=0),OFFSET('Input data (2)'!BA$126,'Input data (2)'!$BL$1-$A34,0),""))))</f>
        <v>2076</v>
      </c>
      <c r="BF52" s="1">
        <f ca="1">IF(AND('Input data (2)'!$C$2=4,$D34&gt;=0),OFFSET('Input data (2)'!AP$126,'Input data (2)'!$BL$1-$D34,0),IF(AND('Input data (2)'!$C$2=3,$C34&gt;=0),OFFSET('Input data (2)'!AP$126,'Input data (2)'!$BL$1-$C34,0),IF(AND('Input data (2)'!$C$2=2,$B34&gt;=0),OFFSET('Input data (2)'!AP$126,'Input data (2)'!$BL$1-$B34,0),IF(AND('Input data (2)'!$C$2=1,$A34&gt;=0),OFFSET('Input data (2)'!AP$126,'Input data (2)'!$BL$1-$A34,0),""))))</f>
        <v>224</v>
      </c>
      <c r="BG52" s="1">
        <f ca="1">IF(AND('Input data (2)'!$C$2=4,$D34&gt;=0),OFFSET('Input data (2)'!AN$126,'Input data (2)'!$BL$1-$D34,0),IF(AND('Input data (2)'!$C$2=3,$C34&gt;=0),OFFSET('Input data (2)'!AN$126,'Input data (2)'!$BL$1-$C34,0),IF(AND('Input data (2)'!$C$2=2,$B34&gt;=0),OFFSET('Input data (2)'!AN$126,'Input data (2)'!$BL$1-$B34,0),IF(AND('Input data (2)'!$C$2=1,$A34&gt;=0),OFFSET('Input data (2)'!AN$126,'Input data (2)'!$BL$1-$A34,0),""))))</f>
        <v>154</v>
      </c>
      <c r="BH52" s="1">
        <f ca="1">IF(AND('Input data (2)'!$C$2=4,$D34&gt;=0),OFFSET('Input data (2)'!AO$126,'Input data (2)'!$BL$1-$D34,0),IF(AND('Input data (2)'!$C$2=3,$C34&gt;=0),OFFSET('Input data (2)'!AO$126,'Input data (2)'!$BL$1-$C34,0),IF(AND('Input data (2)'!$C$2=2,$B34&gt;=0),OFFSET('Input data (2)'!AO$126,'Input data (2)'!$BL$1-$B34,0),IF(AND('Input data (2)'!$C$2=1,$A34&gt;=0),OFFSET('Input data (2)'!AO$126,'Input data (2)'!$BL$1-$A34,0),""))))</f>
        <v>70</v>
      </c>
      <c r="BJ52" s="1">
        <f ca="1">IF(AND('Input data (2)'!$C$2=4,$D34&gt;=0),OFFSET('Input data (2)'!AU$126,'Input data (2)'!$BL$1-$D34,0),IF(AND('Input data (2)'!$C$2=3,$C34&gt;=0),OFFSET('Input data (2)'!AU$126,'Input data (2)'!$BL$1-$C34,0),IF(AND('Input data (2)'!$C$2=2,$B34&gt;=0),OFFSET('Input data (2)'!AU$126,'Input data (2)'!$BL$1-$B34,0),IF(AND('Input data (2)'!$C$2=1,$A34&gt;=0),OFFSET('Input data (2)'!AU$126,'Input data (2)'!$BL$1-$A34,0),""))))</f>
        <v>15</v>
      </c>
      <c r="BK52" s="1">
        <f ca="1">IF(AND('Input data (2)'!$C$2=4,$D34&gt;=0),OFFSET('Input data (2)'!AV$126,'Input data (2)'!$BL$1-$D34,0),IF(AND('Input data (2)'!$C$2=3,$C34&gt;=0),OFFSET('Input data (2)'!AV$126,'Input data (2)'!$BL$1-$C34,0),IF(AND('Input data (2)'!$C$2=2,$B34&gt;=0),OFFSET('Input data (2)'!AV$126,'Input data (2)'!$BL$1-$B34,0),IF(AND('Input data (2)'!$C$2=1,$A34&gt;=0),OFFSET('Input data (2)'!AV$126,'Input data (2)'!$BL$1-$A34,0),""))))</f>
        <v>1</v>
      </c>
      <c r="BL52" s="1">
        <f ca="1">IF(AND('Input data (2)'!$C$2=4,$D34&gt;=0),OFFSET('Input data (2)'!AW$126,'Input data (2)'!$BL$1-$D34,0),IF(AND('Input data (2)'!$C$2=3,$C34&gt;=0),OFFSET('Input data (2)'!AW$126,'Input data (2)'!$BL$1-$C34,0),IF(AND('Input data (2)'!$C$2=2,$B34&gt;=0),OFFSET('Input data (2)'!AW$126,'Input data (2)'!$BL$1-$B34,0),IF(AND('Input data (2)'!$C$2=1,$A34&gt;=0),OFFSET('Input data (2)'!AW$126,'Input data (2)'!$BL$1-$A34,0),""))))</f>
        <v>43</v>
      </c>
      <c r="BM52" s="1">
        <f ca="1">IF(AND('Input data (2)'!$C$2=4,$D34&gt;=0),OFFSET('Input data (2)'!AX$126,'Input data (2)'!$BL$1-$D34,0),IF(AND('Input data (2)'!$C$2=3,$C34&gt;=0),OFFSET('Input data (2)'!AX$126,'Input data (2)'!$BL$1-$C34,0),IF(AND('Input data (2)'!$C$2=2,$B34&gt;=0),OFFSET('Input data (2)'!AX$126,'Input data (2)'!$BL$1-$B34,0),IF(AND('Input data (2)'!$C$2=1,$A34&gt;=0),OFFSET('Input data (2)'!AX$126,'Input data (2)'!$BL$1-$A34,0),""))))</f>
        <v>0</v>
      </c>
      <c r="BO52" s="1">
        <f ca="1">IF(AND('Input data (2)'!$C$2=4,$D34&gt;=0),OFFSET('Input data (2)'!BL$126,'Input data (2)'!$BL$1-$D34,0),IF(AND('Input data (2)'!$C$2=3,$C34&gt;=0),OFFSET('Input data (2)'!BL$126,'Input data (2)'!$BL$1-$C34,0),IF(AND('Input data (2)'!$C$2=2,$B34&gt;=0),OFFSET('Input data (2)'!BL$126,'Input data (2)'!$BL$1-$B34,0),IF(AND('Input data (2)'!$C$2=1,$A34&gt;=0),OFFSET('Input data (2)'!BL$126,'Input data (2)'!$BL$1-$A34,0),""))))</f>
        <v>551</v>
      </c>
      <c r="BP52" s="1">
        <f ca="1">IF(AND('Input data (2)'!$C$2=4,$D34&gt;=0),OFFSET('Input data (2)'!BI$126,'Input data (2)'!$BL$1-$D34,0),IF(AND('Input data (2)'!$C$2=3,$C34&gt;=0),OFFSET('Input data (2)'!BI$126,'Input data (2)'!$BL$1-$C34,0),IF(AND('Input data (2)'!$C$2=2,$B34&gt;=0),OFFSET('Input data (2)'!BI$126,'Input data (2)'!$BL$1-$B34,0),IF(AND('Input data (2)'!$C$2=1,$A34&gt;=0),OFFSET('Input data (2)'!BI$126,'Input data (2)'!$BL$1-$A34,0),""))))</f>
        <v>290</v>
      </c>
      <c r="BQ52" s="1" t="str">
        <f ca="1">IF(AND('Input data (2)'!$C$2=4,$D34&gt;=0),OFFSET('Input data (2)'!BK$126,'Input data (2)'!$BL$1-$D34,0),IF(AND('Input data (2)'!$C$2=3,$C34&gt;=0),OFFSET('Input data (2)'!BK$126,'Input data (2)'!$BL$1-$C34,0),IF(AND('Input data (2)'!$C$2=2,$B34&gt;=0),OFFSET('Input data (2)'!BK$126,'Input data (2)'!$BL$1-$B34,0),IF(AND('Input data (2)'!$C$2=1,$A34&gt;=0),OFFSET('Input data (2)'!BK$126,'Input data (2)'!$BL$1-$A34,0),""))))</f>
        <v>..</v>
      </c>
      <c r="BR52" s="1">
        <f ca="1">IF(AND('Input data (2)'!$C$2=4,$D34&gt;=0),OFFSET('Input data (2)'!BJ$126,'Input data (2)'!$BL$1-$D34,0),IF(AND('Input data (2)'!$C$2=3,$C34&gt;=0),OFFSET('Input data (2)'!BJ$126,'Input data (2)'!$BL$1-$C34,0),IF(AND('Input data (2)'!$C$2=2,$B34&gt;=0),OFFSET('Input data (2)'!BJ$126,'Input data (2)'!$BL$1-$B34,0),IF(AND('Input data (2)'!$C$2=1,$A34&gt;=0),OFFSET('Input data (2)'!BJ$126,'Input data (2)'!$BL$1-$A34,0),""))))</f>
        <v>261</v>
      </c>
      <c r="BS52" s="1">
        <f ca="1">IF(AND('Input data (2)'!$C$2=4,$D34&gt;=0),OFFSET('Input data (2)'!BF$126,'Input data (2)'!$BL$1-$D34,0),IF(AND('Input data (2)'!$C$2=3,$C34&gt;=0),OFFSET('Input data (2)'!BF$126,'Input data (2)'!$BL$1-$C34,0),IF(AND('Input data (2)'!$C$2=2,$B34&gt;=0),OFFSET('Input data (2)'!BF$126,'Input data (2)'!$BL$1-$B34,0),IF(AND('Input data (2)'!$C$2=1,$A34&gt;=0),OFFSET('Input data (2)'!BF$126,'Input data (2)'!$BL$1-$A34,0),""))))</f>
        <v>79</v>
      </c>
      <c r="BT52" s="1">
        <f ca="1">IF(AND('Input data (2)'!$C$2=4,$D34&gt;=0),OFFSET('Input data (2)'!BD$126,'Input data (2)'!$BL$1-$D34,0),IF(AND('Input data (2)'!$C$2=3,$C34&gt;=0),OFFSET('Input data (2)'!BD$126,'Input data (2)'!$BL$1-$C34,0),IF(AND('Input data (2)'!$C$2=2,$B34&gt;=0),OFFSET('Input data (2)'!BD$126,'Input data (2)'!$BL$1-$B34,0),IF(AND('Input data (2)'!$C$2=1,$A34&gt;=0),OFFSET('Input data (2)'!BD$126,'Input data (2)'!$BL$1-$A34,0),""))))</f>
        <v>55</v>
      </c>
      <c r="BU52" s="1">
        <f ca="1">IF(AND('Input data (2)'!$C$2=4,$D34&gt;=0),OFFSET('Input data (2)'!BE$126,'Input data (2)'!$BL$1-$D34,0),IF(AND('Input data (2)'!$C$2=3,$C34&gt;=0),OFFSET('Input data (2)'!BE$126,'Input data (2)'!$BL$1-$C34,0),IF(AND('Input data (2)'!$C$2=2,$B34&gt;=0),OFFSET('Input data (2)'!BE$126,'Input data (2)'!$BL$1-$B34,0),IF(AND('Input data (2)'!$C$2=1,$A34&gt;=0),OFFSET('Input data (2)'!BE$126,'Input data (2)'!$BL$1-$A34,0),""))))</f>
        <v>24</v>
      </c>
      <c r="BW52" s="7">
        <f ca="1">IF(AND('Input data (2)'!$C$2=4,$D34&gt;=0),OFFSET('Input data (2)'!J$126,'Input data (2)'!$BL$1-$D34,0),IF(AND('Input data (2)'!$C$2=3,$C34&gt;=0),OFFSET('Input data (2)'!J$126,'Input data (2)'!$BL$1-$C34,0),IF(AND('Input data (2)'!$C$2=2,$B34&gt;=0),OFFSET('Input data (2)'!J$126,'Input data (2)'!$BL$1-$B34,0),IF(AND('Input data (2)'!$C$2=1,$A34&gt;=0),OFFSET('Input data (2)'!J$126,'Input data (2)'!$BL$1-$A34,0),""))))</f>
        <v>0.82413131697869224</v>
      </c>
      <c r="BX52" s="7">
        <f ca="1">IF(AND('Input data (2)'!$C$2=4,$D34&gt;=0),OFFSET('Input data (2)'!K$126,'Input data (2)'!$BL$1-$D34,0),IF(AND('Input data (2)'!$C$2=3,$C34&gt;=0),OFFSET('Input data (2)'!K$126,'Input data (2)'!$BL$1-$C34,0),IF(AND('Input data (2)'!$C$2=2,$B34&gt;=0),OFFSET('Input data (2)'!K$126,'Input data (2)'!$BL$1-$B34,0),IF(AND('Input data (2)'!$C$2=1,$A34&gt;=0),OFFSET('Input data (2)'!K$126,'Input data (2)'!$BL$1-$A34,0),""))))</f>
        <v>0.74400835595013837</v>
      </c>
      <c r="BY52" s="7">
        <f ca="1">IF(AND('Input data (2)'!$C$2=4,$D34&gt;=0),OFFSET('Input data (2)'!AS$126,'Input data (2)'!$BL$1-$D34,0),IF(AND('Input data (2)'!$C$2=3,$C34&gt;=0),OFFSET('Input data (2)'!AS$126,'Input data (2)'!$BL$1-$C34,0),IF(AND('Input data (2)'!$C$2=2,$B34&gt;=0),OFFSET('Input data (2)'!AS$126,'Input data (2)'!$BL$1-$B34,0),IF(AND('Input data (2)'!$C$2=1,$A34&gt;=0),OFFSET('Input data (2)'!AS$126,'Input data (2)'!$BL$1-$A34,0),""))))</f>
        <v>0.73276696018054366</v>
      </c>
      <c r="BZ52" s="7">
        <f ca="1">IF(AND('Input data (2)'!$C$2=4,$D34&gt;=0),OFFSET('Input data (2)'!AT$126,'Input data (2)'!$BL$1-$D34,0),IF(AND('Input data (2)'!$C$2=3,$C34&gt;=0),OFFSET('Input data (2)'!AT$126,'Input data (2)'!$BL$1-$C34,0),IF(AND('Input data (2)'!$C$2=2,$B34&gt;=0),OFFSET('Input data (2)'!AT$126,'Input data (2)'!$BL$1-$B34,0),IF(AND('Input data (2)'!$C$2=1,$A34&gt;=0),OFFSET('Input data (2)'!AT$126,'Input data (2)'!$BL$1-$A34,0),""))))</f>
        <v>0.64576868565679768</v>
      </c>
      <c r="CB52" s="122"/>
      <c r="CC52" s="122"/>
      <c r="CD52" s="122"/>
      <c r="CE52" s="122"/>
      <c r="CK52" s="1"/>
      <c r="CL52" s="1"/>
      <c r="CM52" s="1"/>
      <c r="CN52" s="1"/>
      <c r="CO52" s="1"/>
      <c r="CP52" s="1"/>
    </row>
    <row r="53" spans="5:94" x14ac:dyDescent="0.15">
      <c r="E53" s="1" t="str">
        <f>F53&amp;G53</f>
        <v>2010Q4</v>
      </c>
      <c r="F53" s="1">
        <f>F48+1</f>
        <v>2010</v>
      </c>
      <c r="G53" s="1" t="s">
        <v>4</v>
      </c>
      <c r="H53" s="1">
        <f>VLOOKUP($E53,'Input data (2)'!$A:$BL,'Output data - DO NOT TOUCH (2)'!H$71,FALSE)</f>
        <v>3874</v>
      </c>
      <c r="I53" s="1">
        <f>VLOOKUP($E53,'Input data (2)'!$A:$BL,'Output data - DO NOT TOUCH (2)'!I$71,FALSE)</f>
        <v>1195</v>
      </c>
      <c r="J53" s="1">
        <f>VLOOKUP($E53,'Input data (2)'!$A:$BL,'Output data - DO NOT TOUCH (2)'!J$71,FALSE)</f>
        <v>2679</v>
      </c>
      <c r="K53" s="1">
        <f>VLOOKUP($E53,'Input data (2)'!$A:$BL,'Output data - DO NOT TOUCH (2)'!K$71,FALSE)</f>
        <v>3999</v>
      </c>
      <c r="L53" s="1">
        <f>VLOOKUP($E53,'Input data (2)'!$A:$BL,'Output data - DO NOT TOUCH (2)'!L$71,FALSE)</f>
        <v>1179</v>
      </c>
      <c r="M53" s="1">
        <f>VLOOKUP($E53,'Input data (2)'!$A:$BL,'Output data - DO NOT TOUCH (2)'!M$71,FALSE)</f>
        <v>2820</v>
      </c>
      <c r="O53" s="119">
        <f ca="1">IF(AND('Input data (2)'!$C$2=4,$D35&gt;=0),OFFSET('Input data (2)'!O$126,'Input data (2)'!$BL$1-$D35,0),IF(AND('Input data (2)'!$C$2=3,$C35&gt;=0),OFFSET('Input data (2)'!O$126,'Input data (2)'!$BL$1-$C35,0),IF(AND('Input data (2)'!$C$2=2,$B35&gt;=0),OFFSET('Input data (2)'!O$126,'Input data (2)'!$BL$1-$B35,0),IF(AND('Input data (2)'!$C$2=1,$A35&gt;=0),OFFSET('Input data (2)'!O$126,'Input data (2)'!$BL$1-$A35,0),""))))</f>
        <v>282</v>
      </c>
      <c r="Q53" s="1">
        <f ca="1">IF(AND('Input data (2)'!$C$2=4,$D35&gt;=0),OFFSET('Input data (2)'!AC$126,'Input data (2)'!$BL$1-$D35,0),IF(AND('Input data (2)'!$C$2=3,$C35&gt;=0),OFFSET('Input data (2)'!AC$126,'Input data (2)'!$BL$1-$C35,0),IF(AND('Input data (2)'!$C$2=2,$B35&gt;=0),OFFSET('Input data (2)'!AC$126,'Input data (2)'!$BL$1-$B35,0),IF(AND('Input data (2)'!$C$2=1,$A35&gt;=0),OFFSET('Input data (2)'!AC$126,'Input data (2)'!$BL$1-$A35,0),""))))</f>
        <v>30685</v>
      </c>
      <c r="R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S53" s="1">
        <f ca="1">IF(AND('Input data (2)'!$C$2=4,$D35&gt;=0),OFFSET('Input data (2)'!R$126,'Input data (2)'!$BL$1-$D35,0),IF(AND('Input data (2)'!$C$2=3,$C35&gt;=0),OFFSET('Input data (2)'!R$126,'Input data (2)'!$BL$1-$C35,0),IF(AND('Input data (2)'!$C$2=2,$B35&gt;=0),OFFSET('Input data (2)'!R$126,'Input data (2)'!$BL$1-$B35,0),IF(AND('Input data (2)'!$C$2=1,$A35&gt;=0),OFFSET('Input data (2)'!R$126,'Input data (2)'!$BL$1-$A35,0),""))))</f>
        <v>6172</v>
      </c>
      <c r="T53" s="1">
        <f ca="1">IF(AND('Input data (2)'!$C$2=4,$D35&gt;=0),OFFSET('Input data (2)'!AA$126,'Input data (2)'!$BL$1-$D35,0),IF(AND('Input data (2)'!$C$2=3,$C35&gt;=0),OFFSET('Input data (2)'!AA$126,'Input data (2)'!$BL$1-$C35,0),IF(AND('Input data (2)'!$C$2=2,$B35&gt;=0),OFFSET('Input data (2)'!AA$126,'Input data (2)'!$BL$1-$B35,0),IF(AND('Input data (2)'!$C$2=1,$A35&gt;=0),OFFSET('Input data (2)'!AA$126,'Input data (2)'!$BL$1-$A35,0),""))))</f>
        <v>12485</v>
      </c>
      <c r="U53" s="1" t="str">
        <f ca="1">IF(AND('Input data (2)'!$C$2=4,$D35&gt;=0),OFFSET('Input data (2)'!AL$126,'Input data (2)'!$BL$1-$D35,0),IF(AND('Input data (2)'!$C$2=3,$C35&gt;=0),OFFSET('Input data (2)'!AL$126,'Input data (2)'!$BL$1-$C35,0),IF(AND('Input data (2)'!$C$2=2,$B35&gt;=0),OFFSET('Input data (2)'!AL$126,'Input data (2)'!$BL$1-$B35,0),IF(AND('Input data (2)'!$C$2=1,$A35&gt;=0),OFFSET('Input data (2)'!AL$126,'Input data (2)'!$BL$1-$A35,0),""))))</f>
        <v>:</v>
      </c>
      <c r="V53" s="1">
        <f ca="1">IF(AND('Input data (2)'!$C$2=4,$D35&gt;=0),OFFSET('Input data (2)'!AJ$126,'Input data (2)'!$BL$1-$D35,0),IF(AND('Input data (2)'!$C$2=3,$C35&gt;=0),OFFSET('Input data (2)'!AJ$126,'Input data (2)'!$BL$1-$C35,0),IF(AND('Input data (2)'!$C$2=2,$B35&gt;=0),OFFSET('Input data (2)'!AJ$126,'Input data (2)'!$BL$1-$B35,0),IF(AND('Input data (2)'!$C$2=1,$A35&gt;=0),OFFSET('Input data (2)'!AJ$126,'Input data (2)'!$BL$1-$A35,0),""))))</f>
        <v>12704</v>
      </c>
      <c r="W53" s="1">
        <f ca="1">IF(AND('Input data (2)'!$C$2=4,$D35&gt;=0),OFFSET('Input data (2)'!AK$126,'Input data (2)'!$BL$1-$D35,0),IF(AND('Input data (2)'!$C$2=3,$C35&gt;=0),OFFSET('Input data (2)'!AK$126,'Input data (2)'!$BL$1-$C35,0),IF(AND('Input data (2)'!$C$2=2,$B35&gt;=0),OFFSET('Input data (2)'!AK$126,'Input data (2)'!$BL$1-$B35,0),IF(AND('Input data (2)'!$C$2=1,$A35&gt;=0),OFFSET('Input data (2)'!AK$126,'Input data (2)'!$BL$1-$A35,0),""))))</f>
        <v>12299</v>
      </c>
      <c r="Y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Z53" s="1">
        <f ca="1">IF(AND('Input data (2)'!$C$2=4,$D35&gt;=0),OFFSET('Input data (2)'!S$126,'Input data (2)'!$BL$1-$D35,0),IF(AND('Input data (2)'!$C$2=3,$C35&gt;=0),OFFSET('Input data (2)'!S$126,'Input data (2)'!$BL$1-$C35,0),IF(AND('Input data (2)'!$C$2=2,$B35&gt;=0),OFFSET('Input data (2)'!S$126,'Input data (2)'!$BL$1-$B35,0),IF(AND('Input data (2)'!$C$2=1,$A35&gt;=0),OFFSET('Input data (2)'!S$126,'Input data (2)'!$BL$1-$A35,0),""))))</f>
        <v>10270</v>
      </c>
      <c r="AA53" s="1">
        <f ca="1">IF(AND('Input data (2)'!$C$2=4,$D35&gt;=0),OFFSET('Input data (2)'!T$126,'Input data (2)'!$BL$1-$D35,0),IF(AND('Input data (2)'!$C$2=3,$C35&gt;=0),OFFSET('Input data (2)'!T$126,'Input data (2)'!$BL$1-$C35,0),IF(AND('Input data (2)'!$C$2=2,$B35&gt;=0),OFFSET('Input data (2)'!T$126,'Input data (2)'!$BL$1-$B35,0),IF(AND('Input data (2)'!$C$2=1,$A35&gt;=0),OFFSET('Input data (2)'!T$126,'Input data (2)'!$BL$1-$A35,0),""))))</f>
        <v>85.384103757898231</v>
      </c>
      <c r="AB53" s="1">
        <f ca="1">IF(AND('Input data (2)'!$C$2=4,$D35&gt;=0),OFFSET('Input data (2)'!U$126,'Input data (2)'!$BL$1-$D35,0),IF(AND('Input data (2)'!$C$2=3,$C35&gt;=0),OFFSET('Input data (2)'!U$126,'Input data (2)'!$BL$1-$C35,0),IF(AND('Input data (2)'!$C$2=2,$B35&gt;=0),OFFSET('Input data (2)'!U$126,'Input data (2)'!$BL$1-$B35,0),IF(AND('Input data (2)'!$C$2=1,$A35&gt;=0),OFFSET('Input data (2)'!U$126,'Input data (2)'!$BL$1-$A35,0),""))))</f>
        <v>1758</v>
      </c>
      <c r="AC53" s="1">
        <f ca="1">IF(AND('Input data (2)'!$C$2=4,$D35&gt;=0),OFFSET('Input data (2)'!V$126,'Input data (2)'!$BL$1-$D35,0),IF(AND('Input data (2)'!$C$2=3,$C35&gt;=0),OFFSET('Input data (2)'!V$126,'Input data (2)'!$BL$1-$C35,0),IF(AND('Input data (2)'!$C$2=2,$B35&gt;=0),OFFSET('Input data (2)'!V$126,'Input data (2)'!$BL$1-$B35,0),IF(AND('Input data (2)'!$C$2=1,$A35&gt;=0),OFFSET('Input data (2)'!V$126,'Input data (2)'!$BL$1-$A35,0),""))))</f>
        <v>14.615896242101762</v>
      </c>
      <c r="AD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AE53" s="1">
        <f ca="1">IF(AND('Input data (2)'!$C$2=4,$D35&gt;=0),OFFSET('Input data (2)'!W$126,'Input data (2)'!$BL$1-$D35,0),IF(AND('Input data (2)'!$C$2=3,$C35&gt;=0),OFFSET('Input data (2)'!W$126,'Input data (2)'!$BL$1-$C35,0),IF(AND('Input data (2)'!$C$2=2,$B35&gt;=0),OFFSET('Input data (2)'!W$126,'Input data (2)'!$BL$1-$B35,0),IF(AND('Input data (2)'!$C$2=1,$A35&gt;=0),OFFSET('Input data (2)'!W$126,'Input data (2)'!$BL$1-$A35,0),""))))</f>
        <v>2275</v>
      </c>
      <c r="AF53" s="1">
        <f ca="1">IF(AND('Input data (2)'!$C$2=4,$D35&gt;=0),OFFSET('Input data (2)'!X$126,'Input data (2)'!$BL$1-$D35,0),IF(AND('Input data (2)'!$C$2=3,$C35&gt;=0),OFFSET('Input data (2)'!X$126,'Input data (2)'!$BL$1-$C35,0),IF(AND('Input data (2)'!$C$2=2,$B35&gt;=0),OFFSET('Input data (2)'!X$126,'Input data (2)'!$BL$1-$B35,0),IF(AND('Input data (2)'!$C$2=1,$A35&gt;=0),OFFSET('Input data (2)'!X$126,'Input data (2)'!$BL$1-$A35,0),""))))</f>
        <v>18.91420019953442</v>
      </c>
      <c r="AG53" s="1">
        <f ca="1">IF(AND('Input data (2)'!$C$2=4,$D35&gt;=0),OFFSET('Input data (2)'!Y$126,'Input data (2)'!$BL$1-$D35,0),IF(AND('Input data (2)'!$C$2=3,$C35&gt;=0),OFFSET('Input data (2)'!Y$126,'Input data (2)'!$BL$1-$C35,0),IF(AND('Input data (2)'!$C$2=2,$B35&gt;=0),OFFSET('Input data (2)'!Y$126,'Input data (2)'!$BL$1-$B35,0),IF(AND('Input data (2)'!$C$2=1,$A35&gt;=0),OFFSET('Input data (2)'!Y$126,'Input data (2)'!$BL$1-$A35,0),""))))</f>
        <v>9753</v>
      </c>
      <c r="AH53" s="1">
        <f ca="1">IF(AND('Input data (2)'!$C$2=4,$D35&gt;=0),OFFSET('Input data (2)'!Z$126,'Input data (2)'!$BL$1-$D35,0),IF(AND('Input data (2)'!$C$2=3,$C35&gt;=0),OFFSET('Input data (2)'!Z$126,'Input data (2)'!$BL$1-$C35,0),IF(AND('Input data (2)'!$C$2=2,$B35&gt;=0),OFFSET('Input data (2)'!Z$126,'Input data (2)'!$BL$1-$B35,0),IF(AND('Input data (2)'!$C$2=1,$A35&gt;=0),OFFSET('Input data (2)'!Z$126,'Input data (2)'!$BL$1-$A35,0),""))))</f>
        <v>81.08579980046558</v>
      </c>
      <c r="AI53" s="3"/>
      <c r="AJ53" s="124">
        <f ca="1">IF(AND('Input data (2)'!$C$2=4,$D35&gt;=0),OFFSET('Input data (2)'!AF$126,'Input data (2)'!$BL$1-$D35,0),IF(AND('Input data (2)'!$C$2=3,$C35&gt;=0),OFFSET('Input data (2)'!AF$126,'Input data (2)'!$BL$1-$C35,0),IF(AND('Input data (2)'!$C$2=2,$B35&gt;=0),OFFSET('Input data (2)'!AF$126,'Input data (2)'!$BL$1-$B35,0),IF(AND('Input data (2)'!$C$2=1,$A35&gt;=0),OFFSET('Input data (2)'!AF$126,'Input data (2)'!$BL$1-$A35,0),""))))</f>
        <v>3512</v>
      </c>
      <c r="AK53" s="124">
        <f ca="1">IF(AND('Input data (2)'!$C$2=4,$D35&gt;=0),OFFSET('Input data (2)'!AD$126,'Input data (2)'!$BL$1-$D35,0),IF(AND('Input data (2)'!$C$2=3,$C35&gt;=0),OFFSET('Input data (2)'!AD$126,'Input data (2)'!$BL$1-$C35,0),IF(AND('Input data (2)'!$C$2=2,$B35&gt;=0),OFFSET('Input data (2)'!AD$126,'Input data (2)'!$BL$1-$B35,0),IF(AND('Input data (2)'!$C$2=1,$A35&gt;=0),OFFSET('Input data (2)'!AD$126,'Input data (2)'!$BL$1-$A35,0),""))))</f>
        <v>12</v>
      </c>
      <c r="AL53" s="124">
        <f ca="1">IF(AND('Input data (2)'!$C$2=4,$D35&gt;=0),OFFSET('Input data (2)'!AE$126,'Input data (2)'!$BL$1-$D35,0),IF(AND('Input data (2)'!$C$2=3,$C35&gt;=0),OFFSET('Input data (2)'!AE$126,'Input data (2)'!$BL$1-$C35,0),IF(AND('Input data (2)'!$C$2=2,$B35&gt;=0),OFFSET('Input data (2)'!AE$126,'Input data (2)'!$BL$1-$B35,0),IF(AND('Input data (2)'!$C$2=1,$A35&gt;=0),OFFSET('Input data (2)'!AE$126,'Input data (2)'!$BL$1-$A35,0),""))))</f>
        <v>3500</v>
      </c>
      <c r="AW53" s="1">
        <f ca="1">IF(AND('Input data (2)'!$C$2=4,$D35&gt;=0),OFFSET('Input data (2)'!L$126,'Input data (2)'!$BL$1-$D35,0),IF(AND('Input data (2)'!$C$2=3,$C35&gt;=0),OFFSET('Input data (2)'!L$126,'Input data (2)'!$BL$1-$C35,0),IF(AND('Input data (2)'!$C$2=2,$B35&gt;=0),OFFSET('Input data (2)'!L$126,'Input data (2)'!$BL$1-$B35,0),IF(AND('Input data (2)'!$C$2=1,$A35&gt;=0),OFFSET('Input data (2)'!L$126,'Input data (2)'!$BL$1-$A35,0),""))))</f>
        <v>302</v>
      </c>
      <c r="AX53" s="1">
        <f ca="1">IF(AND('Input data (2)'!$C$2=4,$D35&gt;=0),OFFSET('Input data (2)'!M$126,'Input data (2)'!$BL$1-$D35,0),IF(AND('Input data (2)'!$C$2=3,$C35&gt;=0),OFFSET('Input data (2)'!M$126,'Input data (2)'!$BL$1-$C35,0),IF(AND('Input data (2)'!$C$2=2,$B35&gt;=0),OFFSET('Input data (2)'!M$126,'Input data (2)'!$BL$1-$B35,0),IF(AND('Input data (2)'!$C$2=1,$A35&gt;=0),OFFSET('Input data (2)'!M$126,'Input data (2)'!$BL$1-$A35,0),""))))</f>
        <v>0</v>
      </c>
      <c r="AY53" s="1">
        <f ca="1">IF(AND('Input data (2)'!$C$2=4,$D35&gt;=0),OFFSET('Input data (2)'!N$126,'Input data (2)'!$BL$1-$D35,0),IF(AND('Input data (2)'!$C$2=3,$C35&gt;=0),OFFSET('Input data (2)'!N$126,'Input data (2)'!$BL$1-$C35,0),IF(AND('Input data (2)'!$C$2=2,$B35&gt;=0),OFFSET('Input data (2)'!N$126,'Input data (2)'!$BL$1-$B35,0),IF(AND('Input data (2)'!$C$2=1,$A35&gt;=0),OFFSET('Input data (2)'!N$126,'Input data (2)'!$BL$1-$A35,0),""))))</f>
        <v>642</v>
      </c>
      <c r="AZ53" s="1">
        <f ca="1">IF(AND('Input data (2)'!$C$2=4,$D35&gt;=0),OFFSET('Input data (2)'!P$126,'Input data (2)'!$BL$1-$D35,0),IF(AND('Input data (2)'!$C$2=3,$C35&gt;=0),OFFSET('Input data (2)'!P$126,'Input data (2)'!$BL$1-$C35,0),IF(AND('Input data (2)'!$C$2=2,$B35&gt;=0),OFFSET('Input data (2)'!P$126,'Input data (2)'!$BL$1-$B35,0),IF(AND('Input data (2)'!$C$2=1,$A35&gt;=0),OFFSET('Input data (2)'!P$126,'Input data (2)'!$BL$1-$A35,0),""))))</f>
        <v>170</v>
      </c>
      <c r="BB53" s="1">
        <f ca="1">IF(AND('Input data (2)'!$C$2=4,$D35&gt;=0),OFFSET('Input data (2)'!BB$126,'Input data (2)'!$BL$1-$D35,0),IF(AND('Input data (2)'!$C$2=3,$C35&gt;=0),OFFSET('Input data (2)'!BB$126,'Input data (2)'!$BL$1-$C35,0),IF(AND('Input data (2)'!$C$2=2,$B35&gt;=0),OFFSET('Input data (2)'!BB$126,'Input data (2)'!$BL$1-$B35,0),IF(AND('Input data (2)'!$C$2=1,$A35&gt;=0),OFFSET('Input data (2)'!BB$126,'Input data (2)'!$BL$1-$A35,0),""))))</f>
        <v>4591</v>
      </c>
      <c r="BC53" s="1">
        <f ca="1">IF(AND('Input data (2)'!$C$2=4,$D35&gt;=0),OFFSET('Input data (2)'!AY$126,'Input data (2)'!$BL$1-$D35,0),IF(AND('Input data (2)'!$C$2=3,$C35&gt;=0),OFFSET('Input data (2)'!AY$126,'Input data (2)'!$BL$1-$C35,0),IF(AND('Input data (2)'!$C$2=2,$B35&gt;=0),OFFSET('Input data (2)'!AY$126,'Input data (2)'!$BL$1-$B35,0),IF(AND('Input data (2)'!$C$2=1,$A35&gt;=0),OFFSET('Input data (2)'!AY$126,'Input data (2)'!$BL$1-$A35,0),""))))</f>
        <v>2501</v>
      </c>
      <c r="BD53" s="1">
        <f ca="1">IF(AND('Input data (2)'!$C$2=4,$D35&gt;=0),OFFSET('Input data (2)'!AZ$126,'Input data (2)'!$BL$1-$D35,0),IF(AND('Input data (2)'!$C$2=3,$C35&gt;=0),OFFSET('Input data (2)'!AZ$126,'Input data (2)'!$BL$1-$C35,0),IF(AND('Input data (2)'!$C$2=2,$B35&gt;=0),OFFSET('Input data (2)'!AZ$126,'Input data (2)'!$BL$1-$B35,0),IF(AND('Input data (2)'!$C$2=1,$A35&gt;=0),OFFSET('Input data (2)'!AZ$126,'Input data (2)'!$BL$1-$A35,0),""))))</f>
        <v>1368</v>
      </c>
      <c r="BE53" s="1">
        <f ca="1">IF(AND('Input data (2)'!$C$2=4,$D35&gt;=0),OFFSET('Input data (2)'!BA$126,'Input data (2)'!$BL$1-$D35,0),IF(AND('Input data (2)'!$C$2=3,$C35&gt;=0),OFFSET('Input data (2)'!BA$126,'Input data (2)'!$BL$1-$C35,0),IF(AND('Input data (2)'!$C$2=2,$B35&gt;=0),OFFSET('Input data (2)'!BA$126,'Input data (2)'!$BL$1-$B35,0),IF(AND('Input data (2)'!$C$2=1,$A35&gt;=0),OFFSET('Input data (2)'!BA$126,'Input data (2)'!$BL$1-$A35,0),""))))</f>
        <v>2090</v>
      </c>
      <c r="BF53" s="1">
        <f ca="1">IF(AND('Input data (2)'!$C$2=4,$D35&gt;=0),OFFSET('Input data (2)'!AP$126,'Input data (2)'!$BL$1-$D35,0),IF(AND('Input data (2)'!$C$2=3,$C35&gt;=0),OFFSET('Input data (2)'!AP$126,'Input data (2)'!$BL$1-$C35,0),IF(AND('Input data (2)'!$C$2=2,$B35&gt;=0),OFFSET('Input data (2)'!AP$126,'Input data (2)'!$BL$1-$B35,0),IF(AND('Input data (2)'!$C$2=1,$A35&gt;=0),OFFSET('Input data (2)'!AP$126,'Input data (2)'!$BL$1-$A35,0),""))))</f>
        <v>245</v>
      </c>
      <c r="BG53" s="1">
        <f ca="1">IF(AND('Input data (2)'!$C$2=4,$D35&gt;=0),OFFSET('Input data (2)'!AN$126,'Input data (2)'!$BL$1-$D35,0),IF(AND('Input data (2)'!$C$2=3,$C35&gt;=0),OFFSET('Input data (2)'!AN$126,'Input data (2)'!$BL$1-$C35,0),IF(AND('Input data (2)'!$C$2=2,$B35&gt;=0),OFFSET('Input data (2)'!AN$126,'Input data (2)'!$BL$1-$B35,0),IF(AND('Input data (2)'!$C$2=1,$A35&gt;=0),OFFSET('Input data (2)'!AN$126,'Input data (2)'!$BL$1-$A35,0),""))))</f>
        <v>164</v>
      </c>
      <c r="BH53" s="1">
        <f ca="1">IF(AND('Input data (2)'!$C$2=4,$D35&gt;=0),OFFSET('Input data (2)'!AO$126,'Input data (2)'!$BL$1-$D35,0),IF(AND('Input data (2)'!$C$2=3,$C35&gt;=0),OFFSET('Input data (2)'!AO$126,'Input data (2)'!$BL$1-$C35,0),IF(AND('Input data (2)'!$C$2=2,$B35&gt;=0),OFFSET('Input data (2)'!AO$126,'Input data (2)'!$BL$1-$B35,0),IF(AND('Input data (2)'!$C$2=1,$A35&gt;=0),OFFSET('Input data (2)'!AO$126,'Input data (2)'!$BL$1-$A35,0),""))))</f>
        <v>81</v>
      </c>
      <c r="BJ53" s="1">
        <f ca="1">IF(AND('Input data (2)'!$C$2=4,$D35&gt;=0),OFFSET('Input data (2)'!AU$126,'Input data (2)'!$BL$1-$D35,0),IF(AND('Input data (2)'!$C$2=3,$C35&gt;=0),OFFSET('Input data (2)'!AU$126,'Input data (2)'!$BL$1-$C35,0),IF(AND('Input data (2)'!$C$2=2,$B35&gt;=0),OFFSET('Input data (2)'!AU$126,'Input data (2)'!$BL$1-$B35,0),IF(AND('Input data (2)'!$C$2=1,$A35&gt;=0),OFFSET('Input data (2)'!AU$126,'Input data (2)'!$BL$1-$A35,0),""))))</f>
        <v>6</v>
      </c>
      <c r="BK53" s="1">
        <f ca="1">IF(AND('Input data (2)'!$C$2=4,$D35&gt;=0),OFFSET('Input data (2)'!AV$126,'Input data (2)'!$BL$1-$D35,0),IF(AND('Input data (2)'!$C$2=3,$C35&gt;=0),OFFSET('Input data (2)'!AV$126,'Input data (2)'!$BL$1-$C35,0),IF(AND('Input data (2)'!$C$2=2,$B35&gt;=0),OFFSET('Input data (2)'!AV$126,'Input data (2)'!$BL$1-$B35,0),IF(AND('Input data (2)'!$C$2=1,$A35&gt;=0),OFFSET('Input data (2)'!AV$126,'Input data (2)'!$BL$1-$A35,0),""))))</f>
        <v>0</v>
      </c>
      <c r="BL53" s="1">
        <f ca="1">IF(AND('Input data (2)'!$C$2=4,$D35&gt;=0),OFFSET('Input data (2)'!AW$126,'Input data (2)'!$BL$1-$D35,0),IF(AND('Input data (2)'!$C$2=3,$C35&gt;=0),OFFSET('Input data (2)'!AW$126,'Input data (2)'!$BL$1-$C35,0),IF(AND('Input data (2)'!$C$2=2,$B35&gt;=0),OFFSET('Input data (2)'!AW$126,'Input data (2)'!$BL$1-$B35,0),IF(AND('Input data (2)'!$C$2=1,$A35&gt;=0),OFFSET('Input data (2)'!AW$126,'Input data (2)'!$BL$1-$A35,0),""))))</f>
        <v>55</v>
      </c>
      <c r="BM53" s="1">
        <f ca="1">IF(AND('Input data (2)'!$C$2=4,$D35&gt;=0),OFFSET('Input data (2)'!AX$126,'Input data (2)'!$BL$1-$D35,0),IF(AND('Input data (2)'!$C$2=3,$C35&gt;=0),OFFSET('Input data (2)'!AX$126,'Input data (2)'!$BL$1-$C35,0),IF(AND('Input data (2)'!$C$2=2,$B35&gt;=0),OFFSET('Input data (2)'!AX$126,'Input data (2)'!$BL$1-$B35,0),IF(AND('Input data (2)'!$C$2=1,$A35&gt;=0),OFFSET('Input data (2)'!AX$126,'Input data (2)'!$BL$1-$A35,0),""))))</f>
        <v>4</v>
      </c>
      <c r="BO53" s="1">
        <f ca="1">IF(AND('Input data (2)'!$C$2=4,$D35&gt;=0),OFFSET('Input data (2)'!BL$126,'Input data (2)'!$BL$1-$D35,0),IF(AND('Input data (2)'!$C$2=3,$C35&gt;=0),OFFSET('Input data (2)'!BL$126,'Input data (2)'!$BL$1-$C35,0),IF(AND('Input data (2)'!$C$2=2,$B35&gt;=0),OFFSET('Input data (2)'!BL$126,'Input data (2)'!$BL$1-$B35,0),IF(AND('Input data (2)'!$C$2=1,$A35&gt;=0),OFFSET('Input data (2)'!BL$126,'Input data (2)'!$BL$1-$A35,0),""))))</f>
        <v>582</v>
      </c>
      <c r="BP53" s="1">
        <f ca="1">IF(AND('Input data (2)'!$C$2=4,$D35&gt;=0),OFFSET('Input data (2)'!BI$126,'Input data (2)'!$BL$1-$D35,0),IF(AND('Input data (2)'!$C$2=3,$C35&gt;=0),OFFSET('Input data (2)'!BI$126,'Input data (2)'!$BL$1-$C35,0),IF(AND('Input data (2)'!$C$2=2,$B35&gt;=0),OFFSET('Input data (2)'!BI$126,'Input data (2)'!$BL$1-$B35,0),IF(AND('Input data (2)'!$C$2=1,$A35&gt;=0),OFFSET('Input data (2)'!BI$126,'Input data (2)'!$BL$1-$A35,0),""))))</f>
        <v>352</v>
      </c>
      <c r="BQ53" s="1" t="str">
        <f ca="1">IF(AND('Input data (2)'!$C$2=4,$D35&gt;=0),OFFSET('Input data (2)'!BK$126,'Input data (2)'!$BL$1-$D35,0),IF(AND('Input data (2)'!$C$2=3,$C35&gt;=0),OFFSET('Input data (2)'!BK$126,'Input data (2)'!$BL$1-$C35,0),IF(AND('Input data (2)'!$C$2=2,$B35&gt;=0),OFFSET('Input data (2)'!BK$126,'Input data (2)'!$BL$1-$B35,0),IF(AND('Input data (2)'!$C$2=1,$A35&gt;=0),OFFSET('Input data (2)'!BK$126,'Input data (2)'!$BL$1-$A35,0),""))))</f>
        <v>..</v>
      </c>
      <c r="BR53" s="1">
        <f ca="1">IF(AND('Input data (2)'!$C$2=4,$D35&gt;=0),OFFSET('Input data (2)'!BJ$126,'Input data (2)'!$BL$1-$D35,0),IF(AND('Input data (2)'!$C$2=3,$C35&gt;=0),OFFSET('Input data (2)'!BJ$126,'Input data (2)'!$BL$1-$C35,0),IF(AND('Input data (2)'!$C$2=2,$B35&gt;=0),OFFSET('Input data (2)'!BJ$126,'Input data (2)'!$BL$1-$B35,0),IF(AND('Input data (2)'!$C$2=1,$A35&gt;=0),OFFSET('Input data (2)'!BJ$126,'Input data (2)'!$BL$1-$A35,0),""))))</f>
        <v>230</v>
      </c>
      <c r="BS53" s="1">
        <f ca="1">IF(AND('Input data (2)'!$C$2=4,$D35&gt;=0),OFFSET('Input data (2)'!BF$126,'Input data (2)'!$BL$1-$D35,0),IF(AND('Input data (2)'!$C$2=3,$C35&gt;=0),OFFSET('Input data (2)'!BF$126,'Input data (2)'!$BL$1-$C35,0),IF(AND('Input data (2)'!$C$2=2,$B35&gt;=0),OFFSET('Input data (2)'!BF$126,'Input data (2)'!$BL$1-$B35,0),IF(AND('Input data (2)'!$C$2=1,$A35&gt;=0),OFFSET('Input data (2)'!BF$126,'Input data (2)'!$BL$1-$A35,0),""))))</f>
        <v>85</v>
      </c>
      <c r="BT53" s="1">
        <f ca="1">IF(AND('Input data (2)'!$C$2=4,$D35&gt;=0),OFFSET('Input data (2)'!BD$126,'Input data (2)'!$BL$1-$D35,0),IF(AND('Input data (2)'!$C$2=3,$C35&gt;=0),OFFSET('Input data (2)'!BD$126,'Input data (2)'!$BL$1-$C35,0),IF(AND('Input data (2)'!$C$2=2,$B35&gt;=0),OFFSET('Input data (2)'!BD$126,'Input data (2)'!$BL$1-$B35,0),IF(AND('Input data (2)'!$C$2=1,$A35&gt;=0),OFFSET('Input data (2)'!BD$126,'Input data (2)'!$BL$1-$A35,0),""))))</f>
        <v>54</v>
      </c>
      <c r="BU53" s="1">
        <f ca="1">IF(AND('Input data (2)'!$C$2=4,$D35&gt;=0),OFFSET('Input data (2)'!BE$126,'Input data (2)'!$BL$1-$D35,0),IF(AND('Input data (2)'!$C$2=3,$C35&gt;=0),OFFSET('Input data (2)'!BE$126,'Input data (2)'!$BL$1-$C35,0),IF(AND('Input data (2)'!$C$2=2,$B35&gt;=0),OFFSET('Input data (2)'!BE$126,'Input data (2)'!$BL$1-$B35,0),IF(AND('Input data (2)'!$C$2=1,$A35&gt;=0),OFFSET('Input data (2)'!BE$126,'Input data (2)'!$BL$1-$A35,0),""))))</f>
        <v>31</v>
      </c>
      <c r="BW53" s="7">
        <f ca="1">IF(AND('Input data (2)'!$C$2=4,$D35&gt;=0),OFFSET('Input data (2)'!J$126,'Input data (2)'!$BL$1-$D35,0),IF(AND('Input data (2)'!$C$2=3,$C35&gt;=0),OFFSET('Input data (2)'!J$126,'Input data (2)'!$BL$1-$C35,0),IF(AND('Input data (2)'!$C$2=2,$B35&gt;=0),OFFSET('Input data (2)'!J$126,'Input data (2)'!$BL$1-$B35,0),IF(AND('Input data (2)'!$C$2=1,$A35&gt;=0),OFFSET('Input data (2)'!J$126,'Input data (2)'!$BL$1-$A35,0),""))))</f>
        <v>0.78959857342494155</v>
      </c>
      <c r="BX53" s="7">
        <f ca="1">IF(AND('Input data (2)'!$C$2=4,$D35&gt;=0),OFFSET('Input data (2)'!K$126,'Input data (2)'!$BL$1-$D35,0),IF(AND('Input data (2)'!$C$2=3,$C35&gt;=0),OFFSET('Input data (2)'!K$126,'Input data (2)'!$BL$1-$C35,0),IF(AND('Input data (2)'!$C$2=2,$B35&gt;=0),OFFSET('Input data (2)'!K$126,'Input data (2)'!$BL$1-$B35,0),IF(AND('Input data (2)'!$C$2=1,$A35&gt;=0),OFFSET('Input data (2)'!K$126,'Input data (2)'!$BL$1-$A35,0),""))))</f>
        <v>0.71536005258816038</v>
      </c>
      <c r="BY53" s="7">
        <f ca="1">IF(AND('Input data (2)'!$C$2=4,$D35&gt;=0),OFFSET('Input data (2)'!AS$126,'Input data (2)'!$BL$1-$D35,0),IF(AND('Input data (2)'!$C$2=3,$C35&gt;=0),OFFSET('Input data (2)'!AS$126,'Input data (2)'!$BL$1-$C35,0),IF(AND('Input data (2)'!$C$2=2,$B35&gt;=0),OFFSET('Input data (2)'!AS$126,'Input data (2)'!$BL$1-$B35,0),IF(AND('Input data (2)'!$C$2=1,$A35&gt;=0),OFFSET('Input data (2)'!AS$126,'Input data (2)'!$BL$1-$A35,0),""))))</f>
        <v>0.79803544779933344</v>
      </c>
      <c r="BZ53" s="7">
        <f ca="1">IF(AND('Input data (2)'!$C$2=4,$D35&gt;=0),OFFSET('Input data (2)'!AT$126,'Input data (2)'!$BL$1-$D35,0),IF(AND('Input data (2)'!$C$2=3,$C35&gt;=0),OFFSET('Input data (2)'!AT$126,'Input data (2)'!$BL$1-$C35,0),IF(AND('Input data (2)'!$C$2=2,$B35&gt;=0),OFFSET('Input data (2)'!AT$126,'Input data (2)'!$BL$1-$B35,0),IF(AND('Input data (2)'!$C$2=1,$A35&gt;=0),OFFSET('Input data (2)'!AT$126,'Input data (2)'!$BL$1-$A35,0),""))))</f>
        <v>0.705995251543305</v>
      </c>
      <c r="CB53" s="122"/>
      <c r="CC53" s="122"/>
      <c r="CD53" s="122"/>
      <c r="CE53" s="122"/>
      <c r="CK53" s="1"/>
      <c r="CL53" s="1"/>
      <c r="CM53" s="1"/>
      <c r="CN53" s="1"/>
      <c r="CO53" s="1"/>
      <c r="CP53" s="1"/>
    </row>
    <row r="54" spans="5:94" x14ac:dyDescent="0.15">
      <c r="CK54" s="1"/>
      <c r="CL54" s="1"/>
      <c r="CM54" s="1"/>
      <c r="CN54" s="1"/>
      <c r="CO54" s="1"/>
      <c r="CP54" s="1"/>
    </row>
    <row r="55" spans="5:94" x14ac:dyDescent="0.15">
      <c r="E55" s="1" t="str">
        <f>F55&amp;G55</f>
        <v>2011Q1</v>
      </c>
      <c r="F55" s="1">
        <f>F50+1</f>
        <v>2011</v>
      </c>
      <c r="G55" s="1" t="s">
        <v>1</v>
      </c>
      <c r="H55" s="1">
        <f>VLOOKUP($E55,'Input data (2)'!$A:$BL,'Output data - DO NOT TOUCH (2)'!H$71,FALSE)</f>
        <v>4297</v>
      </c>
      <c r="I55" s="1">
        <f>VLOOKUP($E55,'Input data (2)'!$A:$BL,'Output data - DO NOT TOUCH (2)'!I$71,FALSE)</f>
        <v>1111</v>
      </c>
      <c r="J55" s="1">
        <f>VLOOKUP($E55,'Input data (2)'!$A:$BL,'Output data - DO NOT TOUCH (2)'!J$71,FALSE)</f>
        <v>3186</v>
      </c>
      <c r="K55" s="1">
        <f>VLOOKUP($E55,'Input data (2)'!$A:$BL,'Output data - DO NOT TOUCH (2)'!K$71,FALSE)</f>
        <v>4109</v>
      </c>
      <c r="L55" s="1">
        <f>VLOOKUP($E55,'Input data (2)'!$A:$BL,'Output data - DO NOT TOUCH (2)'!L$71,FALSE)</f>
        <v>1086</v>
      </c>
      <c r="M55" s="1">
        <f>VLOOKUP($E55,'Input data (2)'!$A:$BL,'Output data - DO NOT TOUCH (2)'!M$71,FALSE)</f>
        <v>3023</v>
      </c>
      <c r="O55" s="119">
        <f ca="1">IF(AND('Input data (2)'!$C$2=4,$D36&gt;=0),OFFSET('Input data (2)'!O$126,'Input data (2)'!$BL$1-$D36,0),IF(AND('Input data (2)'!$C$2=3,$C36&gt;=0),OFFSET('Input data (2)'!O$126,'Input data (2)'!$BL$1-$C36,0),IF(AND('Input data (2)'!$C$2=2,$B36&gt;=0),OFFSET('Input data (2)'!O$126,'Input data (2)'!$BL$1-$B36,0),IF(AND('Input data (2)'!$C$2=1,$A36&gt;=0),OFFSET('Input data (2)'!O$126,'Input data (2)'!$BL$1-$A36,0),""))))</f>
        <v>330</v>
      </c>
      <c r="Q55" s="1">
        <f ca="1">IF(AND('Input data (2)'!$C$2=4,$D36&gt;=0),OFFSET('Input data (2)'!AC$126,'Input data (2)'!$BL$1-$D36,0),IF(AND('Input data (2)'!$C$2=3,$C36&gt;=0),OFFSET('Input data (2)'!AC$126,'Input data (2)'!$BL$1-$C36,0),IF(AND('Input data (2)'!$C$2=2,$B36&gt;=0),OFFSET('Input data (2)'!AC$126,'Input data (2)'!$BL$1-$B36,0),IF(AND('Input data (2)'!$C$2=1,$A36&gt;=0),OFFSET('Input data (2)'!AC$126,'Input data (2)'!$BL$1-$A36,0),""))))</f>
        <v>30145</v>
      </c>
      <c r="R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S55" s="1">
        <f ca="1">IF(AND('Input data (2)'!$C$2=4,$D36&gt;=0),OFFSET('Input data (2)'!R$126,'Input data (2)'!$BL$1-$D36,0),IF(AND('Input data (2)'!$C$2=3,$C36&gt;=0),OFFSET('Input data (2)'!R$126,'Input data (2)'!$BL$1-$C36,0),IF(AND('Input data (2)'!$C$2=2,$B36&gt;=0),OFFSET('Input data (2)'!R$126,'Input data (2)'!$BL$1-$B36,0),IF(AND('Input data (2)'!$C$2=1,$A36&gt;=0),OFFSET('Input data (2)'!R$126,'Input data (2)'!$BL$1-$A36,0),""))))</f>
        <v>6788</v>
      </c>
      <c r="T55" s="1">
        <f ca="1">IF(AND('Input data (2)'!$C$2=4,$D36&gt;=0),OFFSET('Input data (2)'!AA$126,'Input data (2)'!$BL$1-$D36,0),IF(AND('Input data (2)'!$C$2=3,$C36&gt;=0),OFFSET('Input data (2)'!AA$126,'Input data (2)'!$BL$1-$C36,0),IF(AND('Input data (2)'!$C$2=2,$B36&gt;=0),OFFSET('Input data (2)'!AA$126,'Input data (2)'!$BL$1-$B36,0),IF(AND('Input data (2)'!$C$2=1,$A36&gt;=0),OFFSET('Input data (2)'!AA$126,'Input data (2)'!$BL$1-$A36,0),""))))</f>
        <v>10818</v>
      </c>
      <c r="U55" s="1" t="str">
        <f ca="1">IF(AND('Input data (2)'!$C$2=4,$D36&gt;=0),OFFSET('Input data (2)'!AL$126,'Input data (2)'!$BL$1-$D36,0),IF(AND('Input data (2)'!$C$2=3,$C36&gt;=0),OFFSET('Input data (2)'!AL$126,'Input data (2)'!$BL$1-$C36,0),IF(AND('Input data (2)'!$C$2=2,$B36&gt;=0),OFFSET('Input data (2)'!AL$126,'Input data (2)'!$BL$1-$B36,0),IF(AND('Input data (2)'!$C$2=1,$A36&gt;=0),OFFSET('Input data (2)'!AL$126,'Input data (2)'!$BL$1-$A36,0),""))))</f>
        <v>:</v>
      </c>
      <c r="V55" s="1">
        <f ca="1">IF(AND('Input data (2)'!$C$2=4,$D36&gt;=0),OFFSET('Input data (2)'!AJ$126,'Input data (2)'!$BL$1-$D36,0),IF(AND('Input data (2)'!$C$2=3,$C36&gt;=0),OFFSET('Input data (2)'!AJ$126,'Input data (2)'!$BL$1-$C36,0),IF(AND('Input data (2)'!$C$2=2,$B36&gt;=0),OFFSET('Input data (2)'!AJ$126,'Input data (2)'!$BL$1-$B36,0),IF(AND('Input data (2)'!$C$2=1,$A36&gt;=0),OFFSET('Input data (2)'!AJ$126,'Input data (2)'!$BL$1-$A36,0),""))))</f>
        <v>11754</v>
      </c>
      <c r="W55" s="1">
        <f ca="1">IF(AND('Input data (2)'!$C$2=4,$D36&gt;=0),OFFSET('Input data (2)'!AK$126,'Input data (2)'!$BL$1-$D36,0),IF(AND('Input data (2)'!$C$2=3,$C36&gt;=0),OFFSET('Input data (2)'!AK$126,'Input data (2)'!$BL$1-$C36,0),IF(AND('Input data (2)'!$C$2=2,$B36&gt;=0),OFFSET('Input data (2)'!AK$126,'Input data (2)'!$BL$1-$B36,0),IF(AND('Input data (2)'!$C$2=1,$A36&gt;=0),OFFSET('Input data (2)'!AK$126,'Input data (2)'!$BL$1-$A36,0),""))))</f>
        <v>11657</v>
      </c>
      <c r="Y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Z55" s="1">
        <f ca="1">IF(AND('Input data (2)'!$C$2=4,$D36&gt;=0),OFFSET('Input data (2)'!S$126,'Input data (2)'!$BL$1-$D36,0),IF(AND('Input data (2)'!$C$2=3,$C36&gt;=0),OFFSET('Input data (2)'!S$126,'Input data (2)'!$BL$1-$C36,0),IF(AND('Input data (2)'!$C$2=2,$B36&gt;=0),OFFSET('Input data (2)'!S$126,'Input data (2)'!$BL$1-$B36,0),IF(AND('Input data (2)'!$C$2=1,$A36&gt;=0),OFFSET('Input data (2)'!S$126,'Input data (2)'!$BL$1-$A36,0),""))))</f>
        <v>10557</v>
      </c>
      <c r="AA55" s="1">
        <f ca="1">IF(AND('Input data (2)'!$C$2=4,$D36&gt;=0),OFFSET('Input data (2)'!T$126,'Input data (2)'!$BL$1-$D36,0),IF(AND('Input data (2)'!$C$2=3,$C36&gt;=0),OFFSET('Input data (2)'!T$126,'Input data (2)'!$BL$1-$C36,0),IF(AND('Input data (2)'!$C$2=2,$B36&gt;=0),OFFSET('Input data (2)'!T$126,'Input data (2)'!$BL$1-$B36,0),IF(AND('Input data (2)'!$C$2=1,$A36&gt;=0),OFFSET('Input data (2)'!T$126,'Input data (2)'!$BL$1-$A36,0),""))))</f>
        <v>84.19331685142356</v>
      </c>
      <c r="AB55" s="1">
        <f ca="1">IF(AND('Input data (2)'!$C$2=4,$D36&gt;=0),OFFSET('Input data (2)'!U$126,'Input data (2)'!$BL$1-$D36,0),IF(AND('Input data (2)'!$C$2=3,$C36&gt;=0),OFFSET('Input data (2)'!U$126,'Input data (2)'!$BL$1-$C36,0),IF(AND('Input data (2)'!$C$2=2,$B36&gt;=0),OFFSET('Input data (2)'!U$126,'Input data (2)'!$BL$1-$B36,0),IF(AND('Input data (2)'!$C$2=1,$A36&gt;=0),OFFSET('Input data (2)'!U$126,'Input data (2)'!$BL$1-$A36,0),""))))</f>
        <v>1982</v>
      </c>
      <c r="AC55" s="1">
        <f ca="1">IF(AND('Input data (2)'!$C$2=4,$D36&gt;=0),OFFSET('Input data (2)'!V$126,'Input data (2)'!$BL$1-$D36,0),IF(AND('Input data (2)'!$C$2=3,$C36&gt;=0),OFFSET('Input data (2)'!V$126,'Input data (2)'!$BL$1-$C36,0),IF(AND('Input data (2)'!$C$2=2,$B36&gt;=0),OFFSET('Input data (2)'!V$126,'Input data (2)'!$BL$1-$B36,0),IF(AND('Input data (2)'!$C$2=1,$A36&gt;=0),OFFSET('Input data (2)'!V$126,'Input data (2)'!$BL$1-$A36,0),""))))</f>
        <v>15.806683148576441</v>
      </c>
      <c r="AD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AE55" s="1">
        <f ca="1">IF(AND('Input data (2)'!$C$2=4,$D36&gt;=0),OFFSET('Input data (2)'!W$126,'Input data (2)'!$BL$1-$D36,0),IF(AND('Input data (2)'!$C$2=3,$C36&gt;=0),OFFSET('Input data (2)'!W$126,'Input data (2)'!$BL$1-$C36,0),IF(AND('Input data (2)'!$C$2=2,$B36&gt;=0),OFFSET('Input data (2)'!W$126,'Input data (2)'!$BL$1-$B36,0),IF(AND('Input data (2)'!$C$2=1,$A36&gt;=0),OFFSET('Input data (2)'!W$126,'Input data (2)'!$BL$1-$A36,0),""))))</f>
        <v>2579</v>
      </c>
      <c r="AF55" s="1">
        <f ca="1">IF(AND('Input data (2)'!$C$2=4,$D36&gt;=0),OFFSET('Input data (2)'!X$126,'Input data (2)'!$BL$1-$D36,0),IF(AND('Input data (2)'!$C$2=3,$C36&gt;=0),OFFSET('Input data (2)'!X$126,'Input data (2)'!$BL$1-$C36,0),IF(AND('Input data (2)'!$C$2=2,$B36&gt;=0),OFFSET('Input data (2)'!X$126,'Input data (2)'!$BL$1-$B36,0),IF(AND('Input data (2)'!$C$2=1,$A36&gt;=0),OFFSET('Input data (2)'!X$126,'Input data (2)'!$BL$1-$A36,0),""))))</f>
        <v>20.56782837546854</v>
      </c>
      <c r="AG55" s="1">
        <f ca="1">IF(AND('Input data (2)'!$C$2=4,$D36&gt;=0),OFFSET('Input data (2)'!Y$126,'Input data (2)'!$BL$1-$D36,0),IF(AND('Input data (2)'!$C$2=3,$C36&gt;=0),OFFSET('Input data (2)'!Y$126,'Input data (2)'!$BL$1-$C36,0),IF(AND('Input data (2)'!$C$2=2,$B36&gt;=0),OFFSET('Input data (2)'!Y$126,'Input data (2)'!$BL$1-$B36,0),IF(AND('Input data (2)'!$C$2=1,$A36&gt;=0),OFFSET('Input data (2)'!Y$126,'Input data (2)'!$BL$1-$A36,0),""))))</f>
        <v>9960</v>
      </c>
      <c r="AH55" s="1">
        <f ca="1">IF(AND('Input data (2)'!$C$2=4,$D36&gt;=0),OFFSET('Input data (2)'!Z$126,'Input data (2)'!$BL$1-$D36,0),IF(AND('Input data (2)'!$C$2=3,$C36&gt;=0),OFFSET('Input data (2)'!Z$126,'Input data (2)'!$BL$1-$C36,0),IF(AND('Input data (2)'!$C$2=2,$B36&gt;=0),OFFSET('Input data (2)'!Z$126,'Input data (2)'!$BL$1-$B36,0),IF(AND('Input data (2)'!$C$2=1,$A36&gt;=0),OFFSET('Input data (2)'!Z$126,'Input data (2)'!$BL$1-$A36,0),""))))</f>
        <v>79.432171624531463</v>
      </c>
      <c r="AI55" s="3"/>
      <c r="AJ55" s="124">
        <f ca="1">IF(AND('Input data (2)'!$C$2=4,$D36&gt;=0),OFFSET('Input data (2)'!AF$126,'Input data (2)'!$BL$1-$D36,0),IF(AND('Input data (2)'!$C$2=3,$C36&gt;=0),OFFSET('Input data (2)'!AF$126,'Input data (2)'!$BL$1-$C36,0),IF(AND('Input data (2)'!$C$2=2,$B36&gt;=0),OFFSET('Input data (2)'!AF$126,'Input data (2)'!$BL$1-$B36,0),IF(AND('Input data (2)'!$C$2=1,$A36&gt;=0),OFFSET('Input data (2)'!AF$126,'Input data (2)'!$BL$1-$A36,0),""))))</f>
        <v>1477</v>
      </c>
      <c r="AK55" s="124">
        <f ca="1">IF(AND('Input data (2)'!$C$2=4,$D36&gt;=0),OFFSET('Input data (2)'!AD$126,'Input data (2)'!$BL$1-$D36,0),IF(AND('Input data (2)'!$C$2=3,$C36&gt;=0),OFFSET('Input data (2)'!AD$126,'Input data (2)'!$BL$1-$C36,0),IF(AND('Input data (2)'!$C$2=2,$B36&gt;=0),OFFSET('Input data (2)'!AD$126,'Input data (2)'!$BL$1-$B36,0),IF(AND('Input data (2)'!$C$2=1,$A36&gt;=0),OFFSET('Input data (2)'!AD$126,'Input data (2)'!$BL$1-$A36,0),""))))</f>
        <v>10</v>
      </c>
      <c r="AL55" s="124">
        <f ca="1">IF(AND('Input data (2)'!$C$2=4,$D36&gt;=0),OFFSET('Input data (2)'!AE$126,'Input data (2)'!$BL$1-$D36,0),IF(AND('Input data (2)'!$C$2=3,$C36&gt;=0),OFFSET('Input data (2)'!AE$126,'Input data (2)'!$BL$1-$C36,0),IF(AND('Input data (2)'!$C$2=2,$B36&gt;=0),OFFSET('Input data (2)'!AE$126,'Input data (2)'!$BL$1-$B36,0),IF(AND('Input data (2)'!$C$2=1,$A36&gt;=0),OFFSET('Input data (2)'!AE$126,'Input data (2)'!$BL$1-$A36,0),""))))</f>
        <v>1467</v>
      </c>
      <c r="AW55" s="1">
        <f ca="1">IF(AND('Input data (2)'!$C$2=4,$D36&gt;=0),OFFSET('Input data (2)'!L$126,'Input data (2)'!$BL$1-$D36,0),IF(AND('Input data (2)'!$C$2=3,$C36&gt;=0),OFFSET('Input data (2)'!L$126,'Input data (2)'!$BL$1-$C36,0),IF(AND('Input data (2)'!$C$2=2,$B36&gt;=0),OFFSET('Input data (2)'!L$126,'Input data (2)'!$BL$1-$B36,0),IF(AND('Input data (2)'!$C$2=1,$A36&gt;=0),OFFSET('Input data (2)'!L$126,'Input data (2)'!$BL$1-$A36,0),""))))</f>
        <v>349</v>
      </c>
      <c r="AX55" s="1">
        <f ca="1">IF(AND('Input data (2)'!$C$2=4,$D36&gt;=0),OFFSET('Input data (2)'!M$126,'Input data (2)'!$BL$1-$D36,0),IF(AND('Input data (2)'!$C$2=3,$C36&gt;=0),OFFSET('Input data (2)'!M$126,'Input data (2)'!$BL$1-$C36,0),IF(AND('Input data (2)'!$C$2=2,$B36&gt;=0),OFFSET('Input data (2)'!M$126,'Input data (2)'!$BL$1-$B36,0),IF(AND('Input data (2)'!$C$2=1,$A36&gt;=0),OFFSET('Input data (2)'!M$126,'Input data (2)'!$BL$1-$A36,0),""))))</f>
        <v>0</v>
      </c>
      <c r="AY55" s="1">
        <f ca="1">IF(AND('Input data (2)'!$C$2=4,$D36&gt;=0),OFFSET('Input data (2)'!N$126,'Input data (2)'!$BL$1-$D36,0),IF(AND('Input data (2)'!$C$2=3,$C36&gt;=0),OFFSET('Input data (2)'!N$126,'Input data (2)'!$BL$1-$C36,0),IF(AND('Input data (2)'!$C$2=2,$B36&gt;=0),OFFSET('Input data (2)'!N$126,'Input data (2)'!$BL$1-$B36,0),IF(AND('Input data (2)'!$C$2=1,$A36&gt;=0),OFFSET('Input data (2)'!N$126,'Input data (2)'!$BL$1-$A36,0),""))))</f>
        <v>782</v>
      </c>
      <c r="AZ55" s="1">
        <f ca="1">IF(AND('Input data (2)'!$C$2=4,$D36&gt;=0),OFFSET('Input data (2)'!P$126,'Input data (2)'!$BL$1-$D36,0),IF(AND('Input data (2)'!$C$2=3,$C36&gt;=0),OFFSET('Input data (2)'!P$126,'Input data (2)'!$BL$1-$C36,0),IF(AND('Input data (2)'!$C$2=2,$B36&gt;=0),OFFSET('Input data (2)'!P$126,'Input data (2)'!$BL$1-$B36,0),IF(AND('Input data (2)'!$C$2=1,$A36&gt;=0),OFFSET('Input data (2)'!P$126,'Input data (2)'!$BL$1-$A36,0),""))))</f>
        <v>183</v>
      </c>
      <c r="BB55" s="1">
        <f ca="1">IF(AND('Input data (2)'!$C$2=4,$D36&gt;=0),OFFSET('Input data (2)'!BB$126,'Input data (2)'!$BL$1-$D36,0),IF(AND('Input data (2)'!$C$2=3,$C36&gt;=0),OFFSET('Input data (2)'!BB$126,'Input data (2)'!$BL$1-$C36,0),IF(AND('Input data (2)'!$C$2=2,$B36&gt;=0),OFFSET('Input data (2)'!BB$126,'Input data (2)'!$BL$1-$B36,0),IF(AND('Input data (2)'!$C$2=1,$A36&gt;=0),OFFSET('Input data (2)'!BB$126,'Input data (2)'!$BL$1-$A36,0),""))))</f>
        <v>4273</v>
      </c>
      <c r="BC55" s="1">
        <f ca="1">IF(AND('Input data (2)'!$C$2=4,$D36&gt;=0),OFFSET('Input data (2)'!AY$126,'Input data (2)'!$BL$1-$D36,0),IF(AND('Input data (2)'!$C$2=3,$C36&gt;=0),OFFSET('Input data (2)'!AY$126,'Input data (2)'!$BL$1-$C36,0),IF(AND('Input data (2)'!$C$2=2,$B36&gt;=0),OFFSET('Input data (2)'!AY$126,'Input data (2)'!$BL$1-$B36,0),IF(AND('Input data (2)'!$C$2=1,$A36&gt;=0),OFFSET('Input data (2)'!AY$126,'Input data (2)'!$BL$1-$A36,0),""))))</f>
        <v>2698</v>
      </c>
      <c r="BD55" s="1">
        <f ca="1">IF(AND('Input data (2)'!$C$2=4,$D36&gt;=0),OFFSET('Input data (2)'!AZ$126,'Input data (2)'!$BL$1-$D36,0),IF(AND('Input data (2)'!$C$2=3,$C36&gt;=0),OFFSET('Input data (2)'!AZ$126,'Input data (2)'!$BL$1-$C36,0),IF(AND('Input data (2)'!$C$2=2,$B36&gt;=0),OFFSET('Input data (2)'!AZ$126,'Input data (2)'!$BL$1-$B36,0),IF(AND('Input data (2)'!$C$2=1,$A36&gt;=0),OFFSET('Input data (2)'!AZ$126,'Input data (2)'!$BL$1-$A36,0),""))))</f>
        <v>1204</v>
      </c>
      <c r="BE55" s="1">
        <f ca="1">IF(AND('Input data (2)'!$C$2=4,$D36&gt;=0),OFFSET('Input data (2)'!BA$126,'Input data (2)'!$BL$1-$D36,0),IF(AND('Input data (2)'!$C$2=3,$C36&gt;=0),OFFSET('Input data (2)'!BA$126,'Input data (2)'!$BL$1-$C36,0),IF(AND('Input data (2)'!$C$2=2,$B36&gt;=0),OFFSET('Input data (2)'!BA$126,'Input data (2)'!$BL$1-$B36,0),IF(AND('Input data (2)'!$C$2=1,$A36&gt;=0),OFFSET('Input data (2)'!BA$126,'Input data (2)'!$BL$1-$A36,0),""))))</f>
        <v>1575</v>
      </c>
      <c r="BF55" s="1">
        <f ca="1">IF(AND('Input data (2)'!$C$2=4,$D36&gt;=0),OFFSET('Input data (2)'!AP$126,'Input data (2)'!$BL$1-$D36,0),IF(AND('Input data (2)'!$C$2=3,$C36&gt;=0),OFFSET('Input data (2)'!AP$126,'Input data (2)'!$BL$1-$C36,0),IF(AND('Input data (2)'!$C$2=2,$B36&gt;=0),OFFSET('Input data (2)'!AP$126,'Input data (2)'!$BL$1-$B36,0),IF(AND('Input data (2)'!$C$2=1,$A36&gt;=0),OFFSET('Input data (2)'!AP$126,'Input data (2)'!$BL$1-$A36,0),""))))</f>
        <v>279</v>
      </c>
      <c r="BG55" s="1">
        <f ca="1">IF(AND('Input data (2)'!$C$2=4,$D36&gt;=0),OFFSET('Input data (2)'!AN$126,'Input data (2)'!$BL$1-$D36,0),IF(AND('Input data (2)'!$C$2=3,$C36&gt;=0),OFFSET('Input data (2)'!AN$126,'Input data (2)'!$BL$1-$C36,0),IF(AND('Input data (2)'!$C$2=2,$B36&gt;=0),OFFSET('Input data (2)'!AN$126,'Input data (2)'!$BL$1-$B36,0),IF(AND('Input data (2)'!$C$2=1,$A36&gt;=0),OFFSET('Input data (2)'!AN$126,'Input data (2)'!$BL$1-$A36,0),""))))</f>
        <v>208</v>
      </c>
      <c r="BH55" s="1">
        <f ca="1">IF(AND('Input data (2)'!$C$2=4,$D36&gt;=0),OFFSET('Input data (2)'!AO$126,'Input data (2)'!$BL$1-$D36,0),IF(AND('Input data (2)'!$C$2=3,$C36&gt;=0),OFFSET('Input data (2)'!AO$126,'Input data (2)'!$BL$1-$C36,0),IF(AND('Input data (2)'!$C$2=2,$B36&gt;=0),OFFSET('Input data (2)'!AO$126,'Input data (2)'!$BL$1-$B36,0),IF(AND('Input data (2)'!$C$2=1,$A36&gt;=0),OFFSET('Input data (2)'!AO$126,'Input data (2)'!$BL$1-$A36,0),""))))</f>
        <v>71</v>
      </c>
      <c r="BJ55" s="1">
        <f ca="1">IF(AND('Input data (2)'!$C$2=4,$D36&gt;=0),OFFSET('Input data (2)'!AU$126,'Input data (2)'!$BL$1-$D36,0),IF(AND('Input data (2)'!$C$2=3,$C36&gt;=0),OFFSET('Input data (2)'!AU$126,'Input data (2)'!$BL$1-$C36,0),IF(AND('Input data (2)'!$C$2=2,$B36&gt;=0),OFFSET('Input data (2)'!AU$126,'Input data (2)'!$BL$1-$B36,0),IF(AND('Input data (2)'!$C$2=1,$A36&gt;=0),OFFSET('Input data (2)'!AU$126,'Input data (2)'!$BL$1-$A36,0),""))))</f>
        <v>15</v>
      </c>
      <c r="BK55" s="1">
        <f ca="1">IF(AND('Input data (2)'!$C$2=4,$D36&gt;=0),OFFSET('Input data (2)'!AV$126,'Input data (2)'!$BL$1-$D36,0),IF(AND('Input data (2)'!$C$2=3,$C36&gt;=0),OFFSET('Input data (2)'!AV$126,'Input data (2)'!$BL$1-$C36,0),IF(AND('Input data (2)'!$C$2=2,$B36&gt;=0),OFFSET('Input data (2)'!AV$126,'Input data (2)'!$BL$1-$B36,0),IF(AND('Input data (2)'!$C$2=1,$A36&gt;=0),OFFSET('Input data (2)'!AV$126,'Input data (2)'!$BL$1-$A36,0),""))))</f>
        <v>0</v>
      </c>
      <c r="BL55" s="1">
        <f ca="1">IF(AND('Input data (2)'!$C$2=4,$D36&gt;=0),OFFSET('Input data (2)'!AW$126,'Input data (2)'!$BL$1-$D36,0),IF(AND('Input data (2)'!$C$2=3,$C36&gt;=0),OFFSET('Input data (2)'!AW$126,'Input data (2)'!$BL$1-$C36,0),IF(AND('Input data (2)'!$C$2=2,$B36&gt;=0),OFFSET('Input data (2)'!AW$126,'Input data (2)'!$BL$1-$B36,0),IF(AND('Input data (2)'!$C$2=1,$A36&gt;=0),OFFSET('Input data (2)'!AW$126,'Input data (2)'!$BL$1-$A36,0),""))))</f>
        <v>57</v>
      </c>
      <c r="BM55" s="1">
        <f ca="1">IF(AND('Input data (2)'!$C$2=4,$D36&gt;=0),OFFSET('Input data (2)'!AX$126,'Input data (2)'!$BL$1-$D36,0),IF(AND('Input data (2)'!$C$2=3,$C36&gt;=0),OFFSET('Input data (2)'!AX$126,'Input data (2)'!$BL$1-$C36,0),IF(AND('Input data (2)'!$C$2=2,$B36&gt;=0),OFFSET('Input data (2)'!AX$126,'Input data (2)'!$BL$1-$B36,0),IF(AND('Input data (2)'!$C$2=1,$A36&gt;=0),OFFSET('Input data (2)'!AX$126,'Input data (2)'!$BL$1-$A36,0),""))))</f>
        <v>3</v>
      </c>
      <c r="BO55" s="1">
        <f ca="1">IF(AND('Input data (2)'!$C$2=4,$D36&gt;=0),OFFSET('Input data (2)'!BL$126,'Input data (2)'!$BL$1-$D36,0),IF(AND('Input data (2)'!$C$2=3,$C36&gt;=0),OFFSET('Input data (2)'!BL$126,'Input data (2)'!$BL$1-$C36,0),IF(AND('Input data (2)'!$C$2=2,$B36&gt;=0),OFFSET('Input data (2)'!BL$126,'Input data (2)'!$BL$1-$B36,0),IF(AND('Input data (2)'!$C$2=1,$A36&gt;=0),OFFSET('Input data (2)'!BL$126,'Input data (2)'!$BL$1-$A36,0),""))))</f>
        <v>692</v>
      </c>
      <c r="BP55" s="1">
        <f ca="1">IF(AND('Input data (2)'!$C$2=4,$D36&gt;=0),OFFSET('Input data (2)'!BI$126,'Input data (2)'!$BL$1-$D36,0),IF(AND('Input data (2)'!$C$2=3,$C36&gt;=0),OFFSET('Input data (2)'!BI$126,'Input data (2)'!$BL$1-$C36,0),IF(AND('Input data (2)'!$C$2=2,$B36&gt;=0),OFFSET('Input data (2)'!BI$126,'Input data (2)'!$BL$1-$B36,0),IF(AND('Input data (2)'!$C$2=1,$A36&gt;=0),OFFSET('Input data (2)'!BI$126,'Input data (2)'!$BL$1-$A36,0),""))))</f>
        <v>451</v>
      </c>
      <c r="BQ55" s="1" t="str">
        <f ca="1">IF(AND('Input data (2)'!$C$2=4,$D36&gt;=0),OFFSET('Input data (2)'!BK$126,'Input data (2)'!$BL$1-$D36,0),IF(AND('Input data (2)'!$C$2=3,$C36&gt;=0),OFFSET('Input data (2)'!BK$126,'Input data (2)'!$BL$1-$C36,0),IF(AND('Input data (2)'!$C$2=2,$B36&gt;=0),OFFSET('Input data (2)'!BK$126,'Input data (2)'!$BL$1-$B36,0),IF(AND('Input data (2)'!$C$2=1,$A36&gt;=0),OFFSET('Input data (2)'!BK$126,'Input data (2)'!$BL$1-$A36,0),""))))</f>
        <v>..</v>
      </c>
      <c r="BR55" s="1">
        <f ca="1">IF(AND('Input data (2)'!$C$2=4,$D36&gt;=0),OFFSET('Input data (2)'!BJ$126,'Input data (2)'!$BL$1-$D36,0),IF(AND('Input data (2)'!$C$2=3,$C36&gt;=0),OFFSET('Input data (2)'!BJ$126,'Input data (2)'!$BL$1-$C36,0),IF(AND('Input data (2)'!$C$2=2,$B36&gt;=0),OFFSET('Input data (2)'!BJ$126,'Input data (2)'!$BL$1-$B36,0),IF(AND('Input data (2)'!$C$2=1,$A36&gt;=0),OFFSET('Input data (2)'!BJ$126,'Input data (2)'!$BL$1-$A36,0),""))))</f>
        <v>241</v>
      </c>
      <c r="BS55" s="1">
        <f ca="1">IF(AND('Input data (2)'!$C$2=4,$D36&gt;=0),OFFSET('Input data (2)'!BF$126,'Input data (2)'!$BL$1-$D36,0),IF(AND('Input data (2)'!$C$2=3,$C36&gt;=0),OFFSET('Input data (2)'!BF$126,'Input data (2)'!$BL$1-$C36,0),IF(AND('Input data (2)'!$C$2=2,$B36&gt;=0),OFFSET('Input data (2)'!BF$126,'Input data (2)'!$BL$1-$B36,0),IF(AND('Input data (2)'!$C$2=1,$A36&gt;=0),OFFSET('Input data (2)'!BF$126,'Input data (2)'!$BL$1-$A36,0),""))))</f>
        <v>94</v>
      </c>
      <c r="BT55" s="1">
        <f ca="1">IF(AND('Input data (2)'!$C$2=4,$D36&gt;=0),OFFSET('Input data (2)'!BD$126,'Input data (2)'!$BL$1-$D36,0),IF(AND('Input data (2)'!$C$2=3,$C36&gt;=0),OFFSET('Input data (2)'!BD$126,'Input data (2)'!$BL$1-$C36,0),IF(AND('Input data (2)'!$C$2=2,$B36&gt;=0),OFFSET('Input data (2)'!BD$126,'Input data (2)'!$BL$1-$B36,0),IF(AND('Input data (2)'!$C$2=1,$A36&gt;=0),OFFSET('Input data (2)'!BD$126,'Input data (2)'!$BL$1-$A36,0),""))))</f>
        <v>61</v>
      </c>
      <c r="BU55" s="1">
        <f ca="1">IF(AND('Input data (2)'!$C$2=4,$D36&gt;=0),OFFSET('Input data (2)'!BE$126,'Input data (2)'!$BL$1-$D36,0),IF(AND('Input data (2)'!$C$2=3,$C36&gt;=0),OFFSET('Input data (2)'!BE$126,'Input data (2)'!$BL$1-$C36,0),IF(AND('Input data (2)'!$C$2=2,$B36&gt;=0),OFFSET('Input data (2)'!BE$126,'Input data (2)'!$BL$1-$B36,0),IF(AND('Input data (2)'!$C$2=1,$A36&gt;=0),OFFSET('Input data (2)'!BE$126,'Input data (2)'!$BL$1-$A36,0),""))))</f>
        <v>33</v>
      </c>
      <c r="BW55" s="7">
        <f ca="1">IF(AND('Input data (2)'!$C$2=4,$D36&gt;=0),OFFSET('Input data (2)'!J$126,'Input data (2)'!$BL$1-$D36,0),IF(AND('Input data (2)'!$C$2=3,$C36&gt;=0),OFFSET('Input data (2)'!J$126,'Input data (2)'!$BL$1-$C36,0),IF(AND('Input data (2)'!$C$2=2,$B36&gt;=0),OFFSET('Input data (2)'!J$126,'Input data (2)'!$BL$1-$B36,0),IF(AND('Input data (2)'!$C$2=1,$A36&gt;=0),OFFSET('Input data (2)'!J$126,'Input data (2)'!$BL$1-$A36,0),""))))</f>
        <v>0.78043330112019393</v>
      </c>
      <c r="BX55" s="7">
        <f ca="1">IF(AND('Input data (2)'!$C$2=4,$D36&gt;=0),OFFSET('Input data (2)'!K$126,'Input data (2)'!$BL$1-$D36,0),IF(AND('Input data (2)'!$C$2=3,$C36&gt;=0),OFFSET('Input data (2)'!K$126,'Input data (2)'!$BL$1-$C36,0),IF(AND('Input data (2)'!$C$2=2,$B36&gt;=0),OFFSET('Input data (2)'!K$126,'Input data (2)'!$BL$1-$B36,0),IF(AND('Input data (2)'!$C$2=1,$A36&gt;=0),OFFSET('Input data (2)'!K$126,'Input data (2)'!$BL$1-$A36,0),""))))</f>
        <v>0.7099795459723427</v>
      </c>
      <c r="BY55" s="7">
        <f ca="1">IF(AND('Input data (2)'!$C$2=4,$D36&gt;=0),OFFSET('Input data (2)'!AS$126,'Input data (2)'!$BL$1-$D36,0),IF(AND('Input data (2)'!$C$2=3,$C36&gt;=0),OFFSET('Input data (2)'!AS$126,'Input data (2)'!$BL$1-$C36,0),IF(AND('Input data (2)'!$C$2=2,$B36&gt;=0),OFFSET('Input data (2)'!AS$126,'Input data (2)'!$BL$1-$B36,0),IF(AND('Input data (2)'!$C$2=1,$A36&gt;=0),OFFSET('Input data (2)'!AS$126,'Input data (2)'!$BL$1-$A36,0),""))))</f>
        <v>0.79450561982842738</v>
      </c>
      <c r="BZ55" s="7">
        <f ca="1">IF(AND('Input data (2)'!$C$2=4,$D36&gt;=0),OFFSET('Input data (2)'!AT$126,'Input data (2)'!$BL$1-$D36,0),IF(AND('Input data (2)'!$C$2=3,$C36&gt;=0),OFFSET('Input data (2)'!AT$126,'Input data (2)'!$BL$1-$C36,0),IF(AND('Input data (2)'!$C$2=2,$B36&gt;=0),OFFSET('Input data (2)'!AT$126,'Input data (2)'!$BL$1-$B36,0),IF(AND('Input data (2)'!$C$2=1,$A36&gt;=0),OFFSET('Input data (2)'!AT$126,'Input data (2)'!$BL$1-$A36,0),""))))</f>
        <v>0.70699946383055012</v>
      </c>
      <c r="CB55" s="122"/>
      <c r="CC55" s="122"/>
      <c r="CD55" s="122"/>
      <c r="CE55" s="122"/>
      <c r="CK55" s="1"/>
      <c r="CL55" s="1"/>
      <c r="CM55" s="1"/>
      <c r="CN55" s="1"/>
      <c r="CO55" s="1"/>
      <c r="CP55" s="1"/>
    </row>
    <row r="56" spans="5:94" x14ac:dyDescent="0.15">
      <c r="E56" s="1" t="str">
        <f>F56&amp;G56</f>
        <v>2011Q2</v>
      </c>
      <c r="F56" s="1">
        <f>F51+1</f>
        <v>2011</v>
      </c>
      <c r="G56" s="1" t="s">
        <v>2</v>
      </c>
      <c r="H56" s="1">
        <f>VLOOKUP($E56,'Input data (2)'!$A:$BL,'Output data - DO NOT TOUCH (2)'!H$71,FALSE)</f>
        <v>4268</v>
      </c>
      <c r="I56" s="1">
        <f>VLOOKUP($E56,'Input data (2)'!$A:$BL,'Output data - DO NOT TOUCH (2)'!I$71,FALSE)</f>
        <v>1317</v>
      </c>
      <c r="J56" s="1">
        <f>VLOOKUP($E56,'Input data (2)'!$A:$BL,'Output data - DO NOT TOUCH (2)'!J$71,FALSE)</f>
        <v>2951</v>
      </c>
      <c r="K56" s="1">
        <f>VLOOKUP($E56,'Input data (2)'!$A:$BL,'Output data - DO NOT TOUCH (2)'!K$71,FALSE)</f>
        <v>4230</v>
      </c>
      <c r="L56" s="1">
        <f>VLOOKUP($E56,'Input data (2)'!$A:$BL,'Output data - DO NOT TOUCH (2)'!L$71,FALSE)</f>
        <v>1317</v>
      </c>
      <c r="M56" s="1">
        <f>VLOOKUP($E56,'Input data (2)'!$A:$BL,'Output data - DO NOT TOUCH (2)'!M$71,FALSE)</f>
        <v>2913</v>
      </c>
      <c r="O56" s="119">
        <f ca="1">IF(AND('Input data (2)'!$C$2=4,$D37&gt;=0),OFFSET('Input data (2)'!O$126,'Input data (2)'!$BL$1-$D37,0),IF(AND('Input data (2)'!$C$2=3,$C37&gt;=0),OFFSET('Input data (2)'!O$126,'Input data (2)'!$BL$1-$C37,0),IF(AND('Input data (2)'!$C$2=2,$B37&gt;=0),OFFSET('Input data (2)'!O$126,'Input data (2)'!$BL$1-$B37,0),IF(AND('Input data (2)'!$C$2=1,$A37&gt;=0),OFFSET('Input data (2)'!O$126,'Input data (2)'!$BL$1-$A37,0),""))))</f>
        <v>257</v>
      </c>
      <c r="Q56" s="1">
        <f ca="1">IF(AND('Input data (2)'!$C$2=4,$D37&gt;=0),OFFSET('Input data (2)'!AC$126,'Input data (2)'!$BL$1-$D37,0),IF(AND('Input data (2)'!$C$2=3,$C37&gt;=0),OFFSET('Input data (2)'!AC$126,'Input data (2)'!$BL$1-$C37,0),IF(AND('Input data (2)'!$C$2=2,$B37&gt;=0),OFFSET('Input data (2)'!AC$126,'Input data (2)'!$BL$1-$B37,0),IF(AND('Input data (2)'!$C$2=1,$A37&gt;=0),OFFSET('Input data (2)'!AC$126,'Input data (2)'!$BL$1-$A37,0),""))))</f>
        <v>30502</v>
      </c>
      <c r="R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S56" s="1">
        <f ca="1">IF(AND('Input data (2)'!$C$2=4,$D37&gt;=0),OFFSET('Input data (2)'!R$126,'Input data (2)'!$BL$1-$D37,0),IF(AND('Input data (2)'!$C$2=3,$C37&gt;=0),OFFSET('Input data (2)'!R$126,'Input data (2)'!$BL$1-$C37,0),IF(AND('Input data (2)'!$C$2=2,$B37&gt;=0),OFFSET('Input data (2)'!R$126,'Input data (2)'!$BL$1-$B37,0),IF(AND('Input data (2)'!$C$2=1,$A37&gt;=0),OFFSET('Input data (2)'!R$126,'Input data (2)'!$BL$1-$A37,0),""))))</f>
        <v>7258</v>
      </c>
      <c r="T56" s="1">
        <f ca="1">IF(AND('Input data (2)'!$C$2=4,$D37&gt;=0),OFFSET('Input data (2)'!AA$126,'Input data (2)'!$BL$1-$D37,0),IF(AND('Input data (2)'!$C$2=3,$C37&gt;=0),OFFSET('Input data (2)'!AA$126,'Input data (2)'!$BL$1-$C37,0),IF(AND('Input data (2)'!$C$2=2,$B37&gt;=0),OFFSET('Input data (2)'!AA$126,'Input data (2)'!$BL$1-$B37,0),IF(AND('Input data (2)'!$C$2=1,$A37&gt;=0),OFFSET('Input data (2)'!AA$126,'Input data (2)'!$BL$1-$A37,0),""))))</f>
        <v>12143</v>
      </c>
      <c r="U56" s="1" t="str">
        <f ca="1">IF(AND('Input data (2)'!$C$2=4,$D37&gt;=0),OFFSET('Input data (2)'!AL$126,'Input data (2)'!$BL$1-$D37,0),IF(AND('Input data (2)'!$C$2=3,$C37&gt;=0),OFFSET('Input data (2)'!AL$126,'Input data (2)'!$BL$1-$C37,0),IF(AND('Input data (2)'!$C$2=2,$B37&gt;=0),OFFSET('Input data (2)'!AL$126,'Input data (2)'!$BL$1-$B37,0),IF(AND('Input data (2)'!$C$2=1,$A37&gt;=0),OFFSET('Input data (2)'!AL$126,'Input data (2)'!$BL$1-$A37,0),""))))</f>
        <v>:</v>
      </c>
      <c r="V56" s="1">
        <f ca="1">IF(AND('Input data (2)'!$C$2=4,$D37&gt;=0),OFFSET('Input data (2)'!AJ$126,'Input data (2)'!$BL$1-$D37,0),IF(AND('Input data (2)'!$C$2=3,$C37&gt;=0),OFFSET('Input data (2)'!AJ$126,'Input data (2)'!$BL$1-$C37,0),IF(AND('Input data (2)'!$C$2=2,$B37&gt;=0),OFFSET('Input data (2)'!AJ$126,'Input data (2)'!$BL$1-$B37,0),IF(AND('Input data (2)'!$C$2=1,$A37&gt;=0),OFFSET('Input data (2)'!AJ$126,'Input data (2)'!$BL$1-$A37,0),""))))</f>
        <v>11289</v>
      </c>
      <c r="W56" s="1">
        <f ca="1">IF(AND('Input data (2)'!$C$2=4,$D37&gt;=0),OFFSET('Input data (2)'!AK$126,'Input data (2)'!$BL$1-$D37,0),IF(AND('Input data (2)'!$C$2=3,$C37&gt;=0),OFFSET('Input data (2)'!AK$126,'Input data (2)'!$BL$1-$C37,0),IF(AND('Input data (2)'!$C$2=2,$B37&gt;=0),OFFSET('Input data (2)'!AK$126,'Input data (2)'!$BL$1-$B37,0),IF(AND('Input data (2)'!$C$2=1,$A37&gt;=0),OFFSET('Input data (2)'!AK$126,'Input data (2)'!$BL$1-$A37,0),""))))</f>
        <v>12023</v>
      </c>
      <c r="Y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Z56" s="1">
        <f ca="1">IF(AND('Input data (2)'!$C$2=4,$D37&gt;=0),OFFSET('Input data (2)'!S$126,'Input data (2)'!$BL$1-$D37,0),IF(AND('Input data (2)'!$C$2=3,$C37&gt;=0),OFFSET('Input data (2)'!S$126,'Input data (2)'!$BL$1-$C37,0),IF(AND('Input data (2)'!$C$2=2,$B37&gt;=0),OFFSET('Input data (2)'!S$126,'Input data (2)'!$BL$1-$B37,0),IF(AND('Input data (2)'!$C$2=1,$A37&gt;=0),OFFSET('Input data (2)'!S$126,'Input data (2)'!$BL$1-$A37,0),""))))</f>
        <v>9213</v>
      </c>
      <c r="AA56" s="1">
        <f ca="1">IF(AND('Input data (2)'!$C$2=4,$D37&gt;=0),OFFSET('Input data (2)'!T$126,'Input data (2)'!$BL$1-$D37,0),IF(AND('Input data (2)'!$C$2=3,$C37&gt;=0),OFFSET('Input data (2)'!T$126,'Input data (2)'!$BL$1-$C37,0),IF(AND('Input data (2)'!$C$2=2,$B37&gt;=0),OFFSET('Input data (2)'!T$126,'Input data (2)'!$BL$1-$B37,0),IF(AND('Input data (2)'!$C$2=1,$A37&gt;=0),OFFSET('Input data (2)'!T$126,'Input data (2)'!$BL$1-$A37,0),""))))</f>
        <v>82.992523196108465</v>
      </c>
      <c r="AB56" s="1">
        <f ca="1">IF(AND('Input data (2)'!$C$2=4,$D37&gt;=0),OFFSET('Input data (2)'!U$126,'Input data (2)'!$BL$1-$D37,0),IF(AND('Input data (2)'!$C$2=3,$C37&gt;=0),OFFSET('Input data (2)'!U$126,'Input data (2)'!$BL$1-$C37,0),IF(AND('Input data (2)'!$C$2=2,$B37&gt;=0),OFFSET('Input data (2)'!U$126,'Input data (2)'!$BL$1-$B37,0),IF(AND('Input data (2)'!$C$2=1,$A37&gt;=0),OFFSET('Input data (2)'!U$126,'Input data (2)'!$BL$1-$A37,0),""))))</f>
        <v>1888</v>
      </c>
      <c r="AC56" s="1">
        <f ca="1">IF(AND('Input data (2)'!$C$2=4,$D37&gt;=0),OFFSET('Input data (2)'!V$126,'Input data (2)'!$BL$1-$D37,0),IF(AND('Input data (2)'!$C$2=3,$C37&gt;=0),OFFSET('Input data (2)'!V$126,'Input data (2)'!$BL$1-$C37,0),IF(AND('Input data (2)'!$C$2=2,$B37&gt;=0),OFFSET('Input data (2)'!V$126,'Input data (2)'!$BL$1-$B37,0),IF(AND('Input data (2)'!$C$2=1,$A37&gt;=0),OFFSET('Input data (2)'!V$126,'Input data (2)'!$BL$1-$A37,0),""))))</f>
        <v>17.007476803891542</v>
      </c>
      <c r="AD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AE56" s="1">
        <f ca="1">IF(AND('Input data (2)'!$C$2=4,$D37&gt;=0),OFFSET('Input data (2)'!W$126,'Input data (2)'!$BL$1-$D37,0),IF(AND('Input data (2)'!$C$2=3,$C37&gt;=0),OFFSET('Input data (2)'!W$126,'Input data (2)'!$BL$1-$C37,0),IF(AND('Input data (2)'!$C$2=2,$B37&gt;=0),OFFSET('Input data (2)'!W$126,'Input data (2)'!$BL$1-$B37,0),IF(AND('Input data (2)'!$C$2=1,$A37&gt;=0),OFFSET('Input data (2)'!W$126,'Input data (2)'!$BL$1-$A37,0),""))))</f>
        <v>2324</v>
      </c>
      <c r="AF56" s="1">
        <f ca="1">IF(AND('Input data (2)'!$C$2=4,$D37&gt;=0),OFFSET('Input data (2)'!X$126,'Input data (2)'!$BL$1-$D37,0),IF(AND('Input data (2)'!$C$2=3,$C37&gt;=0),OFFSET('Input data (2)'!X$126,'Input data (2)'!$BL$1-$C37,0),IF(AND('Input data (2)'!$C$2=2,$B37&gt;=0),OFFSET('Input data (2)'!X$126,'Input data (2)'!$BL$1-$B37,0),IF(AND('Input data (2)'!$C$2=1,$A37&gt;=0),OFFSET('Input data (2)'!X$126,'Input data (2)'!$BL$1-$A37,0),""))))</f>
        <v>20.935050896315648</v>
      </c>
      <c r="AG56" s="1">
        <f ca="1">IF(AND('Input data (2)'!$C$2=4,$D37&gt;=0),OFFSET('Input data (2)'!Y$126,'Input data (2)'!$BL$1-$D37,0),IF(AND('Input data (2)'!$C$2=3,$C37&gt;=0),OFFSET('Input data (2)'!Y$126,'Input data (2)'!$BL$1-$C37,0),IF(AND('Input data (2)'!$C$2=2,$B37&gt;=0),OFFSET('Input data (2)'!Y$126,'Input data (2)'!$BL$1-$B37,0),IF(AND('Input data (2)'!$C$2=1,$A37&gt;=0),OFFSET('Input data (2)'!Y$126,'Input data (2)'!$BL$1-$A37,0),""))))</f>
        <v>8777</v>
      </c>
      <c r="AH56" s="1">
        <f ca="1">IF(AND('Input data (2)'!$C$2=4,$D37&gt;=0),OFFSET('Input data (2)'!Z$126,'Input data (2)'!$BL$1-$D37,0),IF(AND('Input data (2)'!$C$2=3,$C37&gt;=0),OFFSET('Input data (2)'!Z$126,'Input data (2)'!$BL$1-$C37,0),IF(AND('Input data (2)'!$C$2=2,$B37&gt;=0),OFFSET('Input data (2)'!Z$126,'Input data (2)'!$BL$1-$B37,0),IF(AND('Input data (2)'!$C$2=1,$A37&gt;=0),OFFSET('Input data (2)'!Z$126,'Input data (2)'!$BL$1-$A37,0),""))))</f>
        <v>79.064949103684356</v>
      </c>
      <c r="AI56" s="3"/>
      <c r="AJ56" s="124">
        <f ca="1">IF(AND('Input data (2)'!$C$2=4,$D37&gt;=0),OFFSET('Input data (2)'!AF$126,'Input data (2)'!$BL$1-$D37,0),IF(AND('Input data (2)'!$C$2=3,$C37&gt;=0),OFFSET('Input data (2)'!AF$126,'Input data (2)'!$BL$1-$C37,0),IF(AND('Input data (2)'!$C$2=2,$B37&gt;=0),OFFSET('Input data (2)'!AF$126,'Input data (2)'!$BL$1-$B37,0),IF(AND('Input data (2)'!$C$2=1,$A37&gt;=0),OFFSET('Input data (2)'!AF$126,'Input data (2)'!$BL$1-$A37,0),""))))</f>
        <v>0</v>
      </c>
      <c r="AK56" s="124" t="str">
        <f ca="1">IF(AND('Input data (2)'!$C$2=4,$D37&gt;=0),OFFSET('Input data (2)'!AD$126,'Input data (2)'!$BL$1-$D37,0),IF(AND('Input data (2)'!$C$2=3,$C37&gt;=0),OFFSET('Input data (2)'!AD$126,'Input data (2)'!$BL$1-$C37,0),IF(AND('Input data (2)'!$C$2=2,$B37&gt;=0),OFFSET('Input data (2)'!AD$126,'Input data (2)'!$BL$1-$B37,0),IF(AND('Input data (2)'!$C$2=1,$A37&gt;=0),OFFSET('Input data (2)'!AD$126,'Input data (2)'!$BL$1-$A37,0),""))))</f>
        <v>entered</v>
      </c>
      <c r="AL56" s="124">
        <f ca="1">IF(AND('Input data (2)'!$C$2=4,$D37&gt;=0),OFFSET('Input data (2)'!AE$126,'Input data (2)'!$BL$1-$D37,0),IF(AND('Input data (2)'!$C$2=3,$C37&gt;=0),OFFSET('Input data (2)'!AE$126,'Input data (2)'!$BL$1-$C37,0),IF(AND('Input data (2)'!$C$2=2,$B37&gt;=0),OFFSET('Input data (2)'!AE$126,'Input data (2)'!$BL$1-$B37,0),IF(AND('Input data (2)'!$C$2=1,$A37&gt;=0),OFFSET('Input data (2)'!AE$126,'Input data (2)'!$BL$1-$A37,0),""))))</f>
        <v>0</v>
      </c>
      <c r="AW56" s="1">
        <f ca="1">IF(AND('Input data (2)'!$C$2=4,$D37&gt;=0),OFFSET('Input data (2)'!L$126,'Input data (2)'!$BL$1-$D37,0),IF(AND('Input data (2)'!$C$2=3,$C37&gt;=0),OFFSET('Input data (2)'!L$126,'Input data (2)'!$BL$1-$C37,0),IF(AND('Input data (2)'!$C$2=2,$B37&gt;=0),OFFSET('Input data (2)'!L$126,'Input data (2)'!$BL$1-$B37,0),IF(AND('Input data (2)'!$C$2=1,$A37&gt;=0),OFFSET('Input data (2)'!L$126,'Input data (2)'!$BL$1-$A37,0),""))))</f>
        <v>350</v>
      </c>
      <c r="AX56" s="1">
        <f ca="1">IF(AND('Input data (2)'!$C$2=4,$D37&gt;=0),OFFSET('Input data (2)'!M$126,'Input data (2)'!$BL$1-$D37,0),IF(AND('Input data (2)'!$C$2=3,$C37&gt;=0),OFFSET('Input data (2)'!M$126,'Input data (2)'!$BL$1-$C37,0),IF(AND('Input data (2)'!$C$2=2,$B37&gt;=0),OFFSET('Input data (2)'!M$126,'Input data (2)'!$BL$1-$B37,0),IF(AND('Input data (2)'!$C$2=1,$A37&gt;=0),OFFSET('Input data (2)'!M$126,'Input data (2)'!$BL$1-$A37,0),""))))</f>
        <v>0</v>
      </c>
      <c r="AY56" s="1">
        <f ca="1">IF(AND('Input data (2)'!$C$2=4,$D37&gt;=0),OFFSET('Input data (2)'!N$126,'Input data (2)'!$BL$1-$D37,0),IF(AND('Input data (2)'!$C$2=3,$C37&gt;=0),OFFSET('Input data (2)'!N$126,'Input data (2)'!$BL$1-$C37,0),IF(AND('Input data (2)'!$C$2=2,$B37&gt;=0),OFFSET('Input data (2)'!N$126,'Input data (2)'!$BL$1-$B37,0),IF(AND('Input data (2)'!$C$2=1,$A37&gt;=0),OFFSET('Input data (2)'!N$126,'Input data (2)'!$BL$1-$A37,0),""))))</f>
        <v>695</v>
      </c>
      <c r="AZ56" s="1">
        <f ca="1">IF(AND('Input data (2)'!$C$2=4,$D37&gt;=0),OFFSET('Input data (2)'!P$126,'Input data (2)'!$BL$1-$D37,0),IF(AND('Input data (2)'!$C$2=3,$C37&gt;=0),OFFSET('Input data (2)'!P$126,'Input data (2)'!$BL$1-$C37,0),IF(AND('Input data (2)'!$C$2=2,$B37&gt;=0),OFFSET('Input data (2)'!P$126,'Input data (2)'!$BL$1-$B37,0),IF(AND('Input data (2)'!$C$2=1,$A37&gt;=0),OFFSET('Input data (2)'!P$126,'Input data (2)'!$BL$1-$A37,0),""))))</f>
        <v>187</v>
      </c>
      <c r="BB56" s="1">
        <f ca="1">IF(AND('Input data (2)'!$C$2=4,$D37&gt;=0),OFFSET('Input data (2)'!BB$126,'Input data (2)'!$BL$1-$D37,0),IF(AND('Input data (2)'!$C$2=3,$C37&gt;=0),OFFSET('Input data (2)'!BB$126,'Input data (2)'!$BL$1-$C37,0),IF(AND('Input data (2)'!$C$2=2,$B37&gt;=0),OFFSET('Input data (2)'!BB$126,'Input data (2)'!$BL$1-$B37,0),IF(AND('Input data (2)'!$C$2=1,$A37&gt;=0),OFFSET('Input data (2)'!BB$126,'Input data (2)'!$BL$1-$A37,0),""))))</f>
        <v>5320</v>
      </c>
      <c r="BC56" s="1">
        <f ca="1">IF(AND('Input data (2)'!$C$2=4,$D37&gt;=0),OFFSET('Input data (2)'!AY$126,'Input data (2)'!$BL$1-$D37,0),IF(AND('Input data (2)'!$C$2=3,$C37&gt;=0),OFFSET('Input data (2)'!AY$126,'Input data (2)'!$BL$1-$C37,0),IF(AND('Input data (2)'!$C$2=2,$B37&gt;=0),OFFSET('Input data (2)'!AY$126,'Input data (2)'!$BL$1-$B37,0),IF(AND('Input data (2)'!$C$2=1,$A37&gt;=0),OFFSET('Input data (2)'!AY$126,'Input data (2)'!$BL$1-$A37,0),""))))</f>
        <v>2948</v>
      </c>
      <c r="BD56" s="1">
        <f ca="1">IF(AND('Input data (2)'!$C$2=4,$D37&gt;=0),OFFSET('Input data (2)'!AZ$126,'Input data (2)'!$BL$1-$D37,0),IF(AND('Input data (2)'!$C$2=3,$C37&gt;=0),OFFSET('Input data (2)'!AZ$126,'Input data (2)'!$BL$1-$C37,0),IF(AND('Input data (2)'!$C$2=2,$B37&gt;=0),OFFSET('Input data (2)'!AZ$126,'Input data (2)'!$BL$1-$B37,0),IF(AND('Input data (2)'!$C$2=1,$A37&gt;=0),OFFSET('Input data (2)'!AZ$126,'Input data (2)'!$BL$1-$A37,0),""))))</f>
        <v>1305</v>
      </c>
      <c r="BE56" s="1">
        <f ca="1">IF(AND('Input data (2)'!$C$2=4,$D37&gt;=0),OFFSET('Input data (2)'!BA$126,'Input data (2)'!$BL$1-$D37,0),IF(AND('Input data (2)'!$C$2=3,$C37&gt;=0),OFFSET('Input data (2)'!BA$126,'Input data (2)'!$BL$1-$C37,0),IF(AND('Input data (2)'!$C$2=2,$B37&gt;=0),OFFSET('Input data (2)'!BA$126,'Input data (2)'!$BL$1-$B37,0),IF(AND('Input data (2)'!$C$2=1,$A37&gt;=0),OFFSET('Input data (2)'!BA$126,'Input data (2)'!$BL$1-$A37,0),""))))</f>
        <v>2372</v>
      </c>
      <c r="BF56" s="1">
        <f ca="1">IF(AND('Input data (2)'!$C$2=4,$D37&gt;=0),OFFSET('Input data (2)'!AP$126,'Input data (2)'!$BL$1-$D37,0),IF(AND('Input data (2)'!$C$2=3,$C37&gt;=0),OFFSET('Input data (2)'!AP$126,'Input data (2)'!$BL$1-$C37,0),IF(AND('Input data (2)'!$C$2=2,$B37&gt;=0),OFFSET('Input data (2)'!AP$126,'Input data (2)'!$BL$1-$B37,0),IF(AND('Input data (2)'!$C$2=1,$A37&gt;=0),OFFSET('Input data (2)'!AP$126,'Input data (2)'!$BL$1-$A37,0),""))))</f>
        <v>348</v>
      </c>
      <c r="BG56" s="1">
        <f ca="1">IF(AND('Input data (2)'!$C$2=4,$D37&gt;=0),OFFSET('Input data (2)'!AN$126,'Input data (2)'!$BL$1-$D37,0),IF(AND('Input data (2)'!$C$2=3,$C37&gt;=0),OFFSET('Input data (2)'!AN$126,'Input data (2)'!$BL$1-$C37,0),IF(AND('Input data (2)'!$C$2=2,$B37&gt;=0),OFFSET('Input data (2)'!AN$126,'Input data (2)'!$BL$1-$B37,0),IF(AND('Input data (2)'!$C$2=1,$A37&gt;=0),OFFSET('Input data (2)'!AN$126,'Input data (2)'!$BL$1-$A37,0),""))))</f>
        <v>261</v>
      </c>
      <c r="BH56" s="1">
        <f ca="1">IF(AND('Input data (2)'!$C$2=4,$D37&gt;=0),OFFSET('Input data (2)'!AO$126,'Input data (2)'!$BL$1-$D37,0),IF(AND('Input data (2)'!$C$2=3,$C37&gt;=0),OFFSET('Input data (2)'!AO$126,'Input data (2)'!$BL$1-$C37,0),IF(AND('Input data (2)'!$C$2=2,$B37&gt;=0),OFFSET('Input data (2)'!AO$126,'Input data (2)'!$BL$1-$B37,0),IF(AND('Input data (2)'!$C$2=1,$A37&gt;=0),OFFSET('Input data (2)'!AO$126,'Input data (2)'!$BL$1-$A37,0),""))))</f>
        <v>87</v>
      </c>
      <c r="BJ56" s="1">
        <f ca="1">IF(AND('Input data (2)'!$C$2=4,$D37&gt;=0),OFFSET('Input data (2)'!AU$126,'Input data (2)'!$BL$1-$D37,0),IF(AND('Input data (2)'!$C$2=3,$C37&gt;=0),OFFSET('Input data (2)'!AU$126,'Input data (2)'!$BL$1-$C37,0),IF(AND('Input data (2)'!$C$2=2,$B37&gt;=0),OFFSET('Input data (2)'!AU$126,'Input data (2)'!$BL$1-$B37,0),IF(AND('Input data (2)'!$C$2=1,$A37&gt;=0),OFFSET('Input data (2)'!AU$126,'Input data (2)'!$BL$1-$A37,0),""))))</f>
        <v>4</v>
      </c>
      <c r="BK56" s="1">
        <f ca="1">IF(AND('Input data (2)'!$C$2=4,$D37&gt;=0),OFFSET('Input data (2)'!AV$126,'Input data (2)'!$BL$1-$D37,0),IF(AND('Input data (2)'!$C$2=3,$C37&gt;=0),OFFSET('Input data (2)'!AV$126,'Input data (2)'!$BL$1-$C37,0),IF(AND('Input data (2)'!$C$2=2,$B37&gt;=0),OFFSET('Input data (2)'!AV$126,'Input data (2)'!$BL$1-$B37,0),IF(AND('Input data (2)'!$C$2=1,$A37&gt;=0),OFFSET('Input data (2)'!AV$126,'Input data (2)'!$BL$1-$A37,0),""))))</f>
        <v>0</v>
      </c>
      <c r="BL56" s="1">
        <f ca="1">IF(AND('Input data (2)'!$C$2=4,$D37&gt;=0),OFFSET('Input data (2)'!AW$126,'Input data (2)'!$BL$1-$D37,0),IF(AND('Input data (2)'!$C$2=3,$C37&gt;=0),OFFSET('Input data (2)'!AW$126,'Input data (2)'!$BL$1-$C37,0),IF(AND('Input data (2)'!$C$2=2,$B37&gt;=0),OFFSET('Input data (2)'!AW$126,'Input data (2)'!$BL$1-$B37,0),IF(AND('Input data (2)'!$C$2=1,$A37&gt;=0),OFFSET('Input data (2)'!AW$126,'Input data (2)'!$BL$1-$A37,0),""))))</f>
        <v>61</v>
      </c>
      <c r="BM56" s="1">
        <f ca="1">IF(AND('Input data (2)'!$C$2=4,$D37&gt;=0),OFFSET('Input data (2)'!AX$126,'Input data (2)'!$BL$1-$D37,0),IF(AND('Input data (2)'!$C$2=3,$C37&gt;=0),OFFSET('Input data (2)'!AX$126,'Input data (2)'!$BL$1-$C37,0),IF(AND('Input data (2)'!$C$2=2,$B37&gt;=0),OFFSET('Input data (2)'!AX$126,'Input data (2)'!$BL$1-$B37,0),IF(AND('Input data (2)'!$C$2=1,$A37&gt;=0),OFFSET('Input data (2)'!AX$126,'Input data (2)'!$BL$1-$A37,0),""))))</f>
        <v>5</v>
      </c>
      <c r="BO56" s="1">
        <f ca="1">IF(AND('Input data (2)'!$C$2=4,$D37&gt;=0),OFFSET('Input data (2)'!BL$126,'Input data (2)'!$BL$1-$D37,0),IF(AND('Input data (2)'!$C$2=3,$C37&gt;=0),OFFSET('Input data (2)'!BL$126,'Input data (2)'!$BL$1-$C37,0),IF(AND('Input data (2)'!$C$2=2,$B37&gt;=0),OFFSET('Input data (2)'!BL$126,'Input data (2)'!$BL$1-$B37,0),IF(AND('Input data (2)'!$C$2=1,$A37&gt;=0),OFFSET('Input data (2)'!BL$126,'Input data (2)'!$BL$1-$A37,0),""))))</f>
        <v>752</v>
      </c>
      <c r="BP56" s="1">
        <f ca="1">IF(AND('Input data (2)'!$C$2=4,$D37&gt;=0),OFFSET('Input data (2)'!BI$126,'Input data (2)'!$BL$1-$D37,0),IF(AND('Input data (2)'!$C$2=3,$C37&gt;=0),OFFSET('Input data (2)'!BI$126,'Input data (2)'!$BL$1-$C37,0),IF(AND('Input data (2)'!$C$2=2,$B37&gt;=0),OFFSET('Input data (2)'!BI$126,'Input data (2)'!$BL$1-$B37,0),IF(AND('Input data (2)'!$C$2=1,$A37&gt;=0),OFFSET('Input data (2)'!BI$126,'Input data (2)'!$BL$1-$A37,0),""))))</f>
        <v>451</v>
      </c>
      <c r="BQ56" s="1" t="str">
        <f ca="1">IF(AND('Input data (2)'!$C$2=4,$D37&gt;=0),OFFSET('Input data (2)'!BK$126,'Input data (2)'!$BL$1-$D37,0),IF(AND('Input data (2)'!$C$2=3,$C37&gt;=0),OFFSET('Input data (2)'!BK$126,'Input data (2)'!$BL$1-$C37,0),IF(AND('Input data (2)'!$C$2=2,$B37&gt;=0),OFFSET('Input data (2)'!BK$126,'Input data (2)'!$BL$1-$B37,0),IF(AND('Input data (2)'!$C$2=1,$A37&gt;=0),OFFSET('Input data (2)'!BK$126,'Input data (2)'!$BL$1-$A37,0),""))))</f>
        <v>..</v>
      </c>
      <c r="BR56" s="1">
        <f ca="1">IF(AND('Input data (2)'!$C$2=4,$D37&gt;=0),OFFSET('Input data (2)'!BJ$126,'Input data (2)'!$BL$1-$D37,0),IF(AND('Input data (2)'!$C$2=3,$C37&gt;=0),OFFSET('Input data (2)'!BJ$126,'Input data (2)'!$BL$1-$C37,0),IF(AND('Input data (2)'!$C$2=2,$B37&gt;=0),OFFSET('Input data (2)'!BJ$126,'Input data (2)'!$BL$1-$B37,0),IF(AND('Input data (2)'!$C$2=1,$A37&gt;=0),OFFSET('Input data (2)'!BJ$126,'Input data (2)'!$BL$1-$A37,0),""))))</f>
        <v>301</v>
      </c>
      <c r="BS56" s="1">
        <f ca="1">IF(AND('Input data (2)'!$C$2=4,$D37&gt;=0),OFFSET('Input data (2)'!BF$126,'Input data (2)'!$BL$1-$D37,0),IF(AND('Input data (2)'!$C$2=3,$C37&gt;=0),OFFSET('Input data (2)'!BF$126,'Input data (2)'!$BL$1-$C37,0),IF(AND('Input data (2)'!$C$2=2,$B37&gt;=0),OFFSET('Input data (2)'!BF$126,'Input data (2)'!$BL$1-$B37,0),IF(AND('Input data (2)'!$C$2=1,$A37&gt;=0),OFFSET('Input data (2)'!BF$126,'Input data (2)'!$BL$1-$A37,0),""))))</f>
        <v>91</v>
      </c>
      <c r="BT56" s="1">
        <f ca="1">IF(AND('Input data (2)'!$C$2=4,$D37&gt;=0),OFFSET('Input data (2)'!BD$126,'Input data (2)'!$BL$1-$D37,0),IF(AND('Input data (2)'!$C$2=3,$C37&gt;=0),OFFSET('Input data (2)'!BD$126,'Input data (2)'!$BL$1-$C37,0),IF(AND('Input data (2)'!$C$2=2,$B37&gt;=0),OFFSET('Input data (2)'!BD$126,'Input data (2)'!$BL$1-$B37,0),IF(AND('Input data (2)'!$C$2=1,$A37&gt;=0),OFFSET('Input data (2)'!BD$126,'Input data (2)'!$BL$1-$A37,0),""))))</f>
        <v>56</v>
      </c>
      <c r="BU56" s="1">
        <f ca="1">IF(AND('Input data (2)'!$C$2=4,$D37&gt;=0),OFFSET('Input data (2)'!BE$126,'Input data (2)'!$BL$1-$D37,0),IF(AND('Input data (2)'!$C$2=3,$C37&gt;=0),OFFSET('Input data (2)'!BE$126,'Input data (2)'!$BL$1-$C37,0),IF(AND('Input data (2)'!$C$2=2,$B37&gt;=0),OFFSET('Input data (2)'!BE$126,'Input data (2)'!$BL$1-$B37,0),IF(AND('Input data (2)'!$C$2=1,$A37&gt;=0),OFFSET('Input data (2)'!BE$126,'Input data (2)'!$BL$1-$A37,0),""))))</f>
        <v>35</v>
      </c>
      <c r="BW56" s="7">
        <f ca="1">IF(AND('Input data (2)'!$C$2=4,$D37&gt;=0),OFFSET('Input data (2)'!J$126,'Input data (2)'!$BL$1-$D37,0),IF(AND('Input data (2)'!$C$2=3,$C37&gt;=0),OFFSET('Input data (2)'!J$126,'Input data (2)'!$BL$1-$C37,0),IF(AND('Input data (2)'!$C$2=2,$B37&gt;=0),OFFSET('Input data (2)'!J$126,'Input data (2)'!$BL$1-$B37,0),IF(AND('Input data (2)'!$C$2=1,$A37&gt;=0),OFFSET('Input data (2)'!J$126,'Input data (2)'!$BL$1-$A37,0),""))))</f>
        <v>0.77321717277302082</v>
      </c>
      <c r="BX56" s="7">
        <f ca="1">IF(AND('Input data (2)'!$C$2=4,$D37&gt;=0),OFFSET('Input data (2)'!K$126,'Input data (2)'!$BL$1-$D37,0),IF(AND('Input data (2)'!$C$2=3,$C37&gt;=0),OFFSET('Input data (2)'!K$126,'Input data (2)'!$BL$1-$C37,0),IF(AND('Input data (2)'!$C$2=2,$B37&gt;=0),OFFSET('Input data (2)'!K$126,'Input data (2)'!$BL$1-$B37,0),IF(AND('Input data (2)'!$C$2=1,$A37&gt;=0),OFFSET('Input data (2)'!K$126,'Input data (2)'!$BL$1-$A37,0),""))))</f>
        <v>0.7057226926409923</v>
      </c>
      <c r="BY56" s="7">
        <f ca="1">IF(AND('Input data (2)'!$C$2=4,$D37&gt;=0),OFFSET('Input data (2)'!AS$126,'Input data (2)'!$BL$1-$D37,0),IF(AND('Input data (2)'!$C$2=3,$C37&gt;=0),OFFSET('Input data (2)'!AS$126,'Input data (2)'!$BL$1-$C37,0),IF(AND('Input data (2)'!$C$2=2,$B37&gt;=0),OFFSET('Input data (2)'!AS$126,'Input data (2)'!$BL$1-$B37,0),IF(AND('Input data (2)'!$C$2=1,$A37&gt;=0),OFFSET('Input data (2)'!AS$126,'Input data (2)'!$BL$1-$A37,0),""))))</f>
        <v>0.82512567921357094</v>
      </c>
      <c r="BZ56" s="7">
        <f ca="1">IF(AND('Input data (2)'!$C$2=4,$D37&gt;=0),OFFSET('Input data (2)'!AT$126,'Input data (2)'!$BL$1-$D37,0),IF(AND('Input data (2)'!$C$2=3,$C37&gt;=0),OFFSET('Input data (2)'!AT$126,'Input data (2)'!$BL$1-$C37,0),IF(AND('Input data (2)'!$C$2=2,$B37&gt;=0),OFFSET('Input data (2)'!AT$126,'Input data (2)'!$BL$1-$B37,0),IF(AND('Input data (2)'!$C$2=1,$A37&gt;=0),OFFSET('Input data (2)'!AT$126,'Input data (2)'!$BL$1-$A37,0),""))))</f>
        <v>0.7355939199404008</v>
      </c>
      <c r="CB56" s="122"/>
      <c r="CC56" s="122"/>
      <c r="CD56" s="122"/>
      <c r="CE56" s="122"/>
      <c r="CI56" s="3"/>
      <c r="CJ56" s="3"/>
    </row>
    <row r="57" spans="5:94" x14ac:dyDescent="0.15">
      <c r="E57" s="1" t="str">
        <f>F57&amp;G57</f>
        <v>2011Q3</v>
      </c>
      <c r="F57" s="1">
        <f>F52+1</f>
        <v>2011</v>
      </c>
      <c r="G57" s="1" t="s">
        <v>3</v>
      </c>
      <c r="H57" s="1">
        <f>VLOOKUP($E57,'Input data (2)'!$A:$BL,'Output data - DO NOT TOUCH (2)'!H$71,FALSE)</f>
        <v>4152</v>
      </c>
      <c r="I57" s="1">
        <f>VLOOKUP($E57,'Input data (2)'!$A:$BL,'Output data - DO NOT TOUCH (2)'!I$71,FALSE)</f>
        <v>1149</v>
      </c>
      <c r="J57" s="1">
        <f>VLOOKUP($E57,'Input data (2)'!$A:$BL,'Output data - DO NOT TOUCH (2)'!J$71,FALSE)</f>
        <v>3003</v>
      </c>
      <c r="K57" s="1">
        <f>VLOOKUP($E57,'Input data (2)'!$A:$BL,'Output data - DO NOT TOUCH (2)'!K$71,FALSE)</f>
        <v>4254</v>
      </c>
      <c r="L57" s="1">
        <f>VLOOKUP($E57,'Input data (2)'!$A:$BL,'Output data - DO NOT TOUCH (2)'!L$71,FALSE)</f>
        <v>1197</v>
      </c>
      <c r="M57" s="1">
        <f>VLOOKUP($E57,'Input data (2)'!$A:$BL,'Output data - DO NOT TOUCH (2)'!M$71,FALSE)</f>
        <v>3057</v>
      </c>
      <c r="O57" s="119">
        <f ca="1">IF(AND('Input data (2)'!$C$2=4,$D38&gt;=0),OFFSET('Input data (2)'!O$126,'Input data (2)'!$BL$1-$D38,0),IF(AND('Input data (2)'!$C$2=3,$C38&gt;=0),OFFSET('Input data (2)'!O$126,'Input data (2)'!$BL$1-$C38,0),IF(AND('Input data (2)'!$C$2=2,$B38&gt;=0),OFFSET('Input data (2)'!O$126,'Input data (2)'!$BL$1-$B38,0),IF(AND('Input data (2)'!$C$2=1,$A38&gt;=0),OFFSET('Input data (2)'!O$126,'Input data (2)'!$BL$1-$A38,0),""))))</f>
        <v>293</v>
      </c>
      <c r="Q57" s="1">
        <f ca="1">IF(AND('Input data (2)'!$C$2=4,$D38&gt;=0),OFFSET('Input data (2)'!AC$126,'Input data (2)'!$BL$1-$D38,0),IF(AND('Input data (2)'!$C$2=3,$C38&gt;=0),OFFSET('Input data (2)'!AC$126,'Input data (2)'!$BL$1-$C38,0),IF(AND('Input data (2)'!$C$2=2,$B38&gt;=0),OFFSET('Input data (2)'!AC$126,'Input data (2)'!$BL$1-$B38,0),IF(AND('Input data (2)'!$C$2=1,$A38&gt;=0),OFFSET('Input data (2)'!AC$126,'Input data (2)'!$BL$1-$A38,0),""))))</f>
        <v>30230</v>
      </c>
      <c r="R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S57" s="1">
        <f ca="1">IF(AND('Input data (2)'!$C$2=4,$D38&gt;=0),OFFSET('Input data (2)'!R$126,'Input data (2)'!$BL$1-$D38,0),IF(AND('Input data (2)'!$C$2=3,$C38&gt;=0),OFFSET('Input data (2)'!R$126,'Input data (2)'!$BL$1-$C38,0),IF(AND('Input data (2)'!$C$2=2,$B38&gt;=0),OFFSET('Input data (2)'!R$126,'Input data (2)'!$BL$1-$B38,0),IF(AND('Input data (2)'!$C$2=1,$A38&gt;=0),OFFSET('Input data (2)'!R$126,'Input data (2)'!$BL$1-$A38,0),""))))</f>
        <v>7604</v>
      </c>
      <c r="T57" s="1">
        <f ca="1">IF(AND('Input data (2)'!$C$2=4,$D38&gt;=0),OFFSET('Input data (2)'!AA$126,'Input data (2)'!$BL$1-$D38,0),IF(AND('Input data (2)'!$C$2=3,$C38&gt;=0),OFFSET('Input data (2)'!AA$126,'Input data (2)'!$BL$1-$C38,0),IF(AND('Input data (2)'!$C$2=2,$B38&gt;=0),OFFSET('Input data (2)'!AA$126,'Input data (2)'!$BL$1-$B38,0),IF(AND('Input data (2)'!$C$2=1,$A38&gt;=0),OFFSET('Input data (2)'!AA$126,'Input data (2)'!$BL$1-$A38,0),""))))</f>
        <v>13048</v>
      </c>
      <c r="U57" s="1" t="str">
        <f ca="1">IF(AND('Input data (2)'!$C$2=4,$D38&gt;=0),OFFSET('Input data (2)'!AL$126,'Input data (2)'!$BL$1-$D38,0),IF(AND('Input data (2)'!$C$2=3,$C38&gt;=0),OFFSET('Input data (2)'!AL$126,'Input data (2)'!$BL$1-$C38,0),IF(AND('Input data (2)'!$C$2=2,$B38&gt;=0),OFFSET('Input data (2)'!AL$126,'Input data (2)'!$BL$1-$B38,0),IF(AND('Input data (2)'!$C$2=1,$A38&gt;=0),OFFSET('Input data (2)'!AL$126,'Input data (2)'!$BL$1-$A38,0),""))))</f>
        <v>:</v>
      </c>
      <c r="V57" s="1">
        <f ca="1">IF(AND('Input data (2)'!$C$2=4,$D38&gt;=0),OFFSET('Input data (2)'!AJ$126,'Input data (2)'!$BL$1-$D38,0),IF(AND('Input data (2)'!$C$2=3,$C38&gt;=0),OFFSET('Input data (2)'!AJ$126,'Input data (2)'!$BL$1-$C38,0),IF(AND('Input data (2)'!$C$2=2,$B38&gt;=0),OFFSET('Input data (2)'!AJ$126,'Input data (2)'!$BL$1-$B38,0),IF(AND('Input data (2)'!$C$2=1,$A38&gt;=0),OFFSET('Input data (2)'!AJ$126,'Input data (2)'!$BL$1-$A38,0),""))))</f>
        <v>9719</v>
      </c>
      <c r="W57" s="1">
        <f ca="1">IF(AND('Input data (2)'!$C$2=4,$D38&gt;=0),OFFSET('Input data (2)'!AK$126,'Input data (2)'!$BL$1-$D38,0),IF(AND('Input data (2)'!$C$2=3,$C38&gt;=0),OFFSET('Input data (2)'!AK$126,'Input data (2)'!$BL$1-$C38,0),IF(AND('Input data (2)'!$C$2=2,$B38&gt;=0),OFFSET('Input data (2)'!AK$126,'Input data (2)'!$BL$1-$B38,0),IF(AND('Input data (2)'!$C$2=1,$A38&gt;=0),OFFSET('Input data (2)'!AK$126,'Input data (2)'!$BL$1-$A38,0),""))))</f>
        <v>12512</v>
      </c>
      <c r="Y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Z57" s="1">
        <f ca="1">IF(AND('Input data (2)'!$C$2=4,$D38&gt;=0),OFFSET('Input data (2)'!S$126,'Input data (2)'!$BL$1-$D38,0),IF(AND('Input data (2)'!$C$2=3,$C38&gt;=0),OFFSET('Input data (2)'!S$126,'Input data (2)'!$BL$1-$C38,0),IF(AND('Input data (2)'!$C$2=2,$B38&gt;=0),OFFSET('Input data (2)'!S$126,'Input data (2)'!$BL$1-$B38,0),IF(AND('Input data (2)'!$C$2=1,$A38&gt;=0),OFFSET('Input data (2)'!S$126,'Input data (2)'!$BL$1-$A38,0),""))))</f>
        <v>7554</v>
      </c>
      <c r="AA57" s="1">
        <f ca="1">IF(AND('Input data (2)'!$C$2=4,$D38&gt;=0),OFFSET('Input data (2)'!T$126,'Input data (2)'!$BL$1-$D38,0),IF(AND('Input data (2)'!$C$2=3,$C38&gt;=0),OFFSET('Input data (2)'!T$126,'Input data (2)'!$BL$1-$C38,0),IF(AND('Input data (2)'!$C$2=2,$B38&gt;=0),OFFSET('Input data (2)'!T$126,'Input data (2)'!$BL$1-$B38,0),IF(AND('Input data (2)'!$C$2=1,$A38&gt;=0),OFFSET('Input data (2)'!T$126,'Input data (2)'!$BL$1-$A38,0),""))))</f>
        <v>78.868239716015864</v>
      </c>
      <c r="AB57" s="1">
        <f ca="1">IF(AND('Input data (2)'!$C$2=4,$D38&gt;=0),OFFSET('Input data (2)'!U$126,'Input data (2)'!$BL$1-$D38,0),IF(AND('Input data (2)'!$C$2=3,$C38&gt;=0),OFFSET('Input data (2)'!U$126,'Input data (2)'!$BL$1-$C38,0),IF(AND('Input data (2)'!$C$2=2,$B38&gt;=0),OFFSET('Input data (2)'!U$126,'Input data (2)'!$BL$1-$B38,0),IF(AND('Input data (2)'!$C$2=1,$A38&gt;=0),OFFSET('Input data (2)'!U$126,'Input data (2)'!$BL$1-$A38,0),""))))</f>
        <v>2024</v>
      </c>
      <c r="AC57" s="1">
        <f ca="1">IF(AND('Input data (2)'!$C$2=4,$D38&gt;=0),OFFSET('Input data (2)'!V$126,'Input data (2)'!$BL$1-$D38,0),IF(AND('Input data (2)'!$C$2=3,$C38&gt;=0),OFFSET('Input data (2)'!V$126,'Input data (2)'!$BL$1-$C38,0),IF(AND('Input data (2)'!$C$2=2,$B38&gt;=0),OFFSET('Input data (2)'!V$126,'Input data (2)'!$BL$1-$B38,0),IF(AND('Input data (2)'!$C$2=1,$A38&gt;=0),OFFSET('Input data (2)'!V$126,'Input data (2)'!$BL$1-$A38,0),""))))</f>
        <v>21.131760283984129</v>
      </c>
      <c r="AD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AE57" s="1">
        <f ca="1">IF(AND('Input data (2)'!$C$2=4,$D38&gt;=0),OFFSET('Input data (2)'!W$126,'Input data (2)'!$BL$1-$D38,0),IF(AND('Input data (2)'!$C$2=3,$C38&gt;=0),OFFSET('Input data (2)'!W$126,'Input data (2)'!$BL$1-$C38,0),IF(AND('Input data (2)'!$C$2=2,$B38&gt;=0),OFFSET('Input data (2)'!W$126,'Input data (2)'!$BL$1-$B38,0),IF(AND('Input data (2)'!$C$2=1,$A38&gt;=0),OFFSET('Input data (2)'!W$126,'Input data (2)'!$BL$1-$A38,0),""))))</f>
        <v>2035</v>
      </c>
      <c r="AF57" s="1">
        <f ca="1">IF(AND('Input data (2)'!$C$2=4,$D38&gt;=0),OFFSET('Input data (2)'!X$126,'Input data (2)'!$BL$1-$D38,0),IF(AND('Input data (2)'!$C$2=3,$C38&gt;=0),OFFSET('Input data (2)'!X$126,'Input data (2)'!$BL$1-$C38,0),IF(AND('Input data (2)'!$C$2=2,$B38&gt;=0),OFFSET('Input data (2)'!X$126,'Input data (2)'!$BL$1-$B38,0),IF(AND('Input data (2)'!$C$2=1,$A38&gt;=0),OFFSET('Input data (2)'!X$126,'Input data (2)'!$BL$1-$A38,0),""))))</f>
        <v>21.246606807266652</v>
      </c>
      <c r="AG57" s="1">
        <f ca="1">IF(AND('Input data (2)'!$C$2=4,$D38&gt;=0),OFFSET('Input data (2)'!Y$126,'Input data (2)'!$BL$1-$D38,0),IF(AND('Input data (2)'!$C$2=3,$C38&gt;=0),OFFSET('Input data (2)'!Y$126,'Input data (2)'!$BL$1-$C38,0),IF(AND('Input data (2)'!$C$2=2,$B38&gt;=0),OFFSET('Input data (2)'!Y$126,'Input data (2)'!$BL$1-$B38,0),IF(AND('Input data (2)'!$C$2=1,$A38&gt;=0),OFFSET('Input data (2)'!Y$126,'Input data (2)'!$BL$1-$A38,0),""))))</f>
        <v>7543</v>
      </c>
      <c r="AH57" s="1">
        <f ca="1">IF(AND('Input data (2)'!$C$2=4,$D38&gt;=0),OFFSET('Input data (2)'!Z$126,'Input data (2)'!$BL$1-$D38,0),IF(AND('Input data (2)'!$C$2=3,$C38&gt;=0),OFFSET('Input data (2)'!Z$126,'Input data (2)'!$BL$1-$C38,0),IF(AND('Input data (2)'!$C$2=2,$B38&gt;=0),OFFSET('Input data (2)'!Z$126,'Input data (2)'!$BL$1-$B38,0),IF(AND('Input data (2)'!$C$2=1,$A38&gt;=0),OFFSET('Input data (2)'!Z$126,'Input data (2)'!$BL$1-$A38,0),""))))</f>
        <v>78.753393192733341</v>
      </c>
      <c r="AI57" s="3"/>
      <c r="AJ57" s="124">
        <f ca="1">IF(AND('Input data (2)'!$C$2=4,$D38&gt;=0),OFFSET('Input data (2)'!AF$126,'Input data (2)'!$BL$1-$D38,0),IF(AND('Input data (2)'!$C$2=3,$C38&gt;=0),OFFSET('Input data (2)'!AF$126,'Input data (2)'!$BL$1-$C38,0),IF(AND('Input data (2)'!$C$2=2,$B38&gt;=0),OFFSET('Input data (2)'!AF$126,'Input data (2)'!$BL$1-$B38,0),IF(AND('Input data (2)'!$C$2=1,$A38&gt;=0),OFFSET('Input data (2)'!AF$126,'Input data (2)'!$BL$1-$A38,0),""))))</f>
        <v>0</v>
      </c>
      <c r="AK57" s="124" t="str">
        <f ca="1">IF(AND('Input data (2)'!$C$2=4,$D38&gt;=0),OFFSET('Input data (2)'!AD$126,'Input data (2)'!$BL$1-$D38,0),IF(AND('Input data (2)'!$C$2=3,$C38&gt;=0),OFFSET('Input data (2)'!AD$126,'Input data (2)'!$BL$1-$C38,0),IF(AND('Input data (2)'!$C$2=2,$B38&gt;=0),OFFSET('Input data (2)'!AD$126,'Input data (2)'!$BL$1-$B38,0),IF(AND('Input data (2)'!$C$2=1,$A38&gt;=0),OFFSET('Input data (2)'!AD$126,'Input data (2)'!$BL$1-$A38,0),""))))</f>
        <v>straight to</v>
      </c>
      <c r="AL57" s="124">
        <f ca="1">IF(AND('Input data (2)'!$C$2=4,$D38&gt;=0),OFFSET('Input data (2)'!AE$126,'Input data (2)'!$BL$1-$D38,0),IF(AND('Input data (2)'!$C$2=3,$C38&gt;=0),OFFSET('Input data (2)'!AE$126,'Input data (2)'!$BL$1-$C38,0),IF(AND('Input data (2)'!$C$2=2,$B38&gt;=0),OFFSET('Input data (2)'!AE$126,'Input data (2)'!$BL$1-$B38,0),IF(AND('Input data (2)'!$C$2=1,$A38&gt;=0),OFFSET('Input data (2)'!AE$126,'Input data (2)'!$BL$1-$A38,0),""))))</f>
        <v>0</v>
      </c>
      <c r="AW57" s="1">
        <f ca="1">IF(AND('Input data (2)'!$C$2=4,$D38&gt;=0),OFFSET('Input data (2)'!L$126,'Input data (2)'!$BL$1-$D38,0),IF(AND('Input data (2)'!$C$2=3,$C38&gt;=0),OFFSET('Input data (2)'!L$126,'Input data (2)'!$BL$1-$C38,0),IF(AND('Input data (2)'!$C$2=2,$B38&gt;=0),OFFSET('Input data (2)'!L$126,'Input data (2)'!$BL$1-$B38,0),IF(AND('Input data (2)'!$C$2=1,$A38&gt;=0),OFFSET('Input data (2)'!L$126,'Input data (2)'!$BL$1-$A38,0),""))))</f>
        <v>374</v>
      </c>
      <c r="AX57" s="1">
        <f ca="1">IF(AND('Input data (2)'!$C$2=4,$D38&gt;=0),OFFSET('Input data (2)'!M$126,'Input data (2)'!$BL$1-$D38,0),IF(AND('Input data (2)'!$C$2=3,$C38&gt;=0),OFFSET('Input data (2)'!M$126,'Input data (2)'!$BL$1-$C38,0),IF(AND('Input data (2)'!$C$2=2,$B38&gt;=0),OFFSET('Input data (2)'!M$126,'Input data (2)'!$BL$1-$B38,0),IF(AND('Input data (2)'!$C$2=1,$A38&gt;=0),OFFSET('Input data (2)'!M$126,'Input data (2)'!$BL$1-$A38,0),""))))</f>
        <v>0</v>
      </c>
      <c r="AY57" s="1">
        <f ca="1">IF(AND('Input data (2)'!$C$2=4,$D38&gt;=0),OFFSET('Input data (2)'!N$126,'Input data (2)'!$BL$1-$D38,0),IF(AND('Input data (2)'!$C$2=3,$C38&gt;=0),OFFSET('Input data (2)'!N$126,'Input data (2)'!$BL$1-$C38,0),IF(AND('Input data (2)'!$C$2=2,$B38&gt;=0),OFFSET('Input data (2)'!N$126,'Input data (2)'!$BL$1-$B38,0),IF(AND('Input data (2)'!$C$2=1,$A38&gt;=0),OFFSET('Input data (2)'!N$126,'Input data (2)'!$BL$1-$A38,0),""))))</f>
        <v>673</v>
      </c>
      <c r="AZ57" s="1">
        <f ca="1">IF(AND('Input data (2)'!$C$2=4,$D38&gt;=0),OFFSET('Input data (2)'!P$126,'Input data (2)'!$BL$1-$D38,0),IF(AND('Input data (2)'!$C$2=3,$C38&gt;=0),OFFSET('Input data (2)'!P$126,'Input data (2)'!$BL$1-$C38,0),IF(AND('Input data (2)'!$C$2=2,$B38&gt;=0),OFFSET('Input data (2)'!P$126,'Input data (2)'!$BL$1-$B38,0),IF(AND('Input data (2)'!$C$2=1,$A38&gt;=0),OFFSET('Input data (2)'!P$126,'Input data (2)'!$BL$1-$A38,0),""))))</f>
        <v>206</v>
      </c>
      <c r="BB57" s="1">
        <f ca="1">IF(AND('Input data (2)'!$C$2=4,$D38&gt;=0),OFFSET('Input data (2)'!BB$126,'Input data (2)'!$BL$1-$D38,0),IF(AND('Input data (2)'!$C$2=3,$C38&gt;=0),OFFSET('Input data (2)'!BB$126,'Input data (2)'!$BL$1-$C38,0),IF(AND('Input data (2)'!$C$2=2,$B38&gt;=0),OFFSET('Input data (2)'!BB$126,'Input data (2)'!$BL$1-$B38,0),IF(AND('Input data (2)'!$C$2=1,$A38&gt;=0),OFFSET('Input data (2)'!BB$126,'Input data (2)'!$BL$1-$A38,0),""))))</f>
        <v>5383</v>
      </c>
      <c r="BC57" s="1">
        <f ca="1">IF(AND('Input data (2)'!$C$2=4,$D38&gt;=0),OFFSET('Input data (2)'!AY$126,'Input data (2)'!$BL$1-$D38,0),IF(AND('Input data (2)'!$C$2=3,$C38&gt;=0),OFFSET('Input data (2)'!AY$126,'Input data (2)'!$BL$1-$C38,0),IF(AND('Input data (2)'!$C$2=2,$B38&gt;=0),OFFSET('Input data (2)'!AY$126,'Input data (2)'!$BL$1-$B38,0),IF(AND('Input data (2)'!$C$2=1,$A38&gt;=0),OFFSET('Input data (2)'!AY$126,'Input data (2)'!$BL$1-$A38,0),""))))</f>
        <v>2857</v>
      </c>
      <c r="BD57" s="1">
        <f ca="1">IF(AND('Input data (2)'!$C$2=4,$D38&gt;=0),OFFSET('Input data (2)'!AZ$126,'Input data (2)'!$BL$1-$D38,0),IF(AND('Input data (2)'!$C$2=3,$C38&gt;=0),OFFSET('Input data (2)'!AZ$126,'Input data (2)'!$BL$1-$C38,0),IF(AND('Input data (2)'!$C$2=2,$B38&gt;=0),OFFSET('Input data (2)'!AZ$126,'Input data (2)'!$BL$1-$B38,0),IF(AND('Input data (2)'!$C$2=1,$A38&gt;=0),OFFSET('Input data (2)'!AZ$126,'Input data (2)'!$BL$1-$A38,0),""))))</f>
        <v>1223</v>
      </c>
      <c r="BE57" s="1">
        <f ca="1">IF(AND('Input data (2)'!$C$2=4,$D38&gt;=0),OFFSET('Input data (2)'!BA$126,'Input data (2)'!$BL$1-$D38,0),IF(AND('Input data (2)'!$C$2=3,$C38&gt;=0),OFFSET('Input data (2)'!BA$126,'Input data (2)'!$BL$1-$C38,0),IF(AND('Input data (2)'!$C$2=2,$B38&gt;=0),OFFSET('Input data (2)'!BA$126,'Input data (2)'!$BL$1-$B38,0),IF(AND('Input data (2)'!$C$2=1,$A38&gt;=0),OFFSET('Input data (2)'!BA$126,'Input data (2)'!$BL$1-$A38,0),""))))</f>
        <v>2526</v>
      </c>
      <c r="BF57" s="1">
        <f ca="1">IF(AND('Input data (2)'!$C$2=4,$D38&gt;=0),OFFSET('Input data (2)'!AP$126,'Input data (2)'!$BL$1-$D38,0),IF(AND('Input data (2)'!$C$2=3,$C38&gt;=0),OFFSET('Input data (2)'!AP$126,'Input data (2)'!$BL$1-$C38,0),IF(AND('Input data (2)'!$C$2=2,$B38&gt;=0),OFFSET('Input data (2)'!AP$126,'Input data (2)'!$BL$1-$B38,0),IF(AND('Input data (2)'!$C$2=1,$A38&gt;=0),OFFSET('Input data (2)'!AP$126,'Input data (2)'!$BL$1-$A38,0),""))))</f>
        <v>320</v>
      </c>
      <c r="BG57" s="1">
        <f ca="1">IF(AND('Input data (2)'!$C$2=4,$D38&gt;=0),OFFSET('Input data (2)'!AN$126,'Input data (2)'!$BL$1-$D38,0),IF(AND('Input data (2)'!$C$2=3,$C38&gt;=0),OFFSET('Input data (2)'!AN$126,'Input data (2)'!$BL$1-$C38,0),IF(AND('Input data (2)'!$C$2=2,$B38&gt;=0),OFFSET('Input data (2)'!AN$126,'Input data (2)'!$BL$1-$B38,0),IF(AND('Input data (2)'!$C$2=1,$A38&gt;=0),OFFSET('Input data (2)'!AN$126,'Input data (2)'!$BL$1-$A38,0),""))))</f>
        <v>236</v>
      </c>
      <c r="BH57" s="1">
        <f ca="1">IF(AND('Input data (2)'!$C$2=4,$D38&gt;=0),OFFSET('Input data (2)'!AO$126,'Input data (2)'!$BL$1-$D38,0),IF(AND('Input data (2)'!$C$2=3,$C38&gt;=0),OFFSET('Input data (2)'!AO$126,'Input data (2)'!$BL$1-$C38,0),IF(AND('Input data (2)'!$C$2=2,$B38&gt;=0),OFFSET('Input data (2)'!AO$126,'Input data (2)'!$BL$1-$B38,0),IF(AND('Input data (2)'!$C$2=1,$A38&gt;=0),OFFSET('Input data (2)'!AO$126,'Input data (2)'!$BL$1-$A38,0),""))))</f>
        <v>84</v>
      </c>
      <c r="BJ57" s="1">
        <f ca="1">IF(AND('Input data (2)'!$C$2=4,$D38&gt;=0),OFFSET('Input data (2)'!AU$126,'Input data (2)'!$BL$1-$D38,0),IF(AND('Input data (2)'!$C$2=3,$C38&gt;=0),OFFSET('Input data (2)'!AU$126,'Input data (2)'!$BL$1-$C38,0),IF(AND('Input data (2)'!$C$2=2,$B38&gt;=0),OFFSET('Input data (2)'!AU$126,'Input data (2)'!$BL$1-$B38,0),IF(AND('Input data (2)'!$C$2=1,$A38&gt;=0),OFFSET('Input data (2)'!AU$126,'Input data (2)'!$BL$1-$A38,0),""))))</f>
        <v>0</v>
      </c>
      <c r="BK57" s="1">
        <f ca="1">IF(AND('Input data (2)'!$C$2=4,$D38&gt;=0),OFFSET('Input data (2)'!AV$126,'Input data (2)'!$BL$1-$D38,0),IF(AND('Input data (2)'!$C$2=3,$C38&gt;=0),OFFSET('Input data (2)'!AV$126,'Input data (2)'!$BL$1-$C38,0),IF(AND('Input data (2)'!$C$2=2,$B38&gt;=0),OFFSET('Input data (2)'!AV$126,'Input data (2)'!$BL$1-$B38,0),IF(AND('Input data (2)'!$C$2=1,$A38&gt;=0),OFFSET('Input data (2)'!AV$126,'Input data (2)'!$BL$1-$A38,0),""))))</f>
        <v>0</v>
      </c>
      <c r="BL57" s="1">
        <f ca="1">IF(AND('Input data (2)'!$C$2=4,$D38&gt;=0),OFFSET('Input data (2)'!AW$126,'Input data (2)'!$BL$1-$D38,0),IF(AND('Input data (2)'!$C$2=3,$C38&gt;=0),OFFSET('Input data (2)'!AW$126,'Input data (2)'!$BL$1-$C38,0),IF(AND('Input data (2)'!$C$2=2,$B38&gt;=0),OFFSET('Input data (2)'!AW$126,'Input data (2)'!$BL$1-$B38,0),IF(AND('Input data (2)'!$C$2=1,$A38&gt;=0),OFFSET('Input data (2)'!AW$126,'Input data (2)'!$BL$1-$A38,0),""))))</f>
        <v>52</v>
      </c>
      <c r="BM57" s="1">
        <f ca="1">IF(AND('Input data (2)'!$C$2=4,$D38&gt;=0),OFFSET('Input data (2)'!AX$126,'Input data (2)'!$BL$1-$D38,0),IF(AND('Input data (2)'!$C$2=3,$C38&gt;=0),OFFSET('Input data (2)'!AX$126,'Input data (2)'!$BL$1-$C38,0),IF(AND('Input data (2)'!$C$2=2,$B38&gt;=0),OFFSET('Input data (2)'!AX$126,'Input data (2)'!$BL$1-$B38,0),IF(AND('Input data (2)'!$C$2=1,$A38&gt;=0),OFFSET('Input data (2)'!AX$126,'Input data (2)'!$BL$1-$A38,0),""))))</f>
        <v>1</v>
      </c>
      <c r="BO57" s="1">
        <f ca="1">IF(AND('Input data (2)'!$C$2=4,$D38&gt;=0),OFFSET('Input data (2)'!BL$126,'Input data (2)'!$BL$1-$D38,0),IF(AND('Input data (2)'!$C$2=3,$C38&gt;=0),OFFSET('Input data (2)'!BL$126,'Input data (2)'!$BL$1-$C38,0),IF(AND('Input data (2)'!$C$2=2,$B38&gt;=0),OFFSET('Input data (2)'!BL$126,'Input data (2)'!$BL$1-$B38,0),IF(AND('Input data (2)'!$C$2=1,$A38&gt;=0),OFFSET('Input data (2)'!BL$126,'Input data (2)'!$BL$1-$A38,0),""))))</f>
        <v>608</v>
      </c>
      <c r="BP57" s="1">
        <f ca="1">IF(AND('Input data (2)'!$C$2=4,$D38&gt;=0),OFFSET('Input data (2)'!BI$126,'Input data (2)'!$BL$1-$D38,0),IF(AND('Input data (2)'!$C$2=3,$C38&gt;=0),OFFSET('Input data (2)'!BI$126,'Input data (2)'!$BL$1-$C38,0),IF(AND('Input data (2)'!$C$2=2,$B38&gt;=0),OFFSET('Input data (2)'!BI$126,'Input data (2)'!$BL$1-$B38,0),IF(AND('Input data (2)'!$C$2=1,$A38&gt;=0),OFFSET('Input data (2)'!BI$126,'Input data (2)'!$BL$1-$A38,0),""))))</f>
        <v>301</v>
      </c>
      <c r="BQ57" s="1">
        <f ca="1">IF(AND('Input data (2)'!$C$2=4,$D38&gt;=0),OFFSET('Input data (2)'!BK$126,'Input data (2)'!$BL$1-$D38,0),IF(AND('Input data (2)'!$C$2=3,$C38&gt;=0),OFFSET('Input data (2)'!BK$126,'Input data (2)'!$BL$1-$C38,0),IF(AND('Input data (2)'!$C$2=2,$B38&gt;=0),OFFSET('Input data (2)'!BK$126,'Input data (2)'!$BL$1-$B38,0),IF(AND('Input data (2)'!$C$2=1,$A38&gt;=0),OFFSET('Input data (2)'!BK$126,'Input data (2)'!$BL$1-$A38,0),""))))</f>
        <v>34</v>
      </c>
      <c r="BR57" s="1">
        <f ca="1">IF(AND('Input data (2)'!$C$2=4,$D38&gt;=0),OFFSET('Input data (2)'!BJ$126,'Input data (2)'!$BL$1-$D38,0),IF(AND('Input data (2)'!$C$2=3,$C38&gt;=0),OFFSET('Input data (2)'!BJ$126,'Input data (2)'!$BL$1-$C38,0),IF(AND('Input data (2)'!$C$2=2,$B38&gt;=0),OFFSET('Input data (2)'!BJ$126,'Input data (2)'!$BL$1-$B38,0),IF(AND('Input data (2)'!$C$2=1,$A38&gt;=0),OFFSET('Input data (2)'!BJ$126,'Input data (2)'!$BL$1-$A38,0),""))))</f>
        <v>273</v>
      </c>
      <c r="BS57" s="1">
        <f ca="1">IF(AND('Input data (2)'!$C$2=4,$D38&gt;=0),OFFSET('Input data (2)'!BF$126,'Input data (2)'!$BL$1-$D38,0),IF(AND('Input data (2)'!$C$2=3,$C38&gt;=0),OFFSET('Input data (2)'!BF$126,'Input data (2)'!$BL$1-$C38,0),IF(AND('Input data (2)'!$C$2=2,$B38&gt;=0),OFFSET('Input data (2)'!BF$126,'Input data (2)'!$BL$1-$B38,0),IF(AND('Input data (2)'!$C$2=1,$A38&gt;=0),OFFSET('Input data (2)'!BF$126,'Input data (2)'!$BL$1-$A38,0),""))))</f>
        <v>82</v>
      </c>
      <c r="BT57" s="1">
        <f ca="1">IF(AND('Input data (2)'!$C$2=4,$D38&gt;=0),OFFSET('Input data (2)'!BD$126,'Input data (2)'!$BL$1-$D38,0),IF(AND('Input data (2)'!$C$2=3,$C38&gt;=0),OFFSET('Input data (2)'!BD$126,'Input data (2)'!$BL$1-$C38,0),IF(AND('Input data (2)'!$C$2=2,$B38&gt;=0),OFFSET('Input data (2)'!BD$126,'Input data (2)'!$BL$1-$B38,0),IF(AND('Input data (2)'!$C$2=1,$A38&gt;=0),OFFSET('Input data (2)'!BD$126,'Input data (2)'!$BL$1-$A38,0),""))))</f>
        <v>43</v>
      </c>
      <c r="BU57" s="1">
        <f ca="1">IF(AND('Input data (2)'!$C$2=4,$D38&gt;=0),OFFSET('Input data (2)'!BE$126,'Input data (2)'!$BL$1-$D38,0),IF(AND('Input data (2)'!$C$2=3,$C38&gt;=0),OFFSET('Input data (2)'!BE$126,'Input data (2)'!$BL$1-$C38,0),IF(AND('Input data (2)'!$C$2=2,$B38&gt;=0),OFFSET('Input data (2)'!BE$126,'Input data (2)'!$BL$1-$B38,0),IF(AND('Input data (2)'!$C$2=1,$A38&gt;=0),OFFSET('Input data (2)'!BE$126,'Input data (2)'!$BL$1-$A38,0),""))))</f>
        <v>39</v>
      </c>
      <c r="BW57" s="7">
        <f ca="1">IF(AND('Input data (2)'!$C$2=4,$D38&gt;=0),OFFSET('Input data (2)'!J$126,'Input data (2)'!$BL$1-$D38,0),IF(AND('Input data (2)'!$C$2=3,$C38&gt;=0),OFFSET('Input data (2)'!J$126,'Input data (2)'!$BL$1-$C38,0),IF(AND('Input data (2)'!$C$2=2,$B38&gt;=0),OFFSET('Input data (2)'!J$126,'Input data (2)'!$BL$1-$B38,0),IF(AND('Input data (2)'!$C$2=1,$A38&gt;=0),OFFSET('Input data (2)'!J$126,'Input data (2)'!$BL$1-$A38,0),""))))</f>
        <v>0.77390636901227106</v>
      </c>
      <c r="BX57" s="7">
        <f ca="1">IF(AND('Input data (2)'!$C$2=4,$D38&gt;=0),OFFSET('Input data (2)'!K$126,'Input data (2)'!$BL$1-$D38,0),IF(AND('Input data (2)'!$C$2=3,$C38&gt;=0),OFFSET('Input data (2)'!K$126,'Input data (2)'!$BL$1-$C38,0),IF(AND('Input data (2)'!$C$2=2,$B38&gt;=0),OFFSET('Input data (2)'!K$126,'Input data (2)'!$BL$1-$B38,0),IF(AND('Input data (2)'!$C$2=1,$A38&gt;=0),OFFSET('Input data (2)'!K$126,'Input data (2)'!$BL$1-$A38,0),""))))</f>
        <v>0.70756488884439772</v>
      </c>
      <c r="BY57" s="7">
        <f ca="1">IF(AND('Input data (2)'!$C$2=4,$D38&gt;=0),OFFSET('Input data (2)'!AS$126,'Input data (2)'!$BL$1-$D38,0),IF(AND('Input data (2)'!$C$2=3,$C38&gt;=0),OFFSET('Input data (2)'!AS$126,'Input data (2)'!$BL$1-$C38,0),IF(AND('Input data (2)'!$C$2=2,$B38&gt;=0),OFFSET('Input data (2)'!AS$126,'Input data (2)'!$BL$1-$B38,0),IF(AND('Input data (2)'!$C$2=1,$A38&gt;=0),OFFSET('Input data (2)'!AS$126,'Input data (2)'!$BL$1-$A38,0),""))))</f>
        <v>0.88787642726570171</v>
      </c>
      <c r="BZ57" s="7">
        <f ca="1">IF(AND('Input data (2)'!$C$2=4,$D38&gt;=0),OFFSET('Input data (2)'!AT$126,'Input data (2)'!$BL$1-$D38,0),IF(AND('Input data (2)'!$C$2=3,$C38&gt;=0),OFFSET('Input data (2)'!AT$126,'Input data (2)'!$BL$1-$C38,0),IF(AND('Input data (2)'!$C$2=2,$B38&gt;=0),OFFSET('Input data (2)'!AT$126,'Input data (2)'!$BL$1-$B38,0),IF(AND('Input data (2)'!$C$2=1,$A38&gt;=0),OFFSET('Input data (2)'!AT$126,'Input data (2)'!$BL$1-$A38,0),""))))</f>
        <v>0.7917560833314421</v>
      </c>
      <c r="CB57" s="122"/>
      <c r="CC57" s="122"/>
      <c r="CD57" s="122"/>
      <c r="CE57" s="122"/>
    </row>
    <row r="58" spans="5:94" x14ac:dyDescent="0.15">
      <c r="E58" s="1" t="str">
        <f>F58&amp;G58</f>
        <v>2011Q4</v>
      </c>
      <c r="F58" s="1">
        <f>F53+1</f>
        <v>2011</v>
      </c>
      <c r="G58" s="1" t="s">
        <v>4</v>
      </c>
      <c r="H58" s="1">
        <f>VLOOKUP($E58,'Input data (2)'!$A:$BL,'Output data - DO NOT TOUCH (2)'!H$71,FALSE)</f>
        <v>4169</v>
      </c>
      <c r="I58" s="1">
        <f>VLOOKUP($E58,'Input data (2)'!$A:$BL,'Output data - DO NOT TOUCH (2)'!I$71,FALSE)</f>
        <v>1426</v>
      </c>
      <c r="J58" s="1">
        <f>VLOOKUP($E58,'Input data (2)'!$A:$BL,'Output data - DO NOT TOUCH (2)'!J$71,FALSE)</f>
        <v>2743</v>
      </c>
      <c r="K58" s="1">
        <f>VLOOKUP($E58,'Input data (2)'!$A:$BL,'Output data - DO NOT TOUCH (2)'!K$71,FALSE)</f>
        <v>4294</v>
      </c>
      <c r="L58" s="1">
        <f>VLOOKUP($E58,'Input data (2)'!$A:$BL,'Output data - DO NOT TOUCH (2)'!L$71,FALSE)</f>
        <v>1403</v>
      </c>
      <c r="M58" s="1">
        <f>VLOOKUP($E58,'Input data (2)'!$A:$BL,'Output data - DO NOT TOUCH (2)'!M$71,FALSE)</f>
        <v>2891</v>
      </c>
      <c r="O58" s="119">
        <f ca="1">IF(AND('Input data (2)'!$C$2=4,$D39&gt;=0),OFFSET('Input data (2)'!O$126,'Input data (2)'!$BL$1-$D39,0),IF(AND('Input data (2)'!$C$2=3,$C39&gt;=0),OFFSET('Input data (2)'!O$126,'Input data (2)'!$BL$1-$C39,0),IF(AND('Input data (2)'!$C$2=2,$B39&gt;=0),OFFSET('Input data (2)'!O$126,'Input data (2)'!$BL$1-$B39,0),IF(AND('Input data (2)'!$C$2=1,$A39&gt;=0),OFFSET('Input data (2)'!O$126,'Input data (2)'!$BL$1-$A39,0),""))))</f>
        <v>247</v>
      </c>
      <c r="Q58" s="1">
        <f ca="1">IF(AND('Input data (2)'!$C$2=4,$D39&gt;=0),OFFSET('Input data (2)'!AC$126,'Input data (2)'!$BL$1-$D39,0),IF(AND('Input data (2)'!$C$2=3,$C39&gt;=0),OFFSET('Input data (2)'!AC$126,'Input data (2)'!$BL$1-$C39,0),IF(AND('Input data (2)'!$C$2=2,$B39&gt;=0),OFFSET('Input data (2)'!AC$126,'Input data (2)'!$BL$1-$B39,0),IF(AND('Input data (2)'!$C$2=1,$A39&gt;=0),OFFSET('Input data (2)'!AC$126,'Input data (2)'!$BL$1-$A39,0),""))))</f>
        <v>29064</v>
      </c>
      <c r="R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S58" s="1">
        <f ca="1">IF(AND('Input data (2)'!$C$2=4,$D39&gt;=0),OFFSET('Input data (2)'!R$126,'Input data (2)'!$BL$1-$D39,0),IF(AND('Input data (2)'!$C$2=3,$C39&gt;=0),OFFSET('Input data (2)'!R$126,'Input data (2)'!$BL$1-$C39,0),IF(AND('Input data (2)'!$C$2=2,$B39&gt;=0),OFFSET('Input data (2)'!R$126,'Input data (2)'!$BL$1-$B39,0),IF(AND('Input data (2)'!$C$2=1,$A39&gt;=0),OFFSET('Input data (2)'!R$126,'Input data (2)'!$BL$1-$A39,0),""))))</f>
        <v>7359</v>
      </c>
      <c r="T58" s="1">
        <f ca="1">IF(AND('Input data (2)'!$C$2=4,$D39&gt;=0),OFFSET('Input data (2)'!AA$126,'Input data (2)'!$BL$1-$D39,0),IF(AND('Input data (2)'!$C$2=3,$C39&gt;=0),OFFSET('Input data (2)'!AA$126,'Input data (2)'!$BL$1-$C39,0),IF(AND('Input data (2)'!$C$2=2,$B39&gt;=0),OFFSET('Input data (2)'!AA$126,'Input data (2)'!$BL$1-$B39,0),IF(AND('Input data (2)'!$C$2=1,$A39&gt;=0),OFFSET('Input data (2)'!AA$126,'Input data (2)'!$BL$1-$A39,0),""))))</f>
        <v>13047</v>
      </c>
      <c r="U58" s="1" t="str">
        <f ca="1">IF(AND('Input data (2)'!$C$2=4,$D39&gt;=0),OFFSET('Input data (2)'!AL$126,'Input data (2)'!$BL$1-$D39,0),IF(AND('Input data (2)'!$C$2=3,$C39&gt;=0),OFFSET('Input data (2)'!AL$126,'Input data (2)'!$BL$1-$C39,0),IF(AND('Input data (2)'!$C$2=2,$B39&gt;=0),OFFSET('Input data (2)'!AL$126,'Input data (2)'!$BL$1-$B39,0),IF(AND('Input data (2)'!$C$2=1,$A39&gt;=0),OFFSET('Input data (2)'!AL$126,'Input data (2)'!$BL$1-$A39,0),""))))</f>
        <v>:</v>
      </c>
      <c r="V58" s="1">
        <f ca="1">IF(AND('Input data (2)'!$C$2=4,$D39&gt;=0),OFFSET('Input data (2)'!AJ$126,'Input data (2)'!$BL$1-$D39,0),IF(AND('Input data (2)'!$C$2=3,$C39&gt;=0),OFFSET('Input data (2)'!AJ$126,'Input data (2)'!$BL$1-$C39,0),IF(AND('Input data (2)'!$C$2=2,$B39&gt;=0),OFFSET('Input data (2)'!AJ$126,'Input data (2)'!$BL$1-$B39,0),IF(AND('Input data (2)'!$C$2=1,$A39&gt;=0),OFFSET('Input data (2)'!AJ$126,'Input data (2)'!$BL$1-$A39,0),""))))</f>
        <v>9114</v>
      </c>
      <c r="W58" s="1">
        <f ca="1">IF(AND('Input data (2)'!$C$2=4,$D39&gt;=0),OFFSET('Input data (2)'!AK$126,'Input data (2)'!$BL$1-$D39,0),IF(AND('Input data (2)'!$C$2=3,$C39&gt;=0),OFFSET('Input data (2)'!AK$126,'Input data (2)'!$BL$1-$C39,0),IF(AND('Input data (2)'!$C$2=2,$B39&gt;=0),OFFSET('Input data (2)'!AK$126,'Input data (2)'!$BL$1-$B39,0),IF(AND('Input data (2)'!$C$2=1,$A39&gt;=0),OFFSET('Input data (2)'!AK$126,'Input data (2)'!$BL$1-$A39,0),""))))</f>
        <v>12864</v>
      </c>
      <c r="Y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Z58" s="1">
        <f ca="1">IF(AND('Input data (2)'!$C$2=4,$D39&gt;=0),OFFSET('Input data (2)'!S$126,'Input data (2)'!$BL$1-$D39,0),IF(AND('Input data (2)'!$C$2=3,$C39&gt;=0),OFFSET('Input data (2)'!S$126,'Input data (2)'!$BL$1-$C39,0),IF(AND('Input data (2)'!$C$2=2,$B39&gt;=0),OFFSET('Input data (2)'!S$126,'Input data (2)'!$BL$1-$B39,0),IF(AND('Input data (2)'!$C$2=1,$A39&gt;=0),OFFSET('Input data (2)'!S$126,'Input data (2)'!$BL$1-$A39,0),""))))</f>
        <v>6749</v>
      </c>
      <c r="AA58" s="1">
        <f ca="1">IF(AND('Input data (2)'!$C$2=4,$D39&gt;=0),OFFSET('Input data (2)'!T$126,'Input data (2)'!$BL$1-$D39,0),IF(AND('Input data (2)'!$C$2=3,$C39&gt;=0),OFFSET('Input data (2)'!T$126,'Input data (2)'!$BL$1-$C39,0),IF(AND('Input data (2)'!$C$2=2,$B39&gt;=0),OFFSET('Input data (2)'!T$126,'Input data (2)'!$BL$1-$B39,0),IF(AND('Input data (2)'!$C$2=1,$A39&gt;=0),OFFSET('Input data (2)'!T$126,'Input data (2)'!$BL$1-$A39,0),""))))</f>
        <v>77.951027951027953</v>
      </c>
      <c r="AB58" s="1">
        <f ca="1">IF(AND('Input data (2)'!$C$2=4,$D39&gt;=0),OFFSET('Input data (2)'!U$126,'Input data (2)'!$BL$1-$D39,0),IF(AND('Input data (2)'!$C$2=3,$C39&gt;=0),OFFSET('Input data (2)'!U$126,'Input data (2)'!$BL$1-$C39,0),IF(AND('Input data (2)'!$C$2=2,$B39&gt;=0),OFFSET('Input data (2)'!U$126,'Input data (2)'!$BL$1-$B39,0),IF(AND('Input data (2)'!$C$2=1,$A39&gt;=0),OFFSET('Input data (2)'!U$126,'Input data (2)'!$BL$1-$A39,0),""))))</f>
        <v>1909</v>
      </c>
      <c r="AC58" s="1">
        <f ca="1">IF(AND('Input data (2)'!$C$2=4,$D39&gt;=0),OFFSET('Input data (2)'!V$126,'Input data (2)'!$BL$1-$D39,0),IF(AND('Input data (2)'!$C$2=3,$C39&gt;=0),OFFSET('Input data (2)'!V$126,'Input data (2)'!$BL$1-$C39,0),IF(AND('Input data (2)'!$C$2=2,$B39&gt;=0),OFFSET('Input data (2)'!V$126,'Input data (2)'!$BL$1-$B39,0),IF(AND('Input data (2)'!$C$2=1,$A39&gt;=0),OFFSET('Input data (2)'!V$126,'Input data (2)'!$BL$1-$A39,0),""))))</f>
        <v>22.048972048972047</v>
      </c>
      <c r="AD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AE58" s="1">
        <f ca="1">IF(AND('Input data (2)'!$C$2=4,$D39&gt;=0),OFFSET('Input data (2)'!W$126,'Input data (2)'!$BL$1-$D39,0),IF(AND('Input data (2)'!$C$2=3,$C39&gt;=0),OFFSET('Input data (2)'!W$126,'Input data (2)'!$BL$1-$C39,0),IF(AND('Input data (2)'!$C$2=2,$B39&gt;=0),OFFSET('Input data (2)'!W$126,'Input data (2)'!$BL$1-$B39,0),IF(AND('Input data (2)'!$C$2=1,$A39&gt;=0),OFFSET('Input data (2)'!W$126,'Input data (2)'!$BL$1-$A39,0),""))))</f>
        <v>1955</v>
      </c>
      <c r="AF58" s="1">
        <f ca="1">IF(AND('Input data (2)'!$C$2=4,$D39&gt;=0),OFFSET('Input data (2)'!X$126,'Input data (2)'!$BL$1-$D39,0),IF(AND('Input data (2)'!$C$2=3,$C39&gt;=0),OFFSET('Input data (2)'!X$126,'Input data (2)'!$BL$1-$C39,0),IF(AND('Input data (2)'!$C$2=2,$B39&gt;=0),OFFSET('Input data (2)'!X$126,'Input data (2)'!$BL$1-$B39,0),IF(AND('Input data (2)'!$C$2=1,$A39&gt;=0),OFFSET('Input data (2)'!X$126,'Input data (2)'!$BL$1-$A39,0),""))))</f>
        <v>22.580272580272581</v>
      </c>
      <c r="AG58" s="1">
        <f ca="1">IF(AND('Input data (2)'!$C$2=4,$D39&gt;=0),OFFSET('Input data (2)'!Y$126,'Input data (2)'!$BL$1-$D39,0),IF(AND('Input data (2)'!$C$2=3,$C39&gt;=0),OFFSET('Input data (2)'!Y$126,'Input data (2)'!$BL$1-$C39,0),IF(AND('Input data (2)'!$C$2=2,$B39&gt;=0),OFFSET('Input data (2)'!Y$126,'Input data (2)'!$BL$1-$B39,0),IF(AND('Input data (2)'!$C$2=1,$A39&gt;=0),OFFSET('Input data (2)'!Y$126,'Input data (2)'!$BL$1-$A39,0),""))))</f>
        <v>6703</v>
      </c>
      <c r="AH58" s="1">
        <f ca="1">IF(AND('Input data (2)'!$C$2=4,$D39&gt;=0),OFFSET('Input data (2)'!Z$126,'Input data (2)'!$BL$1-$D39,0),IF(AND('Input data (2)'!$C$2=3,$C39&gt;=0),OFFSET('Input data (2)'!Z$126,'Input data (2)'!$BL$1-$C39,0),IF(AND('Input data (2)'!$C$2=2,$B39&gt;=0),OFFSET('Input data (2)'!Z$126,'Input data (2)'!$BL$1-$B39,0),IF(AND('Input data (2)'!$C$2=1,$A39&gt;=0),OFFSET('Input data (2)'!Z$126,'Input data (2)'!$BL$1-$A39,0),""))))</f>
        <v>77.419727419727423</v>
      </c>
      <c r="AI58" s="3"/>
      <c r="AJ58" s="124">
        <f ca="1">IF(AND('Input data (2)'!$C$2=4,$D39&gt;=0),OFFSET('Input data (2)'!AF$126,'Input data (2)'!$BL$1-$D39,0),IF(AND('Input data (2)'!$C$2=3,$C39&gt;=0),OFFSET('Input data (2)'!AF$126,'Input data (2)'!$BL$1-$C39,0),IF(AND('Input data (2)'!$C$2=2,$B39&gt;=0),OFFSET('Input data (2)'!AF$126,'Input data (2)'!$BL$1-$B39,0),IF(AND('Input data (2)'!$C$2=1,$A39&gt;=0),OFFSET('Input data (2)'!AF$126,'Input data (2)'!$BL$1-$A39,0),""))))</f>
        <v>0</v>
      </c>
      <c r="AK58" s="124" t="str">
        <f ca="1">IF(AND('Input data (2)'!$C$2=4,$D39&gt;=0),OFFSET('Input data (2)'!AD$126,'Input data (2)'!$BL$1-$D39,0),IF(AND('Input data (2)'!$C$2=3,$C39&gt;=0),OFFSET('Input data (2)'!AD$126,'Input data (2)'!$BL$1-$C39,0),IF(AND('Input data (2)'!$C$2=2,$B39&gt;=0),OFFSET('Input data (2)'!AD$126,'Input data (2)'!$BL$1-$B39,0),IF(AND('Input data (2)'!$C$2=1,$A39&gt;=0),OFFSET('Input data (2)'!AD$126,'Input data (2)'!$BL$1-$A39,0),""))))</f>
        <v>new table in file</v>
      </c>
      <c r="AL58" s="124">
        <f ca="1">IF(AND('Input data (2)'!$C$2=4,$D39&gt;=0),OFFSET('Input data (2)'!AE$126,'Input data (2)'!$BL$1-$D39,0),IF(AND('Input data (2)'!$C$2=3,$C39&gt;=0),OFFSET('Input data (2)'!AE$126,'Input data (2)'!$BL$1-$C39,0),IF(AND('Input data (2)'!$C$2=2,$B39&gt;=0),OFFSET('Input data (2)'!AE$126,'Input data (2)'!$BL$1-$B39,0),IF(AND('Input data (2)'!$C$2=1,$A39&gt;=0),OFFSET('Input data (2)'!AE$126,'Input data (2)'!$BL$1-$A39,0),""))))</f>
        <v>0</v>
      </c>
      <c r="AW58" s="1">
        <f ca="1">IF(AND('Input data (2)'!$C$2=4,$D39&gt;=0),OFFSET('Input data (2)'!L$126,'Input data (2)'!$BL$1-$D39,0),IF(AND('Input data (2)'!$C$2=3,$C39&gt;=0),OFFSET('Input data (2)'!L$126,'Input data (2)'!$BL$1-$C39,0),IF(AND('Input data (2)'!$C$2=2,$B39&gt;=0),OFFSET('Input data (2)'!L$126,'Input data (2)'!$BL$1-$B39,0),IF(AND('Input data (2)'!$C$2=1,$A39&gt;=0),OFFSET('Input data (2)'!L$126,'Input data (2)'!$BL$1-$A39,0),""))))</f>
        <v>324</v>
      </c>
      <c r="AX58" s="1">
        <f ca="1">IF(AND('Input data (2)'!$C$2=4,$D39&gt;=0),OFFSET('Input data (2)'!M$126,'Input data (2)'!$BL$1-$D39,0),IF(AND('Input data (2)'!$C$2=3,$C39&gt;=0),OFFSET('Input data (2)'!M$126,'Input data (2)'!$BL$1-$C39,0),IF(AND('Input data (2)'!$C$2=2,$B39&gt;=0),OFFSET('Input data (2)'!M$126,'Input data (2)'!$BL$1-$B39,0),IF(AND('Input data (2)'!$C$2=1,$A39&gt;=0),OFFSET('Input data (2)'!M$126,'Input data (2)'!$BL$1-$A39,0),""))))</f>
        <v>0</v>
      </c>
      <c r="AY58" s="1">
        <f ca="1">IF(AND('Input data (2)'!$C$2=4,$D39&gt;=0),OFFSET('Input data (2)'!N$126,'Input data (2)'!$BL$1-$D39,0),IF(AND('Input data (2)'!$C$2=3,$C39&gt;=0),OFFSET('Input data (2)'!N$126,'Input data (2)'!$BL$1-$C39,0),IF(AND('Input data (2)'!$C$2=2,$B39&gt;=0),OFFSET('Input data (2)'!N$126,'Input data (2)'!$BL$1-$B39,0),IF(AND('Input data (2)'!$C$2=1,$A39&gt;=0),OFFSET('Input data (2)'!N$126,'Input data (2)'!$BL$1-$A39,0),""))))</f>
        <v>658</v>
      </c>
      <c r="AZ58" s="1">
        <f ca="1">IF(AND('Input data (2)'!$C$2=4,$D39&gt;=0),OFFSET('Input data (2)'!P$126,'Input data (2)'!$BL$1-$D39,0),IF(AND('Input data (2)'!$C$2=3,$C39&gt;=0),OFFSET('Input data (2)'!P$126,'Input data (2)'!$BL$1-$C39,0),IF(AND('Input data (2)'!$C$2=2,$B39&gt;=0),OFFSET('Input data (2)'!P$126,'Input data (2)'!$BL$1-$B39,0),IF(AND('Input data (2)'!$C$2=1,$A39&gt;=0),OFFSET('Input data (2)'!P$126,'Input data (2)'!$BL$1-$A39,0),""))))</f>
        <v>191</v>
      </c>
      <c r="BB58" s="1">
        <f ca="1">IF(AND('Input data (2)'!$C$2=4,$D39&gt;=0),OFFSET('Input data (2)'!BB$126,'Input data (2)'!$BL$1-$D39,0),IF(AND('Input data (2)'!$C$2=3,$C39&gt;=0),OFFSET('Input data (2)'!BB$126,'Input data (2)'!$BL$1-$C39,0),IF(AND('Input data (2)'!$C$2=2,$B39&gt;=0),OFFSET('Input data (2)'!BB$126,'Input data (2)'!$BL$1-$B39,0),IF(AND('Input data (2)'!$C$2=1,$A39&gt;=0),OFFSET('Input data (2)'!BB$126,'Input data (2)'!$BL$1-$A39,0),""))))</f>
        <v>4674</v>
      </c>
      <c r="BC58" s="1">
        <f ca="1">IF(AND('Input data (2)'!$C$2=4,$D39&gt;=0),OFFSET('Input data (2)'!AY$126,'Input data (2)'!$BL$1-$D39,0),IF(AND('Input data (2)'!$C$2=3,$C39&gt;=0),OFFSET('Input data (2)'!AY$126,'Input data (2)'!$BL$1-$C39,0),IF(AND('Input data (2)'!$C$2=2,$B39&gt;=0),OFFSET('Input data (2)'!AY$126,'Input data (2)'!$BL$1-$B39,0),IF(AND('Input data (2)'!$C$2=1,$A39&gt;=0),OFFSET('Input data (2)'!AY$126,'Input data (2)'!$BL$1-$A39,0),""))))</f>
        <v>2625</v>
      </c>
      <c r="BD58" s="1">
        <f ca="1">IF(AND('Input data (2)'!$C$2=4,$D39&gt;=0),OFFSET('Input data (2)'!AZ$126,'Input data (2)'!$BL$1-$D39,0),IF(AND('Input data (2)'!$C$2=3,$C39&gt;=0),OFFSET('Input data (2)'!AZ$126,'Input data (2)'!$BL$1-$C39,0),IF(AND('Input data (2)'!$C$2=2,$B39&gt;=0),OFFSET('Input data (2)'!AZ$126,'Input data (2)'!$BL$1-$B39,0),IF(AND('Input data (2)'!$C$2=1,$A39&gt;=0),OFFSET('Input data (2)'!AZ$126,'Input data (2)'!$BL$1-$A39,0),""))))</f>
        <v>1080</v>
      </c>
      <c r="BE58" s="1">
        <f ca="1">IF(AND('Input data (2)'!$C$2=4,$D39&gt;=0),OFFSET('Input data (2)'!BA$126,'Input data (2)'!$BL$1-$D39,0),IF(AND('Input data (2)'!$C$2=3,$C39&gt;=0),OFFSET('Input data (2)'!BA$126,'Input data (2)'!$BL$1-$C39,0),IF(AND('Input data (2)'!$C$2=2,$B39&gt;=0),OFFSET('Input data (2)'!BA$126,'Input data (2)'!$BL$1-$B39,0),IF(AND('Input data (2)'!$C$2=1,$A39&gt;=0),OFFSET('Input data (2)'!BA$126,'Input data (2)'!$BL$1-$A39,0),""))))</f>
        <v>2049</v>
      </c>
      <c r="BF58" s="1">
        <f ca="1">IF(AND('Input data (2)'!$C$2=4,$D39&gt;=0),OFFSET('Input data (2)'!AP$126,'Input data (2)'!$BL$1-$D39,0),IF(AND('Input data (2)'!$C$2=3,$C39&gt;=0),OFFSET('Input data (2)'!AP$126,'Input data (2)'!$BL$1-$C39,0),IF(AND('Input data (2)'!$C$2=2,$B39&gt;=0),OFFSET('Input data (2)'!AP$126,'Input data (2)'!$BL$1-$B39,0),IF(AND('Input data (2)'!$C$2=1,$A39&gt;=0),OFFSET('Input data (2)'!AP$126,'Input data (2)'!$BL$1-$A39,0),""))))</f>
        <v>290</v>
      </c>
      <c r="BG58" s="1">
        <f ca="1">IF(AND('Input data (2)'!$C$2=4,$D39&gt;=0),OFFSET('Input data (2)'!AN$126,'Input data (2)'!$BL$1-$D39,0),IF(AND('Input data (2)'!$C$2=3,$C39&gt;=0),OFFSET('Input data (2)'!AN$126,'Input data (2)'!$BL$1-$C39,0),IF(AND('Input data (2)'!$C$2=2,$B39&gt;=0),OFFSET('Input data (2)'!AN$126,'Input data (2)'!$BL$1-$B39,0),IF(AND('Input data (2)'!$C$2=1,$A39&gt;=0),OFFSET('Input data (2)'!AN$126,'Input data (2)'!$BL$1-$A39,0),""))))</f>
        <v>213</v>
      </c>
      <c r="BH58" s="1">
        <f ca="1">IF(AND('Input data (2)'!$C$2=4,$D39&gt;=0),OFFSET('Input data (2)'!AO$126,'Input data (2)'!$BL$1-$D39,0),IF(AND('Input data (2)'!$C$2=3,$C39&gt;=0),OFFSET('Input data (2)'!AO$126,'Input data (2)'!$BL$1-$C39,0),IF(AND('Input data (2)'!$C$2=2,$B39&gt;=0),OFFSET('Input data (2)'!AO$126,'Input data (2)'!$BL$1-$B39,0),IF(AND('Input data (2)'!$C$2=1,$A39&gt;=0),OFFSET('Input data (2)'!AO$126,'Input data (2)'!$BL$1-$A39,0),""))))</f>
        <v>77</v>
      </c>
      <c r="BJ58" s="1">
        <f ca="1">IF(AND('Input data (2)'!$C$2=4,$D39&gt;=0),OFFSET('Input data (2)'!AU$126,'Input data (2)'!$BL$1-$D39,0),IF(AND('Input data (2)'!$C$2=3,$C39&gt;=0),OFFSET('Input data (2)'!AU$126,'Input data (2)'!$BL$1-$C39,0),IF(AND('Input data (2)'!$C$2=2,$B39&gt;=0),OFFSET('Input data (2)'!AU$126,'Input data (2)'!$BL$1-$B39,0),IF(AND('Input data (2)'!$C$2=1,$A39&gt;=0),OFFSET('Input data (2)'!AU$126,'Input data (2)'!$BL$1-$A39,0),""))))</f>
        <v>24</v>
      </c>
      <c r="BK58" s="1">
        <f ca="1">IF(AND('Input data (2)'!$C$2=4,$D39&gt;=0),OFFSET('Input data (2)'!AV$126,'Input data (2)'!$BL$1-$D39,0),IF(AND('Input data (2)'!$C$2=3,$C39&gt;=0),OFFSET('Input data (2)'!AV$126,'Input data (2)'!$BL$1-$C39,0),IF(AND('Input data (2)'!$C$2=2,$B39&gt;=0),OFFSET('Input data (2)'!AV$126,'Input data (2)'!$BL$1-$B39,0),IF(AND('Input data (2)'!$C$2=1,$A39&gt;=0),OFFSET('Input data (2)'!AV$126,'Input data (2)'!$BL$1-$A39,0),""))))</f>
        <v>0</v>
      </c>
      <c r="BL58" s="1">
        <f ca="1">IF(AND('Input data (2)'!$C$2=4,$D39&gt;=0),OFFSET('Input data (2)'!AW$126,'Input data (2)'!$BL$1-$D39,0),IF(AND('Input data (2)'!$C$2=3,$C39&gt;=0),OFFSET('Input data (2)'!AW$126,'Input data (2)'!$BL$1-$C39,0),IF(AND('Input data (2)'!$C$2=2,$B39&gt;=0),OFFSET('Input data (2)'!AW$126,'Input data (2)'!$BL$1-$B39,0),IF(AND('Input data (2)'!$C$2=1,$A39&gt;=0),OFFSET('Input data (2)'!AW$126,'Input data (2)'!$BL$1-$A39,0),""))))</f>
        <v>66</v>
      </c>
      <c r="BM58" s="1">
        <f ca="1">IF(AND('Input data (2)'!$C$2=4,$D39&gt;=0),OFFSET('Input data (2)'!AX$126,'Input data (2)'!$BL$1-$D39,0),IF(AND('Input data (2)'!$C$2=3,$C39&gt;=0),OFFSET('Input data (2)'!AX$126,'Input data (2)'!$BL$1-$C39,0),IF(AND('Input data (2)'!$C$2=2,$B39&gt;=0),OFFSET('Input data (2)'!AX$126,'Input data (2)'!$BL$1-$B39,0),IF(AND('Input data (2)'!$C$2=1,$A39&gt;=0),OFFSET('Input data (2)'!AX$126,'Input data (2)'!$BL$1-$A39,0),""))))</f>
        <v>5</v>
      </c>
      <c r="BO58" s="1">
        <f ca="1">IF(AND('Input data (2)'!$C$2=4,$D39&gt;=0),OFFSET('Input data (2)'!BL$126,'Input data (2)'!$BL$1-$D39,0),IF(AND('Input data (2)'!$C$2=3,$C39&gt;=0),OFFSET('Input data (2)'!BL$126,'Input data (2)'!$BL$1-$C39,0),IF(AND('Input data (2)'!$C$2=2,$B39&gt;=0),OFFSET('Input data (2)'!BL$126,'Input data (2)'!$BL$1-$B39,0),IF(AND('Input data (2)'!$C$2=1,$A39&gt;=0),OFFSET('Input data (2)'!BL$126,'Input data (2)'!$BL$1-$A39,0),""))))</f>
        <v>787</v>
      </c>
      <c r="BP58" s="1">
        <f ca="1">IF(AND('Input data (2)'!$C$2=4,$D39&gt;=0),OFFSET('Input data (2)'!BI$126,'Input data (2)'!$BL$1-$D39,0),IF(AND('Input data (2)'!$C$2=3,$C39&gt;=0),OFFSET('Input data (2)'!BI$126,'Input data (2)'!$BL$1-$C39,0),IF(AND('Input data (2)'!$C$2=2,$B39&gt;=0),OFFSET('Input data (2)'!BI$126,'Input data (2)'!$BL$1-$B39,0),IF(AND('Input data (2)'!$C$2=1,$A39&gt;=0),OFFSET('Input data (2)'!BI$126,'Input data (2)'!$BL$1-$A39,0),""))))</f>
        <v>412</v>
      </c>
      <c r="BQ58" s="1">
        <f ca="1">IF(AND('Input data (2)'!$C$2=4,$D39&gt;=0),OFFSET('Input data (2)'!BK$126,'Input data (2)'!$BL$1-$D39,0),IF(AND('Input data (2)'!$C$2=3,$C39&gt;=0),OFFSET('Input data (2)'!BK$126,'Input data (2)'!$BL$1-$C39,0),IF(AND('Input data (2)'!$C$2=2,$B39&gt;=0),OFFSET('Input data (2)'!BK$126,'Input data (2)'!$BL$1-$B39,0),IF(AND('Input data (2)'!$C$2=1,$A39&gt;=0),OFFSET('Input data (2)'!BK$126,'Input data (2)'!$BL$1-$A39,0),""))))</f>
        <v>78</v>
      </c>
      <c r="BR58" s="1">
        <f ca="1">IF(AND('Input data (2)'!$C$2=4,$D39&gt;=0),OFFSET('Input data (2)'!BJ$126,'Input data (2)'!$BL$1-$D39,0),IF(AND('Input data (2)'!$C$2=3,$C39&gt;=0),OFFSET('Input data (2)'!BJ$126,'Input data (2)'!$BL$1-$C39,0),IF(AND('Input data (2)'!$C$2=2,$B39&gt;=0),OFFSET('Input data (2)'!BJ$126,'Input data (2)'!$BL$1-$B39,0),IF(AND('Input data (2)'!$C$2=1,$A39&gt;=0),OFFSET('Input data (2)'!BJ$126,'Input data (2)'!$BL$1-$A39,0),""))))</f>
        <v>297</v>
      </c>
      <c r="BS58" s="1">
        <f ca="1">IF(AND('Input data (2)'!$C$2=4,$D39&gt;=0),OFFSET('Input data (2)'!BF$126,'Input data (2)'!$BL$1-$D39,0),IF(AND('Input data (2)'!$C$2=3,$C39&gt;=0),OFFSET('Input data (2)'!BF$126,'Input data (2)'!$BL$1-$C39,0),IF(AND('Input data (2)'!$C$2=2,$B39&gt;=0),OFFSET('Input data (2)'!BF$126,'Input data (2)'!$BL$1-$B39,0),IF(AND('Input data (2)'!$C$2=1,$A39&gt;=0),OFFSET('Input data (2)'!BF$126,'Input data (2)'!$BL$1-$A39,0),""))))</f>
        <v>77</v>
      </c>
      <c r="BT58" s="1">
        <f ca="1">IF(AND('Input data (2)'!$C$2=4,$D39&gt;=0),OFFSET('Input data (2)'!BD$126,'Input data (2)'!$BL$1-$D39,0),IF(AND('Input data (2)'!$C$2=3,$C39&gt;=0),OFFSET('Input data (2)'!BD$126,'Input data (2)'!$BL$1-$C39,0),IF(AND('Input data (2)'!$C$2=2,$B39&gt;=0),OFFSET('Input data (2)'!BD$126,'Input data (2)'!$BL$1-$B39,0),IF(AND('Input data (2)'!$C$2=1,$A39&gt;=0),OFFSET('Input data (2)'!BD$126,'Input data (2)'!$BL$1-$A39,0),""))))</f>
        <v>48</v>
      </c>
      <c r="BU58" s="1">
        <f ca="1">IF(AND('Input data (2)'!$C$2=4,$D39&gt;=0),OFFSET('Input data (2)'!BE$126,'Input data (2)'!$BL$1-$D39,0),IF(AND('Input data (2)'!$C$2=3,$C39&gt;=0),OFFSET('Input data (2)'!BE$126,'Input data (2)'!$BL$1-$C39,0),IF(AND('Input data (2)'!$C$2=2,$B39&gt;=0),OFFSET('Input data (2)'!BE$126,'Input data (2)'!$BL$1-$B39,0),IF(AND('Input data (2)'!$C$2=1,$A39&gt;=0),OFFSET('Input data (2)'!BE$126,'Input data (2)'!$BL$1-$A39,0),""))))</f>
        <v>29</v>
      </c>
      <c r="BW58" s="7">
        <f ca="1">IF(AND('Input data (2)'!$C$2=4,$D39&gt;=0),OFFSET('Input data (2)'!J$126,'Input data (2)'!$BL$1-$D39,0),IF(AND('Input data (2)'!$C$2=3,$C39&gt;=0),OFFSET('Input data (2)'!J$126,'Input data (2)'!$BL$1-$C39,0),IF(AND('Input data (2)'!$C$2=2,$B39&gt;=0),OFFSET('Input data (2)'!J$126,'Input data (2)'!$BL$1-$B39,0),IF(AND('Input data (2)'!$C$2=1,$A39&gt;=0),OFFSET('Input data (2)'!J$126,'Input data (2)'!$BL$1-$A39,0),""))))</f>
        <v>0.7747659341702724</v>
      </c>
      <c r="BX58" s="7">
        <f ca="1">IF(AND('Input data (2)'!$C$2=4,$D39&gt;=0),OFFSET('Input data (2)'!K$126,'Input data (2)'!$BL$1-$D39,0),IF(AND('Input data (2)'!$C$2=3,$C39&gt;=0),OFFSET('Input data (2)'!K$126,'Input data (2)'!$BL$1-$C39,0),IF(AND('Input data (2)'!$C$2=2,$B39&gt;=0),OFFSET('Input data (2)'!K$126,'Input data (2)'!$BL$1-$B39,0),IF(AND('Input data (2)'!$C$2=1,$A39&gt;=0),OFFSET('Input data (2)'!K$126,'Input data (2)'!$BL$1-$A39,0),""))))</f>
        <v>0.70861368391914159</v>
      </c>
      <c r="BY58" s="7">
        <f ca="1">IF(AND('Input data (2)'!$C$2=4,$D39&gt;=0),OFFSET('Input data (2)'!AS$126,'Input data (2)'!$BL$1-$D39,0),IF(AND('Input data (2)'!$C$2=3,$C39&gt;=0),OFFSET('Input data (2)'!AS$126,'Input data (2)'!$BL$1-$C39,0),IF(AND('Input data (2)'!$C$2=2,$B39&gt;=0),OFFSET('Input data (2)'!AS$126,'Input data (2)'!$BL$1-$B39,0),IF(AND('Input data (2)'!$C$2=1,$A39&gt;=0),OFFSET('Input data (2)'!AS$126,'Input data (2)'!$BL$1-$A39,0),""))))</f>
        <v>0.91028950934880315</v>
      </c>
      <c r="BZ58" s="7">
        <f ca="1">IF(AND('Input data (2)'!$C$2=4,$D39&gt;=0),OFFSET('Input data (2)'!AT$126,'Input data (2)'!$BL$1-$D39,0),IF(AND('Input data (2)'!$C$2=3,$C39&gt;=0),OFFSET('Input data (2)'!AT$126,'Input data (2)'!$BL$1-$C39,0),IF(AND('Input data (2)'!$C$2=2,$B39&gt;=0),OFFSET('Input data (2)'!AT$126,'Input data (2)'!$BL$1-$B39,0),IF(AND('Input data (2)'!$C$2=1,$A39&gt;=0),OFFSET('Input data (2)'!AT$126,'Input data (2)'!$BL$1-$A39,0),""))))</f>
        <v>0.81173882396302888</v>
      </c>
      <c r="CB58" s="122"/>
      <c r="CC58" s="122"/>
      <c r="CD58" s="122"/>
      <c r="CE58" s="122"/>
    </row>
    <row r="59" spans="5:94" x14ac:dyDescent="0.15">
      <c r="CM59" s="3">
        <f ca="1">CM44/CM43-1</f>
        <v>-6.6058364286317284E-2</v>
      </c>
      <c r="CN59" s="3" t="e">
        <f ca="1">CM43/CO43</f>
        <v>#VALUE!</v>
      </c>
      <c r="CO59" s="3">
        <v>100</v>
      </c>
      <c r="CP59" s="68" t="e">
        <f ca="1">CM59*CN59*CO59</f>
        <v>#VALUE!</v>
      </c>
    </row>
    <row r="60" spans="5:94" x14ac:dyDescent="0.15">
      <c r="E60" s="1" t="str">
        <f>F60&amp;G60</f>
        <v>2012Q1</v>
      </c>
      <c r="F60" s="1">
        <f>F55+1</f>
        <v>2012</v>
      </c>
      <c r="G60" s="1" t="s">
        <v>1</v>
      </c>
      <c r="H60" s="1">
        <f>VLOOKUP($E60,'Input data (2)'!$A:$BL,'Output data - DO NOT TOUCH (2)'!H$71,FALSE)</f>
        <v>4482</v>
      </c>
      <c r="I60" s="1">
        <f>VLOOKUP($E60,'Input data (2)'!$A:$BL,'Output data - DO NOT TOUCH (2)'!I$71,FALSE)</f>
        <v>1233</v>
      </c>
      <c r="J60" s="1">
        <f>VLOOKUP($E60,'Input data (2)'!$A:$BL,'Output data - DO NOT TOUCH (2)'!J$71,FALSE)</f>
        <v>3249</v>
      </c>
      <c r="K60" s="1">
        <f>VLOOKUP($E60,'Input data (2)'!$A:$BL,'Output data - DO NOT TOUCH (2)'!K$71,FALSE)</f>
        <v>4297</v>
      </c>
      <c r="L60" s="1">
        <f>VLOOKUP($E60,'Input data (2)'!$A:$BL,'Output data - DO NOT TOUCH (2)'!L$71,FALSE)</f>
        <v>1204</v>
      </c>
      <c r="M60" s="1">
        <f>VLOOKUP($E60,'Input data (2)'!$A:$BL,'Output data - DO NOT TOUCH (2)'!M$71,FALSE)</f>
        <v>3093</v>
      </c>
      <c r="O60" s="119">
        <f ca="1">IF(AND('Input data (2)'!$C$2=4,$D40&gt;=0),OFFSET('Input data (2)'!O$126,'Input data (2)'!$BL$1-$D40,0),IF(AND('Input data (2)'!$C$2=3,$C40&gt;=0),OFFSET('Input data (2)'!O$126,'Input data (2)'!$BL$1-$C40,0),IF(AND('Input data (2)'!$C$2=2,$B40&gt;=0),OFFSET('Input data (2)'!O$126,'Input data (2)'!$BL$1-$B40,0),IF(AND('Input data (2)'!$C$2=1,$A40&gt;=0),OFFSET('Input data (2)'!O$126,'Input data (2)'!$BL$1-$A40,0),""))))</f>
        <v>247</v>
      </c>
      <c r="Q60" s="1">
        <f ca="1">IF(AND('Input data (2)'!$C$2=4,$D40&gt;=0),OFFSET('Input data (2)'!AC$126,'Input data (2)'!$BL$1-$D40,0),IF(AND('Input data (2)'!$C$2=3,$C40&gt;=0),OFFSET('Input data (2)'!AC$126,'Input data (2)'!$BL$1-$C40,0),IF(AND('Input data (2)'!$C$2=2,$B40&gt;=0),OFFSET('Input data (2)'!AC$126,'Input data (2)'!$BL$1-$B40,0),IF(AND('Input data (2)'!$C$2=1,$A40&gt;=0),OFFSET('Input data (2)'!AC$126,'Input data (2)'!$BL$1-$A40,0),""))))</f>
        <v>28723</v>
      </c>
      <c r="R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S60" s="1">
        <f ca="1">IF(AND('Input data (2)'!$C$2=4,$D40&gt;=0),OFFSET('Input data (2)'!R$126,'Input data (2)'!$BL$1-$D40,0),IF(AND('Input data (2)'!$C$2=3,$C40&gt;=0),OFFSET('Input data (2)'!R$126,'Input data (2)'!$BL$1-$C40,0),IF(AND('Input data (2)'!$C$2=2,$B40&gt;=0),OFFSET('Input data (2)'!R$126,'Input data (2)'!$BL$1-$B40,0),IF(AND('Input data (2)'!$C$2=1,$A40&gt;=0),OFFSET('Input data (2)'!R$126,'Input data (2)'!$BL$1-$A40,0),""))))</f>
        <v>7897</v>
      </c>
      <c r="T60" s="1">
        <f ca="1">IF(AND('Input data (2)'!$C$2=4,$D40&gt;=0),OFFSET('Input data (2)'!AA$126,'Input data (2)'!$BL$1-$D40,0),IF(AND('Input data (2)'!$C$2=3,$C40&gt;=0),OFFSET('Input data (2)'!AA$126,'Input data (2)'!$BL$1-$C40,0),IF(AND('Input data (2)'!$C$2=2,$B40&gt;=0),OFFSET('Input data (2)'!AA$126,'Input data (2)'!$BL$1-$B40,0),IF(AND('Input data (2)'!$C$2=1,$A40&gt;=0),OFFSET('Input data (2)'!AA$126,'Input data (2)'!$BL$1-$A40,0),""))))</f>
        <v>11694</v>
      </c>
      <c r="U60" s="1" t="str">
        <f ca="1">IF(AND('Input data (2)'!$C$2=4,$D40&gt;=0),OFFSET('Input data (2)'!AL$126,'Input data (2)'!$BL$1-$D40,0),IF(AND('Input data (2)'!$C$2=3,$C40&gt;=0),OFFSET('Input data (2)'!AL$126,'Input data (2)'!$BL$1-$C40,0),IF(AND('Input data (2)'!$C$2=2,$B40&gt;=0),OFFSET('Input data (2)'!AL$126,'Input data (2)'!$BL$1-$B40,0),IF(AND('Input data (2)'!$C$2=1,$A40&gt;=0),OFFSET('Input data (2)'!AL$126,'Input data (2)'!$BL$1-$A40,0),""))))</f>
        <v>:</v>
      </c>
      <c r="V60" s="1">
        <f ca="1">IF(AND('Input data (2)'!$C$2=4,$D40&gt;=0),OFFSET('Input data (2)'!AJ$126,'Input data (2)'!$BL$1-$D40,0),IF(AND('Input data (2)'!$C$2=3,$C40&gt;=0),OFFSET('Input data (2)'!AJ$126,'Input data (2)'!$BL$1-$C40,0),IF(AND('Input data (2)'!$C$2=2,$B40&gt;=0),OFFSET('Input data (2)'!AJ$126,'Input data (2)'!$BL$1-$B40,0),IF(AND('Input data (2)'!$C$2=1,$A40&gt;=0),OFFSET('Input data (2)'!AJ$126,'Input data (2)'!$BL$1-$A40,0),""))))</f>
        <v>8572</v>
      </c>
      <c r="W60" s="1">
        <f ca="1">IF(AND('Input data (2)'!$C$2=4,$D40&gt;=0),OFFSET('Input data (2)'!AK$126,'Input data (2)'!$BL$1-$D40,0),IF(AND('Input data (2)'!$C$2=3,$C40&gt;=0),OFFSET('Input data (2)'!AK$126,'Input data (2)'!$BL$1-$C40,0),IF(AND('Input data (2)'!$C$2=2,$B40&gt;=0),OFFSET('Input data (2)'!AK$126,'Input data (2)'!$BL$1-$B40,0),IF(AND('Input data (2)'!$C$2=1,$A40&gt;=0),OFFSET('Input data (2)'!AK$126,'Input data (2)'!$BL$1-$A40,0),""))))</f>
        <v>12555</v>
      </c>
      <c r="Y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Z60" s="1">
        <f ca="1">IF(AND('Input data (2)'!$C$2=4,$D40&gt;=0),OFFSET('Input data (2)'!S$126,'Input data (2)'!$BL$1-$D40,0),IF(AND('Input data (2)'!$C$2=3,$C40&gt;=0),OFFSET('Input data (2)'!S$126,'Input data (2)'!$BL$1-$C40,0),IF(AND('Input data (2)'!$C$2=2,$B40&gt;=0),OFFSET('Input data (2)'!S$126,'Input data (2)'!$BL$1-$B40,0),IF(AND('Input data (2)'!$C$2=1,$A40&gt;=0),OFFSET('Input data (2)'!S$126,'Input data (2)'!$BL$1-$A40,0),""))))</f>
        <v>7233</v>
      </c>
      <c r="AA60" s="1">
        <f ca="1">IF(AND('Input data (2)'!$C$2=4,$D40&gt;=0),OFFSET('Input data (2)'!T$126,'Input data (2)'!$BL$1-$D40,0),IF(AND('Input data (2)'!$C$2=3,$C40&gt;=0),OFFSET('Input data (2)'!T$126,'Input data (2)'!$BL$1-$C40,0),IF(AND('Input data (2)'!$C$2=2,$B40&gt;=0),OFFSET('Input data (2)'!T$126,'Input data (2)'!$BL$1-$B40,0),IF(AND('Input data (2)'!$C$2=1,$A40&gt;=0),OFFSET('Input data (2)'!T$126,'Input data (2)'!$BL$1-$A40,0),""))))</f>
        <v>79.204993429697765</v>
      </c>
      <c r="AB60" s="1">
        <f ca="1">IF(AND('Input data (2)'!$C$2=4,$D40&gt;=0),OFFSET('Input data (2)'!U$126,'Input data (2)'!$BL$1-$D40,0),IF(AND('Input data (2)'!$C$2=3,$C40&gt;=0),OFFSET('Input data (2)'!U$126,'Input data (2)'!$BL$1-$C40,0),IF(AND('Input data (2)'!$C$2=2,$B40&gt;=0),OFFSET('Input data (2)'!U$126,'Input data (2)'!$BL$1-$B40,0),IF(AND('Input data (2)'!$C$2=1,$A40&gt;=0),OFFSET('Input data (2)'!U$126,'Input data (2)'!$BL$1-$A40,0),""))))</f>
        <v>1899</v>
      </c>
      <c r="AC60" s="1">
        <f ca="1">IF(AND('Input data (2)'!$C$2=4,$D40&gt;=0),OFFSET('Input data (2)'!V$126,'Input data (2)'!$BL$1-$D40,0),IF(AND('Input data (2)'!$C$2=3,$C40&gt;=0),OFFSET('Input data (2)'!V$126,'Input data (2)'!$BL$1-$C40,0),IF(AND('Input data (2)'!$C$2=2,$B40&gt;=0),OFFSET('Input data (2)'!V$126,'Input data (2)'!$BL$1-$B40,0),IF(AND('Input data (2)'!$C$2=1,$A40&gt;=0),OFFSET('Input data (2)'!V$126,'Input data (2)'!$BL$1-$A40,0),""))))</f>
        <v>20.795006570302235</v>
      </c>
      <c r="AD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AE60" s="1">
        <f ca="1">IF(AND('Input data (2)'!$C$2=4,$D40&gt;=0),OFFSET('Input data (2)'!W$126,'Input data (2)'!$BL$1-$D40,0),IF(AND('Input data (2)'!$C$2=3,$C40&gt;=0),OFFSET('Input data (2)'!W$126,'Input data (2)'!$BL$1-$C40,0),IF(AND('Input data (2)'!$C$2=2,$B40&gt;=0),OFFSET('Input data (2)'!W$126,'Input data (2)'!$BL$1-$B40,0),IF(AND('Input data (2)'!$C$2=1,$A40&gt;=0),OFFSET('Input data (2)'!W$126,'Input data (2)'!$BL$1-$A40,0),""))))</f>
        <v>2213</v>
      </c>
      <c r="AF60" s="1">
        <f ca="1">IF(AND('Input data (2)'!$C$2=4,$D40&gt;=0),OFFSET('Input data (2)'!X$126,'Input data (2)'!$BL$1-$D40,0),IF(AND('Input data (2)'!$C$2=3,$C40&gt;=0),OFFSET('Input data (2)'!X$126,'Input data (2)'!$BL$1-$C40,0),IF(AND('Input data (2)'!$C$2=2,$B40&gt;=0),OFFSET('Input data (2)'!X$126,'Input data (2)'!$BL$1-$B40,0),IF(AND('Input data (2)'!$C$2=1,$A40&gt;=0),OFFSET('Input data (2)'!X$126,'Input data (2)'!$BL$1-$A40,0),""))))</f>
        <v>24.233464739378011</v>
      </c>
      <c r="AG60" s="1">
        <f ca="1">IF(AND('Input data (2)'!$C$2=4,$D40&gt;=0),OFFSET('Input data (2)'!Y$126,'Input data (2)'!$BL$1-$D40,0),IF(AND('Input data (2)'!$C$2=3,$C40&gt;=0),OFFSET('Input data (2)'!Y$126,'Input data (2)'!$BL$1-$C40,0),IF(AND('Input data (2)'!$C$2=2,$B40&gt;=0),OFFSET('Input data (2)'!Y$126,'Input data (2)'!$BL$1-$B40,0),IF(AND('Input data (2)'!$C$2=1,$A40&gt;=0),OFFSET('Input data (2)'!Y$126,'Input data (2)'!$BL$1-$A40,0),""))))</f>
        <v>6919</v>
      </c>
      <c r="AH60" s="1">
        <f ca="1">IF(AND('Input data (2)'!$C$2=4,$D40&gt;=0),OFFSET('Input data (2)'!Z$126,'Input data (2)'!$BL$1-$D40,0),IF(AND('Input data (2)'!$C$2=3,$C40&gt;=0),OFFSET('Input data (2)'!Z$126,'Input data (2)'!$BL$1-$C40,0),IF(AND('Input data (2)'!$C$2=2,$B40&gt;=0),OFFSET('Input data (2)'!Z$126,'Input data (2)'!$BL$1-$B40,0),IF(AND('Input data (2)'!$C$2=1,$A40&gt;=0),OFFSET('Input data (2)'!Z$126,'Input data (2)'!$BL$1-$A40,0),""))))</f>
        <v>75.766535260621993</v>
      </c>
      <c r="AI60" s="3"/>
      <c r="AJ60" s="124">
        <f ca="1">IF(AND('Input data (2)'!$C$2=4,$D40&gt;=0),OFFSET('Input data (2)'!AF$126,'Input data (2)'!$BL$1-$D40,0),IF(AND('Input data (2)'!$C$2=3,$C40&gt;=0),OFFSET('Input data (2)'!AF$126,'Input data (2)'!$BL$1-$C40,0),IF(AND('Input data (2)'!$C$2=2,$B40&gt;=0),OFFSET('Input data (2)'!AF$126,'Input data (2)'!$BL$1-$B40,0),IF(AND('Input data (2)'!$C$2=1,$A40&gt;=0),OFFSET('Input data (2)'!AF$126,'Input data (2)'!$BL$1-$A40,0),""))))</f>
        <v>0</v>
      </c>
      <c r="AK60" s="124">
        <f ca="1">IF(AND('Input data (2)'!$C$2=4,$D40&gt;=0),OFFSET('Input data (2)'!AD$126,'Input data (2)'!$BL$1-$D40,0),IF(AND('Input data (2)'!$C$2=3,$C40&gt;=0),OFFSET('Input data (2)'!AD$126,'Input data (2)'!$BL$1-$C40,0),IF(AND('Input data (2)'!$C$2=2,$B40&gt;=0),OFFSET('Input data (2)'!AD$126,'Input data (2)'!$BL$1-$B40,0),IF(AND('Input data (2)'!$C$2=1,$A40&gt;=0),OFFSET('Input data (2)'!AD$126,'Input data (2)'!$BL$1-$A40,0),""))))</f>
        <v>0</v>
      </c>
      <c r="AL60" s="124">
        <f ca="1">IF(AND('Input data (2)'!$C$2=4,$D40&gt;=0),OFFSET('Input data (2)'!AE$126,'Input data (2)'!$BL$1-$D40,0),IF(AND('Input data (2)'!$C$2=3,$C40&gt;=0),OFFSET('Input data (2)'!AE$126,'Input data (2)'!$BL$1-$C40,0),IF(AND('Input data (2)'!$C$2=2,$B40&gt;=0),OFFSET('Input data (2)'!AE$126,'Input data (2)'!$BL$1-$B40,0),IF(AND('Input data (2)'!$C$2=1,$A40&gt;=0),OFFSET('Input data (2)'!AE$126,'Input data (2)'!$BL$1-$A40,0),""))))</f>
        <v>0</v>
      </c>
      <c r="AW60" s="1">
        <f ca="1">IF(AND('Input data (2)'!$C$2=4,$D40&gt;=0),OFFSET('Input data (2)'!L$126,'Input data (2)'!$BL$1-$D40,0),IF(AND('Input data (2)'!$C$2=3,$C40&gt;=0),OFFSET('Input data (2)'!L$126,'Input data (2)'!$BL$1-$C40,0),IF(AND('Input data (2)'!$C$2=2,$B40&gt;=0),OFFSET('Input data (2)'!L$126,'Input data (2)'!$BL$1-$B40,0),IF(AND('Input data (2)'!$C$2=1,$A40&gt;=0),OFFSET('Input data (2)'!L$126,'Input data (2)'!$BL$1-$A40,0),""))))</f>
        <v>336</v>
      </c>
      <c r="AX60" s="1">
        <f ca="1">IF(AND('Input data (2)'!$C$2=4,$D40&gt;=0),OFFSET('Input data (2)'!M$126,'Input data (2)'!$BL$1-$D40,0),IF(AND('Input data (2)'!$C$2=3,$C40&gt;=0),OFFSET('Input data (2)'!M$126,'Input data (2)'!$BL$1-$C40,0),IF(AND('Input data (2)'!$C$2=2,$B40&gt;=0),OFFSET('Input data (2)'!M$126,'Input data (2)'!$BL$1-$B40,0),IF(AND('Input data (2)'!$C$2=1,$A40&gt;=0),OFFSET('Input data (2)'!M$126,'Input data (2)'!$BL$1-$A40,0),""))))</f>
        <v>0</v>
      </c>
      <c r="AY60" s="1">
        <f ca="1">IF(AND('Input data (2)'!$C$2=4,$D40&gt;=0),OFFSET('Input data (2)'!N$126,'Input data (2)'!$BL$1-$D40,0),IF(AND('Input data (2)'!$C$2=3,$C40&gt;=0),OFFSET('Input data (2)'!N$126,'Input data (2)'!$BL$1-$C40,0),IF(AND('Input data (2)'!$C$2=2,$B40&gt;=0),OFFSET('Input data (2)'!N$126,'Input data (2)'!$BL$1-$B40,0),IF(AND('Input data (2)'!$C$2=1,$A40&gt;=0),OFFSET('Input data (2)'!N$126,'Input data (2)'!$BL$1-$A40,0),""))))</f>
        <v>779</v>
      </c>
      <c r="AZ60" s="1">
        <f ca="1">IF(AND('Input data (2)'!$C$2=4,$D40&gt;=0),OFFSET('Input data (2)'!P$126,'Input data (2)'!$BL$1-$D40,0),IF(AND('Input data (2)'!$C$2=3,$C40&gt;=0),OFFSET('Input data (2)'!P$126,'Input data (2)'!$BL$1-$C40,0),IF(AND('Input data (2)'!$C$2=2,$B40&gt;=0),OFFSET('Input data (2)'!P$126,'Input data (2)'!$BL$1-$B40,0),IF(AND('Input data (2)'!$C$2=1,$A40&gt;=0),OFFSET('Input data (2)'!P$126,'Input data (2)'!$BL$1-$A40,0),""))))</f>
        <v>175</v>
      </c>
      <c r="BB60" s="1">
        <f ca="1">IF(AND('Input data (2)'!$C$2=4,$D40&gt;=0),OFFSET('Input data (2)'!BB$126,'Input data (2)'!$BL$1-$D40,0),IF(AND('Input data (2)'!$C$2=3,$C40&gt;=0),OFFSET('Input data (2)'!BB$126,'Input data (2)'!$BL$1-$C40,0),IF(AND('Input data (2)'!$C$2=2,$B40&gt;=0),OFFSET('Input data (2)'!BB$126,'Input data (2)'!$BL$1-$B40,0),IF(AND('Input data (2)'!$C$2=1,$A40&gt;=0),OFFSET('Input data (2)'!BB$126,'Input data (2)'!$BL$1-$A40,0),""))))</f>
        <v>4873</v>
      </c>
      <c r="BC60" s="1">
        <f ca="1">IF(AND('Input data (2)'!$C$2=4,$D40&gt;=0),OFFSET('Input data (2)'!AY$126,'Input data (2)'!$BL$1-$D40,0),IF(AND('Input data (2)'!$C$2=3,$C40&gt;=0),OFFSET('Input data (2)'!AY$126,'Input data (2)'!$BL$1-$C40,0),IF(AND('Input data (2)'!$C$2=2,$B40&gt;=0),OFFSET('Input data (2)'!AY$126,'Input data (2)'!$BL$1-$B40,0),IF(AND('Input data (2)'!$C$2=1,$A40&gt;=0),OFFSET('Input data (2)'!AY$126,'Input data (2)'!$BL$1-$A40,0),""))))</f>
        <v>2626</v>
      </c>
      <c r="BD60" s="1">
        <f ca="1">IF(AND('Input data (2)'!$C$2=4,$D40&gt;=0),OFFSET('Input data (2)'!AZ$126,'Input data (2)'!$BL$1-$D40,0),IF(AND('Input data (2)'!$C$2=3,$C40&gt;=0),OFFSET('Input data (2)'!AZ$126,'Input data (2)'!$BL$1-$C40,0),IF(AND('Input data (2)'!$C$2=2,$B40&gt;=0),OFFSET('Input data (2)'!AZ$126,'Input data (2)'!$BL$1-$B40,0),IF(AND('Input data (2)'!$C$2=1,$A40&gt;=0),OFFSET('Input data (2)'!AZ$126,'Input data (2)'!$BL$1-$A40,0),""))))</f>
        <v>1060</v>
      </c>
      <c r="BE60" s="1">
        <f ca="1">IF(AND('Input data (2)'!$C$2=4,$D40&gt;=0),OFFSET('Input data (2)'!BA$126,'Input data (2)'!$BL$1-$D40,0),IF(AND('Input data (2)'!$C$2=3,$C40&gt;=0),OFFSET('Input data (2)'!BA$126,'Input data (2)'!$BL$1-$C40,0),IF(AND('Input data (2)'!$C$2=2,$B40&gt;=0),OFFSET('Input data (2)'!BA$126,'Input data (2)'!$BL$1-$B40,0),IF(AND('Input data (2)'!$C$2=1,$A40&gt;=0),OFFSET('Input data (2)'!BA$126,'Input data (2)'!$BL$1-$A40,0),""))))</f>
        <v>2247</v>
      </c>
      <c r="BF60" s="1">
        <f ca="1">IF(AND('Input data (2)'!$C$2=4,$D40&gt;=0),OFFSET('Input data (2)'!AP$126,'Input data (2)'!$BL$1-$D40,0),IF(AND('Input data (2)'!$C$2=3,$C40&gt;=0),OFFSET('Input data (2)'!AP$126,'Input data (2)'!$BL$1-$C40,0),IF(AND('Input data (2)'!$C$2=2,$B40&gt;=0),OFFSET('Input data (2)'!AP$126,'Input data (2)'!$BL$1-$B40,0),IF(AND('Input data (2)'!$C$2=1,$A40&gt;=0),OFFSET('Input data (2)'!AP$126,'Input data (2)'!$BL$1-$A40,0),""))))</f>
        <v>377</v>
      </c>
      <c r="BG60" s="1">
        <f ca="1">IF(AND('Input data (2)'!$C$2=4,$D40&gt;=0),OFFSET('Input data (2)'!AN$126,'Input data (2)'!$BL$1-$D40,0),IF(AND('Input data (2)'!$C$2=3,$C40&gt;=0),OFFSET('Input data (2)'!AN$126,'Input data (2)'!$BL$1-$C40,0),IF(AND('Input data (2)'!$C$2=2,$B40&gt;=0),OFFSET('Input data (2)'!AN$126,'Input data (2)'!$BL$1-$B40,0),IF(AND('Input data (2)'!$C$2=1,$A40&gt;=0),OFFSET('Input data (2)'!AN$126,'Input data (2)'!$BL$1-$A40,0),""))))</f>
        <v>311</v>
      </c>
      <c r="BH60" s="1">
        <f ca="1">IF(AND('Input data (2)'!$C$2=4,$D40&gt;=0),OFFSET('Input data (2)'!AO$126,'Input data (2)'!$BL$1-$D40,0),IF(AND('Input data (2)'!$C$2=3,$C40&gt;=0),OFFSET('Input data (2)'!AO$126,'Input data (2)'!$BL$1-$C40,0),IF(AND('Input data (2)'!$C$2=2,$B40&gt;=0),OFFSET('Input data (2)'!AO$126,'Input data (2)'!$BL$1-$B40,0),IF(AND('Input data (2)'!$C$2=1,$A40&gt;=0),OFFSET('Input data (2)'!AO$126,'Input data (2)'!$BL$1-$A40,0),""))))</f>
        <v>66</v>
      </c>
      <c r="BJ60" s="1">
        <f ca="1">IF(AND('Input data (2)'!$C$2=4,$D40&gt;=0),OFFSET('Input data (2)'!AU$126,'Input data (2)'!$BL$1-$D40,0),IF(AND('Input data (2)'!$C$2=3,$C40&gt;=0),OFFSET('Input data (2)'!AU$126,'Input data (2)'!$BL$1-$C40,0),IF(AND('Input data (2)'!$C$2=2,$B40&gt;=0),OFFSET('Input data (2)'!AU$126,'Input data (2)'!$BL$1-$B40,0),IF(AND('Input data (2)'!$C$2=1,$A40&gt;=0),OFFSET('Input data (2)'!AU$126,'Input data (2)'!$BL$1-$A40,0),""))))</f>
        <v>6</v>
      </c>
      <c r="BK60" s="1">
        <f ca="1">IF(AND('Input data (2)'!$C$2=4,$D40&gt;=0),OFFSET('Input data (2)'!AV$126,'Input data (2)'!$BL$1-$D40,0),IF(AND('Input data (2)'!$C$2=3,$C40&gt;=0),OFFSET('Input data (2)'!AV$126,'Input data (2)'!$BL$1-$C40,0),IF(AND('Input data (2)'!$C$2=2,$B40&gt;=0),OFFSET('Input data (2)'!AV$126,'Input data (2)'!$BL$1-$B40,0),IF(AND('Input data (2)'!$C$2=1,$A40&gt;=0),OFFSET('Input data (2)'!AV$126,'Input data (2)'!$BL$1-$A40,0),""))))</f>
        <v>0</v>
      </c>
      <c r="BL60" s="1">
        <f ca="1">IF(AND('Input data (2)'!$C$2=4,$D40&gt;=0),OFFSET('Input data (2)'!AW$126,'Input data (2)'!$BL$1-$D40,0),IF(AND('Input data (2)'!$C$2=3,$C40&gt;=0),OFFSET('Input data (2)'!AW$126,'Input data (2)'!$BL$1-$C40,0),IF(AND('Input data (2)'!$C$2=2,$B40&gt;=0),OFFSET('Input data (2)'!AW$126,'Input data (2)'!$BL$1-$B40,0),IF(AND('Input data (2)'!$C$2=1,$A40&gt;=0),OFFSET('Input data (2)'!AW$126,'Input data (2)'!$BL$1-$A40,0),""))))</f>
        <v>49</v>
      </c>
      <c r="BM60" s="1">
        <f ca="1">IF(AND('Input data (2)'!$C$2=4,$D40&gt;=0),OFFSET('Input data (2)'!AX$126,'Input data (2)'!$BL$1-$D40,0),IF(AND('Input data (2)'!$C$2=3,$C40&gt;=0),OFFSET('Input data (2)'!AX$126,'Input data (2)'!$BL$1-$C40,0),IF(AND('Input data (2)'!$C$2=2,$B40&gt;=0),OFFSET('Input data (2)'!AX$126,'Input data (2)'!$BL$1-$B40,0),IF(AND('Input data (2)'!$C$2=1,$A40&gt;=0),OFFSET('Input data (2)'!AX$126,'Input data (2)'!$BL$1-$A40,0),""))))</f>
        <v>1</v>
      </c>
      <c r="BO60" s="1">
        <f ca="1">IF(AND('Input data (2)'!$C$2=4,$D40&gt;=0),OFFSET('Input data (2)'!BL$126,'Input data (2)'!$BL$1-$D40,0),IF(AND('Input data (2)'!$C$2=3,$C40&gt;=0),OFFSET('Input data (2)'!BL$126,'Input data (2)'!$BL$1-$C40,0),IF(AND('Input data (2)'!$C$2=2,$B40&gt;=0),OFFSET('Input data (2)'!BL$126,'Input data (2)'!$BL$1-$B40,0),IF(AND('Input data (2)'!$C$2=1,$A40&gt;=0),OFFSET('Input data (2)'!BL$126,'Input data (2)'!$BL$1-$A40,0),""))))</f>
        <v>794</v>
      </c>
      <c r="BP60" s="1">
        <f ca="1">IF(AND('Input data (2)'!$C$2=4,$D40&gt;=0),OFFSET('Input data (2)'!BI$126,'Input data (2)'!$BL$1-$D40,0),IF(AND('Input data (2)'!$C$2=3,$C40&gt;=0),OFFSET('Input data (2)'!BI$126,'Input data (2)'!$BL$1-$C40,0),IF(AND('Input data (2)'!$C$2=2,$B40&gt;=0),OFFSET('Input data (2)'!BI$126,'Input data (2)'!$BL$1-$B40,0),IF(AND('Input data (2)'!$C$2=1,$A40&gt;=0),OFFSET('Input data (2)'!BI$126,'Input data (2)'!$BL$1-$A40,0),""))))</f>
        <v>405</v>
      </c>
      <c r="BQ60" s="1">
        <f ca="1">IF(AND('Input data (2)'!$C$2=4,$D40&gt;=0),OFFSET('Input data (2)'!BK$126,'Input data (2)'!$BL$1-$D40,0),IF(AND('Input data (2)'!$C$2=3,$C40&gt;=0),OFFSET('Input data (2)'!BK$126,'Input data (2)'!$BL$1-$C40,0),IF(AND('Input data (2)'!$C$2=2,$B40&gt;=0),OFFSET('Input data (2)'!BK$126,'Input data (2)'!$BL$1-$B40,0),IF(AND('Input data (2)'!$C$2=1,$A40&gt;=0),OFFSET('Input data (2)'!BK$126,'Input data (2)'!$BL$1-$A40,0),""))))</f>
        <v>113</v>
      </c>
      <c r="BR60" s="1">
        <f ca="1">IF(AND('Input data (2)'!$C$2=4,$D40&gt;=0),OFFSET('Input data (2)'!BJ$126,'Input data (2)'!$BL$1-$D40,0),IF(AND('Input data (2)'!$C$2=3,$C40&gt;=0),OFFSET('Input data (2)'!BJ$126,'Input data (2)'!$BL$1-$C40,0),IF(AND('Input data (2)'!$C$2=2,$B40&gt;=0),OFFSET('Input data (2)'!BJ$126,'Input data (2)'!$BL$1-$B40,0),IF(AND('Input data (2)'!$C$2=1,$A40&gt;=0),OFFSET('Input data (2)'!BJ$126,'Input data (2)'!$BL$1-$A40,0),""))))</f>
        <v>276</v>
      </c>
      <c r="BS60" s="1">
        <f ca="1">IF(AND('Input data (2)'!$C$2=4,$D40&gt;=0),OFFSET('Input data (2)'!BF$126,'Input data (2)'!$BL$1-$D40,0),IF(AND('Input data (2)'!$C$2=3,$C40&gt;=0),OFFSET('Input data (2)'!BF$126,'Input data (2)'!$BL$1-$C40,0),IF(AND('Input data (2)'!$C$2=2,$B40&gt;=0),OFFSET('Input data (2)'!BF$126,'Input data (2)'!$BL$1-$B40,0),IF(AND('Input data (2)'!$C$2=1,$A40&gt;=0),OFFSET('Input data (2)'!BF$126,'Input data (2)'!$BL$1-$A40,0),""))))</f>
        <v>111</v>
      </c>
      <c r="BT60" s="1">
        <f ca="1">IF(AND('Input data (2)'!$C$2=4,$D40&gt;=0),OFFSET('Input data (2)'!BD$126,'Input data (2)'!$BL$1-$D40,0),IF(AND('Input data (2)'!$C$2=3,$C40&gt;=0),OFFSET('Input data (2)'!BD$126,'Input data (2)'!$BL$1-$C40,0),IF(AND('Input data (2)'!$C$2=2,$B40&gt;=0),OFFSET('Input data (2)'!BD$126,'Input data (2)'!$BL$1-$B40,0),IF(AND('Input data (2)'!$C$2=1,$A40&gt;=0),OFFSET('Input data (2)'!BD$126,'Input data (2)'!$BL$1-$A40,0),""))))</f>
        <v>72</v>
      </c>
      <c r="BU60" s="1">
        <f ca="1">IF(AND('Input data (2)'!$C$2=4,$D40&gt;=0),OFFSET('Input data (2)'!BE$126,'Input data (2)'!$BL$1-$D40,0),IF(AND('Input data (2)'!$C$2=3,$C40&gt;=0),OFFSET('Input data (2)'!BE$126,'Input data (2)'!$BL$1-$C40,0),IF(AND('Input data (2)'!$C$2=2,$B40&gt;=0),OFFSET('Input data (2)'!BE$126,'Input data (2)'!$BL$1-$B40,0),IF(AND('Input data (2)'!$C$2=1,$A40&gt;=0),OFFSET('Input data (2)'!BE$126,'Input data (2)'!$BL$1-$A40,0),""))))</f>
        <v>39</v>
      </c>
      <c r="BW60" s="7">
        <f ca="1">IF(AND('Input data (2)'!$C$2=4,$D40&gt;=0),OFFSET('Input data (2)'!J$126,'Input data (2)'!$BL$1-$D40,0),IF(AND('Input data (2)'!$C$2=3,$C40&gt;=0),OFFSET('Input data (2)'!J$126,'Input data (2)'!$BL$1-$C40,0),IF(AND('Input data (2)'!$C$2=2,$B40&gt;=0),OFFSET('Input data (2)'!J$126,'Input data (2)'!$BL$1-$B40,0),IF(AND('Input data (2)'!$C$2=1,$A40&gt;=0),OFFSET('Input data (2)'!J$126,'Input data (2)'!$BL$1-$A40,0),""))))</f>
        <v>0.76767989252905289</v>
      </c>
      <c r="BX60" s="7">
        <f ca="1">IF(AND('Input data (2)'!$C$2=4,$D40&gt;=0),OFFSET('Input data (2)'!K$126,'Input data (2)'!$BL$1-$D40,0),IF(AND('Input data (2)'!$C$2=3,$C40&gt;=0),OFFSET('Input data (2)'!K$126,'Input data (2)'!$BL$1-$C40,0),IF(AND('Input data (2)'!$C$2=2,$B40&gt;=0),OFFSET('Input data (2)'!K$126,'Input data (2)'!$BL$1-$B40,0),IF(AND('Input data (2)'!$C$2=1,$A40&gt;=0),OFFSET('Input data (2)'!K$126,'Input data (2)'!$BL$1-$A40,0),""))))</f>
        <v>0.70198746284880387</v>
      </c>
      <c r="BY60" s="7">
        <f ca="1">IF(AND('Input data (2)'!$C$2=4,$D40&gt;=0),OFFSET('Input data (2)'!AS$126,'Input data (2)'!$BL$1-$D40,0),IF(AND('Input data (2)'!$C$2=3,$C40&gt;=0),OFFSET('Input data (2)'!AS$126,'Input data (2)'!$BL$1-$C40,0),IF(AND('Input data (2)'!$C$2=2,$B40&gt;=0),OFFSET('Input data (2)'!AS$126,'Input data (2)'!$BL$1-$B40,0),IF(AND('Input data (2)'!$C$2=1,$A40&gt;=0),OFFSET('Input data (2)'!AS$126,'Input data (2)'!$BL$1-$A40,0),""))))</f>
        <v>0.96897642338826007</v>
      </c>
      <c r="BZ60" s="7">
        <f ca="1">IF(AND('Input data (2)'!$C$2=4,$D40&gt;=0),OFFSET('Input data (2)'!AT$126,'Input data (2)'!$BL$1-$D40,0),IF(AND('Input data (2)'!$C$2=3,$C40&gt;=0),OFFSET('Input data (2)'!AT$126,'Input data (2)'!$BL$1-$C40,0),IF(AND('Input data (2)'!$C$2=2,$B40&gt;=0),OFFSET('Input data (2)'!AT$126,'Input data (2)'!$BL$1-$B40,0),IF(AND('Input data (2)'!$C$2=1,$A40&gt;=0),OFFSET('Input data (2)'!AT$126,'Input data (2)'!$BL$1-$A40,0),""))))</f>
        <v>0.86580320541748534</v>
      </c>
      <c r="CB60" s="122"/>
      <c r="CC60" s="122"/>
      <c r="CD60" s="122"/>
      <c r="CE60" s="122"/>
    </row>
    <row r="61" spans="5:94" x14ac:dyDescent="0.15">
      <c r="E61" s="1" t="str">
        <f>F61&amp;G61</f>
        <v>2012Q2</v>
      </c>
      <c r="F61" s="1">
        <f>F56+1</f>
        <v>2012</v>
      </c>
      <c r="G61" s="1" t="s">
        <v>2</v>
      </c>
      <c r="H61" s="1">
        <f>VLOOKUP($E61,'Input data (2)'!$A:$BL,'Output data - DO NOT TOUCH (2)'!H$71,FALSE)</f>
        <v>4110</v>
      </c>
      <c r="I61" s="1">
        <f>VLOOKUP($E61,'Input data (2)'!$A:$BL,'Output data - DO NOT TOUCH (2)'!I$71,FALSE)</f>
        <v>1031</v>
      </c>
      <c r="J61" s="1">
        <f>VLOOKUP($E61,'Input data (2)'!$A:$BL,'Output data - DO NOT TOUCH (2)'!J$71,FALSE)</f>
        <v>3079</v>
      </c>
      <c r="K61" s="1">
        <f>VLOOKUP($E61,'Input data (2)'!$A:$BL,'Output data - DO NOT TOUCH (2)'!K$71,FALSE)</f>
        <v>4064</v>
      </c>
      <c r="L61" s="1">
        <f>VLOOKUP($E61,'Input data (2)'!$A:$BL,'Output data - DO NOT TOUCH (2)'!L$71,FALSE)</f>
        <v>1028</v>
      </c>
      <c r="M61" s="1">
        <f>VLOOKUP($E61,'Input data (2)'!$A:$BL,'Output data - DO NOT TOUCH (2)'!M$71,FALSE)</f>
        <v>3036</v>
      </c>
      <c r="O61" s="119">
        <f ca="1">IF(AND('Input data (2)'!$C$2=4,$D41&gt;=0),OFFSET('Input data (2)'!O$126,'Input data (2)'!$BL$1-$D41,0),IF(AND('Input data (2)'!$C$2=3,$C41&gt;=0),OFFSET('Input data (2)'!O$126,'Input data (2)'!$BL$1-$C41,0),IF(AND('Input data (2)'!$C$2=2,$B41&gt;=0),OFFSET('Input data (2)'!O$126,'Input data (2)'!$BL$1-$B41,0),IF(AND('Input data (2)'!$C$2=1,$A41&gt;=0),OFFSET('Input data (2)'!O$126,'Input data (2)'!$BL$1-$A41,0),""))))</f>
        <v>234</v>
      </c>
      <c r="Q61" s="1">
        <f ca="1">IF(AND('Input data (2)'!$C$2=4,$D41&gt;=0),OFFSET('Input data (2)'!AC$126,'Input data (2)'!$BL$1-$D41,0),IF(AND('Input data (2)'!$C$2=3,$C41&gt;=0),OFFSET('Input data (2)'!AC$126,'Input data (2)'!$BL$1-$C41,0),IF(AND('Input data (2)'!$C$2=2,$B41&gt;=0),OFFSET('Input data (2)'!AC$126,'Input data (2)'!$BL$1-$B41,0),IF(AND('Input data (2)'!$C$2=1,$A41&gt;=0),OFFSET('Input data (2)'!AC$126,'Input data (2)'!$BL$1-$A41,0),""))))</f>
        <v>27395</v>
      </c>
      <c r="R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S61" s="1">
        <f ca="1">IF(AND('Input data (2)'!$C$2=4,$D41&gt;=0),OFFSET('Input data (2)'!R$126,'Input data (2)'!$BL$1-$D41,0),IF(AND('Input data (2)'!$C$2=3,$C41&gt;=0),OFFSET('Input data (2)'!R$126,'Input data (2)'!$BL$1-$C41,0),IF(AND('Input data (2)'!$C$2=2,$B41&gt;=0),OFFSET('Input data (2)'!R$126,'Input data (2)'!$BL$1-$B41,0),IF(AND('Input data (2)'!$C$2=1,$A41&gt;=0),OFFSET('Input data (2)'!R$126,'Input data (2)'!$BL$1-$A41,0),""))))</f>
        <v>7956</v>
      </c>
      <c r="T61" s="1">
        <f ca="1">IF(AND('Input data (2)'!$C$2=4,$D41&gt;=0),OFFSET('Input data (2)'!AA$126,'Input data (2)'!$BL$1-$D41,0),IF(AND('Input data (2)'!$C$2=3,$C41&gt;=0),OFFSET('Input data (2)'!AA$126,'Input data (2)'!$BL$1-$C41,0),IF(AND('Input data (2)'!$C$2=2,$B41&gt;=0),OFFSET('Input data (2)'!AA$126,'Input data (2)'!$BL$1-$B41,0),IF(AND('Input data (2)'!$C$2=1,$A41&gt;=0),OFFSET('Input data (2)'!AA$126,'Input data (2)'!$BL$1-$A41,0),""))))</f>
        <v>11346</v>
      </c>
      <c r="U61" s="1" t="str">
        <f ca="1">IF(AND('Input data (2)'!$C$2=4,$D41&gt;=0),OFFSET('Input data (2)'!AL$126,'Input data (2)'!$BL$1-$D41,0),IF(AND('Input data (2)'!$C$2=3,$C41&gt;=0),OFFSET('Input data (2)'!AL$126,'Input data (2)'!$BL$1-$C41,0),IF(AND('Input data (2)'!$C$2=2,$B41&gt;=0),OFFSET('Input data (2)'!AL$126,'Input data (2)'!$BL$1-$B41,0),IF(AND('Input data (2)'!$C$2=1,$A41&gt;=0),OFFSET('Input data (2)'!AL$126,'Input data (2)'!$BL$1-$A41,0),""))))</f>
        <v>:</v>
      </c>
      <c r="V61" s="1">
        <f ca="1">IF(AND('Input data (2)'!$C$2=4,$D41&gt;=0),OFFSET('Input data (2)'!AJ$126,'Input data (2)'!$BL$1-$D41,0),IF(AND('Input data (2)'!$C$2=3,$C41&gt;=0),OFFSET('Input data (2)'!AJ$126,'Input data (2)'!$BL$1-$C41,0),IF(AND('Input data (2)'!$C$2=2,$B41&gt;=0),OFFSET('Input data (2)'!AJ$126,'Input data (2)'!$BL$1-$B41,0),IF(AND('Input data (2)'!$C$2=1,$A41&gt;=0),OFFSET('Input data (2)'!AJ$126,'Input data (2)'!$BL$1-$A41,0),""))))</f>
        <v>8195</v>
      </c>
      <c r="W61" s="1">
        <f ca="1">IF(AND('Input data (2)'!$C$2=4,$D41&gt;=0),OFFSET('Input data (2)'!AK$126,'Input data (2)'!$BL$1-$D41,0),IF(AND('Input data (2)'!$C$2=3,$C41&gt;=0),OFFSET('Input data (2)'!AK$126,'Input data (2)'!$BL$1-$C41,0),IF(AND('Input data (2)'!$C$2=2,$B41&gt;=0),OFFSET('Input data (2)'!AK$126,'Input data (2)'!$BL$1-$B41,0),IF(AND('Input data (2)'!$C$2=1,$A41&gt;=0),OFFSET('Input data (2)'!AK$126,'Input data (2)'!$BL$1-$A41,0),""))))</f>
        <v>11210</v>
      </c>
      <c r="Y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Z61" s="1">
        <f ca="1">IF(AND('Input data (2)'!$C$2=4,$D41&gt;=0),OFFSET('Input data (2)'!S$126,'Input data (2)'!$BL$1-$D41,0),IF(AND('Input data (2)'!$C$2=3,$C41&gt;=0),OFFSET('Input data (2)'!S$126,'Input data (2)'!$BL$1-$C41,0),IF(AND('Input data (2)'!$C$2=2,$B41&gt;=0),OFFSET('Input data (2)'!S$126,'Input data (2)'!$BL$1-$B41,0),IF(AND('Input data (2)'!$C$2=1,$A41&gt;=0),OFFSET('Input data (2)'!S$126,'Input data (2)'!$BL$1-$A41,0),""))))</f>
        <v>6426</v>
      </c>
      <c r="AA61" s="1">
        <f ca="1">IF(AND('Input data (2)'!$C$2=4,$D41&gt;=0),OFFSET('Input data (2)'!T$126,'Input data (2)'!$BL$1-$D41,0),IF(AND('Input data (2)'!$C$2=3,$C41&gt;=0),OFFSET('Input data (2)'!T$126,'Input data (2)'!$BL$1-$C41,0),IF(AND('Input data (2)'!$C$2=2,$B41&gt;=0),OFFSET('Input data (2)'!T$126,'Input data (2)'!$BL$1-$B41,0),IF(AND('Input data (2)'!$C$2=1,$A41&gt;=0),OFFSET('Input data (2)'!T$126,'Input data (2)'!$BL$1-$A41,0),""))))</f>
        <v>79.40195230446065</v>
      </c>
      <c r="AB61" s="1">
        <f ca="1">IF(AND('Input data (2)'!$C$2=4,$D41&gt;=0),OFFSET('Input data (2)'!U$126,'Input data (2)'!$BL$1-$D41,0),IF(AND('Input data (2)'!$C$2=3,$C41&gt;=0),OFFSET('Input data (2)'!U$126,'Input data (2)'!$BL$1-$C41,0),IF(AND('Input data (2)'!$C$2=2,$B41&gt;=0),OFFSET('Input data (2)'!U$126,'Input data (2)'!$BL$1-$B41,0),IF(AND('Input data (2)'!$C$2=1,$A41&gt;=0),OFFSET('Input data (2)'!U$126,'Input data (2)'!$BL$1-$A41,0),""))))</f>
        <v>1667</v>
      </c>
      <c r="AC61" s="1">
        <f ca="1">IF(AND('Input data (2)'!$C$2=4,$D41&gt;=0),OFFSET('Input data (2)'!V$126,'Input data (2)'!$BL$1-$D41,0),IF(AND('Input data (2)'!$C$2=3,$C41&gt;=0),OFFSET('Input data (2)'!V$126,'Input data (2)'!$BL$1-$C41,0),IF(AND('Input data (2)'!$C$2=2,$B41&gt;=0),OFFSET('Input data (2)'!V$126,'Input data (2)'!$BL$1-$B41,0),IF(AND('Input data (2)'!$C$2=1,$A41&gt;=0),OFFSET('Input data (2)'!V$126,'Input data (2)'!$BL$1-$A41,0),""))))</f>
        <v>20.598047695539353</v>
      </c>
      <c r="AD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AE61" s="1">
        <f ca="1">IF(AND('Input data (2)'!$C$2=4,$D41&gt;=0),OFFSET('Input data (2)'!W$126,'Input data (2)'!$BL$1-$D41,0),IF(AND('Input data (2)'!$C$2=3,$C41&gt;=0),OFFSET('Input data (2)'!W$126,'Input data (2)'!$BL$1-$C41,0),IF(AND('Input data (2)'!$C$2=2,$B41&gt;=0),OFFSET('Input data (2)'!W$126,'Input data (2)'!$BL$1-$B41,0),IF(AND('Input data (2)'!$C$2=1,$A41&gt;=0),OFFSET('Input data (2)'!W$126,'Input data (2)'!$BL$1-$A41,0),""))))</f>
        <v>1973</v>
      </c>
      <c r="AF61" s="1">
        <f ca="1">IF(AND('Input data (2)'!$C$2=4,$D41&gt;=0),OFFSET('Input data (2)'!X$126,'Input data (2)'!$BL$1-$D41,0),IF(AND('Input data (2)'!$C$2=3,$C41&gt;=0),OFFSET('Input data (2)'!X$126,'Input data (2)'!$BL$1-$C41,0),IF(AND('Input data (2)'!$C$2=2,$B41&gt;=0),OFFSET('Input data (2)'!X$126,'Input data (2)'!$BL$1-$B41,0),IF(AND('Input data (2)'!$C$2=1,$A41&gt;=0),OFFSET('Input data (2)'!X$126,'Input data (2)'!$BL$1-$A41,0),""))))</f>
        <v>24.379093043370816</v>
      </c>
      <c r="AG61" s="1">
        <f ca="1">IF(AND('Input data (2)'!$C$2=4,$D41&gt;=0),OFFSET('Input data (2)'!Y$126,'Input data (2)'!$BL$1-$D41,0),IF(AND('Input data (2)'!$C$2=3,$C41&gt;=0),OFFSET('Input data (2)'!Y$126,'Input data (2)'!$BL$1-$C41,0),IF(AND('Input data (2)'!$C$2=2,$B41&gt;=0),OFFSET('Input data (2)'!Y$126,'Input data (2)'!$BL$1-$B41,0),IF(AND('Input data (2)'!$C$2=1,$A41&gt;=0),OFFSET('Input data (2)'!Y$126,'Input data (2)'!$BL$1-$A41,0),""))))</f>
        <v>6120</v>
      </c>
      <c r="AH61" s="1">
        <f ca="1">IF(AND('Input data (2)'!$C$2=4,$D41&gt;=0),OFFSET('Input data (2)'!Z$126,'Input data (2)'!$BL$1-$D41,0),IF(AND('Input data (2)'!$C$2=3,$C41&gt;=0),OFFSET('Input data (2)'!Z$126,'Input data (2)'!$BL$1-$C41,0),IF(AND('Input data (2)'!$C$2=2,$B41&gt;=0),OFFSET('Input data (2)'!Z$126,'Input data (2)'!$BL$1-$B41,0),IF(AND('Input data (2)'!$C$2=1,$A41&gt;=0),OFFSET('Input data (2)'!Z$126,'Input data (2)'!$BL$1-$A41,0),""))))</f>
        <v>75.620906956629184</v>
      </c>
      <c r="AI61" s="3"/>
      <c r="AJ61" s="124">
        <f ca="1">IF(AND('Input data (2)'!$C$2=4,$D41&gt;=0),OFFSET('Input data (2)'!AF$126,'Input data (2)'!$BL$1-$D41,0),IF(AND('Input data (2)'!$C$2=3,$C41&gt;=0),OFFSET('Input data (2)'!AF$126,'Input data (2)'!$BL$1-$C41,0),IF(AND('Input data (2)'!$C$2=2,$B41&gt;=0),OFFSET('Input data (2)'!AF$126,'Input data (2)'!$BL$1-$B41,0),IF(AND('Input data (2)'!$C$2=1,$A41&gt;=0),OFFSET('Input data (2)'!AF$126,'Input data (2)'!$BL$1-$A41,0),""))))</f>
        <v>0</v>
      </c>
      <c r="AK61" s="124">
        <f ca="1">IF(AND('Input data (2)'!$C$2=4,$D41&gt;=0),OFFSET('Input data (2)'!AD$126,'Input data (2)'!$BL$1-$D41,0),IF(AND('Input data (2)'!$C$2=3,$C41&gt;=0),OFFSET('Input data (2)'!AD$126,'Input data (2)'!$BL$1-$C41,0),IF(AND('Input data (2)'!$C$2=2,$B41&gt;=0),OFFSET('Input data (2)'!AD$126,'Input data (2)'!$BL$1-$B41,0),IF(AND('Input data (2)'!$C$2=1,$A41&gt;=0),OFFSET('Input data (2)'!AD$126,'Input data (2)'!$BL$1-$A41,0),""))))</f>
        <v>0</v>
      </c>
      <c r="AL61" s="124">
        <f ca="1">IF(AND('Input data (2)'!$C$2=4,$D41&gt;=0),OFFSET('Input data (2)'!AE$126,'Input data (2)'!$BL$1-$D41,0),IF(AND('Input data (2)'!$C$2=3,$C41&gt;=0),OFFSET('Input data (2)'!AE$126,'Input data (2)'!$BL$1-$C41,0),IF(AND('Input data (2)'!$C$2=2,$B41&gt;=0),OFFSET('Input data (2)'!AE$126,'Input data (2)'!$BL$1-$B41,0),IF(AND('Input data (2)'!$C$2=1,$A41&gt;=0),OFFSET('Input data (2)'!AE$126,'Input data (2)'!$BL$1-$A41,0),""))))</f>
        <v>0</v>
      </c>
      <c r="AW61" s="1">
        <f ca="1">IF(AND('Input data (2)'!$C$2=4,$D41&gt;=0),OFFSET('Input data (2)'!L$126,'Input data (2)'!$BL$1-$D41,0),IF(AND('Input data (2)'!$C$2=3,$C41&gt;=0),OFFSET('Input data (2)'!L$126,'Input data (2)'!$BL$1-$C41,0),IF(AND('Input data (2)'!$C$2=2,$B41&gt;=0),OFFSET('Input data (2)'!L$126,'Input data (2)'!$BL$1-$B41,0),IF(AND('Input data (2)'!$C$2=1,$A41&gt;=0),OFFSET('Input data (2)'!L$126,'Input data (2)'!$BL$1-$A41,0),""))))</f>
        <v>333</v>
      </c>
      <c r="AX61" s="1">
        <f ca="1">IF(AND('Input data (2)'!$C$2=4,$D41&gt;=0),OFFSET('Input data (2)'!M$126,'Input data (2)'!$BL$1-$D41,0),IF(AND('Input data (2)'!$C$2=3,$C41&gt;=0),OFFSET('Input data (2)'!M$126,'Input data (2)'!$BL$1-$C41,0),IF(AND('Input data (2)'!$C$2=2,$B41&gt;=0),OFFSET('Input data (2)'!M$126,'Input data (2)'!$BL$1-$B41,0),IF(AND('Input data (2)'!$C$2=1,$A41&gt;=0),OFFSET('Input data (2)'!M$126,'Input data (2)'!$BL$1-$A41,0),""))))</f>
        <v>0</v>
      </c>
      <c r="AY61" s="1">
        <f ca="1">IF(AND('Input data (2)'!$C$2=4,$D41&gt;=0),OFFSET('Input data (2)'!N$126,'Input data (2)'!$BL$1-$D41,0),IF(AND('Input data (2)'!$C$2=3,$C41&gt;=0),OFFSET('Input data (2)'!N$126,'Input data (2)'!$BL$1-$C41,0),IF(AND('Input data (2)'!$C$2=2,$B41&gt;=0),OFFSET('Input data (2)'!N$126,'Input data (2)'!$BL$1-$B41,0),IF(AND('Input data (2)'!$C$2=1,$A41&gt;=0),OFFSET('Input data (2)'!N$126,'Input data (2)'!$BL$1-$A41,0),""))))</f>
        <v>625</v>
      </c>
      <c r="AZ61" s="1">
        <f ca="1">IF(AND('Input data (2)'!$C$2=4,$D41&gt;=0),OFFSET('Input data (2)'!P$126,'Input data (2)'!$BL$1-$D41,0),IF(AND('Input data (2)'!$C$2=3,$C41&gt;=0),OFFSET('Input data (2)'!P$126,'Input data (2)'!$BL$1-$C41,0),IF(AND('Input data (2)'!$C$2=2,$B41&gt;=0),OFFSET('Input data (2)'!P$126,'Input data (2)'!$BL$1-$B41,0),IF(AND('Input data (2)'!$C$2=1,$A41&gt;=0),OFFSET('Input data (2)'!P$126,'Input data (2)'!$BL$1-$A41,0),""))))</f>
        <v>352</v>
      </c>
      <c r="BB61" s="1">
        <f ca="1">IF(AND('Input data (2)'!$C$2=4,$D41&gt;=0),OFFSET('Input data (2)'!BB$126,'Input data (2)'!$BL$1-$D41,0),IF(AND('Input data (2)'!$C$2=3,$C41&gt;=0),OFFSET('Input data (2)'!BB$126,'Input data (2)'!$BL$1-$C41,0),IF(AND('Input data (2)'!$C$2=2,$B41&gt;=0),OFFSET('Input data (2)'!BB$126,'Input data (2)'!$BL$1-$B41,0),IF(AND('Input data (2)'!$C$2=1,$A41&gt;=0),OFFSET('Input data (2)'!BB$126,'Input data (2)'!$BL$1-$A41,0),""))))</f>
        <v>5601</v>
      </c>
      <c r="BC61" s="1">
        <f ca="1">IF(AND('Input data (2)'!$C$2=4,$D41&gt;=0),OFFSET('Input data (2)'!AY$126,'Input data (2)'!$BL$1-$D41,0),IF(AND('Input data (2)'!$C$2=3,$C41&gt;=0),OFFSET('Input data (2)'!AY$126,'Input data (2)'!$BL$1-$C41,0),IF(AND('Input data (2)'!$C$2=2,$B41&gt;=0),OFFSET('Input data (2)'!AY$126,'Input data (2)'!$BL$1-$B41,0),IF(AND('Input data (2)'!$C$2=1,$A41&gt;=0),OFFSET('Input data (2)'!AY$126,'Input data (2)'!$BL$1-$A41,0),""))))</f>
        <v>3310</v>
      </c>
      <c r="BD61" s="1">
        <f ca="1">IF(AND('Input data (2)'!$C$2=4,$D41&gt;=0),OFFSET('Input data (2)'!AZ$126,'Input data (2)'!$BL$1-$D41,0),IF(AND('Input data (2)'!$C$2=3,$C41&gt;=0),OFFSET('Input data (2)'!AZ$126,'Input data (2)'!$BL$1-$C41,0),IF(AND('Input data (2)'!$C$2=2,$B41&gt;=0),OFFSET('Input data (2)'!AZ$126,'Input data (2)'!$BL$1-$B41,0),IF(AND('Input data (2)'!$C$2=1,$A41&gt;=0),OFFSET('Input data (2)'!AZ$126,'Input data (2)'!$BL$1-$A41,0),""))))</f>
        <v>1563</v>
      </c>
      <c r="BE61" s="1">
        <f ca="1">IF(AND('Input data (2)'!$C$2=4,$D41&gt;=0),OFFSET('Input data (2)'!BA$126,'Input data (2)'!$BL$1-$D41,0),IF(AND('Input data (2)'!$C$2=3,$C41&gt;=0),OFFSET('Input data (2)'!BA$126,'Input data (2)'!$BL$1-$C41,0),IF(AND('Input data (2)'!$C$2=2,$B41&gt;=0),OFFSET('Input data (2)'!BA$126,'Input data (2)'!$BL$1-$B41,0),IF(AND('Input data (2)'!$C$2=1,$A41&gt;=0),OFFSET('Input data (2)'!BA$126,'Input data (2)'!$BL$1-$A41,0),""))))</f>
        <v>2291</v>
      </c>
      <c r="BF61" s="1">
        <f ca="1">IF(AND('Input data (2)'!$C$2=4,$D41&gt;=0),OFFSET('Input data (2)'!AP$126,'Input data (2)'!$BL$1-$D41,0),IF(AND('Input data (2)'!$C$2=3,$C41&gt;=0),OFFSET('Input data (2)'!AP$126,'Input data (2)'!$BL$1-$C41,0),IF(AND('Input data (2)'!$C$2=2,$B41&gt;=0),OFFSET('Input data (2)'!AP$126,'Input data (2)'!$BL$1-$B41,0),IF(AND('Input data (2)'!$C$2=1,$A41&gt;=0),OFFSET('Input data (2)'!AP$126,'Input data (2)'!$BL$1-$A41,0),""))))</f>
        <v>371</v>
      </c>
      <c r="BG61" s="1">
        <f ca="1">IF(AND('Input data (2)'!$C$2=4,$D41&gt;=0),OFFSET('Input data (2)'!AN$126,'Input data (2)'!$BL$1-$D41,0),IF(AND('Input data (2)'!$C$2=3,$C41&gt;=0),OFFSET('Input data (2)'!AN$126,'Input data (2)'!$BL$1-$C41,0),IF(AND('Input data (2)'!$C$2=2,$B41&gt;=0),OFFSET('Input data (2)'!AN$126,'Input data (2)'!$BL$1-$B41,0),IF(AND('Input data (2)'!$C$2=1,$A41&gt;=0),OFFSET('Input data (2)'!AN$126,'Input data (2)'!$BL$1-$A41,0),""))))</f>
        <v>313</v>
      </c>
      <c r="BH61" s="1">
        <f ca="1">IF(AND('Input data (2)'!$C$2=4,$D41&gt;=0),OFFSET('Input data (2)'!AO$126,'Input data (2)'!$BL$1-$D41,0),IF(AND('Input data (2)'!$C$2=3,$C41&gt;=0),OFFSET('Input data (2)'!AO$126,'Input data (2)'!$BL$1-$C41,0),IF(AND('Input data (2)'!$C$2=2,$B41&gt;=0),OFFSET('Input data (2)'!AO$126,'Input data (2)'!$BL$1-$B41,0),IF(AND('Input data (2)'!$C$2=1,$A41&gt;=0),OFFSET('Input data (2)'!AO$126,'Input data (2)'!$BL$1-$A41,0),""))))</f>
        <v>58</v>
      </c>
      <c r="BJ61" s="1">
        <f ca="1">IF(AND('Input data (2)'!$C$2=4,$D41&gt;=0),OFFSET('Input data (2)'!AU$126,'Input data (2)'!$BL$1-$D41,0),IF(AND('Input data (2)'!$C$2=3,$C41&gt;=0),OFFSET('Input data (2)'!AU$126,'Input data (2)'!$BL$1-$C41,0),IF(AND('Input data (2)'!$C$2=2,$B41&gt;=0),OFFSET('Input data (2)'!AU$126,'Input data (2)'!$BL$1-$B41,0),IF(AND('Input data (2)'!$C$2=1,$A41&gt;=0),OFFSET('Input data (2)'!AU$126,'Input data (2)'!$BL$1-$A41,0),""))))</f>
        <v>12</v>
      </c>
      <c r="BK61" s="1">
        <f ca="1">IF(AND('Input data (2)'!$C$2=4,$D41&gt;=0),OFFSET('Input data (2)'!AV$126,'Input data (2)'!$BL$1-$D41,0),IF(AND('Input data (2)'!$C$2=3,$C41&gt;=0),OFFSET('Input data (2)'!AV$126,'Input data (2)'!$BL$1-$C41,0),IF(AND('Input data (2)'!$C$2=2,$B41&gt;=0),OFFSET('Input data (2)'!AV$126,'Input data (2)'!$BL$1-$B41,0),IF(AND('Input data (2)'!$C$2=1,$A41&gt;=0),OFFSET('Input data (2)'!AV$126,'Input data (2)'!$BL$1-$A41,0),""))))</f>
        <v>0</v>
      </c>
      <c r="BL61" s="1">
        <f ca="1">IF(AND('Input data (2)'!$C$2=4,$D41&gt;=0),OFFSET('Input data (2)'!AW$126,'Input data (2)'!$BL$1-$D41,0),IF(AND('Input data (2)'!$C$2=3,$C41&gt;=0),OFFSET('Input data (2)'!AW$126,'Input data (2)'!$BL$1-$C41,0),IF(AND('Input data (2)'!$C$2=2,$B41&gt;=0),OFFSET('Input data (2)'!AW$126,'Input data (2)'!$BL$1-$B41,0),IF(AND('Input data (2)'!$C$2=1,$A41&gt;=0),OFFSET('Input data (2)'!AW$126,'Input data (2)'!$BL$1-$A41,0),""))))</f>
        <v>67</v>
      </c>
      <c r="BM61" s="1">
        <f ca="1">IF(AND('Input data (2)'!$C$2=4,$D41&gt;=0),OFFSET('Input data (2)'!AX$126,'Input data (2)'!$BL$1-$D41,0),IF(AND('Input data (2)'!$C$2=3,$C41&gt;=0),OFFSET('Input data (2)'!AX$126,'Input data (2)'!$BL$1-$C41,0),IF(AND('Input data (2)'!$C$2=2,$B41&gt;=0),OFFSET('Input data (2)'!AX$126,'Input data (2)'!$BL$1-$B41,0),IF(AND('Input data (2)'!$C$2=1,$A41&gt;=0),OFFSET('Input data (2)'!AX$126,'Input data (2)'!$BL$1-$A41,0),""))))</f>
        <v>18</v>
      </c>
      <c r="BO61" s="1">
        <f ca="1">IF(AND('Input data (2)'!$C$2=4,$D41&gt;=0),OFFSET('Input data (2)'!BL$126,'Input data (2)'!$BL$1-$D41,0),IF(AND('Input data (2)'!$C$2=3,$C41&gt;=0),OFFSET('Input data (2)'!BL$126,'Input data (2)'!$BL$1-$C41,0),IF(AND('Input data (2)'!$C$2=2,$B41&gt;=0),OFFSET('Input data (2)'!BL$126,'Input data (2)'!$BL$1-$B41,0),IF(AND('Input data (2)'!$C$2=1,$A41&gt;=0),OFFSET('Input data (2)'!BL$126,'Input data (2)'!$BL$1-$A41,0),""))))</f>
        <v>795</v>
      </c>
      <c r="BP61" s="1">
        <f ca="1">IF(AND('Input data (2)'!$C$2=4,$D41&gt;=0),OFFSET('Input data (2)'!BI$126,'Input data (2)'!$BL$1-$D41,0),IF(AND('Input data (2)'!$C$2=3,$C41&gt;=0),OFFSET('Input data (2)'!BI$126,'Input data (2)'!$BL$1-$C41,0),IF(AND('Input data (2)'!$C$2=2,$B41&gt;=0),OFFSET('Input data (2)'!BI$126,'Input data (2)'!$BL$1-$B41,0),IF(AND('Input data (2)'!$C$2=1,$A41&gt;=0),OFFSET('Input data (2)'!BI$126,'Input data (2)'!$BL$1-$A41,0),""))))</f>
        <v>381</v>
      </c>
      <c r="BQ61" s="1">
        <f ca="1">IF(AND('Input data (2)'!$C$2=4,$D41&gt;=0),OFFSET('Input data (2)'!BK$126,'Input data (2)'!$BL$1-$D41,0),IF(AND('Input data (2)'!$C$2=3,$C41&gt;=0),OFFSET('Input data (2)'!BK$126,'Input data (2)'!$BL$1-$C41,0),IF(AND('Input data (2)'!$C$2=2,$B41&gt;=0),OFFSET('Input data (2)'!BK$126,'Input data (2)'!$BL$1-$B41,0),IF(AND('Input data (2)'!$C$2=1,$A41&gt;=0),OFFSET('Input data (2)'!BK$126,'Input data (2)'!$BL$1-$A41,0),""))))</f>
        <v>132</v>
      </c>
      <c r="BR61" s="1">
        <f ca="1">IF(AND('Input data (2)'!$C$2=4,$D41&gt;=0),OFFSET('Input data (2)'!BJ$126,'Input data (2)'!$BL$1-$D41,0),IF(AND('Input data (2)'!$C$2=3,$C41&gt;=0),OFFSET('Input data (2)'!BJ$126,'Input data (2)'!$BL$1-$C41,0),IF(AND('Input data (2)'!$C$2=2,$B41&gt;=0),OFFSET('Input data (2)'!BJ$126,'Input data (2)'!$BL$1-$B41,0),IF(AND('Input data (2)'!$C$2=1,$A41&gt;=0),OFFSET('Input data (2)'!BJ$126,'Input data (2)'!$BL$1-$A41,0),""))))</f>
        <v>282</v>
      </c>
      <c r="BS61" s="1">
        <f ca="1">IF(AND('Input data (2)'!$C$2=4,$D41&gt;=0),OFFSET('Input data (2)'!BF$126,'Input data (2)'!$BL$1-$D41,0),IF(AND('Input data (2)'!$C$2=3,$C41&gt;=0),OFFSET('Input data (2)'!BF$126,'Input data (2)'!$BL$1-$C41,0),IF(AND('Input data (2)'!$C$2=2,$B41&gt;=0),OFFSET('Input data (2)'!BF$126,'Input data (2)'!$BL$1-$B41,0),IF(AND('Input data (2)'!$C$2=1,$A41&gt;=0),OFFSET('Input data (2)'!BF$126,'Input data (2)'!$BL$1-$A41,0),""))))</f>
        <v>118</v>
      </c>
      <c r="BT61" s="1">
        <f ca="1">IF(AND('Input data (2)'!$C$2=4,$D41&gt;=0),OFFSET('Input data (2)'!BD$126,'Input data (2)'!$BL$1-$D41,0),IF(AND('Input data (2)'!$C$2=3,$C41&gt;=0),OFFSET('Input data (2)'!BD$126,'Input data (2)'!$BL$1-$C41,0),IF(AND('Input data (2)'!$C$2=2,$B41&gt;=0),OFFSET('Input data (2)'!BD$126,'Input data (2)'!$BL$1-$B41,0),IF(AND('Input data (2)'!$C$2=1,$A41&gt;=0),OFFSET('Input data (2)'!BD$126,'Input data (2)'!$BL$1-$A41,0),""))))</f>
        <v>72</v>
      </c>
      <c r="BU61" s="1">
        <f ca="1">IF(AND('Input data (2)'!$C$2=4,$D41&gt;=0),OFFSET('Input data (2)'!BE$126,'Input data (2)'!$BL$1-$D41,0),IF(AND('Input data (2)'!$C$2=3,$C41&gt;=0),OFFSET('Input data (2)'!BE$126,'Input data (2)'!$BL$1-$C41,0),IF(AND('Input data (2)'!$C$2=2,$B41&gt;=0),OFFSET('Input data (2)'!BE$126,'Input data (2)'!$BL$1-$B41,0),IF(AND('Input data (2)'!$C$2=1,$A41&gt;=0),OFFSET('Input data (2)'!BE$126,'Input data (2)'!$BL$1-$A41,0),""))))</f>
        <v>46</v>
      </c>
      <c r="BW61" s="7">
        <f ca="1">IF(AND('Input data (2)'!$C$2=4,$D41&gt;=0),OFFSET('Input data (2)'!J$126,'Input data (2)'!$BL$1-$D41,0),IF(AND('Input data (2)'!$C$2=3,$C41&gt;=0),OFFSET('Input data (2)'!J$126,'Input data (2)'!$BL$1-$C41,0),IF(AND('Input data (2)'!$C$2=2,$B41&gt;=0),OFFSET('Input data (2)'!J$126,'Input data (2)'!$BL$1-$B41,0),IF(AND('Input data (2)'!$C$2=1,$A41&gt;=0),OFFSET('Input data (2)'!J$126,'Input data (2)'!$BL$1-$A41,0),""))))</f>
        <v>0.74840662605969743</v>
      </c>
      <c r="BX61" s="7">
        <f ca="1">IF(AND('Input data (2)'!$C$2=4,$D41&gt;=0),OFFSET('Input data (2)'!K$126,'Input data (2)'!$BL$1-$D41,0),IF(AND('Input data (2)'!$C$2=3,$C41&gt;=0),OFFSET('Input data (2)'!K$126,'Input data (2)'!$BL$1-$C41,0),IF(AND('Input data (2)'!$C$2=2,$B41&gt;=0),OFFSET('Input data (2)'!K$126,'Input data (2)'!$BL$1-$B41,0),IF(AND('Input data (2)'!$C$2=1,$A41&gt;=0),OFFSET('Input data (2)'!K$126,'Input data (2)'!$BL$1-$A41,0),""))))</f>
        <v>0.68420806655138566</v>
      </c>
      <c r="BY61" s="7">
        <f ca="1">IF(AND('Input data (2)'!$C$2=4,$D41&gt;=0),OFFSET('Input data (2)'!AS$126,'Input data (2)'!$BL$1-$D41,0),IF(AND('Input data (2)'!$C$2=3,$C41&gt;=0),OFFSET('Input data (2)'!AS$126,'Input data (2)'!$BL$1-$C41,0),IF(AND('Input data (2)'!$C$2=2,$B41&gt;=0),OFFSET('Input data (2)'!AS$126,'Input data (2)'!$BL$1-$B41,0),IF(AND('Input data (2)'!$C$2=1,$A41&gt;=0),OFFSET('Input data (2)'!AS$126,'Input data (2)'!$BL$1-$A41,0),""))))</f>
        <v>0.97023620631451357</v>
      </c>
      <c r="BZ61" s="7">
        <f ca="1">IF(AND('Input data (2)'!$C$2=4,$D41&gt;=0),OFFSET('Input data (2)'!AT$126,'Input data (2)'!$BL$1-$D41,0),IF(AND('Input data (2)'!$C$2=3,$C41&gt;=0),OFFSET('Input data (2)'!AT$126,'Input data (2)'!$BL$1-$C41,0),IF(AND('Input data (2)'!$C$2=2,$B41&gt;=0),OFFSET('Input data (2)'!AT$126,'Input data (2)'!$BL$1-$B41,0),IF(AND('Input data (2)'!$C$2=1,$A41&gt;=0),OFFSET('Input data (2)'!AT$126,'Input data (2)'!$BL$1-$A41,0),""))))</f>
        <v>0.87076958590353581</v>
      </c>
      <c r="CB61" s="122"/>
      <c r="CC61" s="122"/>
      <c r="CD61" s="122"/>
      <c r="CE61" s="122"/>
    </row>
    <row r="62" spans="5:94" x14ac:dyDescent="0.15">
      <c r="E62" s="1" t="str">
        <f>F62&amp;G62</f>
        <v>2012Q3</v>
      </c>
      <c r="F62" s="1">
        <f>F57+1</f>
        <v>2012</v>
      </c>
      <c r="G62" s="1" t="s">
        <v>3</v>
      </c>
      <c r="H62" s="1">
        <f>VLOOKUP($E62,'Input data (2)'!$A:$BL,'Output data - DO NOT TOUCH (2)'!H$71,FALSE)</f>
        <v>3870</v>
      </c>
      <c r="I62" s="1">
        <f>VLOOKUP($E62,'Input data (2)'!$A:$BL,'Output data - DO NOT TOUCH (2)'!I$71,FALSE)</f>
        <v>1043</v>
      </c>
      <c r="J62" s="1">
        <f>VLOOKUP($E62,'Input data (2)'!$A:$BL,'Output data - DO NOT TOUCH (2)'!J$71,FALSE)</f>
        <v>2827</v>
      </c>
      <c r="K62" s="1">
        <f>VLOOKUP($E62,'Input data (2)'!$A:$BL,'Output data - DO NOT TOUCH (2)'!K$71,FALSE)</f>
        <v>3954</v>
      </c>
      <c r="L62" s="1">
        <f>VLOOKUP($E62,'Input data (2)'!$A:$BL,'Output data - DO NOT TOUCH (2)'!L$71,FALSE)</f>
        <v>1078</v>
      </c>
      <c r="M62" s="1">
        <f>VLOOKUP($E62,'Input data (2)'!$A:$BL,'Output data - DO NOT TOUCH (2)'!M$71,FALSE)</f>
        <v>2876</v>
      </c>
      <c r="O62" s="119">
        <f ca="1">IF(AND('Input data (2)'!$C$2=4,$D42&gt;=0),OFFSET('Input data (2)'!O$126,'Input data (2)'!$BL$1-$D42,0),IF(AND('Input data (2)'!$C$2=3,$C42&gt;=0),OFFSET('Input data (2)'!O$126,'Input data (2)'!$BL$1-$C42,0),IF(AND('Input data (2)'!$C$2=2,$B42&gt;=0),OFFSET('Input data (2)'!O$126,'Input data (2)'!$BL$1-$B42,0),IF(AND('Input data (2)'!$C$2=1,$A42&gt;=0),OFFSET('Input data (2)'!O$126,'Input data (2)'!$BL$1-$A42,0),""))))</f>
        <v>242</v>
      </c>
      <c r="Q62" s="1">
        <f ca="1">IF(AND('Input data (2)'!$C$2=4,$D42&gt;=0),OFFSET('Input data (2)'!AC$126,'Input data (2)'!$BL$1-$D42,0),IF(AND('Input data (2)'!$C$2=3,$C42&gt;=0),OFFSET('Input data (2)'!AC$126,'Input data (2)'!$BL$1-$C42,0),IF(AND('Input data (2)'!$C$2=2,$B42&gt;=0),OFFSET('Input data (2)'!AC$126,'Input data (2)'!$BL$1-$B42,0),IF(AND('Input data (2)'!$C$2=1,$A42&gt;=0),OFFSET('Input data (2)'!AC$126,'Input data (2)'!$BL$1-$A42,0),""))))</f>
        <v>28087</v>
      </c>
      <c r="R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S62" s="1">
        <f ca="1">IF(AND('Input data (2)'!$C$2=4,$D42&gt;=0),OFFSET('Input data (2)'!R$126,'Input data (2)'!$BL$1-$D42,0),IF(AND('Input data (2)'!$C$2=3,$C42&gt;=0),OFFSET('Input data (2)'!R$126,'Input data (2)'!$BL$1-$C42,0),IF(AND('Input data (2)'!$C$2=2,$B42&gt;=0),OFFSET('Input data (2)'!R$126,'Input data (2)'!$BL$1-$B42,0),IF(AND('Input data (2)'!$C$2=1,$A42&gt;=0),OFFSET('Input data (2)'!R$126,'Input data (2)'!$BL$1-$A42,0),""))))</f>
        <v>7777</v>
      </c>
      <c r="T62" s="1">
        <f ca="1">IF(AND('Input data (2)'!$C$2=4,$D42&gt;=0),OFFSET('Input data (2)'!AA$126,'Input data (2)'!$BL$1-$D42,0),IF(AND('Input data (2)'!$C$2=3,$C42&gt;=0),OFFSET('Input data (2)'!AA$126,'Input data (2)'!$BL$1-$C42,0),IF(AND('Input data (2)'!$C$2=2,$B42&gt;=0),OFFSET('Input data (2)'!AA$126,'Input data (2)'!$BL$1-$B42,0),IF(AND('Input data (2)'!$C$2=1,$A42&gt;=0),OFFSET('Input data (2)'!AA$126,'Input data (2)'!$BL$1-$A42,0),""))))</f>
        <v>12668</v>
      </c>
      <c r="U62" s="1" t="str">
        <f ca="1">IF(AND('Input data (2)'!$C$2=4,$D42&gt;=0),OFFSET('Input data (2)'!AL$126,'Input data (2)'!$BL$1-$D42,0),IF(AND('Input data (2)'!$C$2=3,$C42&gt;=0),OFFSET('Input data (2)'!AL$126,'Input data (2)'!$BL$1-$C42,0),IF(AND('Input data (2)'!$C$2=2,$B42&gt;=0),OFFSET('Input data (2)'!AL$126,'Input data (2)'!$BL$1-$B42,0),IF(AND('Input data (2)'!$C$2=1,$A42&gt;=0),OFFSET('Input data (2)'!AL$126,'Input data (2)'!$BL$1-$A42,0),""))))</f>
        <v>:</v>
      </c>
      <c r="V62" s="1">
        <f ca="1">IF(AND('Input data (2)'!$C$2=4,$D42&gt;=0),OFFSET('Input data (2)'!AJ$126,'Input data (2)'!$BL$1-$D42,0),IF(AND('Input data (2)'!$C$2=3,$C42&gt;=0),OFFSET('Input data (2)'!AJ$126,'Input data (2)'!$BL$1-$C42,0),IF(AND('Input data (2)'!$C$2=2,$B42&gt;=0),OFFSET('Input data (2)'!AJ$126,'Input data (2)'!$BL$1-$B42,0),IF(AND('Input data (2)'!$C$2=1,$A42&gt;=0),OFFSET('Input data (2)'!AJ$126,'Input data (2)'!$BL$1-$A42,0),""))))</f>
        <v>7714</v>
      </c>
      <c r="W62" s="1">
        <f ca="1">IF(AND('Input data (2)'!$C$2=4,$D42&gt;=0),OFFSET('Input data (2)'!AK$126,'Input data (2)'!$BL$1-$D42,0),IF(AND('Input data (2)'!$C$2=3,$C42&gt;=0),OFFSET('Input data (2)'!AK$126,'Input data (2)'!$BL$1-$C42,0),IF(AND('Input data (2)'!$C$2=2,$B42&gt;=0),OFFSET('Input data (2)'!AK$126,'Input data (2)'!$BL$1-$B42,0),IF(AND('Input data (2)'!$C$2=1,$A42&gt;=0),OFFSET('Input data (2)'!AK$126,'Input data (2)'!$BL$1-$A42,0),""))))</f>
        <v>12131</v>
      </c>
      <c r="Y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Z62" s="1">
        <f ca="1">IF(AND('Input data (2)'!$C$2=4,$D42&gt;=0),OFFSET('Input data (2)'!S$126,'Input data (2)'!$BL$1-$D42,0),IF(AND('Input data (2)'!$C$2=3,$C42&gt;=0),OFFSET('Input data (2)'!S$126,'Input data (2)'!$BL$1-$C42,0),IF(AND('Input data (2)'!$C$2=2,$B42&gt;=0),OFFSET('Input data (2)'!S$126,'Input data (2)'!$BL$1-$B42,0),IF(AND('Input data (2)'!$C$2=1,$A42&gt;=0),OFFSET('Input data (2)'!S$126,'Input data (2)'!$BL$1-$A42,0),""))))</f>
        <v>6046</v>
      </c>
      <c r="AA62" s="1">
        <f ca="1">IF(AND('Input data (2)'!$C$2=4,$D42&gt;=0),OFFSET('Input data (2)'!T$126,'Input data (2)'!$BL$1-$D42,0),IF(AND('Input data (2)'!$C$2=3,$C42&gt;=0),OFFSET('Input data (2)'!T$126,'Input data (2)'!$BL$1-$C42,0),IF(AND('Input data (2)'!$C$2=2,$B42&gt;=0),OFFSET('Input data (2)'!T$126,'Input data (2)'!$BL$1-$B42,0),IF(AND('Input data (2)'!$C$2=1,$A42&gt;=0),OFFSET('Input data (2)'!T$126,'Input data (2)'!$BL$1-$A42,0),""))))</f>
        <v>79.11541481287621</v>
      </c>
      <c r="AB62" s="1">
        <f ca="1">IF(AND('Input data (2)'!$C$2=4,$D42&gt;=0),OFFSET('Input data (2)'!U$126,'Input data (2)'!$BL$1-$D42,0),IF(AND('Input data (2)'!$C$2=3,$C42&gt;=0),OFFSET('Input data (2)'!U$126,'Input data (2)'!$BL$1-$C42,0),IF(AND('Input data (2)'!$C$2=2,$B42&gt;=0),OFFSET('Input data (2)'!U$126,'Input data (2)'!$BL$1-$B42,0),IF(AND('Input data (2)'!$C$2=1,$A42&gt;=0),OFFSET('Input data (2)'!U$126,'Input data (2)'!$BL$1-$A42,0),""))))</f>
        <v>1596</v>
      </c>
      <c r="AC62" s="1">
        <f ca="1">IF(AND('Input data (2)'!$C$2=4,$D42&gt;=0),OFFSET('Input data (2)'!V$126,'Input data (2)'!$BL$1-$D42,0),IF(AND('Input data (2)'!$C$2=3,$C42&gt;=0),OFFSET('Input data (2)'!V$126,'Input data (2)'!$BL$1-$C42,0),IF(AND('Input data (2)'!$C$2=2,$B42&gt;=0),OFFSET('Input data (2)'!V$126,'Input data (2)'!$BL$1-$B42,0),IF(AND('Input data (2)'!$C$2=1,$A42&gt;=0),OFFSET('Input data (2)'!V$126,'Input data (2)'!$BL$1-$A42,0),""))))</f>
        <v>20.88458518712379</v>
      </c>
      <c r="AD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AE62" s="1">
        <f ca="1">IF(AND('Input data (2)'!$C$2=4,$D42&gt;=0),OFFSET('Input data (2)'!W$126,'Input data (2)'!$BL$1-$D42,0),IF(AND('Input data (2)'!$C$2=3,$C42&gt;=0),OFFSET('Input data (2)'!W$126,'Input data (2)'!$BL$1-$C42,0),IF(AND('Input data (2)'!$C$2=2,$B42&gt;=0),OFFSET('Input data (2)'!W$126,'Input data (2)'!$BL$1-$B42,0),IF(AND('Input data (2)'!$C$2=1,$A42&gt;=0),OFFSET('Input data (2)'!W$126,'Input data (2)'!$BL$1-$A42,0),""))))</f>
        <v>1827</v>
      </c>
      <c r="AF62" s="1">
        <f ca="1">IF(AND('Input data (2)'!$C$2=4,$D42&gt;=0),OFFSET('Input data (2)'!X$126,'Input data (2)'!$BL$1-$D42,0),IF(AND('Input data (2)'!$C$2=3,$C42&gt;=0),OFFSET('Input data (2)'!X$126,'Input data (2)'!$BL$1-$C42,0),IF(AND('Input data (2)'!$C$2=2,$B42&gt;=0),OFFSET('Input data (2)'!X$126,'Input data (2)'!$BL$1-$B42,0),IF(AND('Input data (2)'!$C$2=1,$A42&gt;=0),OFFSET('Input data (2)'!X$126,'Input data (2)'!$BL$1-$A42,0),""))))</f>
        <v>23.907354095786442</v>
      </c>
      <c r="AG62" s="1">
        <f ca="1">IF(AND('Input data (2)'!$C$2=4,$D42&gt;=0),OFFSET('Input data (2)'!Y$126,'Input data (2)'!$BL$1-$D42,0),IF(AND('Input data (2)'!$C$2=3,$C42&gt;=0),OFFSET('Input data (2)'!Y$126,'Input data (2)'!$BL$1-$C42,0),IF(AND('Input data (2)'!$C$2=2,$B42&gt;=0),OFFSET('Input data (2)'!Y$126,'Input data (2)'!$BL$1-$B42,0),IF(AND('Input data (2)'!$C$2=1,$A42&gt;=0),OFFSET('Input data (2)'!Y$126,'Input data (2)'!$BL$1-$A42,0),""))))</f>
        <v>5815</v>
      </c>
      <c r="AH62" s="1">
        <f ca="1">IF(AND('Input data (2)'!$C$2=4,$D42&gt;=0),OFFSET('Input data (2)'!Z$126,'Input data (2)'!$BL$1-$D42,0),IF(AND('Input data (2)'!$C$2=3,$C42&gt;=0),OFFSET('Input data (2)'!Z$126,'Input data (2)'!$BL$1-$C42,0),IF(AND('Input data (2)'!$C$2=2,$B42&gt;=0),OFFSET('Input data (2)'!Z$126,'Input data (2)'!$BL$1-$B42,0),IF(AND('Input data (2)'!$C$2=1,$A42&gt;=0),OFFSET('Input data (2)'!Z$126,'Input data (2)'!$BL$1-$A42,0),""))))</f>
        <v>76.092645904213555</v>
      </c>
      <c r="AI62" s="3"/>
      <c r="AJ62" s="124">
        <f ca="1">IF(AND('Input data (2)'!$C$2=4,$D42&gt;=0),OFFSET('Input data (2)'!AF$126,'Input data (2)'!$BL$1-$D42,0),IF(AND('Input data (2)'!$C$2=3,$C42&gt;=0),OFFSET('Input data (2)'!AF$126,'Input data (2)'!$BL$1-$C42,0),IF(AND('Input data (2)'!$C$2=2,$B42&gt;=0),OFFSET('Input data (2)'!AF$126,'Input data (2)'!$BL$1-$B42,0),IF(AND('Input data (2)'!$C$2=1,$A42&gt;=0),OFFSET('Input data (2)'!AF$126,'Input data (2)'!$BL$1-$A42,0),""))))</f>
        <v>0</v>
      </c>
      <c r="AK62" s="124">
        <f ca="1">IF(AND('Input data (2)'!$C$2=4,$D42&gt;=0),OFFSET('Input data (2)'!AD$126,'Input data (2)'!$BL$1-$D42,0),IF(AND('Input data (2)'!$C$2=3,$C42&gt;=0),OFFSET('Input data (2)'!AD$126,'Input data (2)'!$BL$1-$C42,0),IF(AND('Input data (2)'!$C$2=2,$B42&gt;=0),OFFSET('Input data (2)'!AD$126,'Input data (2)'!$BL$1-$B42,0),IF(AND('Input data (2)'!$C$2=1,$A42&gt;=0),OFFSET('Input data (2)'!AD$126,'Input data (2)'!$BL$1-$A42,0),""))))</f>
        <v>0</v>
      </c>
      <c r="AL62" s="124">
        <f ca="1">IF(AND('Input data (2)'!$C$2=4,$D42&gt;=0),OFFSET('Input data (2)'!AE$126,'Input data (2)'!$BL$1-$D42,0),IF(AND('Input data (2)'!$C$2=3,$C42&gt;=0),OFFSET('Input data (2)'!AE$126,'Input data (2)'!$BL$1-$C42,0),IF(AND('Input data (2)'!$C$2=2,$B42&gt;=0),OFFSET('Input data (2)'!AE$126,'Input data (2)'!$BL$1-$B42,0),IF(AND('Input data (2)'!$C$2=1,$A42&gt;=0),OFFSET('Input data (2)'!AE$126,'Input data (2)'!$BL$1-$A42,0),""))))</f>
        <v>0</v>
      </c>
      <c r="AW62" s="1">
        <f ca="1">IF(AND('Input data (2)'!$C$2=4,$D42&gt;=0),OFFSET('Input data (2)'!L$126,'Input data (2)'!$BL$1-$D42,0),IF(AND('Input data (2)'!$C$2=3,$C42&gt;=0),OFFSET('Input data (2)'!L$126,'Input data (2)'!$BL$1-$C42,0),IF(AND('Input data (2)'!$C$2=2,$B42&gt;=0),OFFSET('Input data (2)'!L$126,'Input data (2)'!$BL$1-$B42,0),IF(AND('Input data (2)'!$C$2=1,$A42&gt;=0),OFFSET('Input data (2)'!L$126,'Input data (2)'!$BL$1-$A42,0),""))))</f>
        <v>277</v>
      </c>
      <c r="AX62" s="1">
        <f ca="1">IF(AND('Input data (2)'!$C$2=4,$D42&gt;=0),OFFSET('Input data (2)'!M$126,'Input data (2)'!$BL$1-$D42,0),IF(AND('Input data (2)'!$C$2=3,$C42&gt;=0),OFFSET('Input data (2)'!M$126,'Input data (2)'!$BL$1-$C42,0),IF(AND('Input data (2)'!$C$2=2,$B42&gt;=0),OFFSET('Input data (2)'!M$126,'Input data (2)'!$BL$1-$B42,0),IF(AND('Input data (2)'!$C$2=1,$A42&gt;=0),OFFSET('Input data (2)'!M$126,'Input data (2)'!$BL$1-$A42,0),""))))</f>
        <v>0</v>
      </c>
      <c r="AY62" s="1">
        <f ca="1">IF(AND('Input data (2)'!$C$2=4,$D42&gt;=0),OFFSET('Input data (2)'!N$126,'Input data (2)'!$BL$1-$D42,0),IF(AND('Input data (2)'!$C$2=3,$C42&gt;=0),OFFSET('Input data (2)'!N$126,'Input data (2)'!$BL$1-$C42,0),IF(AND('Input data (2)'!$C$2=2,$B42&gt;=0),OFFSET('Input data (2)'!N$126,'Input data (2)'!$BL$1-$B42,0),IF(AND('Input data (2)'!$C$2=1,$A42&gt;=0),OFFSET('Input data (2)'!N$126,'Input data (2)'!$BL$1-$A42,0),""))))</f>
        <v>548</v>
      </c>
      <c r="AZ62" s="1">
        <f ca="1">IF(AND('Input data (2)'!$C$2=4,$D42&gt;=0),OFFSET('Input data (2)'!P$126,'Input data (2)'!$BL$1-$D42,0),IF(AND('Input data (2)'!$C$2=3,$C42&gt;=0),OFFSET('Input data (2)'!P$126,'Input data (2)'!$BL$1-$C42,0),IF(AND('Input data (2)'!$C$2=2,$B42&gt;=0),OFFSET('Input data (2)'!P$126,'Input data (2)'!$BL$1-$B42,0),IF(AND('Input data (2)'!$C$2=1,$A42&gt;=0),OFFSET('Input data (2)'!P$126,'Input data (2)'!$BL$1-$A42,0),""))))</f>
        <v>161</v>
      </c>
      <c r="BB62" s="1">
        <f ca="1">IF(AND('Input data (2)'!$C$2=4,$D42&gt;=0),OFFSET('Input data (2)'!BB$126,'Input data (2)'!$BL$1-$D42,0),IF(AND('Input data (2)'!$C$2=3,$C42&gt;=0),OFFSET('Input data (2)'!BB$126,'Input data (2)'!$BL$1-$C42,0),IF(AND('Input data (2)'!$C$2=2,$B42&gt;=0),OFFSET('Input data (2)'!BB$126,'Input data (2)'!$BL$1-$B42,0),IF(AND('Input data (2)'!$C$2=1,$A42&gt;=0),OFFSET('Input data (2)'!BB$126,'Input data (2)'!$BL$1-$A42,0),""))))</f>
        <v>4065</v>
      </c>
      <c r="BC62" s="1">
        <f ca="1">IF(AND('Input data (2)'!$C$2=4,$D42&gt;=0),OFFSET('Input data (2)'!AY$126,'Input data (2)'!$BL$1-$D42,0),IF(AND('Input data (2)'!$C$2=3,$C42&gt;=0),OFFSET('Input data (2)'!AY$126,'Input data (2)'!$BL$1-$C42,0),IF(AND('Input data (2)'!$C$2=2,$B42&gt;=0),OFFSET('Input data (2)'!AY$126,'Input data (2)'!$BL$1-$B42,0),IF(AND('Input data (2)'!$C$2=1,$A42&gt;=0),OFFSET('Input data (2)'!AY$126,'Input data (2)'!$BL$1-$A42,0),""))))</f>
        <v>1861</v>
      </c>
      <c r="BD62" s="1">
        <f ca="1">IF(AND('Input data (2)'!$C$2=4,$D42&gt;=0),OFFSET('Input data (2)'!AZ$126,'Input data (2)'!$BL$1-$D42,0),IF(AND('Input data (2)'!$C$2=3,$C42&gt;=0),OFFSET('Input data (2)'!AZ$126,'Input data (2)'!$BL$1-$C42,0),IF(AND('Input data (2)'!$C$2=2,$B42&gt;=0),OFFSET('Input data (2)'!AZ$126,'Input data (2)'!$BL$1-$B42,0),IF(AND('Input data (2)'!$C$2=1,$A42&gt;=0),OFFSET('Input data (2)'!AZ$126,'Input data (2)'!$BL$1-$A42,0),""))))</f>
        <v>653</v>
      </c>
      <c r="BE62" s="1">
        <f ca="1">IF(AND('Input data (2)'!$C$2=4,$D42&gt;=0),OFFSET('Input data (2)'!BA$126,'Input data (2)'!$BL$1-$D42,0),IF(AND('Input data (2)'!$C$2=3,$C42&gt;=0),OFFSET('Input data (2)'!BA$126,'Input data (2)'!$BL$1-$C42,0),IF(AND('Input data (2)'!$C$2=2,$B42&gt;=0),OFFSET('Input data (2)'!BA$126,'Input data (2)'!$BL$1-$B42,0),IF(AND('Input data (2)'!$C$2=1,$A42&gt;=0),OFFSET('Input data (2)'!BA$126,'Input data (2)'!$BL$1-$A42,0),""))))</f>
        <v>2204</v>
      </c>
      <c r="BF62" s="1">
        <f ca="1">IF(AND('Input data (2)'!$C$2=4,$D42&gt;=0),OFFSET('Input data (2)'!AP$126,'Input data (2)'!$BL$1-$D42,0),IF(AND('Input data (2)'!$C$2=3,$C42&gt;=0),OFFSET('Input data (2)'!AP$126,'Input data (2)'!$BL$1-$C42,0),IF(AND('Input data (2)'!$C$2=2,$B42&gt;=0),OFFSET('Input data (2)'!AP$126,'Input data (2)'!$BL$1-$B42,0),IF(AND('Input data (2)'!$C$2=1,$A42&gt;=0),OFFSET('Input data (2)'!AP$126,'Input data (2)'!$BL$1-$A42,0),""))))</f>
        <v>282</v>
      </c>
      <c r="BG62" s="1">
        <f ca="1">IF(AND('Input data (2)'!$C$2=4,$D42&gt;=0),OFFSET('Input data (2)'!AN$126,'Input data (2)'!$BL$1-$D42,0),IF(AND('Input data (2)'!$C$2=3,$C42&gt;=0),OFFSET('Input data (2)'!AN$126,'Input data (2)'!$BL$1-$C42,0),IF(AND('Input data (2)'!$C$2=2,$B42&gt;=0),OFFSET('Input data (2)'!AN$126,'Input data (2)'!$BL$1-$B42,0),IF(AND('Input data (2)'!$C$2=1,$A42&gt;=0),OFFSET('Input data (2)'!AN$126,'Input data (2)'!$BL$1-$A42,0),""))))</f>
        <v>204</v>
      </c>
      <c r="BH62" s="1">
        <f ca="1">IF(AND('Input data (2)'!$C$2=4,$D42&gt;=0),OFFSET('Input data (2)'!AO$126,'Input data (2)'!$BL$1-$D42,0),IF(AND('Input data (2)'!$C$2=3,$C42&gt;=0),OFFSET('Input data (2)'!AO$126,'Input data (2)'!$BL$1-$C42,0),IF(AND('Input data (2)'!$C$2=2,$B42&gt;=0),OFFSET('Input data (2)'!AO$126,'Input data (2)'!$BL$1-$B42,0),IF(AND('Input data (2)'!$C$2=1,$A42&gt;=0),OFFSET('Input data (2)'!AO$126,'Input data (2)'!$BL$1-$A42,0),""))))</f>
        <v>78</v>
      </c>
      <c r="BJ62" s="1">
        <f ca="1">IF(AND('Input data (2)'!$C$2=4,$D42&gt;=0),OFFSET('Input data (2)'!AU$126,'Input data (2)'!$BL$1-$D42,0),IF(AND('Input data (2)'!$C$2=3,$C42&gt;=0),OFFSET('Input data (2)'!AU$126,'Input data (2)'!$BL$1-$C42,0),IF(AND('Input data (2)'!$C$2=2,$B42&gt;=0),OFFSET('Input data (2)'!AU$126,'Input data (2)'!$BL$1-$B42,0),IF(AND('Input data (2)'!$C$2=1,$A42&gt;=0),OFFSET('Input data (2)'!AU$126,'Input data (2)'!$BL$1-$A42,0),""))))</f>
        <v>5</v>
      </c>
      <c r="BK62" s="1">
        <f ca="1">IF(AND('Input data (2)'!$C$2=4,$D42&gt;=0),OFFSET('Input data (2)'!AV$126,'Input data (2)'!$BL$1-$D42,0),IF(AND('Input data (2)'!$C$2=3,$C42&gt;=0),OFFSET('Input data (2)'!AV$126,'Input data (2)'!$BL$1-$C42,0),IF(AND('Input data (2)'!$C$2=2,$B42&gt;=0),OFFSET('Input data (2)'!AV$126,'Input data (2)'!$BL$1-$B42,0),IF(AND('Input data (2)'!$C$2=1,$A42&gt;=0),OFFSET('Input data (2)'!AV$126,'Input data (2)'!$BL$1-$A42,0),""))))</f>
        <v>0</v>
      </c>
      <c r="BL62" s="1">
        <f ca="1">IF(AND('Input data (2)'!$C$2=4,$D42&gt;=0),OFFSET('Input data (2)'!AW$126,'Input data (2)'!$BL$1-$D42,0),IF(AND('Input data (2)'!$C$2=3,$C42&gt;=0),OFFSET('Input data (2)'!AW$126,'Input data (2)'!$BL$1-$C42,0),IF(AND('Input data (2)'!$C$2=2,$B42&gt;=0),OFFSET('Input data (2)'!AW$126,'Input data (2)'!$BL$1-$B42,0),IF(AND('Input data (2)'!$C$2=1,$A42&gt;=0),OFFSET('Input data (2)'!AW$126,'Input data (2)'!$BL$1-$A42,0),""))))</f>
        <v>33</v>
      </c>
      <c r="BM62" s="1">
        <f ca="1">IF(AND('Input data (2)'!$C$2=4,$D42&gt;=0),OFFSET('Input data (2)'!AX$126,'Input data (2)'!$BL$1-$D42,0),IF(AND('Input data (2)'!$C$2=3,$C42&gt;=0),OFFSET('Input data (2)'!AX$126,'Input data (2)'!$BL$1-$C42,0),IF(AND('Input data (2)'!$C$2=2,$B42&gt;=0),OFFSET('Input data (2)'!AX$126,'Input data (2)'!$BL$1-$B42,0),IF(AND('Input data (2)'!$C$2=1,$A42&gt;=0),OFFSET('Input data (2)'!AX$126,'Input data (2)'!$BL$1-$A42,0),""))))</f>
        <v>2</v>
      </c>
      <c r="BO62" s="1">
        <f ca="1">IF(AND('Input data (2)'!$C$2=4,$D42&gt;=0),OFFSET('Input data (2)'!BL$126,'Input data (2)'!$BL$1-$D42,0),IF(AND('Input data (2)'!$C$2=3,$C42&gt;=0),OFFSET('Input data (2)'!BL$126,'Input data (2)'!$BL$1-$C42,0),IF(AND('Input data (2)'!$C$2=2,$B42&gt;=0),OFFSET('Input data (2)'!BL$126,'Input data (2)'!$BL$1-$B42,0),IF(AND('Input data (2)'!$C$2=1,$A42&gt;=0),OFFSET('Input data (2)'!BL$126,'Input data (2)'!$BL$1-$A42,0),""))))</f>
        <v>844</v>
      </c>
      <c r="BP62" s="1">
        <f ca="1">IF(AND('Input data (2)'!$C$2=4,$D42&gt;=0),OFFSET('Input data (2)'!BI$126,'Input data (2)'!$BL$1-$D42,0),IF(AND('Input data (2)'!$C$2=3,$C42&gt;=0),OFFSET('Input data (2)'!BI$126,'Input data (2)'!$BL$1-$C42,0),IF(AND('Input data (2)'!$C$2=2,$B42&gt;=0),OFFSET('Input data (2)'!BI$126,'Input data (2)'!$BL$1-$B42,0),IF(AND('Input data (2)'!$C$2=1,$A42&gt;=0),OFFSET('Input data (2)'!BI$126,'Input data (2)'!$BL$1-$A42,0),""))))</f>
        <v>307</v>
      </c>
      <c r="BQ62" s="1">
        <f ca="1">IF(AND('Input data (2)'!$C$2=4,$D42&gt;=0),OFFSET('Input data (2)'!BK$126,'Input data (2)'!$BL$1-$D42,0),IF(AND('Input data (2)'!$C$2=3,$C42&gt;=0),OFFSET('Input data (2)'!BK$126,'Input data (2)'!$BL$1-$C42,0),IF(AND('Input data (2)'!$C$2=2,$B42&gt;=0),OFFSET('Input data (2)'!BK$126,'Input data (2)'!$BL$1-$B42,0),IF(AND('Input data (2)'!$C$2=1,$A42&gt;=0),OFFSET('Input data (2)'!BK$126,'Input data (2)'!$BL$1-$A42,0),""))))</f>
        <v>144</v>
      </c>
      <c r="BR62" s="1">
        <f ca="1">IF(AND('Input data (2)'!$C$2=4,$D42&gt;=0),OFFSET('Input data (2)'!BJ$126,'Input data (2)'!$BL$1-$D42,0),IF(AND('Input data (2)'!$C$2=3,$C42&gt;=0),OFFSET('Input data (2)'!BJ$126,'Input data (2)'!$BL$1-$C42,0),IF(AND('Input data (2)'!$C$2=2,$B42&gt;=0),OFFSET('Input data (2)'!BJ$126,'Input data (2)'!$BL$1-$B42,0),IF(AND('Input data (2)'!$C$2=1,$A42&gt;=0),OFFSET('Input data (2)'!BJ$126,'Input data (2)'!$BL$1-$A42,0),""))))</f>
        <v>393</v>
      </c>
      <c r="BS62" s="1">
        <f ca="1">IF(AND('Input data (2)'!$C$2=4,$D42&gt;=0),OFFSET('Input data (2)'!BF$126,'Input data (2)'!$BL$1-$D42,0),IF(AND('Input data (2)'!$C$2=3,$C42&gt;=0),OFFSET('Input data (2)'!BF$126,'Input data (2)'!$BL$1-$C42,0),IF(AND('Input data (2)'!$C$2=2,$B42&gt;=0),OFFSET('Input data (2)'!BF$126,'Input data (2)'!$BL$1-$B42,0),IF(AND('Input data (2)'!$C$2=1,$A42&gt;=0),OFFSET('Input data (2)'!BF$126,'Input data (2)'!$BL$1-$A42,0),""))))</f>
        <v>95</v>
      </c>
      <c r="BT62" s="1">
        <f ca="1">IF(AND('Input data (2)'!$C$2=4,$D42&gt;=0),OFFSET('Input data (2)'!BD$126,'Input data (2)'!$BL$1-$D42,0),IF(AND('Input data (2)'!$C$2=3,$C42&gt;=0),OFFSET('Input data (2)'!BD$126,'Input data (2)'!$BL$1-$C42,0),IF(AND('Input data (2)'!$C$2=2,$B42&gt;=0),OFFSET('Input data (2)'!BD$126,'Input data (2)'!$BL$1-$B42,0),IF(AND('Input data (2)'!$C$2=1,$A42&gt;=0),OFFSET('Input data (2)'!BD$126,'Input data (2)'!$BL$1-$A42,0),""))))</f>
        <v>60</v>
      </c>
      <c r="BU62" s="1">
        <f ca="1">IF(AND('Input data (2)'!$C$2=4,$D42&gt;=0),OFFSET('Input data (2)'!BE$126,'Input data (2)'!$BL$1-$D42,0),IF(AND('Input data (2)'!$C$2=3,$C42&gt;=0),OFFSET('Input data (2)'!BE$126,'Input data (2)'!$BL$1-$C42,0),IF(AND('Input data (2)'!$C$2=2,$B42&gt;=0),OFFSET('Input data (2)'!BE$126,'Input data (2)'!$BL$1-$B42,0),IF(AND('Input data (2)'!$C$2=1,$A42&gt;=0),OFFSET('Input data (2)'!BE$126,'Input data (2)'!$BL$1-$A42,0),""))))</f>
        <v>35</v>
      </c>
      <c r="BW62" s="7">
        <f ca="1">IF(AND('Input data (2)'!$C$2=4,$D42&gt;=0),OFFSET('Input data (2)'!J$126,'Input data (2)'!$BL$1-$D42,0),IF(AND('Input data (2)'!$C$2=3,$C42&gt;=0),OFFSET('Input data (2)'!J$126,'Input data (2)'!$BL$1-$C42,0),IF(AND('Input data (2)'!$C$2=2,$B42&gt;=0),OFFSET('Input data (2)'!J$126,'Input data (2)'!$BL$1-$B42,0),IF(AND('Input data (2)'!$C$2=1,$A42&gt;=0),OFFSET('Input data (2)'!J$126,'Input data (2)'!$BL$1-$A42,0),""))))</f>
        <v>0.72319138552686579</v>
      </c>
      <c r="BX62" s="7">
        <f ca="1">IF(AND('Input data (2)'!$C$2=4,$D42&gt;=0),OFFSET('Input data (2)'!K$126,'Input data (2)'!$BL$1-$D42,0),IF(AND('Input data (2)'!$C$2=3,$C42&gt;=0),OFFSET('Input data (2)'!K$126,'Input data (2)'!$BL$1-$C42,0),IF(AND('Input data (2)'!$C$2=2,$B42&gt;=0),OFFSET('Input data (2)'!K$126,'Input data (2)'!$BL$1-$B42,0),IF(AND('Input data (2)'!$C$2=1,$A42&gt;=0),OFFSET('Input data (2)'!K$126,'Input data (2)'!$BL$1-$A42,0),""))))</f>
        <v>0.66104033951005792</v>
      </c>
      <c r="BY62" s="7">
        <f ca="1">IF(AND('Input data (2)'!$C$2=4,$D42&gt;=0),OFFSET('Input data (2)'!AS$126,'Input data (2)'!$BL$1-$D42,0),IF(AND('Input data (2)'!$C$2=3,$C42&gt;=0),OFFSET('Input data (2)'!AS$126,'Input data (2)'!$BL$1-$C42,0),IF(AND('Input data (2)'!$C$2=2,$B42&gt;=0),OFFSET('Input data (2)'!AS$126,'Input data (2)'!$BL$1-$B42,0),IF(AND('Input data (2)'!$C$2=1,$A42&gt;=0),OFFSET('Input data (2)'!AS$126,'Input data (2)'!$BL$1-$A42,0),""))))</f>
        <v>0.92834620749475472</v>
      </c>
      <c r="BZ62" s="7">
        <f ca="1">IF(AND('Input data (2)'!$C$2=4,$D42&gt;=0),OFFSET('Input data (2)'!AT$126,'Input data (2)'!$BL$1-$D42,0),IF(AND('Input data (2)'!$C$2=3,$C42&gt;=0),OFFSET('Input data (2)'!AT$126,'Input data (2)'!$BL$1-$C42,0),IF(AND('Input data (2)'!$C$2=2,$B42&gt;=0),OFFSET('Input data (2)'!AT$126,'Input data (2)'!$BL$1-$B42,0),IF(AND('Input data (2)'!$C$2=1,$A42&gt;=0),OFFSET('Input data (2)'!AT$126,'Input data (2)'!$BL$1-$A42,0),""))))</f>
        <v>0.83707657348200615</v>
      </c>
      <c r="CB62" s="122"/>
      <c r="CC62" s="122"/>
      <c r="CD62" s="122"/>
      <c r="CE62" s="122"/>
      <c r="CM62" s="3">
        <f ca="1">(CM44/CM43-1)*100</f>
        <v>-6.6058364286317284</v>
      </c>
      <c r="CN62" s="3">
        <f ca="1">(CN44/CN43-1)*100</f>
        <v>0.3366180921157591</v>
      </c>
      <c r="CO62" s="68" t="e">
        <f ca="1">(CO44/CO43-1)*100</f>
        <v>#VALUE!</v>
      </c>
    </row>
    <row r="63" spans="5:94" x14ac:dyDescent="0.15">
      <c r="E63" s="1" t="str">
        <f>F63&amp;G63</f>
        <v>2012Q4</v>
      </c>
      <c r="F63" s="1">
        <f>F58+1</f>
        <v>2012</v>
      </c>
      <c r="G63" s="1" t="s">
        <v>4</v>
      </c>
      <c r="H63" s="1">
        <f>VLOOKUP($E63,'Input data (2)'!$A:$BL,'Output data - DO NOT TOUCH (2)'!H$71,FALSE)</f>
        <v>3694</v>
      </c>
      <c r="I63" s="1">
        <f>VLOOKUP($E63,'Input data (2)'!$A:$BL,'Output data - DO NOT TOUCH (2)'!I$71,FALSE)</f>
        <v>954</v>
      </c>
      <c r="J63" s="1">
        <f>VLOOKUP($E63,'Input data (2)'!$A:$BL,'Output data - DO NOT TOUCH (2)'!J$71,FALSE)</f>
        <v>2740</v>
      </c>
      <c r="K63" s="1">
        <f>VLOOKUP($E63,'Input data (2)'!$A:$BL,'Output data - DO NOT TOUCH (2)'!K$71,FALSE)</f>
        <v>3823</v>
      </c>
      <c r="L63" s="1">
        <f>VLOOKUP($E63,'Input data (2)'!$A:$BL,'Output data - DO NOT TOUCH (2)'!L$71,FALSE)</f>
        <v>933</v>
      </c>
      <c r="M63" s="1">
        <f>VLOOKUP($E63,'Input data (2)'!$A:$BL,'Output data - DO NOT TOUCH (2)'!M$71,FALSE)</f>
        <v>2890</v>
      </c>
      <c r="O63" s="119">
        <f ca="1">IF(AND('Input data (2)'!$C$2=4,$D43&gt;=0),OFFSET('Input data (2)'!O$126,'Input data (2)'!$BL$1-$D43,0),IF(AND('Input data (2)'!$C$2=3,$C43&gt;=0),OFFSET('Input data (2)'!O$126,'Input data (2)'!$BL$1-$C43,0),IF(AND('Input data (2)'!$C$2=2,$B43&gt;=0),OFFSET('Input data (2)'!O$126,'Input data (2)'!$BL$1-$B43,0),IF(AND('Input data (2)'!$C$2=1,$A43&gt;=0),OFFSET('Input data (2)'!O$126,'Input data (2)'!$BL$1-$A43,0),""))))</f>
        <v>283</v>
      </c>
      <c r="Q63" s="1">
        <f ca="1">IF(AND('Input data (2)'!$C$2=4,$D43&gt;=0),OFFSET('Input data (2)'!AC$126,'Input data (2)'!$BL$1-$D43,0),IF(AND('Input data (2)'!$C$2=3,$C43&gt;=0),OFFSET('Input data (2)'!AC$126,'Input data (2)'!$BL$1-$C43,0),IF(AND('Input data (2)'!$C$2=2,$B43&gt;=0),OFFSET('Input data (2)'!AC$126,'Input data (2)'!$BL$1-$B43,0),IF(AND('Input data (2)'!$C$2=1,$A43&gt;=0),OFFSET('Input data (2)'!AC$126,'Input data (2)'!$BL$1-$A43,0),""))))</f>
        <v>25456</v>
      </c>
      <c r="R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S63" s="1">
        <f ca="1">IF(AND('Input data (2)'!$C$2=4,$D43&gt;=0),OFFSET('Input data (2)'!R$126,'Input data (2)'!$BL$1-$D43,0),IF(AND('Input data (2)'!$C$2=3,$C43&gt;=0),OFFSET('Input data (2)'!R$126,'Input data (2)'!$BL$1-$C43,0),IF(AND('Input data (2)'!$C$2=2,$B43&gt;=0),OFFSET('Input data (2)'!R$126,'Input data (2)'!$BL$1-$B43,0),IF(AND('Input data (2)'!$C$2=1,$A43&gt;=0),OFFSET('Input data (2)'!R$126,'Input data (2)'!$BL$1-$A43,0),""))))</f>
        <v>7549</v>
      </c>
      <c r="T63" s="1">
        <f ca="1">IF(AND('Input data (2)'!$C$2=4,$D43&gt;=0),OFFSET('Input data (2)'!AA$126,'Input data (2)'!$BL$1-$D43,0),IF(AND('Input data (2)'!$C$2=3,$C43&gt;=0),OFFSET('Input data (2)'!AA$126,'Input data (2)'!$BL$1-$C43,0),IF(AND('Input data (2)'!$C$2=2,$B43&gt;=0),OFFSET('Input data (2)'!AA$126,'Input data (2)'!$BL$1-$B43,0),IF(AND('Input data (2)'!$C$2=1,$A43&gt;=0),OFFSET('Input data (2)'!AA$126,'Input data (2)'!$BL$1-$A43,0),""))))</f>
        <v>10986</v>
      </c>
      <c r="U63" s="1" t="str">
        <f ca="1">IF(AND('Input data (2)'!$C$2=4,$D43&gt;=0),OFFSET('Input data (2)'!AL$126,'Input data (2)'!$BL$1-$D43,0),IF(AND('Input data (2)'!$C$2=3,$C43&gt;=0),OFFSET('Input data (2)'!AL$126,'Input data (2)'!$BL$1-$C43,0),IF(AND('Input data (2)'!$C$2=2,$B43&gt;=0),OFFSET('Input data (2)'!AL$126,'Input data (2)'!$BL$1-$B43,0),IF(AND('Input data (2)'!$C$2=1,$A43&gt;=0),OFFSET('Input data (2)'!AL$126,'Input data (2)'!$BL$1-$A43,0),""))))</f>
        <v>:</v>
      </c>
      <c r="V63" s="1">
        <f ca="1">IF(AND('Input data (2)'!$C$2=4,$D43&gt;=0),OFFSET('Input data (2)'!AJ$126,'Input data (2)'!$BL$1-$D43,0),IF(AND('Input data (2)'!$C$2=3,$C43&gt;=0),OFFSET('Input data (2)'!AJ$126,'Input data (2)'!$BL$1-$C43,0),IF(AND('Input data (2)'!$C$2=2,$B43&gt;=0),OFFSET('Input data (2)'!AJ$126,'Input data (2)'!$BL$1-$B43,0),IF(AND('Input data (2)'!$C$2=1,$A43&gt;=0),OFFSET('Input data (2)'!AJ$126,'Input data (2)'!$BL$1-$A43,0),""))))</f>
        <v>7274</v>
      </c>
      <c r="W63" s="1">
        <f ca="1">IF(AND('Input data (2)'!$C$2=4,$D43&gt;=0),OFFSET('Input data (2)'!AK$126,'Input data (2)'!$BL$1-$D43,0),IF(AND('Input data (2)'!$C$2=3,$C43&gt;=0),OFFSET('Input data (2)'!AK$126,'Input data (2)'!$BL$1-$C43,0),IF(AND('Input data (2)'!$C$2=2,$B43&gt;=0),OFFSET('Input data (2)'!AK$126,'Input data (2)'!$BL$1-$B43,0),IF(AND('Input data (2)'!$C$2=1,$A43&gt;=0),OFFSET('Input data (2)'!AK$126,'Input data (2)'!$BL$1-$A43,0),""))))</f>
        <v>10798</v>
      </c>
      <c r="Y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Z63" s="1">
        <f ca="1">IF(AND('Input data (2)'!$C$2=4,$D43&gt;=0),OFFSET('Input data (2)'!S$126,'Input data (2)'!$BL$1-$D43,0),IF(AND('Input data (2)'!$C$2=3,$C43&gt;=0),OFFSET('Input data (2)'!S$126,'Input data (2)'!$BL$1-$C43,0),IF(AND('Input data (2)'!$C$2=2,$B43&gt;=0),OFFSET('Input data (2)'!S$126,'Input data (2)'!$BL$1-$B43,0),IF(AND('Input data (2)'!$C$2=1,$A43&gt;=0),OFFSET('Input data (2)'!S$126,'Input data (2)'!$BL$1-$A43,0),""))))</f>
        <v>5487</v>
      </c>
      <c r="AA63" s="1">
        <f ca="1">IF(AND('Input data (2)'!$C$2=4,$D43&gt;=0),OFFSET('Input data (2)'!T$126,'Input data (2)'!$BL$1-$D43,0),IF(AND('Input data (2)'!$C$2=3,$C43&gt;=0),OFFSET('Input data (2)'!T$126,'Input data (2)'!$BL$1-$C43,0),IF(AND('Input data (2)'!$C$2=2,$B43&gt;=0),OFFSET('Input data (2)'!T$126,'Input data (2)'!$BL$1-$B43,0),IF(AND('Input data (2)'!$C$2=1,$A43&gt;=0),OFFSET('Input data (2)'!T$126,'Input data (2)'!$BL$1-$A43,0),""))))</f>
        <v>79.28045080190725</v>
      </c>
      <c r="AB63" s="1">
        <f ca="1">IF(AND('Input data (2)'!$C$2=4,$D43&gt;=0),OFFSET('Input data (2)'!U$126,'Input data (2)'!$BL$1-$D43,0),IF(AND('Input data (2)'!$C$2=3,$C43&gt;=0),OFFSET('Input data (2)'!U$126,'Input data (2)'!$BL$1-$C43,0),IF(AND('Input data (2)'!$C$2=2,$B43&gt;=0),OFFSET('Input data (2)'!U$126,'Input data (2)'!$BL$1-$B43,0),IF(AND('Input data (2)'!$C$2=1,$A43&gt;=0),OFFSET('Input data (2)'!U$126,'Input data (2)'!$BL$1-$A43,0),""))))</f>
        <v>1434</v>
      </c>
      <c r="AC63" s="1">
        <f ca="1">IF(AND('Input data (2)'!$C$2=4,$D43&gt;=0),OFFSET('Input data (2)'!V$126,'Input data (2)'!$BL$1-$D43,0),IF(AND('Input data (2)'!$C$2=3,$C43&gt;=0),OFFSET('Input data (2)'!V$126,'Input data (2)'!$BL$1-$C43,0),IF(AND('Input data (2)'!$C$2=2,$B43&gt;=0),OFFSET('Input data (2)'!V$126,'Input data (2)'!$BL$1-$B43,0),IF(AND('Input data (2)'!$C$2=1,$A43&gt;=0),OFFSET('Input data (2)'!V$126,'Input data (2)'!$BL$1-$A43,0),""))))</f>
        <v>20.719549198092761</v>
      </c>
      <c r="AD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AE63" s="1">
        <f ca="1">IF(AND('Input data (2)'!$C$2=4,$D43&gt;=0),OFFSET('Input data (2)'!W$126,'Input data (2)'!$BL$1-$D43,0),IF(AND('Input data (2)'!$C$2=3,$C43&gt;=0),OFFSET('Input data (2)'!W$126,'Input data (2)'!$BL$1-$C43,0),IF(AND('Input data (2)'!$C$2=2,$B43&gt;=0),OFFSET('Input data (2)'!W$126,'Input data (2)'!$BL$1-$B43,0),IF(AND('Input data (2)'!$C$2=1,$A43&gt;=0),OFFSET('Input data (2)'!W$126,'Input data (2)'!$BL$1-$A43,0),""))))</f>
        <v>1710</v>
      </c>
      <c r="AF63" s="1">
        <f ca="1">IF(AND('Input data (2)'!$C$2=4,$D43&gt;=0),OFFSET('Input data (2)'!X$126,'Input data (2)'!$BL$1-$D43,0),IF(AND('Input data (2)'!$C$2=3,$C43&gt;=0),OFFSET('Input data (2)'!X$126,'Input data (2)'!$BL$1-$C43,0),IF(AND('Input data (2)'!$C$2=2,$B43&gt;=0),OFFSET('Input data (2)'!X$126,'Input data (2)'!$BL$1-$B43,0),IF(AND('Input data (2)'!$C$2=1,$A43&gt;=0),OFFSET('Input data (2)'!X$126,'Input data (2)'!$BL$1-$A43,0),""))))</f>
        <v>24.707412223667099</v>
      </c>
      <c r="AG63" s="1">
        <f ca="1">IF(AND('Input data (2)'!$C$2=4,$D43&gt;=0),OFFSET('Input data (2)'!Y$126,'Input data (2)'!$BL$1-$D43,0),IF(AND('Input data (2)'!$C$2=3,$C43&gt;=0),OFFSET('Input data (2)'!Y$126,'Input data (2)'!$BL$1-$C43,0),IF(AND('Input data (2)'!$C$2=2,$B43&gt;=0),OFFSET('Input data (2)'!Y$126,'Input data (2)'!$BL$1-$B43,0),IF(AND('Input data (2)'!$C$2=1,$A43&gt;=0),OFFSET('Input data (2)'!Y$126,'Input data (2)'!$BL$1-$A43,0),""))))</f>
        <v>5211</v>
      </c>
      <c r="AH63" s="1">
        <f ca="1">IF(AND('Input data (2)'!$C$2=4,$D43&gt;=0),OFFSET('Input data (2)'!Z$126,'Input data (2)'!$BL$1-$D43,0),IF(AND('Input data (2)'!$C$2=3,$C43&gt;=0),OFFSET('Input data (2)'!Z$126,'Input data (2)'!$BL$1-$C43,0),IF(AND('Input data (2)'!$C$2=2,$B43&gt;=0),OFFSET('Input data (2)'!Z$126,'Input data (2)'!$BL$1-$B43,0),IF(AND('Input data (2)'!$C$2=1,$A43&gt;=0),OFFSET('Input data (2)'!Z$126,'Input data (2)'!$BL$1-$A43,0),""))))</f>
        <v>75.292587776332894</v>
      </c>
      <c r="AI63" s="3"/>
      <c r="AJ63" s="124">
        <f ca="1">IF(AND('Input data (2)'!$C$2=4,$D43&gt;=0),OFFSET('Input data (2)'!AF$126,'Input data (2)'!$BL$1-$D43,0),IF(AND('Input data (2)'!$C$2=3,$C43&gt;=0),OFFSET('Input data (2)'!AF$126,'Input data (2)'!$BL$1-$C43,0),IF(AND('Input data (2)'!$C$2=2,$B43&gt;=0),OFFSET('Input data (2)'!AF$126,'Input data (2)'!$BL$1-$B43,0),IF(AND('Input data (2)'!$C$2=1,$A43&gt;=0),OFFSET('Input data (2)'!AF$126,'Input data (2)'!$BL$1-$A43,0),""))))</f>
        <v>0</v>
      </c>
      <c r="AK63" s="124">
        <f ca="1">IF(AND('Input data (2)'!$C$2=4,$D43&gt;=0),OFFSET('Input data (2)'!AD$126,'Input data (2)'!$BL$1-$D43,0),IF(AND('Input data (2)'!$C$2=3,$C43&gt;=0),OFFSET('Input data (2)'!AD$126,'Input data (2)'!$BL$1-$C43,0),IF(AND('Input data (2)'!$C$2=2,$B43&gt;=0),OFFSET('Input data (2)'!AD$126,'Input data (2)'!$BL$1-$B43,0),IF(AND('Input data (2)'!$C$2=1,$A43&gt;=0),OFFSET('Input data (2)'!AD$126,'Input data (2)'!$BL$1-$A43,0),""))))</f>
        <v>0</v>
      </c>
      <c r="AL63" s="124">
        <f ca="1">IF(AND('Input data (2)'!$C$2=4,$D43&gt;=0),OFFSET('Input data (2)'!AE$126,'Input data (2)'!$BL$1-$D43,0),IF(AND('Input data (2)'!$C$2=3,$C43&gt;=0),OFFSET('Input data (2)'!AE$126,'Input data (2)'!$BL$1-$C43,0),IF(AND('Input data (2)'!$C$2=2,$B43&gt;=0),OFFSET('Input data (2)'!AE$126,'Input data (2)'!$BL$1-$B43,0),IF(AND('Input data (2)'!$C$2=1,$A43&gt;=0),OFFSET('Input data (2)'!AE$126,'Input data (2)'!$BL$1-$A43,0),""))))</f>
        <v>0</v>
      </c>
      <c r="AW63" s="1">
        <f ca="1">IF(AND('Input data (2)'!$C$2=4,$D43&gt;=0),OFFSET('Input data (2)'!L$126,'Input data (2)'!$BL$1-$D43,0),IF(AND('Input data (2)'!$C$2=3,$C43&gt;=0),OFFSET('Input data (2)'!L$126,'Input data (2)'!$BL$1-$C43,0),IF(AND('Input data (2)'!$C$2=2,$B43&gt;=0),OFFSET('Input data (2)'!L$126,'Input data (2)'!$BL$1-$B43,0),IF(AND('Input data (2)'!$C$2=1,$A43&gt;=0),OFFSET('Input data (2)'!L$126,'Input data (2)'!$BL$1-$A43,0),""))))</f>
        <v>276</v>
      </c>
      <c r="AX63" s="1">
        <f ca="1">IF(AND('Input data (2)'!$C$2=4,$D43&gt;=0),OFFSET('Input data (2)'!M$126,'Input data (2)'!$BL$1-$D43,0),IF(AND('Input data (2)'!$C$2=3,$C43&gt;=0),OFFSET('Input data (2)'!M$126,'Input data (2)'!$BL$1-$C43,0),IF(AND('Input data (2)'!$C$2=2,$B43&gt;=0),OFFSET('Input data (2)'!M$126,'Input data (2)'!$BL$1-$B43,0),IF(AND('Input data (2)'!$C$2=1,$A43&gt;=0),OFFSET('Input data (2)'!M$126,'Input data (2)'!$BL$1-$A43,0),""))))</f>
        <v>0</v>
      </c>
      <c r="AY63" s="1">
        <f ca="1">IF(AND('Input data (2)'!$C$2=4,$D43&gt;=0),OFFSET('Input data (2)'!N$126,'Input data (2)'!$BL$1-$D43,0),IF(AND('Input data (2)'!$C$2=3,$C43&gt;=0),OFFSET('Input data (2)'!N$126,'Input data (2)'!$BL$1-$C43,0),IF(AND('Input data (2)'!$C$2=2,$B43&gt;=0),OFFSET('Input data (2)'!N$126,'Input data (2)'!$BL$1-$B43,0),IF(AND('Input data (2)'!$C$2=1,$A43&gt;=0),OFFSET('Input data (2)'!N$126,'Input data (2)'!$BL$1-$A43,0),""))))</f>
        <v>580</v>
      </c>
      <c r="AZ63" s="1">
        <f ca="1">IF(AND('Input data (2)'!$C$2=4,$D43&gt;=0),OFFSET('Input data (2)'!P$126,'Input data (2)'!$BL$1-$D43,0),IF(AND('Input data (2)'!$C$2=3,$C43&gt;=0),OFFSET('Input data (2)'!P$126,'Input data (2)'!$BL$1-$C43,0),IF(AND('Input data (2)'!$C$2=2,$B43&gt;=0),OFFSET('Input data (2)'!P$126,'Input data (2)'!$BL$1-$B43,0),IF(AND('Input data (2)'!$C$2=1,$A43&gt;=0),OFFSET('Input data (2)'!P$126,'Input data (2)'!$BL$1-$A43,0),""))))</f>
        <v>151</v>
      </c>
      <c r="BB63" s="1">
        <f ca="1">IF(AND('Input data (2)'!$C$2=4,$D43&gt;=0),OFFSET('Input data (2)'!BB$126,'Input data (2)'!$BL$1-$D43,0),IF(AND('Input data (2)'!$C$2=3,$C43&gt;=0),OFFSET('Input data (2)'!BB$126,'Input data (2)'!$BL$1-$C43,0),IF(AND('Input data (2)'!$C$2=2,$B43&gt;=0),OFFSET('Input data (2)'!BB$126,'Input data (2)'!$BL$1-$B43,0),IF(AND('Input data (2)'!$C$2=1,$A43&gt;=0),OFFSET('Input data (2)'!BB$126,'Input data (2)'!$BL$1-$A43,0),""))))</f>
        <v>3863</v>
      </c>
      <c r="BC63" s="1">
        <f ca="1">IF(AND('Input data (2)'!$C$2=4,$D43&gt;=0),OFFSET('Input data (2)'!AY$126,'Input data (2)'!$BL$1-$D43,0),IF(AND('Input data (2)'!$C$2=3,$C43&gt;=0),OFFSET('Input data (2)'!AY$126,'Input data (2)'!$BL$1-$C43,0),IF(AND('Input data (2)'!$C$2=2,$B43&gt;=0),OFFSET('Input data (2)'!AY$126,'Input data (2)'!$BL$1-$B43,0),IF(AND('Input data (2)'!$C$2=1,$A43&gt;=0),OFFSET('Input data (2)'!AY$126,'Input data (2)'!$BL$1-$A43,0),""))))</f>
        <v>1833</v>
      </c>
      <c r="BD63" s="1">
        <f ca="1">IF(AND('Input data (2)'!$C$2=4,$D43&gt;=0),OFFSET('Input data (2)'!AZ$126,'Input data (2)'!$BL$1-$D43,0),IF(AND('Input data (2)'!$C$2=3,$C43&gt;=0),OFFSET('Input data (2)'!AZ$126,'Input data (2)'!$BL$1-$C43,0),IF(AND('Input data (2)'!$C$2=2,$B43&gt;=0),OFFSET('Input data (2)'!AZ$126,'Input data (2)'!$BL$1-$B43,0),IF(AND('Input data (2)'!$C$2=1,$A43&gt;=0),OFFSET('Input data (2)'!AZ$126,'Input data (2)'!$BL$1-$A43,0),""))))</f>
        <v>607</v>
      </c>
      <c r="BE63" s="1">
        <f ca="1">IF(AND('Input data (2)'!$C$2=4,$D43&gt;=0),OFFSET('Input data (2)'!BA$126,'Input data (2)'!$BL$1-$D43,0),IF(AND('Input data (2)'!$C$2=3,$C43&gt;=0),OFFSET('Input data (2)'!BA$126,'Input data (2)'!$BL$1-$C43,0),IF(AND('Input data (2)'!$C$2=2,$B43&gt;=0),OFFSET('Input data (2)'!BA$126,'Input data (2)'!$BL$1-$B43,0),IF(AND('Input data (2)'!$C$2=1,$A43&gt;=0),OFFSET('Input data (2)'!BA$126,'Input data (2)'!$BL$1-$A43,0),""))))</f>
        <v>2030</v>
      </c>
      <c r="BF63" s="1">
        <f ca="1">IF(AND('Input data (2)'!$C$2=4,$D43&gt;=0),OFFSET('Input data (2)'!AP$126,'Input data (2)'!$BL$1-$D43,0),IF(AND('Input data (2)'!$C$2=3,$C43&gt;=0),OFFSET('Input data (2)'!AP$126,'Input data (2)'!$BL$1-$C43,0),IF(AND('Input data (2)'!$C$2=2,$B43&gt;=0),OFFSET('Input data (2)'!AP$126,'Input data (2)'!$BL$1-$B43,0),IF(AND('Input data (2)'!$C$2=1,$A43&gt;=0),OFFSET('Input data (2)'!AP$126,'Input data (2)'!$BL$1-$A43,0),""))))</f>
        <v>169</v>
      </c>
      <c r="BG63" s="1">
        <f ca="1">IF(AND('Input data (2)'!$C$2=4,$D43&gt;=0),OFFSET('Input data (2)'!AN$126,'Input data (2)'!$BL$1-$D43,0),IF(AND('Input data (2)'!$C$2=3,$C43&gt;=0),OFFSET('Input data (2)'!AN$126,'Input data (2)'!$BL$1-$C43,0),IF(AND('Input data (2)'!$C$2=2,$B43&gt;=0),OFFSET('Input data (2)'!AN$126,'Input data (2)'!$BL$1-$B43,0),IF(AND('Input data (2)'!$C$2=1,$A43&gt;=0),OFFSET('Input data (2)'!AN$126,'Input data (2)'!$BL$1-$A43,0),""))))</f>
        <v>98</v>
      </c>
      <c r="BH63" s="1">
        <f ca="1">IF(AND('Input data (2)'!$C$2=4,$D43&gt;=0),OFFSET('Input data (2)'!AO$126,'Input data (2)'!$BL$1-$D43,0),IF(AND('Input data (2)'!$C$2=3,$C43&gt;=0),OFFSET('Input data (2)'!AO$126,'Input data (2)'!$BL$1-$C43,0),IF(AND('Input data (2)'!$C$2=2,$B43&gt;=0),OFFSET('Input data (2)'!AO$126,'Input data (2)'!$BL$1-$B43,0),IF(AND('Input data (2)'!$C$2=1,$A43&gt;=0),OFFSET('Input data (2)'!AO$126,'Input data (2)'!$BL$1-$A43,0),""))))</f>
        <v>71</v>
      </c>
      <c r="BJ63" s="1">
        <f ca="1">IF(AND('Input data (2)'!$C$2=4,$D43&gt;=0),OFFSET('Input data (2)'!AU$126,'Input data (2)'!$BL$1-$D43,0),IF(AND('Input data (2)'!$C$2=3,$C43&gt;=0),OFFSET('Input data (2)'!AU$126,'Input data (2)'!$BL$1-$C43,0),IF(AND('Input data (2)'!$C$2=2,$B43&gt;=0),OFFSET('Input data (2)'!AU$126,'Input data (2)'!$BL$1-$B43,0),IF(AND('Input data (2)'!$C$2=1,$A43&gt;=0),OFFSET('Input data (2)'!AU$126,'Input data (2)'!$BL$1-$A43,0),""))))</f>
        <v>8</v>
      </c>
      <c r="BK63" s="1">
        <f ca="1">IF(AND('Input data (2)'!$C$2=4,$D43&gt;=0),OFFSET('Input data (2)'!AV$126,'Input data (2)'!$BL$1-$D43,0),IF(AND('Input data (2)'!$C$2=3,$C43&gt;=0),OFFSET('Input data (2)'!AV$126,'Input data (2)'!$BL$1-$C43,0),IF(AND('Input data (2)'!$C$2=2,$B43&gt;=0),OFFSET('Input data (2)'!AV$126,'Input data (2)'!$BL$1-$B43,0),IF(AND('Input data (2)'!$C$2=1,$A43&gt;=0),OFFSET('Input data (2)'!AV$126,'Input data (2)'!$BL$1-$A43,0),""))))</f>
        <v>0</v>
      </c>
      <c r="BL63" s="1">
        <f ca="1">IF(AND('Input data (2)'!$C$2=4,$D43&gt;=0),OFFSET('Input data (2)'!AW$126,'Input data (2)'!$BL$1-$D43,0),IF(AND('Input data (2)'!$C$2=3,$C43&gt;=0),OFFSET('Input data (2)'!AW$126,'Input data (2)'!$BL$1-$C43,0),IF(AND('Input data (2)'!$C$2=2,$B43&gt;=0),OFFSET('Input data (2)'!AW$126,'Input data (2)'!$BL$1-$B43,0),IF(AND('Input data (2)'!$C$2=1,$A43&gt;=0),OFFSET('Input data (2)'!AW$126,'Input data (2)'!$BL$1-$A43,0),""))))</f>
        <v>44</v>
      </c>
      <c r="BM63" s="1">
        <f ca="1">IF(AND('Input data (2)'!$C$2=4,$D43&gt;=0),OFFSET('Input data (2)'!AX$126,'Input data (2)'!$BL$1-$D43,0),IF(AND('Input data (2)'!$C$2=3,$C43&gt;=0),OFFSET('Input data (2)'!AX$126,'Input data (2)'!$BL$1-$C43,0),IF(AND('Input data (2)'!$C$2=2,$B43&gt;=0),OFFSET('Input data (2)'!AX$126,'Input data (2)'!$BL$1-$B43,0),IF(AND('Input data (2)'!$C$2=1,$A43&gt;=0),OFFSET('Input data (2)'!AX$126,'Input data (2)'!$BL$1-$A43,0),""))))</f>
        <v>4</v>
      </c>
      <c r="BO63" s="1">
        <f ca="1">IF(AND('Input data (2)'!$C$2=4,$D43&gt;=0),OFFSET('Input data (2)'!BL$126,'Input data (2)'!$BL$1-$D43,0),IF(AND('Input data (2)'!$C$2=3,$C43&gt;=0),OFFSET('Input data (2)'!BL$126,'Input data (2)'!$BL$1-$C43,0),IF(AND('Input data (2)'!$C$2=2,$B43&gt;=0),OFFSET('Input data (2)'!BL$126,'Input data (2)'!$BL$1-$B43,0),IF(AND('Input data (2)'!$C$2=1,$A43&gt;=0),OFFSET('Input data (2)'!BL$126,'Input data (2)'!$BL$1-$A43,0),""))))</f>
        <v>756</v>
      </c>
      <c r="BP63" s="1">
        <f ca="1">IF(AND('Input data (2)'!$C$2=4,$D43&gt;=0),OFFSET('Input data (2)'!BI$126,'Input data (2)'!$BL$1-$D43,0),IF(AND('Input data (2)'!$C$2=3,$C43&gt;=0),OFFSET('Input data (2)'!BI$126,'Input data (2)'!$BL$1-$C43,0),IF(AND('Input data (2)'!$C$2=2,$B43&gt;=0),OFFSET('Input data (2)'!BI$126,'Input data (2)'!$BL$1-$B43,0),IF(AND('Input data (2)'!$C$2=1,$A43&gt;=0),OFFSET('Input data (2)'!BI$126,'Input data (2)'!$BL$1-$A43,0),""))))</f>
        <v>359</v>
      </c>
      <c r="BQ63" s="1">
        <f ca="1">IF(AND('Input data (2)'!$C$2=4,$D43&gt;=0),OFFSET('Input data (2)'!BK$126,'Input data (2)'!$BL$1-$D43,0),IF(AND('Input data (2)'!$C$2=3,$C43&gt;=0),OFFSET('Input data (2)'!BK$126,'Input data (2)'!$BL$1-$C43,0),IF(AND('Input data (2)'!$C$2=2,$B43&gt;=0),OFFSET('Input data (2)'!BK$126,'Input data (2)'!$BL$1-$B43,0),IF(AND('Input data (2)'!$C$2=1,$A43&gt;=0),OFFSET('Input data (2)'!BK$126,'Input data (2)'!$BL$1-$A43,0),""))))</f>
        <v>117</v>
      </c>
      <c r="BR63" s="1">
        <f ca="1">IF(AND('Input data (2)'!$C$2=4,$D43&gt;=0),OFFSET('Input data (2)'!BJ$126,'Input data (2)'!$BL$1-$D43,0),IF(AND('Input data (2)'!$C$2=3,$C43&gt;=0),OFFSET('Input data (2)'!BJ$126,'Input data (2)'!$BL$1-$C43,0),IF(AND('Input data (2)'!$C$2=2,$B43&gt;=0),OFFSET('Input data (2)'!BJ$126,'Input data (2)'!$BL$1-$B43,0),IF(AND('Input data (2)'!$C$2=1,$A43&gt;=0),OFFSET('Input data (2)'!BJ$126,'Input data (2)'!$BL$1-$A43,0),""))))</f>
        <v>280</v>
      </c>
      <c r="BS63" s="1">
        <f ca="1">IF(AND('Input data (2)'!$C$2=4,$D43&gt;=0),OFFSET('Input data (2)'!BF$126,'Input data (2)'!$BL$1-$D43,0),IF(AND('Input data (2)'!$C$2=3,$C43&gt;=0),OFFSET('Input data (2)'!BF$126,'Input data (2)'!$BL$1-$C43,0),IF(AND('Input data (2)'!$C$2=2,$B43&gt;=0),OFFSET('Input data (2)'!BF$126,'Input data (2)'!$BL$1-$B43,0),IF(AND('Input data (2)'!$C$2=1,$A43&gt;=0),OFFSET('Input data (2)'!BF$126,'Input data (2)'!$BL$1-$A43,0),""))))</f>
        <v>86</v>
      </c>
      <c r="BT63" s="1">
        <f ca="1">IF(AND('Input data (2)'!$C$2=4,$D43&gt;=0),OFFSET('Input data (2)'!BD$126,'Input data (2)'!$BL$1-$D43,0),IF(AND('Input data (2)'!$C$2=3,$C43&gt;=0),OFFSET('Input data (2)'!BD$126,'Input data (2)'!$BL$1-$C43,0),IF(AND('Input data (2)'!$C$2=2,$B43&gt;=0),OFFSET('Input data (2)'!BD$126,'Input data (2)'!$BL$1-$B43,0),IF(AND('Input data (2)'!$C$2=1,$A43&gt;=0),OFFSET('Input data (2)'!BD$126,'Input data (2)'!$BL$1-$A43,0),""))))</f>
        <v>48</v>
      </c>
      <c r="BU63" s="1">
        <f ca="1">IF(AND('Input data (2)'!$C$2=4,$D43&gt;=0),OFFSET('Input data (2)'!BE$126,'Input data (2)'!$BL$1-$D43,0),IF(AND('Input data (2)'!$C$2=3,$C43&gt;=0),OFFSET('Input data (2)'!BE$126,'Input data (2)'!$BL$1-$C43,0),IF(AND('Input data (2)'!$C$2=2,$B43&gt;=0),OFFSET('Input data (2)'!BE$126,'Input data (2)'!$BL$1-$B43,0),IF(AND('Input data (2)'!$C$2=1,$A43&gt;=0),OFFSET('Input data (2)'!BE$126,'Input data (2)'!$BL$1-$A43,0),""))))</f>
        <v>38</v>
      </c>
      <c r="BW63" s="7">
        <f ca="1">IF(AND('Input data (2)'!$C$2=4,$D43&gt;=0),OFFSET('Input data (2)'!J$126,'Input data (2)'!$BL$1-$D43,0),IF(AND('Input data (2)'!$C$2=3,$C43&gt;=0),OFFSET('Input data (2)'!J$126,'Input data (2)'!$BL$1-$C43,0),IF(AND('Input data (2)'!$C$2=2,$B43&gt;=0),OFFSET('Input data (2)'!J$126,'Input data (2)'!$BL$1-$B43,0),IF(AND('Input data (2)'!$C$2=1,$A43&gt;=0),OFFSET('Input data (2)'!J$126,'Input data (2)'!$BL$1-$A43,0),""))))</f>
        <v>0.69400020940242502</v>
      </c>
      <c r="BX63" s="7">
        <f ca="1">IF(AND('Input data (2)'!$C$2=4,$D43&gt;=0),OFFSET('Input data (2)'!K$126,'Input data (2)'!$BL$1-$D43,0),IF(AND('Input data (2)'!$C$2=3,$C43&gt;=0),OFFSET('Input data (2)'!K$126,'Input data (2)'!$BL$1-$C43,0),IF(AND('Input data (2)'!$C$2=2,$B43&gt;=0),OFFSET('Input data (2)'!K$126,'Input data (2)'!$BL$1-$B43,0),IF(AND('Input data (2)'!$C$2=1,$A43&gt;=0),OFFSET('Input data (2)'!K$126,'Input data (2)'!$BL$1-$A43,0),""))))</f>
        <v>0.63434166153690719</v>
      </c>
      <c r="BY63" s="7">
        <f ca="1">IF(AND('Input data (2)'!$C$2=4,$D43&gt;=0),OFFSET('Input data (2)'!AS$126,'Input data (2)'!$BL$1-$D43,0),IF(AND('Input data (2)'!$C$2=3,$C43&gt;=0),OFFSET('Input data (2)'!AS$126,'Input data (2)'!$BL$1-$C43,0),IF(AND('Input data (2)'!$C$2=2,$B43&gt;=0),OFFSET('Input data (2)'!AS$126,'Input data (2)'!$BL$1-$B43,0),IF(AND('Input data (2)'!$C$2=1,$A43&gt;=0),OFFSET('Input data (2)'!AS$126,'Input data (2)'!$BL$1-$A43,0),""))))</f>
        <v>0.82958507484889255</v>
      </c>
      <c r="BZ63" s="7">
        <f ca="1">IF(AND('Input data (2)'!$C$2=4,$D43&gt;=0),OFFSET('Input data (2)'!AT$126,'Input data (2)'!$BL$1-$D43,0),IF(AND('Input data (2)'!$C$2=3,$C43&gt;=0),OFFSET('Input data (2)'!AT$126,'Input data (2)'!$BL$1-$C43,0),IF(AND('Input data (2)'!$C$2=2,$B43&gt;=0),OFFSET('Input data (2)'!AT$126,'Input data (2)'!$BL$1-$B43,0),IF(AND('Input data (2)'!$C$2=1,$A43&gt;=0),OFFSET('Input data (2)'!AT$126,'Input data (2)'!$BL$1-$A43,0),""))))</f>
        <v>0.75049683641693565</v>
      </c>
      <c r="CB63" s="122"/>
      <c r="CC63" s="122"/>
      <c r="CD63" s="122"/>
      <c r="CE63" s="122"/>
    </row>
    <row r="65" spans="5:83" x14ac:dyDescent="0.15">
      <c r="E65" s="1" t="str">
        <f>F65&amp;G60</f>
        <v>2013Q1</v>
      </c>
      <c r="F65" s="1">
        <f>F60+1</f>
        <v>2013</v>
      </c>
      <c r="G65" s="1" t="str">
        <f>IF(F65&amp;G60='Input data (2)'!$C$3,"p "&amp;'Output data - DO NOT TOUCH (2)'!G60,'Output data - DO NOT TOUCH (2)'!G60)</f>
        <v>Q1</v>
      </c>
      <c r="H65" s="1">
        <f>VLOOKUP($E65,'Input data (2)'!$A:$BL,'Output data - DO NOT TOUCH (2)'!H$71,FALSE)</f>
        <v>3681</v>
      </c>
      <c r="I65" s="1">
        <f>VLOOKUP($E65,'Input data (2)'!$A:$BL,'Output data - DO NOT TOUCH (2)'!I$71,FALSE)</f>
        <v>973</v>
      </c>
      <c r="J65" s="1">
        <f>VLOOKUP($E65,'Input data (2)'!$A:$BL,'Output data - DO NOT TOUCH (2)'!J$71,FALSE)</f>
        <v>2708</v>
      </c>
      <c r="K65" s="1">
        <f>VLOOKUP($E65,'Input data (2)'!$A:$BL,'Output data - DO NOT TOUCH (2)'!K$71,FALSE)</f>
        <v>3601.25343208704</v>
      </c>
      <c r="L65" s="1">
        <f>VLOOKUP($E65,'Input data (2)'!$A:$BL,'Output data - DO NOT TOUCH (2)'!L$71,FALSE)</f>
        <v>1028.83399058485</v>
      </c>
      <c r="M65" s="1">
        <f>VLOOKUP($E65,'Input data (2)'!$A:$BL,'Output data - DO NOT TOUCH (2)'!M$71,FALSE)</f>
        <v>2572.4194415021898</v>
      </c>
      <c r="O65" s="119">
        <f ca="1">IF(AND('Input data (2)'!$C$2=4,$D44&gt;=0),OFFSET('Input data (2)'!O$126,'Input data (2)'!$BL$1-$D44,0),IF(AND('Input data (2)'!$C$2=3,$C44&gt;=0),OFFSET('Input data (2)'!O$126,'Input data (2)'!$BL$1-$C44,0),IF(AND('Input data (2)'!$C$2=2,$B44&gt;=0),OFFSET('Input data (2)'!O$126,'Input data (2)'!$BL$1-$B44,0),IF(AND('Input data (2)'!$C$2=1,$A44&gt;=0),OFFSET('Input data (2)'!O$126,'Input data (2)'!$BL$1-$A44,0),""))))</f>
        <v>269</v>
      </c>
      <c r="Q65" s="1">
        <f ca="1">IF(AND('Input data (2)'!$C$2=4,$D44&gt;=0),OFFSET('Input data (2)'!AC$126,'Input data (2)'!$BL$1-$D44,0),IF(AND('Input data (2)'!$C$2=3,$C44&gt;=0),OFFSET('Input data (2)'!AC$126,'Input data (2)'!$BL$1-$C44,0),IF(AND('Input data (2)'!$C$2=2,$B44&gt;=0),OFFSET('Input data (2)'!AC$126,'Input data (2)'!$BL$1-$B44,0),IF(AND('Input data (2)'!$C$2=1,$A44&gt;=0),OFFSET('Input data (2)'!AC$126,'Input data (2)'!$BL$1-$A44,0),""))))</f>
        <v>25016</v>
      </c>
      <c r="R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S65" s="1">
        <f ca="1">IF(AND('Input data (2)'!$C$2=4,$D44&gt;=0),OFFSET('Input data (2)'!R$126,'Input data (2)'!$BL$1-$D44,0),IF(AND('Input data (2)'!$C$2=3,$C44&gt;=0),OFFSET('Input data (2)'!R$126,'Input data (2)'!$BL$1-$C44,0),IF(AND('Input data (2)'!$C$2=2,$B44&gt;=0),OFFSET('Input data (2)'!R$126,'Input data (2)'!$BL$1-$B44,0),IF(AND('Input data (2)'!$C$2=1,$A44&gt;=0),OFFSET('Input data (2)'!R$126,'Input data (2)'!$BL$1-$A44,0),""))))</f>
        <v>7219</v>
      </c>
      <c r="T65" s="1">
        <f ca="1">IF(AND('Input data (2)'!$C$2=4,$D44&gt;=0),OFFSET('Input data (2)'!AA$126,'Input data (2)'!$BL$1-$D44,0),IF(AND('Input data (2)'!$C$2=3,$C44&gt;=0),OFFSET('Input data (2)'!AA$126,'Input data (2)'!$BL$1-$C44,0),IF(AND('Input data (2)'!$C$2=2,$B44&gt;=0),OFFSET('Input data (2)'!AA$126,'Input data (2)'!$BL$1-$B44,0),IF(AND('Input data (2)'!$C$2=1,$A44&gt;=0),OFFSET('Input data (2)'!AA$126,'Input data (2)'!$BL$1-$A44,0),""))))</f>
        <v>11124</v>
      </c>
      <c r="U65" s="1" t="str">
        <f ca="1">IF(AND('Input data (2)'!$C$2=4,$D44&gt;=0),OFFSET('Input data (2)'!AL$126,'Input data (2)'!$BL$1-$D44,0),IF(AND('Input data (2)'!$C$2=3,$C44&gt;=0),OFFSET('Input data (2)'!AL$126,'Input data (2)'!$BL$1-$C44,0),IF(AND('Input data (2)'!$C$2=2,$B44&gt;=0),OFFSET('Input data (2)'!AL$126,'Input data (2)'!$BL$1-$B44,0),IF(AND('Input data (2)'!$C$2=1,$A44&gt;=0),OFFSET('Input data (2)'!AL$126,'Input data (2)'!$BL$1-$A44,0),""))))</f>
        <v>:</v>
      </c>
      <c r="V65" s="1">
        <f ca="1">IF(AND('Input data (2)'!$C$2=4,$D44&gt;=0),OFFSET('Input data (2)'!AJ$126,'Input data (2)'!$BL$1-$D44,0),IF(AND('Input data (2)'!$C$2=3,$C44&gt;=0),OFFSET('Input data (2)'!AJ$126,'Input data (2)'!$BL$1-$C44,0),IF(AND('Input data (2)'!$C$2=2,$B44&gt;=0),OFFSET('Input data (2)'!AJ$126,'Input data (2)'!$BL$1-$B44,0),IF(AND('Input data (2)'!$C$2=1,$A44&gt;=0),OFFSET('Input data (2)'!AJ$126,'Input data (2)'!$BL$1-$A44,0),""))))</f>
        <v>6629.7460956043196</v>
      </c>
      <c r="W65" s="1">
        <f ca="1">IF(AND('Input data (2)'!$C$2=4,$D44&gt;=0),OFFSET('Input data (2)'!AK$126,'Input data (2)'!$BL$1-$D44,0),IF(AND('Input data (2)'!$C$2=3,$C44&gt;=0),OFFSET('Input data (2)'!AK$126,'Input data (2)'!$BL$1-$C44,0),IF(AND('Input data (2)'!$C$2=2,$B44&gt;=0),OFFSET('Input data (2)'!AK$126,'Input data (2)'!$BL$1-$B44,0),IF(AND('Input data (2)'!$C$2=1,$A44&gt;=0),OFFSET('Input data (2)'!AK$126,'Input data (2)'!$BL$1-$A44,0),""))))</f>
        <v>11982.7209770503</v>
      </c>
      <c r="Y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Z65" s="1">
        <f ca="1">IF(AND('Input data (2)'!$C$2=4,$D44&gt;=0),OFFSET('Input data (2)'!S$126,'Input data (2)'!$BL$1-$D44,0),IF(AND('Input data (2)'!$C$2=3,$C44&gt;=0),OFFSET('Input data (2)'!S$126,'Input data (2)'!$BL$1-$C44,0),IF(AND('Input data (2)'!$C$2=2,$B44&gt;=0),OFFSET('Input data (2)'!S$126,'Input data (2)'!$BL$1-$B44,0),IF(AND('Input data (2)'!$C$2=1,$A44&gt;=0),OFFSET('Input data (2)'!S$126,'Input data (2)'!$BL$1-$A44,0),""))))</f>
        <v>5380</v>
      </c>
      <c r="AA65" s="1">
        <f ca="1">IF(AND('Input data (2)'!$C$2=4,$D44&gt;=0),OFFSET('Input data (2)'!T$126,'Input data (2)'!$BL$1-$D44,0),IF(AND('Input data (2)'!$C$2=3,$C44&gt;=0),OFFSET('Input data (2)'!T$126,'Input data (2)'!$BL$1-$C44,0),IF(AND('Input data (2)'!$C$2=2,$B44&gt;=0),OFFSET('Input data (2)'!T$126,'Input data (2)'!$BL$1-$B44,0),IF(AND('Input data (2)'!$C$2=1,$A44&gt;=0),OFFSET('Input data (2)'!T$126,'Input data (2)'!$BL$1-$A44,0),""))))</f>
        <v>80.623407762625504</v>
      </c>
      <c r="AB65" s="1">
        <f ca="1">IF(AND('Input data (2)'!$C$2=4,$D44&gt;=0),OFFSET('Input data (2)'!U$126,'Input data (2)'!$BL$1-$D44,0),IF(AND('Input data (2)'!$C$2=3,$C44&gt;=0),OFFSET('Input data (2)'!U$126,'Input data (2)'!$BL$1-$C44,0),IF(AND('Input data (2)'!$C$2=2,$B44&gt;=0),OFFSET('Input data (2)'!U$126,'Input data (2)'!$BL$1-$B44,0),IF(AND('Input data (2)'!$C$2=1,$A44&gt;=0),OFFSET('Input data (2)'!U$126,'Input data (2)'!$BL$1-$A44,0),""))))</f>
        <v>1293</v>
      </c>
      <c r="AC65" s="1">
        <f ca="1">IF(AND('Input data (2)'!$C$2=4,$D44&gt;=0),OFFSET('Input data (2)'!V$126,'Input data (2)'!$BL$1-$D44,0),IF(AND('Input data (2)'!$C$2=3,$C44&gt;=0),OFFSET('Input data (2)'!V$126,'Input data (2)'!$BL$1-$C44,0),IF(AND('Input data (2)'!$C$2=2,$B44&gt;=0),OFFSET('Input data (2)'!V$126,'Input data (2)'!$BL$1-$B44,0),IF(AND('Input data (2)'!$C$2=1,$A44&gt;=0),OFFSET('Input data (2)'!V$126,'Input data (2)'!$BL$1-$A44,0),""))))</f>
        <v>19.376592237374492</v>
      </c>
      <c r="AD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AE65" s="1">
        <f ca="1">IF(AND('Input data (2)'!$C$2=4,$D44&gt;=0),OFFSET('Input data (2)'!W$126,'Input data (2)'!$BL$1-$D44,0),IF(AND('Input data (2)'!$C$2=3,$C44&gt;=0),OFFSET('Input data (2)'!W$126,'Input data (2)'!$BL$1-$C44,0),IF(AND('Input data (2)'!$C$2=2,$B44&gt;=0),OFFSET('Input data (2)'!W$126,'Input data (2)'!$BL$1-$B44,0),IF(AND('Input data (2)'!$C$2=1,$A44&gt;=0),OFFSET('Input data (2)'!W$126,'Input data (2)'!$BL$1-$A44,0),""))))</f>
        <v>1682</v>
      </c>
      <c r="AF65" s="1">
        <f ca="1">IF(AND('Input data (2)'!$C$2=4,$D44&gt;=0),OFFSET('Input data (2)'!X$126,'Input data (2)'!$BL$1-$D44,0),IF(AND('Input data (2)'!$C$2=3,$C44&gt;=0),OFFSET('Input data (2)'!X$126,'Input data (2)'!$BL$1-$C44,0),IF(AND('Input data (2)'!$C$2=2,$B44&gt;=0),OFFSET('Input data (2)'!X$126,'Input data (2)'!$BL$1-$B44,0),IF(AND('Input data (2)'!$C$2=1,$A44&gt;=0),OFFSET('Input data (2)'!X$126,'Input data (2)'!$BL$1-$A44,0),""))))</f>
        <v>25.20605424846396</v>
      </c>
      <c r="AG65" s="1">
        <f ca="1">IF(AND('Input data (2)'!$C$2=4,$D44&gt;=0),OFFSET('Input data (2)'!Y$126,'Input data (2)'!$BL$1-$D44,0),IF(AND('Input data (2)'!$C$2=3,$C44&gt;=0),OFFSET('Input data (2)'!Y$126,'Input data (2)'!$BL$1-$C44,0),IF(AND('Input data (2)'!$C$2=2,$B44&gt;=0),OFFSET('Input data (2)'!Y$126,'Input data (2)'!$BL$1-$B44,0),IF(AND('Input data (2)'!$C$2=1,$A44&gt;=0),OFFSET('Input data (2)'!Y$126,'Input data (2)'!$BL$1-$A44,0),""))))</f>
        <v>4991</v>
      </c>
      <c r="AH65" s="1">
        <f ca="1">IF(AND('Input data (2)'!$C$2=4,$D44&gt;=0),OFFSET('Input data (2)'!Z$126,'Input data (2)'!$BL$1-$D44,0),IF(AND('Input data (2)'!$C$2=3,$C44&gt;=0),OFFSET('Input data (2)'!Z$126,'Input data (2)'!$BL$1-$C44,0),IF(AND('Input data (2)'!$C$2=2,$B44&gt;=0),OFFSET('Input data (2)'!Z$126,'Input data (2)'!$BL$1-$B44,0),IF(AND('Input data (2)'!$C$2=1,$A44&gt;=0),OFFSET('Input data (2)'!Z$126,'Input data (2)'!$BL$1-$A44,0),""))))</f>
        <v>74.793945751536043</v>
      </c>
      <c r="AI65" s="3"/>
      <c r="AJ65" s="124">
        <f ca="1">IF(AND('Input data (2)'!$C$2=4,$D44&gt;=0),OFFSET('Input data (2)'!AF$126,'Input data (2)'!$BL$1-$D44,0),IF(AND('Input data (2)'!$C$2=3,$C44&gt;=0),OFFSET('Input data (2)'!AF$126,'Input data (2)'!$BL$1-$C44,0),IF(AND('Input data (2)'!$C$2=2,$B44&gt;=0),OFFSET('Input data (2)'!AF$126,'Input data (2)'!$BL$1-$B44,0),IF(AND('Input data (2)'!$C$2=1,$A44&gt;=0),OFFSET('Input data (2)'!AF$126,'Input data (2)'!$BL$1-$A44,0),""))))</f>
        <v>0</v>
      </c>
      <c r="AK65" s="124">
        <f ca="1">IF(AND('Input data (2)'!$C$2=4,$D44&gt;=0),OFFSET('Input data (2)'!AD$126,'Input data (2)'!$BL$1-$D44,0),IF(AND('Input data (2)'!$C$2=3,$C44&gt;=0),OFFSET('Input data (2)'!AD$126,'Input data (2)'!$BL$1-$C44,0),IF(AND('Input data (2)'!$C$2=2,$B44&gt;=0),OFFSET('Input data (2)'!AD$126,'Input data (2)'!$BL$1-$B44,0),IF(AND('Input data (2)'!$C$2=1,$A44&gt;=0),OFFSET('Input data (2)'!AD$126,'Input data (2)'!$BL$1-$A44,0),""))))</f>
        <v>0</v>
      </c>
      <c r="AL65" s="124">
        <f ca="1">IF(AND('Input data (2)'!$C$2=4,$D44&gt;=0),OFFSET('Input data (2)'!AE$126,'Input data (2)'!$BL$1-$D44,0),IF(AND('Input data (2)'!$C$2=3,$C44&gt;=0),OFFSET('Input data (2)'!AE$126,'Input data (2)'!$BL$1-$C44,0),IF(AND('Input data (2)'!$C$2=2,$B44&gt;=0),OFFSET('Input data (2)'!AE$126,'Input data (2)'!$BL$1-$B44,0),IF(AND('Input data (2)'!$C$2=1,$A44&gt;=0),OFFSET('Input data (2)'!AE$126,'Input data (2)'!$BL$1-$A44,0),""))))</f>
        <v>0</v>
      </c>
      <c r="AW65" s="1">
        <f ca="1">IF(AND('Input data (2)'!$C$2=4,$D44&gt;=0),OFFSET('Input data (2)'!L$126,'Input data (2)'!$BL$1-$D44,0),IF(AND('Input data (2)'!$C$2=3,$C44&gt;=0),OFFSET('Input data (2)'!L$126,'Input data (2)'!$BL$1-$C44,0),IF(AND('Input data (2)'!$C$2=2,$B44&gt;=0),OFFSET('Input data (2)'!L$126,'Input data (2)'!$BL$1-$B44,0),IF(AND('Input data (2)'!$C$2=1,$A44&gt;=0),OFFSET('Input data (2)'!L$126,'Input data (2)'!$BL$1-$A44,0),""))))</f>
        <v>236</v>
      </c>
      <c r="AX65" s="1">
        <f ca="1">IF(AND('Input data (2)'!$C$2=4,$D44&gt;=0),OFFSET('Input data (2)'!M$126,'Input data (2)'!$BL$1-$D44,0),IF(AND('Input data (2)'!$C$2=3,$C44&gt;=0),OFFSET('Input data (2)'!M$126,'Input data (2)'!$BL$1-$C44,0),IF(AND('Input data (2)'!$C$2=2,$B44&gt;=0),OFFSET('Input data (2)'!M$126,'Input data (2)'!$BL$1-$B44,0),IF(AND('Input data (2)'!$C$2=1,$A44&gt;=0),OFFSET('Input data (2)'!M$126,'Input data (2)'!$BL$1-$A44,0),""))))</f>
        <v>0</v>
      </c>
      <c r="AY65" s="1">
        <f ca="1">IF(AND('Input data (2)'!$C$2=4,$D44&gt;=0),OFFSET('Input data (2)'!N$126,'Input data (2)'!$BL$1-$D44,0),IF(AND('Input data (2)'!$C$2=3,$C44&gt;=0),OFFSET('Input data (2)'!N$126,'Input data (2)'!$BL$1-$C44,0),IF(AND('Input data (2)'!$C$2=2,$B44&gt;=0),OFFSET('Input data (2)'!N$126,'Input data (2)'!$BL$1-$B44,0),IF(AND('Input data (2)'!$C$2=1,$A44&gt;=0),OFFSET('Input data (2)'!N$126,'Input data (2)'!$BL$1-$A44,0),""))))</f>
        <v>557</v>
      </c>
      <c r="AZ65" s="1">
        <f ca="1">IF(AND('Input data (2)'!$C$2=4,$D44&gt;=0),OFFSET('Input data (2)'!P$126,'Input data (2)'!$BL$1-$D44,0),IF(AND('Input data (2)'!$C$2=3,$C44&gt;=0),OFFSET('Input data (2)'!P$126,'Input data (2)'!$BL$1-$C44,0),IF(AND('Input data (2)'!$C$2=2,$B44&gt;=0),OFFSET('Input data (2)'!P$126,'Input data (2)'!$BL$1-$B44,0),IF(AND('Input data (2)'!$C$2=1,$A44&gt;=0),OFFSET('Input data (2)'!P$126,'Input data (2)'!$BL$1-$A44,0),""))))</f>
        <v>142</v>
      </c>
      <c r="BB65" s="1">
        <f ca="1">IF(AND('Input data (2)'!$C$2=4,$D44&gt;=0),OFFSET('Input data (2)'!BB$126,'Input data (2)'!$BL$1-$D44,0),IF(AND('Input data (2)'!$C$2=3,$C44&gt;=0),OFFSET('Input data (2)'!BB$126,'Input data (2)'!$BL$1-$C44,0),IF(AND('Input data (2)'!$C$2=2,$B44&gt;=0),OFFSET('Input data (2)'!BB$126,'Input data (2)'!$BL$1-$B44,0),IF(AND('Input data (2)'!$C$2=1,$A44&gt;=0),OFFSET('Input data (2)'!BB$126,'Input data (2)'!$BL$1-$A44,0),""))))</f>
        <v>3486</v>
      </c>
      <c r="BC65" s="1">
        <f ca="1">IF(AND('Input data (2)'!$C$2=4,$D44&gt;=0),OFFSET('Input data (2)'!AY$126,'Input data (2)'!$BL$1-$D44,0),IF(AND('Input data (2)'!$C$2=3,$C44&gt;=0),OFFSET('Input data (2)'!AY$126,'Input data (2)'!$BL$1-$C44,0),IF(AND('Input data (2)'!$C$2=2,$B44&gt;=0),OFFSET('Input data (2)'!AY$126,'Input data (2)'!$BL$1-$B44,0),IF(AND('Input data (2)'!$C$2=1,$A44&gt;=0),OFFSET('Input data (2)'!AY$126,'Input data (2)'!$BL$1-$A44,0),""))))</f>
        <v>1834</v>
      </c>
      <c r="BD65" s="1">
        <f ca="1">IF(AND('Input data (2)'!$C$2=4,$D44&gt;=0),OFFSET('Input data (2)'!AZ$126,'Input data (2)'!$BL$1-$D44,0),IF(AND('Input data (2)'!$C$2=3,$C44&gt;=0),OFFSET('Input data (2)'!AZ$126,'Input data (2)'!$BL$1-$C44,0),IF(AND('Input data (2)'!$C$2=2,$B44&gt;=0),OFFSET('Input data (2)'!AZ$126,'Input data (2)'!$BL$1-$B44,0),IF(AND('Input data (2)'!$C$2=1,$A44&gt;=0),OFFSET('Input data (2)'!AZ$126,'Input data (2)'!$BL$1-$A44,0),""))))</f>
        <v>658</v>
      </c>
      <c r="BE65" s="1">
        <f ca="1">IF(AND('Input data (2)'!$C$2=4,$D44&gt;=0),OFFSET('Input data (2)'!BA$126,'Input data (2)'!$BL$1-$D44,0),IF(AND('Input data (2)'!$C$2=3,$C44&gt;=0),OFFSET('Input data (2)'!BA$126,'Input data (2)'!$BL$1-$C44,0),IF(AND('Input data (2)'!$C$2=2,$B44&gt;=0),OFFSET('Input data (2)'!BA$126,'Input data (2)'!$BL$1-$B44,0),IF(AND('Input data (2)'!$C$2=1,$A44&gt;=0),OFFSET('Input data (2)'!BA$126,'Input data (2)'!$BL$1-$A44,0),""))))</f>
        <v>1652</v>
      </c>
      <c r="BF65" s="1">
        <f ca="1">IF(AND('Input data (2)'!$C$2=4,$D44&gt;=0),OFFSET('Input data (2)'!AP$126,'Input data (2)'!$BL$1-$D44,0),IF(AND('Input data (2)'!$C$2=3,$C44&gt;=0),OFFSET('Input data (2)'!AP$126,'Input data (2)'!$BL$1-$C44,0),IF(AND('Input data (2)'!$C$2=2,$B44&gt;=0),OFFSET('Input data (2)'!AP$126,'Input data (2)'!$BL$1-$B44,0),IF(AND('Input data (2)'!$C$2=1,$A44&gt;=0),OFFSET('Input data (2)'!AP$126,'Input data (2)'!$BL$1-$A44,0),""))))</f>
        <v>113</v>
      </c>
      <c r="BG65" s="1">
        <f ca="1">IF(AND('Input data (2)'!$C$2=4,$D44&gt;=0),OFFSET('Input data (2)'!AN$126,'Input data (2)'!$BL$1-$D44,0),IF(AND('Input data (2)'!$C$2=3,$C44&gt;=0),OFFSET('Input data (2)'!AN$126,'Input data (2)'!$BL$1-$C44,0),IF(AND('Input data (2)'!$C$2=2,$B44&gt;=0),OFFSET('Input data (2)'!AN$126,'Input data (2)'!$BL$1-$B44,0),IF(AND('Input data (2)'!$C$2=1,$A44&gt;=0),OFFSET('Input data (2)'!AN$126,'Input data (2)'!$BL$1-$A44,0),""))))</f>
        <v>59</v>
      </c>
      <c r="BH65" s="1">
        <f ca="1">IF(AND('Input data (2)'!$C$2=4,$D44&gt;=0),OFFSET('Input data (2)'!AO$126,'Input data (2)'!$BL$1-$D44,0),IF(AND('Input data (2)'!$C$2=3,$C44&gt;=0),OFFSET('Input data (2)'!AO$126,'Input data (2)'!$BL$1-$C44,0),IF(AND('Input data (2)'!$C$2=2,$B44&gt;=0),OFFSET('Input data (2)'!AO$126,'Input data (2)'!$BL$1-$B44,0),IF(AND('Input data (2)'!$C$2=1,$A44&gt;=0),OFFSET('Input data (2)'!AO$126,'Input data (2)'!$BL$1-$A44,0),""))))</f>
        <v>54</v>
      </c>
      <c r="BJ65" s="1">
        <f ca="1">IF(AND('Input data (2)'!$C$2=4,$D44&gt;=0),OFFSET('Input data (2)'!AU$126,'Input data (2)'!$BL$1-$D44,0),IF(AND('Input data (2)'!$C$2=3,$C44&gt;=0),OFFSET('Input data (2)'!AU$126,'Input data (2)'!$BL$1-$C44,0),IF(AND('Input data (2)'!$C$2=2,$B44&gt;=0),OFFSET('Input data (2)'!AU$126,'Input data (2)'!$BL$1-$B44,0),IF(AND('Input data (2)'!$C$2=1,$A44&gt;=0),OFFSET('Input data (2)'!AU$126,'Input data (2)'!$BL$1-$A44,0),""))))</f>
        <v>7</v>
      </c>
      <c r="BK65" s="1">
        <f ca="1">IF(AND('Input data (2)'!$C$2=4,$D44&gt;=0),OFFSET('Input data (2)'!AV$126,'Input data (2)'!$BL$1-$D44,0),IF(AND('Input data (2)'!$C$2=3,$C44&gt;=0),OFFSET('Input data (2)'!AV$126,'Input data (2)'!$BL$1-$C44,0),IF(AND('Input data (2)'!$C$2=2,$B44&gt;=0),OFFSET('Input data (2)'!AV$126,'Input data (2)'!$BL$1-$B44,0),IF(AND('Input data (2)'!$C$2=1,$A44&gt;=0),OFFSET('Input data (2)'!AV$126,'Input data (2)'!$BL$1-$A44,0),""))))</f>
        <v>0</v>
      </c>
      <c r="BL65" s="1">
        <f ca="1">IF(AND('Input data (2)'!$C$2=4,$D44&gt;=0),OFFSET('Input data (2)'!AW$126,'Input data (2)'!$BL$1-$D44,0),IF(AND('Input data (2)'!$C$2=3,$C44&gt;=0),OFFSET('Input data (2)'!AW$126,'Input data (2)'!$BL$1-$C44,0),IF(AND('Input data (2)'!$C$2=2,$B44&gt;=0),OFFSET('Input data (2)'!AW$126,'Input data (2)'!$BL$1-$B44,0),IF(AND('Input data (2)'!$C$2=1,$A44&gt;=0),OFFSET('Input data (2)'!AW$126,'Input data (2)'!$BL$1-$A44,0),""))))</f>
        <v>42</v>
      </c>
      <c r="BM65" s="1">
        <f ca="1">IF(AND('Input data (2)'!$C$2=4,$D44&gt;=0),OFFSET('Input data (2)'!AX$126,'Input data (2)'!$BL$1-$D44,0),IF(AND('Input data (2)'!$C$2=3,$C44&gt;=0),OFFSET('Input data (2)'!AX$126,'Input data (2)'!$BL$1-$C44,0),IF(AND('Input data (2)'!$C$2=2,$B44&gt;=0),OFFSET('Input data (2)'!AX$126,'Input data (2)'!$BL$1-$B44,0),IF(AND('Input data (2)'!$C$2=1,$A44&gt;=0),OFFSET('Input data (2)'!AX$126,'Input data (2)'!$BL$1-$A44,0),""))))</f>
        <v>2</v>
      </c>
      <c r="BO65" s="1">
        <f ca="1">IF(AND('Input data (2)'!$C$2=4,$D44&gt;=0),OFFSET('Input data (2)'!BL$126,'Input data (2)'!$BL$1-$D44,0),IF(AND('Input data (2)'!$C$2=3,$C44&gt;=0),OFFSET('Input data (2)'!BL$126,'Input data (2)'!$BL$1-$C44,0),IF(AND('Input data (2)'!$C$2=2,$B44&gt;=0),OFFSET('Input data (2)'!BL$126,'Input data (2)'!$BL$1-$B44,0),IF(AND('Input data (2)'!$C$2=1,$A44&gt;=0),OFFSET('Input data (2)'!BL$126,'Input data (2)'!$BL$1-$A44,0),""))))</f>
        <v>836</v>
      </c>
      <c r="BP65" s="1">
        <f ca="1">IF(AND('Input data (2)'!$C$2=4,$D44&gt;=0),OFFSET('Input data (2)'!BI$126,'Input data (2)'!$BL$1-$D44,0),IF(AND('Input data (2)'!$C$2=3,$C44&gt;=0),OFFSET('Input data (2)'!BI$126,'Input data (2)'!$BL$1-$C44,0),IF(AND('Input data (2)'!$C$2=2,$B44&gt;=0),OFFSET('Input data (2)'!BI$126,'Input data (2)'!$BL$1-$B44,0),IF(AND('Input data (2)'!$C$2=1,$A44&gt;=0),OFFSET('Input data (2)'!BI$126,'Input data (2)'!$BL$1-$A44,0),""))))</f>
        <v>328</v>
      </c>
      <c r="BQ65" s="1">
        <f ca="1">IF(AND('Input data (2)'!$C$2=4,$D44&gt;=0),OFFSET('Input data (2)'!BK$126,'Input data (2)'!$BL$1-$D44,0),IF(AND('Input data (2)'!$C$2=3,$C44&gt;=0),OFFSET('Input data (2)'!BK$126,'Input data (2)'!$BL$1-$C44,0),IF(AND('Input data (2)'!$C$2=2,$B44&gt;=0),OFFSET('Input data (2)'!BK$126,'Input data (2)'!$BL$1-$B44,0),IF(AND('Input data (2)'!$C$2=1,$A44&gt;=0),OFFSET('Input data (2)'!BK$126,'Input data (2)'!$BL$1-$A44,0),""))))</f>
        <v>119</v>
      </c>
      <c r="BR65" s="1">
        <f ca="1">IF(AND('Input data (2)'!$C$2=4,$D44&gt;=0),OFFSET('Input data (2)'!BJ$126,'Input data (2)'!$BL$1-$D44,0),IF(AND('Input data (2)'!$C$2=3,$C44&gt;=0),OFFSET('Input data (2)'!BJ$126,'Input data (2)'!$BL$1-$C44,0),IF(AND('Input data (2)'!$C$2=2,$B44&gt;=0),OFFSET('Input data (2)'!BJ$126,'Input data (2)'!$BL$1-$B44,0),IF(AND('Input data (2)'!$C$2=1,$A44&gt;=0),OFFSET('Input data (2)'!BJ$126,'Input data (2)'!$BL$1-$A44,0),""))))</f>
        <v>389</v>
      </c>
      <c r="BS65" s="1">
        <f ca="1">IF(AND('Input data (2)'!$C$2=4,$D44&gt;=0),OFFSET('Input data (2)'!BF$126,'Input data (2)'!$BL$1-$D44,0),IF(AND('Input data (2)'!$C$2=3,$C44&gt;=0),OFFSET('Input data (2)'!BF$126,'Input data (2)'!$BL$1-$C44,0),IF(AND('Input data (2)'!$C$2=2,$B44&gt;=0),OFFSET('Input data (2)'!BF$126,'Input data (2)'!$BL$1-$B44,0),IF(AND('Input data (2)'!$C$2=1,$A44&gt;=0),OFFSET('Input data (2)'!BF$126,'Input data (2)'!$BL$1-$A44,0),""))))</f>
        <v>55</v>
      </c>
      <c r="BT65" s="1">
        <f ca="1">IF(AND('Input data (2)'!$C$2=4,$D44&gt;=0),OFFSET('Input data (2)'!BD$126,'Input data (2)'!$BL$1-$D44,0),IF(AND('Input data (2)'!$C$2=3,$C44&gt;=0),OFFSET('Input data (2)'!BD$126,'Input data (2)'!$BL$1-$C44,0),IF(AND('Input data (2)'!$C$2=2,$B44&gt;=0),OFFSET('Input data (2)'!BD$126,'Input data (2)'!$BL$1-$B44,0),IF(AND('Input data (2)'!$C$2=1,$A44&gt;=0),OFFSET('Input data (2)'!BD$126,'Input data (2)'!$BL$1-$A44,0),""))))</f>
        <v>30</v>
      </c>
      <c r="BU65" s="1">
        <f ca="1">IF(AND('Input data (2)'!$C$2=4,$D44&gt;=0),OFFSET('Input data (2)'!BE$126,'Input data (2)'!$BL$1-$D44,0),IF(AND('Input data (2)'!$C$2=3,$C44&gt;=0),OFFSET('Input data (2)'!BE$126,'Input data (2)'!$BL$1-$C44,0),IF(AND('Input data (2)'!$C$2=2,$B44&gt;=0),OFFSET('Input data (2)'!BE$126,'Input data (2)'!$BL$1-$B44,0),IF(AND('Input data (2)'!$C$2=1,$A44&gt;=0),OFFSET('Input data (2)'!BE$126,'Input data (2)'!$BL$1-$A44,0),""))))</f>
        <v>25</v>
      </c>
      <c r="BW65" s="7">
        <f ca="1">IF(AND('Input data (2)'!$C$2=4,$D44&gt;=0),OFFSET('Input data (2)'!J$126,'Input data (2)'!$BL$1-$D44,0),IF(AND('Input data (2)'!$C$2=3,$C44&gt;=0),OFFSET('Input data (2)'!J$126,'Input data (2)'!$BL$1-$C44,0),IF(AND('Input data (2)'!$C$2=2,$B44&gt;=0),OFFSET('Input data (2)'!J$126,'Input data (2)'!$BL$1-$B44,0),IF(AND('Input data (2)'!$C$2=1,$A44&gt;=0),OFFSET('Input data (2)'!J$126,'Input data (2)'!$BL$1-$A44,0),""))))</f>
        <v>0.6520616479452177</v>
      </c>
      <c r="BX65" s="7">
        <f ca="1">IF(AND('Input data (2)'!$C$2=4,$D44&gt;=0),OFFSET('Input data (2)'!K$126,'Input data (2)'!$BL$1-$D44,0),IF(AND('Input data (2)'!$C$2=3,$C44&gt;=0),OFFSET('Input data (2)'!K$126,'Input data (2)'!$BL$1-$C44,0),IF(AND('Input data (2)'!$C$2=2,$B44&gt;=0),OFFSET('Input data (2)'!K$126,'Input data (2)'!$BL$1-$B44,0),IF(AND('Input data (2)'!$C$2=1,$A44&gt;=0),OFFSET('Input data (2)'!K$126,'Input data (2)'!$BL$1-$A44,0),""))))</f>
        <v>0.59584257688548681</v>
      </c>
      <c r="BY65" s="7">
        <f ca="1">IF(AND('Input data (2)'!$C$2=4,$D44&gt;=0),OFFSET('Input data (2)'!AS$126,'Input data (2)'!$BL$1-$D44,0),IF(AND('Input data (2)'!$C$2=3,$C44&gt;=0),OFFSET('Input data (2)'!AS$126,'Input data (2)'!$BL$1-$C44,0),IF(AND('Input data (2)'!$C$2=2,$B44&gt;=0),OFFSET('Input data (2)'!AS$126,'Input data (2)'!$BL$1-$B44,0),IF(AND('Input data (2)'!$C$2=1,$A44&gt;=0),OFFSET('Input data (2)'!AS$126,'Input data (2)'!$BL$1-$A44,0),""))))</f>
        <v>0.63648090727460238</v>
      </c>
      <c r="BZ65" s="7">
        <f ca="1">IF(AND('Input data (2)'!$C$2=4,$D44&gt;=0),OFFSET('Input data (2)'!AT$126,'Input data (2)'!$BL$1-$D44,0),IF(AND('Input data (2)'!$C$2=3,$C44&gt;=0),OFFSET('Input data (2)'!AT$126,'Input data (2)'!$BL$1-$C44,0),IF(AND('Input data (2)'!$C$2=2,$B44&gt;=0),OFFSET('Input data (2)'!AT$126,'Input data (2)'!$BL$1-$B44,0),IF(AND('Input data (2)'!$C$2=1,$A44&gt;=0),OFFSET('Input data (2)'!AT$126,'Input data (2)'!$BL$1-$A44,0),""))))</f>
        <v>0.57695482011813681</v>
      </c>
      <c r="CB65" s="122"/>
      <c r="CC65" s="122"/>
      <c r="CD65" s="122"/>
      <c r="CE65" s="122"/>
    </row>
    <row r="66" spans="5:83" x14ac:dyDescent="0.15">
      <c r="E66" s="1" t="str">
        <f>F66&amp;G61</f>
        <v>2013Q2</v>
      </c>
      <c r="F66" s="1">
        <f>F61+1</f>
        <v>2013</v>
      </c>
      <c r="G66" s="1" t="str">
        <f>IF(F66&amp;G61='Input data (2)'!$C$3,"p "&amp;'Output data - DO NOT TOUCH (2)'!G61,'Output data - DO NOT TOUCH (2)'!G61)</f>
        <v>p Q2</v>
      </c>
      <c r="H66" s="1">
        <f>VLOOKUP($E66,'Input data (2)'!$A:$BL,'Output data - DO NOT TOUCH (2)'!H$71,FALSE)</f>
        <v>4129</v>
      </c>
      <c r="I66" s="1">
        <f>VLOOKUP($E66,'Input data (2)'!$A:$BL,'Output data - DO NOT TOUCH (2)'!I$71,FALSE)</f>
        <v>1035</v>
      </c>
      <c r="J66" s="1">
        <f>VLOOKUP($E66,'Input data (2)'!$A:$BL,'Output data - DO NOT TOUCH (2)'!J$71,FALSE)</f>
        <v>3094</v>
      </c>
      <c r="K66" s="1">
        <f>VLOOKUP($E66,'Input data (2)'!$A:$BL,'Output data - DO NOT TOUCH (2)'!K$71,FALSE)</f>
        <v>3977.9030308069082</v>
      </c>
      <c r="L66" s="1">
        <f>VLOOKUP($E66,'Input data (2)'!$A:$BL,'Output data - DO NOT TOUCH (2)'!L$71,FALSE)</f>
        <v>961.00455272397801</v>
      </c>
      <c r="M66" s="1">
        <f>VLOOKUP($E66,'Input data (2)'!$A:$BL,'Output data - DO NOT TOUCH (2)'!M$71,FALSE)</f>
        <v>3016.8984780829301</v>
      </c>
      <c r="O66" s="119">
        <f ca="1">IF(AND('Input data (2)'!$C$2=4,$D45&gt;=0),OFFSET('Input data (2)'!O$126,'Input data (2)'!$BL$1-$D45,0),IF(AND('Input data (2)'!$C$2=3,$C45&gt;=0),OFFSET('Input data (2)'!O$126,'Input data (2)'!$BL$1-$C45,0),IF(AND('Input data (2)'!$C$2=2,$B45&gt;=0),OFFSET('Input data (2)'!O$126,'Input data (2)'!$BL$1-$B45,0),IF(AND('Input data (2)'!$C$2=1,$A45&gt;=0),OFFSET('Input data (2)'!O$126,'Input data (2)'!$BL$1-$A45,0),""))))</f>
        <v>245</v>
      </c>
      <c r="Q66" s="1">
        <f ca="1">IF(AND('Input data (2)'!$C$2=4,$D45&gt;=0),OFFSET('Input data (2)'!AC$126,'Input data (2)'!$BL$1-$D45,0),IF(AND('Input data (2)'!$C$2=3,$C45&gt;=0),OFFSET('Input data (2)'!AC$126,'Input data (2)'!$BL$1-$C45,0),IF(AND('Input data (2)'!$C$2=2,$B45&gt;=0),OFFSET('Input data (2)'!AC$126,'Input data (2)'!$BL$1-$B45,0),IF(AND('Input data (2)'!$C$2=1,$A45&gt;=0),OFFSET('Input data (2)'!AC$126,'Input data (2)'!$BL$1-$A45,0),""))))</f>
        <v>25717</v>
      </c>
      <c r="R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S66" s="1">
        <f ca="1">IF(AND('Input data (2)'!$C$2=4,$D45&gt;=0),OFFSET('Input data (2)'!R$126,'Input data (2)'!$BL$1-$D45,0),IF(AND('Input data (2)'!$C$2=3,$C45&gt;=0),OFFSET('Input data (2)'!R$126,'Input data (2)'!$BL$1-$C45,0),IF(AND('Input data (2)'!$C$2=2,$B45&gt;=0),OFFSET('Input data (2)'!R$126,'Input data (2)'!$BL$1-$B45,0),IF(AND('Input data (2)'!$C$2=1,$A45&gt;=0),OFFSET('Input data (2)'!R$126,'Input data (2)'!$BL$1-$A45,0),""))))</f>
        <v>7132</v>
      </c>
      <c r="T66" s="1">
        <f ca="1">IF(AND('Input data (2)'!$C$2=4,$D45&gt;=0),OFFSET('Input data (2)'!AA$126,'Input data (2)'!$BL$1-$D45,0),IF(AND('Input data (2)'!$C$2=3,$C45&gt;=0),OFFSET('Input data (2)'!AA$126,'Input data (2)'!$BL$1-$C45,0),IF(AND('Input data (2)'!$C$2=2,$B45&gt;=0),OFFSET('Input data (2)'!AA$126,'Input data (2)'!$BL$1-$B45,0),IF(AND('Input data (2)'!$C$2=1,$A45&gt;=0),OFFSET('Input data (2)'!AA$126,'Input data (2)'!$BL$1-$A45,0),""))))</f>
        <v>12116</v>
      </c>
      <c r="U66" s="1">
        <f ca="1">IF(AND('Input data (2)'!$C$2=4,$D45&gt;=0),OFFSET('Input data (2)'!AL$126,'Input data (2)'!$BL$1-$D45,0),IF(AND('Input data (2)'!$C$2=3,$C45&gt;=0),OFFSET('Input data (2)'!AL$126,'Input data (2)'!$BL$1-$C45,0),IF(AND('Input data (2)'!$C$2=2,$B45&gt;=0),OFFSET('Input data (2)'!AL$126,'Input data (2)'!$BL$1-$B45,0),IF(AND('Input data (2)'!$C$2=1,$A45&gt;=0),OFFSET('Input data (2)'!AL$126,'Input data (2)'!$BL$1-$A45,0),""))))</f>
        <v>18214.852896681899</v>
      </c>
      <c r="V66" s="1">
        <f ca="1">IF(AND('Input data (2)'!$C$2=4,$D45&gt;=0),OFFSET('Input data (2)'!AJ$126,'Input data (2)'!$BL$1-$D45,0),IF(AND('Input data (2)'!$C$2=3,$C45&gt;=0),OFFSET('Input data (2)'!AJ$126,'Input data (2)'!$BL$1-$C45,0),IF(AND('Input data (2)'!$C$2=2,$B45&gt;=0),OFFSET('Input data (2)'!AJ$126,'Input data (2)'!$BL$1-$B45,0),IF(AND('Input data (2)'!$C$2=1,$A45&gt;=0),OFFSET('Input data (2)'!AJ$126,'Input data (2)'!$BL$1-$A45,0),""))))</f>
        <v>6191.7959128950997</v>
      </c>
      <c r="W66" s="1">
        <f ca="1">IF(AND('Input data (2)'!$C$2=4,$D45&gt;=0),OFFSET('Input data (2)'!AK$126,'Input data (2)'!$BL$1-$D45,0),IF(AND('Input data (2)'!$C$2=3,$C45&gt;=0),OFFSET('Input data (2)'!AK$126,'Input data (2)'!$BL$1-$C45,0),IF(AND('Input data (2)'!$C$2=2,$B45&gt;=0),OFFSET('Input data (2)'!AK$126,'Input data (2)'!$BL$1-$B45,0),IF(AND('Input data (2)'!$C$2=1,$A45&gt;=0),OFFSET('Input data (2)'!AK$126,'Input data (2)'!$BL$1-$A45,0),""))))</f>
        <v>12023.056983786801</v>
      </c>
      <c r="Y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Z66" s="1">
        <f ca="1">IF(AND('Input data (2)'!$C$2=4,$D45&gt;=0),OFFSET('Input data (2)'!S$126,'Input data (2)'!$BL$1-$D45,0),IF(AND('Input data (2)'!$C$2=3,$C45&gt;=0),OFFSET('Input data (2)'!S$126,'Input data (2)'!$BL$1-$C45,0),IF(AND('Input data (2)'!$C$2=2,$B45&gt;=0),OFFSET('Input data (2)'!S$126,'Input data (2)'!$BL$1-$B45,0),IF(AND('Input data (2)'!$C$2=1,$A45&gt;=0),OFFSET('Input data (2)'!S$126,'Input data (2)'!$BL$1-$A45,0),""))))</f>
        <v>5072</v>
      </c>
      <c r="AA66" s="1">
        <f ca="1">IF(AND('Input data (2)'!$C$2=4,$D45&gt;=0),OFFSET('Input data (2)'!T$126,'Input data (2)'!$BL$1-$D45,0),IF(AND('Input data (2)'!$C$2=3,$C45&gt;=0),OFFSET('Input data (2)'!T$126,'Input data (2)'!$BL$1-$C45,0),IF(AND('Input data (2)'!$C$2=2,$B45&gt;=0),OFFSET('Input data (2)'!T$126,'Input data (2)'!$BL$1-$B45,0),IF(AND('Input data (2)'!$C$2=1,$A45&gt;=0),OFFSET('Input data (2)'!T$126,'Input data (2)'!$BL$1-$A45,0),""))))</f>
        <v>78.404699335291397</v>
      </c>
      <c r="AB66" s="1">
        <f ca="1">IF(AND('Input data (2)'!$C$2=4,$D45&gt;=0),OFFSET('Input data (2)'!U$126,'Input data (2)'!$BL$1-$D45,0),IF(AND('Input data (2)'!$C$2=3,$C45&gt;=0),OFFSET('Input data (2)'!U$126,'Input data (2)'!$BL$1-$C45,0),IF(AND('Input data (2)'!$C$2=2,$B45&gt;=0),OFFSET('Input data (2)'!U$126,'Input data (2)'!$BL$1-$B45,0),IF(AND('Input data (2)'!$C$2=1,$A45&gt;=0),OFFSET('Input data (2)'!U$126,'Input data (2)'!$BL$1-$A45,0),""))))</f>
        <v>1397</v>
      </c>
      <c r="AC66" s="1">
        <f ca="1">IF(AND('Input data (2)'!$C$2=4,$D45&gt;=0),OFFSET('Input data (2)'!V$126,'Input data (2)'!$BL$1-$D45,0),IF(AND('Input data (2)'!$C$2=3,$C45&gt;=0),OFFSET('Input data (2)'!V$126,'Input data (2)'!$BL$1-$C45,0),IF(AND('Input data (2)'!$C$2=2,$B45&gt;=0),OFFSET('Input data (2)'!V$126,'Input data (2)'!$BL$1-$B45,0),IF(AND('Input data (2)'!$C$2=1,$A45&gt;=0),OFFSET('Input data (2)'!V$126,'Input data (2)'!$BL$1-$A45,0),""))))</f>
        <v>21.59530066470861</v>
      </c>
      <c r="AD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AE66" s="1">
        <f ca="1">IF(AND('Input data (2)'!$C$2=4,$D45&gt;=0),OFFSET('Input data (2)'!W$126,'Input data (2)'!$BL$1-$D45,0),IF(AND('Input data (2)'!$C$2=3,$C45&gt;=0),OFFSET('Input data (2)'!W$126,'Input data (2)'!$BL$1-$C45,0),IF(AND('Input data (2)'!$C$2=2,$B45&gt;=0),OFFSET('Input data (2)'!W$126,'Input data (2)'!$BL$1-$B45,0),IF(AND('Input data (2)'!$C$2=1,$A45&gt;=0),OFFSET('Input data (2)'!W$126,'Input data (2)'!$BL$1-$A45,0),""))))</f>
        <v>0</v>
      </c>
      <c r="AF66" s="1">
        <f ca="1">IF(AND('Input data (2)'!$C$2=4,$D45&gt;=0),OFFSET('Input data (2)'!X$126,'Input data (2)'!$BL$1-$D45,0),IF(AND('Input data (2)'!$C$2=3,$C45&gt;=0),OFFSET('Input data (2)'!X$126,'Input data (2)'!$BL$1-$C45,0),IF(AND('Input data (2)'!$C$2=2,$B45&gt;=0),OFFSET('Input data (2)'!X$126,'Input data (2)'!$BL$1-$B45,0),IF(AND('Input data (2)'!$C$2=1,$A45&gt;=0),OFFSET('Input data (2)'!X$126,'Input data (2)'!$BL$1-$A45,0),""))))</f>
        <v>0</v>
      </c>
      <c r="AG66" s="1">
        <f ca="1">IF(AND('Input data (2)'!$C$2=4,$D45&gt;=0),OFFSET('Input data (2)'!Y$126,'Input data (2)'!$BL$1-$D45,0),IF(AND('Input data (2)'!$C$2=3,$C45&gt;=0),OFFSET('Input data (2)'!Y$126,'Input data (2)'!$BL$1-$C45,0),IF(AND('Input data (2)'!$C$2=2,$B45&gt;=0),OFFSET('Input data (2)'!Y$126,'Input data (2)'!$BL$1-$B45,0),IF(AND('Input data (2)'!$C$2=1,$A45&gt;=0),OFFSET('Input data (2)'!Y$126,'Input data (2)'!$BL$1-$A45,0),""))))</f>
        <v>0</v>
      </c>
      <c r="AH66" s="1">
        <f ca="1">IF(AND('Input data (2)'!$C$2=4,$D45&gt;=0),OFFSET('Input data (2)'!Z$126,'Input data (2)'!$BL$1-$D45,0),IF(AND('Input data (2)'!$C$2=3,$C45&gt;=0),OFFSET('Input data (2)'!Z$126,'Input data (2)'!$BL$1-$C45,0),IF(AND('Input data (2)'!$C$2=2,$B45&gt;=0),OFFSET('Input data (2)'!Z$126,'Input data (2)'!$BL$1-$B45,0),IF(AND('Input data (2)'!$C$2=1,$A45&gt;=0),OFFSET('Input data (2)'!Z$126,'Input data (2)'!$BL$1-$A45,0),""))))</f>
        <v>0</v>
      </c>
      <c r="AI66" s="3"/>
      <c r="AJ66" s="124">
        <f ca="1">IF(AND('Input data (2)'!$C$2=4,$D45&gt;=0),OFFSET('Input data (2)'!AF$126,'Input data (2)'!$BL$1-$D45,0),IF(AND('Input data (2)'!$C$2=3,$C45&gt;=0),OFFSET('Input data (2)'!AF$126,'Input data (2)'!$BL$1-$C45,0),IF(AND('Input data (2)'!$C$2=2,$B45&gt;=0),OFFSET('Input data (2)'!AF$126,'Input data (2)'!$BL$1-$B45,0),IF(AND('Input data (2)'!$C$2=1,$A45&gt;=0),OFFSET('Input data (2)'!AF$126,'Input data (2)'!$BL$1-$A45,0),""))))</f>
        <v>0</v>
      </c>
      <c r="AK66" s="124">
        <f ca="1">IF(AND('Input data (2)'!$C$2=4,$D45&gt;=0),OFFSET('Input data (2)'!AD$126,'Input data (2)'!$BL$1-$D45,0),IF(AND('Input data (2)'!$C$2=3,$C45&gt;=0),OFFSET('Input data (2)'!AD$126,'Input data (2)'!$BL$1-$C45,0),IF(AND('Input data (2)'!$C$2=2,$B45&gt;=0),OFFSET('Input data (2)'!AD$126,'Input data (2)'!$BL$1-$B45,0),IF(AND('Input data (2)'!$C$2=1,$A45&gt;=0),OFFSET('Input data (2)'!AD$126,'Input data (2)'!$BL$1-$A45,0),""))))</f>
        <v>0</v>
      </c>
      <c r="AL66" s="124">
        <f ca="1">IF(AND('Input data (2)'!$C$2=4,$D45&gt;=0),OFFSET('Input data (2)'!AE$126,'Input data (2)'!$BL$1-$D45,0),IF(AND('Input data (2)'!$C$2=3,$C45&gt;=0),OFFSET('Input data (2)'!AE$126,'Input data (2)'!$BL$1-$C45,0),IF(AND('Input data (2)'!$C$2=2,$B45&gt;=0),OFFSET('Input data (2)'!AE$126,'Input data (2)'!$BL$1-$B45,0),IF(AND('Input data (2)'!$C$2=1,$A45&gt;=0),OFFSET('Input data (2)'!AE$126,'Input data (2)'!$BL$1-$A45,0),""))))</f>
        <v>0</v>
      </c>
      <c r="AW66" s="1">
        <f ca="1">IF(AND('Input data (2)'!$C$2=4,$D45&gt;=0),OFFSET('Input data (2)'!L$126,'Input data (2)'!$BL$1-$D45,0),IF(AND('Input data (2)'!$C$2=3,$C45&gt;=0),OFFSET('Input data (2)'!L$126,'Input data (2)'!$BL$1-$C45,0),IF(AND('Input data (2)'!$C$2=2,$B45&gt;=0),OFFSET('Input data (2)'!L$126,'Input data (2)'!$BL$1-$B45,0),IF(AND('Input data (2)'!$C$2=1,$A45&gt;=0),OFFSET('Input data (2)'!L$126,'Input data (2)'!$BL$1-$A45,0),""))))</f>
        <v>192</v>
      </c>
      <c r="AX66" s="1">
        <f ca="1">IF(AND('Input data (2)'!$C$2=4,$D45&gt;=0),OFFSET('Input data (2)'!M$126,'Input data (2)'!$BL$1-$D45,0),IF(AND('Input data (2)'!$C$2=3,$C45&gt;=0),OFFSET('Input data (2)'!M$126,'Input data (2)'!$BL$1-$C45,0),IF(AND('Input data (2)'!$C$2=2,$B45&gt;=0),OFFSET('Input data (2)'!M$126,'Input data (2)'!$BL$1-$B45,0),IF(AND('Input data (2)'!$C$2=1,$A45&gt;=0),OFFSET('Input data (2)'!M$126,'Input data (2)'!$BL$1-$A45,0),""))))</f>
        <v>0</v>
      </c>
      <c r="AY66" s="1">
        <f ca="1">IF(AND('Input data (2)'!$C$2=4,$D45&gt;=0),OFFSET('Input data (2)'!N$126,'Input data (2)'!$BL$1-$D45,0),IF(AND('Input data (2)'!$C$2=3,$C45&gt;=0),OFFSET('Input data (2)'!N$126,'Input data (2)'!$BL$1-$C45,0),IF(AND('Input data (2)'!$C$2=2,$B45&gt;=0),OFFSET('Input data (2)'!N$126,'Input data (2)'!$BL$1-$B45,0),IF(AND('Input data (2)'!$C$2=1,$A45&gt;=0),OFFSET('Input data (2)'!N$126,'Input data (2)'!$BL$1-$A45,0),""))))</f>
        <v>622</v>
      </c>
      <c r="AZ66" s="1">
        <f ca="1">IF(AND('Input data (2)'!$C$2=4,$D45&gt;=0),OFFSET('Input data (2)'!P$126,'Input data (2)'!$BL$1-$D45,0),IF(AND('Input data (2)'!$C$2=3,$C45&gt;=0),OFFSET('Input data (2)'!P$126,'Input data (2)'!$BL$1-$C45,0),IF(AND('Input data (2)'!$C$2=2,$B45&gt;=0),OFFSET('Input data (2)'!P$126,'Input data (2)'!$BL$1-$B45,0),IF(AND('Input data (2)'!$C$2=1,$A45&gt;=0),OFFSET('Input data (2)'!P$126,'Input data (2)'!$BL$1-$A45,0),""))))</f>
        <v>160</v>
      </c>
      <c r="BB66" s="1">
        <f ca="1">IF(AND('Input data (2)'!$C$2=4,$D45&gt;=0),OFFSET('Input data (2)'!BB$126,'Input data (2)'!$BL$1-$D45,0),IF(AND('Input data (2)'!$C$2=3,$C45&gt;=0),OFFSET('Input data (2)'!BB$126,'Input data (2)'!$BL$1-$C45,0),IF(AND('Input data (2)'!$C$2=2,$B45&gt;=0),OFFSET('Input data (2)'!BB$126,'Input data (2)'!$BL$1-$B45,0),IF(AND('Input data (2)'!$C$2=1,$A45&gt;=0),OFFSET('Input data (2)'!BB$126,'Input data (2)'!$BL$1-$A45,0),""))))</f>
        <v>3999</v>
      </c>
      <c r="BC66" s="1">
        <f ca="1">IF(AND('Input data (2)'!$C$2=4,$D45&gt;=0),OFFSET('Input data (2)'!AY$126,'Input data (2)'!$BL$1-$D45,0),IF(AND('Input data (2)'!$C$2=3,$C45&gt;=0),OFFSET('Input data (2)'!AY$126,'Input data (2)'!$BL$1-$C45,0),IF(AND('Input data (2)'!$C$2=2,$B45&gt;=0),OFFSET('Input data (2)'!AY$126,'Input data (2)'!$BL$1-$B45,0),IF(AND('Input data (2)'!$C$2=1,$A45&gt;=0),OFFSET('Input data (2)'!AY$126,'Input data (2)'!$BL$1-$A45,0),""))))</f>
        <v>1961</v>
      </c>
      <c r="BD66" s="1">
        <f ca="1">IF(AND('Input data (2)'!$C$2=4,$D45&gt;=0),OFFSET('Input data (2)'!AZ$126,'Input data (2)'!$BL$1-$D45,0),IF(AND('Input data (2)'!$C$2=3,$C45&gt;=0),OFFSET('Input data (2)'!AZ$126,'Input data (2)'!$BL$1-$C45,0),IF(AND('Input data (2)'!$C$2=2,$B45&gt;=0),OFFSET('Input data (2)'!AZ$126,'Input data (2)'!$BL$1-$B45,0),IF(AND('Input data (2)'!$C$2=1,$A45&gt;=0),OFFSET('Input data (2)'!AZ$126,'Input data (2)'!$BL$1-$A45,0),""))))</f>
        <v>742</v>
      </c>
      <c r="BE66" s="1">
        <f ca="1">IF(AND('Input data (2)'!$C$2=4,$D45&gt;=0),OFFSET('Input data (2)'!BA$126,'Input data (2)'!$BL$1-$D45,0),IF(AND('Input data (2)'!$C$2=3,$C45&gt;=0),OFFSET('Input data (2)'!BA$126,'Input data (2)'!$BL$1-$C45,0),IF(AND('Input data (2)'!$C$2=2,$B45&gt;=0),OFFSET('Input data (2)'!BA$126,'Input data (2)'!$BL$1-$B45,0),IF(AND('Input data (2)'!$C$2=1,$A45&gt;=0),OFFSET('Input data (2)'!BA$126,'Input data (2)'!$BL$1-$A45,0),""))))</f>
        <v>2038</v>
      </c>
      <c r="BF66" s="1">
        <f ca="1">IF(AND('Input data (2)'!$C$2=4,$D45&gt;=0),OFFSET('Input data (2)'!AP$126,'Input data (2)'!$BL$1-$D45,0),IF(AND('Input data (2)'!$C$2=3,$C45&gt;=0),OFFSET('Input data (2)'!AP$126,'Input data (2)'!$BL$1-$C45,0),IF(AND('Input data (2)'!$C$2=2,$B45&gt;=0),OFFSET('Input data (2)'!AP$126,'Input data (2)'!$BL$1-$B45,0),IF(AND('Input data (2)'!$C$2=1,$A45&gt;=0),OFFSET('Input data (2)'!AP$126,'Input data (2)'!$BL$1-$A45,0),""))))</f>
        <v>158</v>
      </c>
      <c r="BG66" s="1">
        <f ca="1">IF(AND('Input data (2)'!$C$2=4,$D45&gt;=0),OFFSET('Input data (2)'!AN$126,'Input data (2)'!$BL$1-$D45,0),IF(AND('Input data (2)'!$C$2=3,$C45&gt;=0),OFFSET('Input data (2)'!AN$126,'Input data (2)'!$BL$1-$C45,0),IF(AND('Input data (2)'!$C$2=2,$B45&gt;=0),OFFSET('Input data (2)'!AN$126,'Input data (2)'!$BL$1-$B45,0),IF(AND('Input data (2)'!$C$2=1,$A45&gt;=0),OFFSET('Input data (2)'!AN$126,'Input data (2)'!$BL$1-$A45,0),""))))</f>
        <v>83</v>
      </c>
      <c r="BH66" s="1">
        <f ca="1">IF(AND('Input data (2)'!$C$2=4,$D45&gt;=0),OFFSET('Input data (2)'!AO$126,'Input data (2)'!$BL$1-$D45,0),IF(AND('Input data (2)'!$C$2=3,$C45&gt;=0),OFFSET('Input data (2)'!AO$126,'Input data (2)'!$BL$1-$C45,0),IF(AND('Input data (2)'!$C$2=2,$B45&gt;=0),OFFSET('Input data (2)'!AO$126,'Input data (2)'!$BL$1-$B45,0),IF(AND('Input data (2)'!$C$2=1,$A45&gt;=0),OFFSET('Input data (2)'!AO$126,'Input data (2)'!$BL$1-$A45,0),""))))</f>
        <v>75</v>
      </c>
      <c r="BJ66" s="1">
        <f ca="1">IF(AND('Input data (2)'!$C$2=4,$D45&gt;=0),OFFSET('Input data (2)'!AU$126,'Input data (2)'!$BL$1-$D45,0),IF(AND('Input data (2)'!$C$2=3,$C45&gt;=0),OFFSET('Input data (2)'!AU$126,'Input data (2)'!$BL$1-$C45,0),IF(AND('Input data (2)'!$C$2=2,$B45&gt;=0),OFFSET('Input data (2)'!AU$126,'Input data (2)'!$BL$1-$B45,0),IF(AND('Input data (2)'!$C$2=1,$A45&gt;=0),OFFSET('Input data (2)'!AU$126,'Input data (2)'!$BL$1-$A45,0),""))))</f>
        <v>1</v>
      </c>
      <c r="BK66" s="1">
        <f ca="1">IF(AND('Input data (2)'!$C$2=4,$D45&gt;=0),OFFSET('Input data (2)'!AV$126,'Input data (2)'!$BL$1-$D45,0),IF(AND('Input data (2)'!$C$2=3,$C45&gt;=0),OFFSET('Input data (2)'!AV$126,'Input data (2)'!$BL$1-$C45,0),IF(AND('Input data (2)'!$C$2=2,$B45&gt;=0),OFFSET('Input data (2)'!AV$126,'Input data (2)'!$BL$1-$B45,0),IF(AND('Input data (2)'!$C$2=1,$A45&gt;=0),OFFSET('Input data (2)'!AV$126,'Input data (2)'!$BL$1-$A45,0),""))))</f>
        <v>0</v>
      </c>
      <c r="BL66" s="1">
        <f ca="1">IF(AND('Input data (2)'!$C$2=4,$D45&gt;=0),OFFSET('Input data (2)'!AW$126,'Input data (2)'!$BL$1-$D45,0),IF(AND('Input data (2)'!$C$2=3,$C45&gt;=0),OFFSET('Input data (2)'!AW$126,'Input data (2)'!$BL$1-$C45,0),IF(AND('Input data (2)'!$C$2=2,$B45&gt;=0),OFFSET('Input data (2)'!AW$126,'Input data (2)'!$BL$1-$B45,0),IF(AND('Input data (2)'!$C$2=1,$A45&gt;=0),OFFSET('Input data (2)'!AW$126,'Input data (2)'!$BL$1-$A45,0),""))))</f>
        <v>35</v>
      </c>
      <c r="BM66" s="1">
        <f ca="1">IF(AND('Input data (2)'!$C$2=4,$D45&gt;=0),OFFSET('Input data (2)'!AX$126,'Input data (2)'!$BL$1-$D45,0),IF(AND('Input data (2)'!$C$2=3,$C45&gt;=0),OFFSET('Input data (2)'!AX$126,'Input data (2)'!$BL$1-$C45,0),IF(AND('Input data (2)'!$C$2=2,$B45&gt;=0),OFFSET('Input data (2)'!AX$126,'Input data (2)'!$BL$1-$B45,0),IF(AND('Input data (2)'!$C$2=1,$A45&gt;=0),OFFSET('Input data (2)'!AX$126,'Input data (2)'!$BL$1-$A45,0),""))))</f>
        <v>3</v>
      </c>
      <c r="BO66" s="1">
        <f ca="1">IF(AND('Input data (2)'!$C$2=4,$D45&gt;=0),OFFSET('Input data (2)'!BL$126,'Input data (2)'!$BL$1-$D45,0),IF(AND('Input data (2)'!$C$2=3,$C45&gt;=0),OFFSET('Input data (2)'!BL$126,'Input data (2)'!$BL$1-$C45,0),IF(AND('Input data (2)'!$C$2=2,$B45&gt;=0),OFFSET('Input data (2)'!BL$126,'Input data (2)'!$BL$1-$B45,0),IF(AND('Input data (2)'!$C$2=1,$A45&gt;=0),OFFSET('Input data (2)'!BL$126,'Input data (2)'!$BL$1-$A45,0),""))))</f>
        <v>894</v>
      </c>
      <c r="BP66" s="1">
        <f ca="1">IF(AND('Input data (2)'!$C$2=4,$D45&gt;=0),OFFSET('Input data (2)'!BI$126,'Input data (2)'!$BL$1-$D45,0),IF(AND('Input data (2)'!$C$2=3,$C45&gt;=0),OFFSET('Input data (2)'!BI$126,'Input data (2)'!$BL$1-$C45,0),IF(AND('Input data (2)'!$C$2=2,$B45&gt;=0),OFFSET('Input data (2)'!BI$126,'Input data (2)'!$BL$1-$B45,0),IF(AND('Input data (2)'!$C$2=1,$A45&gt;=0),OFFSET('Input data (2)'!BI$126,'Input data (2)'!$BL$1-$A45,0),""))))</f>
        <v>374</v>
      </c>
      <c r="BQ66" s="1">
        <f ca="1">IF(AND('Input data (2)'!$C$2=4,$D45&gt;=0),OFFSET('Input data (2)'!BK$126,'Input data (2)'!$BL$1-$D45,0),IF(AND('Input data (2)'!$C$2=3,$C45&gt;=0),OFFSET('Input data (2)'!BK$126,'Input data (2)'!$BL$1-$C45,0),IF(AND('Input data (2)'!$C$2=2,$B45&gt;=0),OFFSET('Input data (2)'!BK$126,'Input data (2)'!$BL$1-$B45,0),IF(AND('Input data (2)'!$C$2=1,$A45&gt;=0),OFFSET('Input data (2)'!BK$126,'Input data (2)'!$BL$1-$A45,0),""))))</f>
        <v>167</v>
      </c>
      <c r="BR66" s="1">
        <f ca="1">IF(AND('Input data (2)'!$C$2=4,$D45&gt;=0),OFFSET('Input data (2)'!BJ$126,'Input data (2)'!$BL$1-$D45,0),IF(AND('Input data (2)'!$C$2=3,$C45&gt;=0),OFFSET('Input data (2)'!BJ$126,'Input data (2)'!$BL$1-$C45,0),IF(AND('Input data (2)'!$C$2=2,$B45&gt;=0),OFFSET('Input data (2)'!BJ$126,'Input data (2)'!$BL$1-$B45,0),IF(AND('Input data (2)'!$C$2=1,$A45&gt;=0),OFFSET('Input data (2)'!BJ$126,'Input data (2)'!$BL$1-$A45,0),""))))</f>
        <v>353</v>
      </c>
      <c r="BS66" s="1">
        <f ca="1">IF(AND('Input data (2)'!$C$2=4,$D45&gt;=0),OFFSET('Input data (2)'!BF$126,'Input data (2)'!$BL$1-$D45,0),IF(AND('Input data (2)'!$C$2=3,$C45&gt;=0),OFFSET('Input data (2)'!BF$126,'Input data (2)'!$BL$1-$C45,0),IF(AND('Input data (2)'!$C$2=2,$B45&gt;=0),OFFSET('Input data (2)'!BF$126,'Input data (2)'!$BL$1-$B45,0),IF(AND('Input data (2)'!$C$2=1,$A45&gt;=0),OFFSET('Input data (2)'!BF$126,'Input data (2)'!$BL$1-$A45,0),""))))</f>
        <v>105</v>
      </c>
      <c r="BT66" s="1">
        <f ca="1">IF(AND('Input data (2)'!$C$2=4,$D45&gt;=0),OFFSET('Input data (2)'!BD$126,'Input data (2)'!$BL$1-$D45,0),IF(AND('Input data (2)'!$C$2=3,$C45&gt;=0),OFFSET('Input data (2)'!BD$126,'Input data (2)'!$BL$1-$C45,0),IF(AND('Input data (2)'!$C$2=2,$B45&gt;=0),OFFSET('Input data (2)'!BD$126,'Input data (2)'!$BL$1-$B45,0),IF(AND('Input data (2)'!$C$2=1,$A45&gt;=0),OFFSET('Input data (2)'!BD$126,'Input data (2)'!$BL$1-$A45,0),""))))</f>
        <v>66</v>
      </c>
      <c r="BU66" s="1">
        <f ca="1">IF(AND('Input data (2)'!$C$2=4,$D45&gt;=0),OFFSET('Input data (2)'!BE$126,'Input data (2)'!$BL$1-$D45,0),IF(AND('Input data (2)'!$C$2=3,$C45&gt;=0),OFFSET('Input data (2)'!BE$126,'Input data (2)'!$BL$1-$C45,0),IF(AND('Input data (2)'!$C$2=2,$B45&gt;=0),OFFSET('Input data (2)'!BE$126,'Input data (2)'!$BL$1-$B45,0),IF(AND('Input data (2)'!$C$2=1,$A45&gt;=0),OFFSET('Input data (2)'!BE$126,'Input data (2)'!$BL$1-$A45,0),""))))</f>
        <v>39</v>
      </c>
      <c r="BW66" s="7">
        <f ca="1">IF(AND('Input data (2)'!$C$2=4,$D45&gt;=0),OFFSET('Input data (2)'!J$126,'Input data (2)'!$BL$1-$D45,0),IF(AND('Input data (2)'!$C$2=3,$C45&gt;=0),OFFSET('Input data (2)'!J$126,'Input data (2)'!$BL$1-$C45,0),IF(AND('Input data (2)'!$C$2=2,$B45&gt;=0),OFFSET('Input data (2)'!J$126,'Input data (2)'!$BL$1-$B45,0),IF(AND('Input data (2)'!$C$2=1,$A45&gt;=0),OFFSET('Input data (2)'!J$126,'Input data (2)'!$BL$1-$A45,0),""))))</f>
        <v>0.64329992913627787</v>
      </c>
      <c r="BX66" s="7">
        <f ca="1">IF(AND('Input data (2)'!$C$2=4,$D45&gt;=0),OFFSET('Input data (2)'!K$126,'Input data (2)'!$BL$1-$D45,0),IF(AND('Input data (2)'!$C$2=3,$C45&gt;=0),OFFSET('Input data (2)'!K$126,'Input data (2)'!$BL$1-$C45,0),IF(AND('Input data (2)'!$C$2=2,$B45&gt;=0),OFFSET('Input data (2)'!K$126,'Input data (2)'!$BL$1-$B45,0),IF(AND('Input data (2)'!$C$2=1,$A45&gt;=0),OFFSET('Input data (2)'!K$126,'Input data (2)'!$BL$1-$A45,0),""))))</f>
        <v>0.58727327678188701</v>
      </c>
      <c r="BY66" s="7">
        <f ca="1">IF(AND('Input data (2)'!$C$2=4,$D45&gt;=0),OFFSET('Input data (2)'!AS$126,'Input data (2)'!$BL$1-$D45,0),IF(AND('Input data (2)'!$C$2=3,$C45&gt;=0),OFFSET('Input data (2)'!AS$126,'Input data (2)'!$BL$1-$C45,0),IF(AND('Input data (2)'!$C$2=2,$B45&gt;=0),OFFSET('Input data (2)'!AS$126,'Input data (2)'!$BL$1-$B45,0),IF(AND('Input data (2)'!$C$2=1,$A45&gt;=0),OFFSET('Input data (2)'!AS$126,'Input data (2)'!$BL$1-$A45,0),""))))</f>
        <v>0.48415677425519821</v>
      </c>
      <c r="BZ66" s="7">
        <f ca="1">IF(AND('Input data (2)'!$C$2=4,$D45&gt;=0),OFFSET('Input data (2)'!AT$126,'Input data (2)'!$BL$1-$D45,0),IF(AND('Input data (2)'!$C$2=3,$C45&gt;=0),OFFSET('Input data (2)'!AT$126,'Input data (2)'!$BL$1-$C45,0),IF(AND('Input data (2)'!$C$2=2,$B45&gt;=0),OFFSET('Input data (2)'!AT$126,'Input data (2)'!$BL$1-$B45,0),IF(AND('Input data (2)'!$C$2=1,$A45&gt;=0),OFFSET('Input data (2)'!AT$126,'Input data (2)'!$BL$1-$A45,0),""))))</f>
        <v>0.4391921176572568</v>
      </c>
      <c r="CB66" s="122"/>
      <c r="CC66" s="122"/>
      <c r="CD66" s="122"/>
      <c r="CE66" s="122"/>
    </row>
    <row r="67" spans="5:83" x14ac:dyDescent="0.15">
      <c r="E67" s="1" t="str">
        <f>F67&amp;G62</f>
        <v>2013Q3</v>
      </c>
      <c r="F67" s="1">
        <f>F62+1</f>
        <v>2013</v>
      </c>
      <c r="G67" s="1" t="str">
        <f>IF(F67&amp;G62='Input data (2)'!$C$3,"p "&amp;'Output data - DO NOT TOUCH (2)'!G62,'Output data - DO NOT TOUCH (2)'!G62)</f>
        <v>Q3</v>
      </c>
      <c r="H67" s="1" t="str">
        <f ca="1">IF(AND('Input data (2)'!$C$2=4,$D46&gt;=0),OFFSET('Input data (2)'!F$126,'Input data (2)'!$BL$1-$D46,0),IF(AND('Input data (2)'!$C$2=3,$C46&gt;=0),OFFSET('Input data (2)'!F$126,'Input data (2)'!$BL$1-$C46,0),IF(AND('Input data (2)'!$C$2=2,$B46&gt;=0),OFFSET('Input data (2)'!F$126,'Input data (2)'!$BL$1-$B46,0),IF(AND('Input data (2)'!$C$2=1,$A46&gt;=0),OFFSET('Input data (2)'!F$126,'Input data (2)'!$BL$1-$A46,0),""))))</f>
        <v/>
      </c>
      <c r="I67" s="1" t="str">
        <f ca="1">IF(AND('Input data (2)'!$C$2=4,$D46&gt;=0),OFFSET('Input data (2)'!D$126,'Input data (2)'!$BL$1-$D46,0),IF(AND('Input data (2)'!$C$2=3,$C46&gt;=0),OFFSET('Input data (2)'!D$126,'Input data (2)'!$BL$1-$C46,0),IF(AND('Input data (2)'!$C$2=2,$B46&gt;=0),OFFSET('Input data (2)'!D$126,'Input data (2)'!$BL$1-$B46,0),IF(AND('Input data (2)'!$C$2=1,$A46&gt;=0),OFFSET('Input data (2)'!D$126,'Input data (2)'!$BL$1-$A46,0),""))))</f>
        <v/>
      </c>
      <c r="J67" s="1" t="str">
        <f ca="1">IF(AND('Input data (2)'!$C$2=4,$D46&gt;=0),OFFSET('Input data (2)'!E$126,'Input data (2)'!$BL$1-$D46,0),IF(AND('Input data (2)'!$C$2=3,$C46&gt;=0),OFFSET('Input data (2)'!E$126,'Input data (2)'!$BL$1-$C46,0),IF(AND('Input data (2)'!$C$2=2,$B46&gt;=0),OFFSET('Input data (2)'!E$126,'Input data (2)'!$BL$1-$B46,0),IF(AND('Input data (2)'!$C$2=1,$A46&gt;=0),OFFSET('Input data (2)'!E$126,'Input data (2)'!$BL$1-$A46,0),""))))</f>
        <v/>
      </c>
      <c r="K67" s="1" t="str">
        <f ca="1">IF(AND('Input data (2)'!$C$2=4,$D46&gt;=0),OFFSET('Input data (2)'!AI$126,'Input data (2)'!$BL$1-$D46,0),IF(AND('Input data (2)'!$C$2=3,$C46&gt;=0),OFFSET('Input data (2)'!AI$126,'Input data (2)'!$BL$1-$C46,0),IF(AND('Input data (2)'!$C$2=2,$B46&gt;=0),OFFSET('Input data (2)'!AI$126,'Input data (2)'!$BL$1-$B46,0),IF(AND('Input data (2)'!$C$2=1,$A46&gt;=0),OFFSET('Input data (2)'!AI$126,'Input data (2)'!$BL$1-$A46,0),""))))</f>
        <v/>
      </c>
      <c r="L67" s="1" t="str">
        <f ca="1">IF(AND('Input data (2)'!$C$2=4,$D46&gt;=0),OFFSET('Input data (2)'!AG$126,'Input data (2)'!$BL$1-$D46,0),IF(AND('Input data (2)'!$C$2=3,$C46&gt;=0),OFFSET('Input data (2)'!AG$126,'Input data (2)'!$BL$1-$C46,0),IF(AND('Input data (2)'!$C$2=2,$B46&gt;=0),OFFSET('Input data (2)'!AG$126,'Input data (2)'!$BL$1-$B46,0),IF(AND('Input data (2)'!$C$2=1,$A46&gt;=0),OFFSET('Input data (2)'!AG$126,'Input data (2)'!$BL$1-$A46,0),""))))</f>
        <v/>
      </c>
      <c r="M67" s="1" t="str">
        <f ca="1">IF(AND('Input data (2)'!$C$2=4,$D46&gt;=0),OFFSET('Input data (2)'!AH$126,'Input data (2)'!$BL$1-$D46,0),IF(AND('Input data (2)'!$C$2=3,$C46&gt;=0),OFFSET('Input data (2)'!AH$126,'Input data (2)'!$BL$1-$C46,0),IF(AND('Input data (2)'!$C$2=2,$B46&gt;=0),OFFSET('Input data (2)'!AH$126,'Input data (2)'!$BL$1-$B46,0),IF(AND('Input data (2)'!$C$2=1,$A46&gt;=0),OFFSET('Input data (2)'!AH$126,'Input data (2)'!$BL$1-$A46,0),""))))</f>
        <v/>
      </c>
      <c r="O67" s="119" t="str">
        <f ca="1">IF(AND('Input data (2)'!$C$2=4,$D46&gt;=0),OFFSET('Input data (2)'!O$126,'Input data (2)'!$BL$1-$D46,0),IF(AND('Input data (2)'!$C$2=3,$C46&gt;=0),OFFSET('Input data (2)'!O$126,'Input data (2)'!$BL$1-$C46,0),IF(AND('Input data (2)'!$C$2=2,$B46&gt;=0),OFFSET('Input data (2)'!O$126,'Input data (2)'!$BL$1-$B46,0),IF(AND('Input data (2)'!$C$2=1,$A46&gt;=0),OFFSET('Input data (2)'!O$126,'Input data (2)'!$BL$1-$A46,0),""))))</f>
        <v/>
      </c>
      <c r="Q67" s="1" t="str">
        <f ca="1">IF(AND('Input data (2)'!$C$2=4,$D46&gt;=0),OFFSET('Input data (2)'!AC$126,'Input data (2)'!$BL$1-$D46,0),IF(AND('Input data (2)'!$C$2=3,$C46&gt;=0),OFFSET('Input data (2)'!AC$126,'Input data (2)'!$BL$1-$C46,0),IF(AND('Input data (2)'!$C$2=2,$B46&gt;=0),OFFSET('Input data (2)'!AC$126,'Input data (2)'!$BL$1-$B46,0),IF(AND('Input data (2)'!$C$2=1,$A46&gt;=0),OFFSET('Input data (2)'!AC$126,'Input data (2)'!$BL$1-$A46,0),""))))</f>
        <v/>
      </c>
      <c r="R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S67" s="1" t="str">
        <f ca="1">IF(AND('Input data (2)'!$C$2=4,$D46&gt;=0),OFFSET('Input data (2)'!R$126,'Input data (2)'!$BL$1-$D46,0),IF(AND('Input data (2)'!$C$2=3,$C46&gt;=0),OFFSET('Input data (2)'!R$126,'Input data (2)'!$BL$1-$C46,0),IF(AND('Input data (2)'!$C$2=2,$B46&gt;=0),OFFSET('Input data (2)'!R$126,'Input data (2)'!$BL$1-$B46,0),IF(AND('Input data (2)'!$C$2=1,$A46&gt;=0),OFFSET('Input data (2)'!R$126,'Input data (2)'!$BL$1-$A46,0),""))))</f>
        <v/>
      </c>
      <c r="T67" s="1" t="str">
        <f ca="1">IF(AND('Input data (2)'!$C$2=4,$D46&gt;=0),OFFSET('Input data (2)'!AA$126,'Input data (2)'!$BL$1-$D46,0),IF(AND('Input data (2)'!$C$2=3,$C46&gt;=0),OFFSET('Input data (2)'!AA$126,'Input data (2)'!$BL$1-$C46,0),IF(AND('Input data (2)'!$C$2=2,$B46&gt;=0),OFFSET('Input data (2)'!AA$126,'Input data (2)'!$BL$1-$B46,0),IF(AND('Input data (2)'!$C$2=1,$A46&gt;=0),OFFSET('Input data (2)'!AA$126,'Input data (2)'!$BL$1-$A46,0),""))))</f>
        <v/>
      </c>
      <c r="U67" s="1" t="str">
        <f ca="1">IF(AND('Input data (2)'!$C$2=4,$D46&gt;=0),OFFSET('Input data (2)'!AL$126,'Input data (2)'!$BL$1-$D46,0),IF(AND('Input data (2)'!$C$2=3,$C46&gt;=0),OFFSET('Input data (2)'!AL$126,'Input data (2)'!$BL$1-$C46,0),IF(AND('Input data (2)'!$C$2=2,$B46&gt;=0),OFFSET('Input data (2)'!AL$126,'Input data (2)'!$BL$1-$B46,0),IF(AND('Input data (2)'!$C$2=1,$A46&gt;=0),OFFSET('Input data (2)'!AL$126,'Input data (2)'!$BL$1-$A46,0),""))))</f>
        <v/>
      </c>
      <c r="V67" s="1" t="str">
        <f ca="1">IF(AND('Input data (2)'!$C$2=4,$D46&gt;=0),OFFSET('Input data (2)'!AJ$126,'Input data (2)'!$BL$1-$D46,0),IF(AND('Input data (2)'!$C$2=3,$C46&gt;=0),OFFSET('Input data (2)'!AJ$126,'Input data (2)'!$BL$1-$C46,0),IF(AND('Input data (2)'!$C$2=2,$B46&gt;=0),OFFSET('Input data (2)'!AJ$126,'Input data (2)'!$BL$1-$B46,0),IF(AND('Input data (2)'!$C$2=1,$A46&gt;=0),OFFSET('Input data (2)'!AJ$126,'Input data (2)'!$BL$1-$A46,0),""))))</f>
        <v/>
      </c>
      <c r="W67" s="1" t="str">
        <f ca="1">IF(AND('Input data (2)'!$C$2=4,$D46&gt;=0),OFFSET('Input data (2)'!AK$126,'Input data (2)'!$BL$1-$D46,0),IF(AND('Input data (2)'!$C$2=3,$C46&gt;=0),OFFSET('Input data (2)'!AK$126,'Input data (2)'!$BL$1-$C46,0),IF(AND('Input data (2)'!$C$2=2,$B46&gt;=0),OFFSET('Input data (2)'!AK$126,'Input data (2)'!$BL$1-$B46,0),IF(AND('Input data (2)'!$C$2=1,$A46&gt;=0),OFFSET('Input data (2)'!AK$126,'Input data (2)'!$BL$1-$A46,0),""))))</f>
        <v/>
      </c>
      <c r="Y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Z67" s="1" t="str">
        <f ca="1">IF(AND('Input data (2)'!$C$2=4,$D46&gt;=0),OFFSET('Input data (2)'!S$126,'Input data (2)'!$BL$1-$D46,0),IF(AND('Input data (2)'!$C$2=3,$C46&gt;=0),OFFSET('Input data (2)'!S$126,'Input data (2)'!$BL$1-$C46,0),IF(AND('Input data (2)'!$C$2=2,$B46&gt;=0),OFFSET('Input data (2)'!S$126,'Input data (2)'!$BL$1-$B46,0),IF(AND('Input data (2)'!$C$2=1,$A46&gt;=0),OFFSET('Input data (2)'!S$126,'Input data (2)'!$BL$1-$A46,0),""))))</f>
        <v/>
      </c>
      <c r="AA67" s="1" t="str">
        <f ca="1">IF(AND('Input data (2)'!$C$2=4,$D46&gt;=0),OFFSET('Input data (2)'!T$126,'Input data (2)'!$BL$1-$D46,0),IF(AND('Input data (2)'!$C$2=3,$C46&gt;=0),OFFSET('Input data (2)'!T$126,'Input data (2)'!$BL$1-$C46,0),IF(AND('Input data (2)'!$C$2=2,$B46&gt;=0),OFFSET('Input data (2)'!T$126,'Input data (2)'!$BL$1-$B46,0),IF(AND('Input data (2)'!$C$2=1,$A46&gt;=0),OFFSET('Input data (2)'!T$126,'Input data (2)'!$BL$1-$A46,0),""))))</f>
        <v/>
      </c>
      <c r="AB67" s="1" t="str">
        <f ca="1">IF(AND('Input data (2)'!$C$2=4,$D46&gt;=0),OFFSET('Input data (2)'!U$126,'Input data (2)'!$BL$1-$D46,0),IF(AND('Input data (2)'!$C$2=3,$C46&gt;=0),OFFSET('Input data (2)'!U$126,'Input data (2)'!$BL$1-$C46,0),IF(AND('Input data (2)'!$C$2=2,$B46&gt;=0),OFFSET('Input data (2)'!U$126,'Input data (2)'!$BL$1-$B46,0),IF(AND('Input data (2)'!$C$2=1,$A46&gt;=0),OFFSET('Input data (2)'!U$126,'Input data (2)'!$BL$1-$A46,0),""))))</f>
        <v/>
      </c>
      <c r="AC67" s="1" t="str">
        <f ca="1">IF(AND('Input data (2)'!$C$2=4,$D46&gt;=0),OFFSET('Input data (2)'!V$126,'Input data (2)'!$BL$1-$D46,0),IF(AND('Input data (2)'!$C$2=3,$C46&gt;=0),OFFSET('Input data (2)'!V$126,'Input data (2)'!$BL$1-$C46,0),IF(AND('Input data (2)'!$C$2=2,$B46&gt;=0),OFFSET('Input data (2)'!V$126,'Input data (2)'!$BL$1-$B46,0),IF(AND('Input data (2)'!$C$2=1,$A46&gt;=0),OFFSET('Input data (2)'!V$126,'Input data (2)'!$BL$1-$A46,0),""))))</f>
        <v/>
      </c>
      <c r="AD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AE67" s="1" t="str">
        <f ca="1">IF(AND('Input data (2)'!$C$2=4,$D46&gt;=0),OFFSET('Input data (2)'!W$126,'Input data (2)'!$BL$1-$D46,0),IF(AND('Input data (2)'!$C$2=3,$C46&gt;=0),OFFSET('Input data (2)'!W$126,'Input data (2)'!$BL$1-$C46,0),IF(AND('Input data (2)'!$C$2=2,$B46&gt;=0),OFFSET('Input data (2)'!W$126,'Input data (2)'!$BL$1-$B46,0),IF(AND('Input data (2)'!$C$2=1,$A46&gt;=0),OFFSET('Input data (2)'!W$126,'Input data (2)'!$BL$1-$A46,0),""))))</f>
        <v/>
      </c>
      <c r="AF67" s="1" t="str">
        <f ca="1">IF(AND('Input data (2)'!$C$2=4,$D46&gt;=0),OFFSET('Input data (2)'!X$126,'Input data (2)'!$BL$1-$D46,0),IF(AND('Input data (2)'!$C$2=3,$C46&gt;=0),OFFSET('Input data (2)'!X$126,'Input data (2)'!$BL$1-$C46,0),IF(AND('Input data (2)'!$C$2=2,$B46&gt;=0),OFFSET('Input data (2)'!X$126,'Input data (2)'!$BL$1-$B46,0),IF(AND('Input data (2)'!$C$2=1,$A46&gt;=0),OFFSET('Input data (2)'!X$126,'Input data (2)'!$BL$1-$A46,0),""))))</f>
        <v/>
      </c>
      <c r="AG67" s="1" t="str">
        <f ca="1">IF(AND('Input data (2)'!$C$2=4,$D46&gt;=0),OFFSET('Input data (2)'!Y$126,'Input data (2)'!$BL$1-$D46,0),IF(AND('Input data (2)'!$C$2=3,$C46&gt;=0),OFFSET('Input data (2)'!Y$126,'Input data (2)'!$BL$1-$C46,0),IF(AND('Input data (2)'!$C$2=2,$B46&gt;=0),OFFSET('Input data (2)'!Y$126,'Input data (2)'!$BL$1-$B46,0),IF(AND('Input data (2)'!$C$2=1,$A46&gt;=0),OFFSET('Input data (2)'!Y$126,'Input data (2)'!$BL$1-$A46,0),""))))</f>
        <v/>
      </c>
      <c r="AH67" s="1" t="str">
        <f ca="1">IF(AND('Input data (2)'!$C$2=4,$D46&gt;=0),OFFSET('Input data (2)'!Z$126,'Input data (2)'!$BL$1-$D46,0),IF(AND('Input data (2)'!$C$2=3,$C46&gt;=0),OFFSET('Input data (2)'!Z$126,'Input data (2)'!$BL$1-$C46,0),IF(AND('Input data (2)'!$C$2=2,$B46&gt;=0),OFFSET('Input data (2)'!Z$126,'Input data (2)'!$BL$1-$B46,0),IF(AND('Input data (2)'!$C$2=1,$A46&gt;=0),OFFSET('Input data (2)'!Z$126,'Input data (2)'!$BL$1-$A46,0),""))))</f>
        <v/>
      </c>
      <c r="AI67" s="3"/>
      <c r="AJ67" s="124" t="str">
        <f ca="1">IF(AND('Input data (2)'!$C$2=4,$D46&gt;=0),OFFSET('Input data (2)'!AF$126,'Input data (2)'!$BL$1-$D46,0),IF(AND('Input data (2)'!$C$2=3,$C46&gt;=0),OFFSET('Input data (2)'!AF$126,'Input data (2)'!$BL$1-$C46,0),IF(AND('Input data (2)'!$C$2=2,$B46&gt;=0),OFFSET('Input data (2)'!AF$126,'Input data (2)'!$BL$1-$B46,0),IF(AND('Input data (2)'!$C$2=1,$A46&gt;=0),OFFSET('Input data (2)'!AF$126,'Input data (2)'!$BL$1-$A46,0),""))))</f>
        <v/>
      </c>
      <c r="AK67" s="124" t="str">
        <f ca="1">IF(AND('Input data (2)'!$C$2=4,$D46&gt;=0),OFFSET('Input data (2)'!AD$126,'Input data (2)'!$BL$1-$D46,0),IF(AND('Input data (2)'!$C$2=3,$C46&gt;=0),OFFSET('Input data (2)'!AD$126,'Input data (2)'!$BL$1-$C46,0),IF(AND('Input data (2)'!$C$2=2,$B46&gt;=0),OFFSET('Input data (2)'!AD$126,'Input data (2)'!$BL$1-$B46,0),IF(AND('Input data (2)'!$C$2=1,$A46&gt;=0),OFFSET('Input data (2)'!AD$126,'Input data (2)'!$BL$1-$A46,0),""))))</f>
        <v/>
      </c>
      <c r="AL67" s="124" t="str">
        <f ca="1">IF(AND('Input data (2)'!$C$2=4,$D46&gt;=0),OFFSET('Input data (2)'!AE$126,'Input data (2)'!$BL$1-$D46,0),IF(AND('Input data (2)'!$C$2=3,$C46&gt;=0),OFFSET('Input data (2)'!AE$126,'Input data (2)'!$BL$1-$C46,0),IF(AND('Input data (2)'!$C$2=2,$B46&gt;=0),OFFSET('Input data (2)'!AE$126,'Input data (2)'!$BL$1-$B46,0),IF(AND('Input data (2)'!$C$2=1,$A46&gt;=0),OFFSET('Input data (2)'!AE$126,'Input data (2)'!$BL$1-$A46,0),""))))</f>
        <v/>
      </c>
      <c r="AW67" s="1" t="str">
        <f ca="1">IF(AND('Input data (2)'!$C$2=4,$D46&gt;=0),OFFSET('Input data (2)'!L$126,'Input data (2)'!$BL$1-$D46,0),IF(AND('Input data (2)'!$C$2=3,$C46&gt;=0),OFFSET('Input data (2)'!L$126,'Input data (2)'!$BL$1-$C46,0),IF(AND('Input data (2)'!$C$2=2,$B46&gt;=0),OFFSET('Input data (2)'!L$126,'Input data (2)'!$BL$1-$B46,0),IF(AND('Input data (2)'!$C$2=1,$A46&gt;=0),OFFSET('Input data (2)'!L$126,'Input data (2)'!$BL$1-$A46,0),""))))</f>
        <v/>
      </c>
      <c r="AX67" s="1" t="str">
        <f ca="1">IF(AND('Input data (2)'!$C$2=4,$D46&gt;=0),OFFSET('Input data (2)'!M$126,'Input data (2)'!$BL$1-$D46,0),IF(AND('Input data (2)'!$C$2=3,$C46&gt;=0),OFFSET('Input data (2)'!M$126,'Input data (2)'!$BL$1-$C46,0),IF(AND('Input data (2)'!$C$2=2,$B46&gt;=0),OFFSET('Input data (2)'!M$126,'Input data (2)'!$BL$1-$B46,0),IF(AND('Input data (2)'!$C$2=1,$A46&gt;=0),OFFSET('Input data (2)'!M$126,'Input data (2)'!$BL$1-$A46,0),""))))</f>
        <v/>
      </c>
      <c r="AY67" s="1" t="str">
        <f ca="1">IF(AND('Input data (2)'!$C$2=4,$D46&gt;=0),OFFSET('Input data (2)'!N$126,'Input data (2)'!$BL$1-$D46,0),IF(AND('Input data (2)'!$C$2=3,$C46&gt;=0),OFFSET('Input data (2)'!N$126,'Input data (2)'!$BL$1-$C46,0),IF(AND('Input data (2)'!$C$2=2,$B46&gt;=0),OFFSET('Input data (2)'!N$126,'Input data (2)'!$BL$1-$B46,0),IF(AND('Input data (2)'!$C$2=1,$A46&gt;=0),OFFSET('Input data (2)'!N$126,'Input data (2)'!$BL$1-$A46,0),""))))</f>
        <v/>
      </c>
      <c r="AZ67" s="1" t="str">
        <f ca="1">IF(AND('Input data (2)'!$C$2=4,$D46&gt;=0),OFFSET('Input data (2)'!P$126,'Input data (2)'!$BL$1-$D46,0),IF(AND('Input data (2)'!$C$2=3,$C46&gt;=0),OFFSET('Input data (2)'!P$126,'Input data (2)'!$BL$1-$C46,0),IF(AND('Input data (2)'!$C$2=2,$B46&gt;=0),OFFSET('Input data (2)'!P$126,'Input data (2)'!$BL$1-$B46,0),IF(AND('Input data (2)'!$C$2=1,$A46&gt;=0),OFFSET('Input data (2)'!P$126,'Input data (2)'!$BL$1-$A46,0),""))))</f>
        <v/>
      </c>
      <c r="BB67" s="1" t="str">
        <f ca="1">IF(AND('Input data (2)'!$C$2=4,$D46&gt;=0),OFFSET('Input data (2)'!BB$126,'Input data (2)'!$BL$1-$D46,0),IF(AND('Input data (2)'!$C$2=3,$C46&gt;=0),OFFSET('Input data (2)'!BB$126,'Input data (2)'!$BL$1-$C46,0),IF(AND('Input data (2)'!$C$2=2,$B46&gt;=0),OFFSET('Input data (2)'!BB$126,'Input data (2)'!$BL$1-$B46,0),IF(AND('Input data (2)'!$C$2=1,$A46&gt;=0),OFFSET('Input data (2)'!BB$126,'Input data (2)'!$BL$1-$A46,0),""))))</f>
        <v/>
      </c>
      <c r="BC67" s="1" t="str">
        <f ca="1">IF(AND('Input data (2)'!$C$2=4,$D46&gt;=0),OFFSET('Input data (2)'!AY$126,'Input data (2)'!$BL$1-$D46,0),IF(AND('Input data (2)'!$C$2=3,$C46&gt;=0),OFFSET('Input data (2)'!AY$126,'Input data (2)'!$BL$1-$C46,0),IF(AND('Input data (2)'!$C$2=2,$B46&gt;=0),OFFSET('Input data (2)'!AY$126,'Input data (2)'!$BL$1-$B46,0),IF(AND('Input data (2)'!$C$2=1,$A46&gt;=0),OFFSET('Input data (2)'!AY$126,'Input data (2)'!$BL$1-$A46,0),""))))</f>
        <v/>
      </c>
      <c r="BD67" s="1" t="str">
        <f ca="1">IF(AND('Input data (2)'!$C$2=4,$D46&gt;=0),OFFSET('Input data (2)'!AZ$126,'Input data (2)'!$BL$1-$D46,0),IF(AND('Input data (2)'!$C$2=3,$C46&gt;=0),OFFSET('Input data (2)'!AZ$126,'Input data (2)'!$BL$1-$C46,0),IF(AND('Input data (2)'!$C$2=2,$B46&gt;=0),OFFSET('Input data (2)'!AZ$126,'Input data (2)'!$BL$1-$B46,0),IF(AND('Input data (2)'!$C$2=1,$A46&gt;=0),OFFSET('Input data (2)'!AZ$126,'Input data (2)'!$BL$1-$A46,0),""))))</f>
        <v/>
      </c>
      <c r="BE67" s="1" t="str">
        <f ca="1">IF(AND('Input data (2)'!$C$2=4,$D46&gt;=0),OFFSET('Input data (2)'!BA$126,'Input data (2)'!$BL$1-$D46,0),IF(AND('Input data (2)'!$C$2=3,$C46&gt;=0),OFFSET('Input data (2)'!BA$126,'Input data (2)'!$BL$1-$C46,0),IF(AND('Input data (2)'!$C$2=2,$B46&gt;=0),OFFSET('Input data (2)'!BA$126,'Input data (2)'!$BL$1-$B46,0),IF(AND('Input data (2)'!$C$2=1,$A46&gt;=0),OFFSET('Input data (2)'!BA$126,'Input data (2)'!$BL$1-$A46,0),""))))</f>
        <v/>
      </c>
      <c r="BF67" s="1" t="str">
        <f ca="1">IF(AND('Input data (2)'!$C$2=4,$D46&gt;=0),OFFSET('Input data (2)'!AP$126,'Input data (2)'!$BL$1-$D46,0),IF(AND('Input data (2)'!$C$2=3,$C46&gt;=0),OFFSET('Input data (2)'!AP$126,'Input data (2)'!$BL$1-$C46,0),IF(AND('Input data (2)'!$C$2=2,$B46&gt;=0),OFFSET('Input data (2)'!AP$126,'Input data (2)'!$BL$1-$B46,0),IF(AND('Input data (2)'!$C$2=1,$A46&gt;=0),OFFSET('Input data (2)'!AP$126,'Input data (2)'!$BL$1-$A46,0),""))))</f>
        <v/>
      </c>
      <c r="BG67" s="1" t="str">
        <f ca="1">IF(AND('Input data (2)'!$C$2=4,$D46&gt;=0),OFFSET('Input data (2)'!AN$126,'Input data (2)'!$BL$1-$D46,0),IF(AND('Input data (2)'!$C$2=3,$C46&gt;=0),OFFSET('Input data (2)'!AN$126,'Input data (2)'!$BL$1-$C46,0),IF(AND('Input data (2)'!$C$2=2,$B46&gt;=0),OFFSET('Input data (2)'!AN$126,'Input data (2)'!$BL$1-$B46,0),IF(AND('Input data (2)'!$C$2=1,$A46&gt;=0),OFFSET('Input data (2)'!AN$126,'Input data (2)'!$BL$1-$A46,0),""))))</f>
        <v/>
      </c>
      <c r="BH67" s="1" t="str">
        <f ca="1">IF(AND('Input data (2)'!$C$2=4,$D46&gt;=0),OFFSET('Input data (2)'!AO$126,'Input data (2)'!$BL$1-$D46,0),IF(AND('Input data (2)'!$C$2=3,$C46&gt;=0),OFFSET('Input data (2)'!AO$126,'Input data (2)'!$BL$1-$C46,0),IF(AND('Input data (2)'!$C$2=2,$B46&gt;=0),OFFSET('Input data (2)'!AO$126,'Input data (2)'!$BL$1-$B46,0),IF(AND('Input data (2)'!$C$2=1,$A46&gt;=0),OFFSET('Input data (2)'!AO$126,'Input data (2)'!$BL$1-$A46,0),""))))</f>
        <v/>
      </c>
      <c r="BJ67" s="1" t="str">
        <f ca="1">IF(AND('Input data (2)'!$C$2=4,$D46&gt;=0),OFFSET('Input data (2)'!AU$126,'Input data (2)'!$BL$1-$D46,0),IF(AND('Input data (2)'!$C$2=3,$C46&gt;=0),OFFSET('Input data (2)'!AU$126,'Input data (2)'!$BL$1-$C46,0),IF(AND('Input data (2)'!$C$2=2,$B46&gt;=0),OFFSET('Input data (2)'!AU$126,'Input data (2)'!$BL$1-$B46,0),IF(AND('Input data (2)'!$C$2=1,$A46&gt;=0),OFFSET('Input data (2)'!AU$126,'Input data (2)'!$BL$1-$A46,0),""))))</f>
        <v/>
      </c>
      <c r="BK67" s="1" t="str">
        <f ca="1">IF(AND('Input data (2)'!$C$2=4,$D46&gt;=0),OFFSET('Input data (2)'!AV$126,'Input data (2)'!$BL$1-$D46,0),IF(AND('Input data (2)'!$C$2=3,$C46&gt;=0),OFFSET('Input data (2)'!AV$126,'Input data (2)'!$BL$1-$C46,0),IF(AND('Input data (2)'!$C$2=2,$B46&gt;=0),OFFSET('Input data (2)'!AV$126,'Input data (2)'!$BL$1-$B46,0),IF(AND('Input data (2)'!$C$2=1,$A46&gt;=0),OFFSET('Input data (2)'!AV$126,'Input data (2)'!$BL$1-$A46,0),""))))</f>
        <v/>
      </c>
      <c r="BL67" s="1" t="str">
        <f ca="1">IF(AND('Input data (2)'!$C$2=4,$D46&gt;=0),OFFSET('Input data (2)'!AW$126,'Input data (2)'!$BL$1-$D46,0),IF(AND('Input data (2)'!$C$2=3,$C46&gt;=0),OFFSET('Input data (2)'!AW$126,'Input data (2)'!$BL$1-$C46,0),IF(AND('Input data (2)'!$C$2=2,$B46&gt;=0),OFFSET('Input data (2)'!AW$126,'Input data (2)'!$BL$1-$B46,0),IF(AND('Input data (2)'!$C$2=1,$A46&gt;=0),OFFSET('Input data (2)'!AW$126,'Input data (2)'!$BL$1-$A46,0),""))))</f>
        <v/>
      </c>
      <c r="BM67" s="1" t="str">
        <f ca="1">IF(AND('Input data (2)'!$C$2=4,$D46&gt;=0),OFFSET('Input data (2)'!AX$126,'Input data (2)'!$BL$1-$D46,0),IF(AND('Input data (2)'!$C$2=3,$C46&gt;=0),OFFSET('Input data (2)'!AX$126,'Input data (2)'!$BL$1-$C46,0),IF(AND('Input data (2)'!$C$2=2,$B46&gt;=0),OFFSET('Input data (2)'!AX$126,'Input data (2)'!$BL$1-$B46,0),IF(AND('Input data (2)'!$C$2=1,$A46&gt;=0),OFFSET('Input data (2)'!AX$126,'Input data (2)'!$BL$1-$A46,0),""))))</f>
        <v/>
      </c>
      <c r="BO67" s="1" t="str">
        <f ca="1">IF(AND('Input data (2)'!$C$2=4,$D46&gt;=0),OFFSET('Input data (2)'!BL$126,'Input data (2)'!$BL$1-$D46,0),IF(AND('Input data (2)'!$C$2=3,$C46&gt;=0),OFFSET('Input data (2)'!BL$126,'Input data (2)'!$BL$1-$C46,0),IF(AND('Input data (2)'!$C$2=2,$B46&gt;=0),OFFSET('Input data (2)'!BL$126,'Input data (2)'!$BL$1-$B46,0),IF(AND('Input data (2)'!$C$2=1,$A46&gt;=0),OFFSET('Input data (2)'!BL$126,'Input data (2)'!$BL$1-$A46,0),""))))</f>
        <v/>
      </c>
      <c r="BP67" s="1" t="str">
        <f ca="1">IF(AND('Input data (2)'!$C$2=4,$D46&gt;=0),OFFSET('Input data (2)'!BI$126,'Input data (2)'!$BL$1-$D46,0),IF(AND('Input data (2)'!$C$2=3,$C46&gt;=0),OFFSET('Input data (2)'!BI$126,'Input data (2)'!$BL$1-$C46,0),IF(AND('Input data (2)'!$C$2=2,$B46&gt;=0),OFFSET('Input data (2)'!BI$126,'Input data (2)'!$BL$1-$B46,0),IF(AND('Input data (2)'!$C$2=1,$A46&gt;=0),OFFSET('Input data (2)'!BI$126,'Input data (2)'!$BL$1-$A46,0),""))))</f>
        <v/>
      </c>
      <c r="BQ67" s="1" t="str">
        <f ca="1">IF(AND('Input data (2)'!$C$2=4,$D46&gt;=0),OFFSET('Input data (2)'!BK$126,'Input data (2)'!$BL$1-$D46,0),IF(AND('Input data (2)'!$C$2=3,$C46&gt;=0),OFFSET('Input data (2)'!BK$126,'Input data (2)'!$BL$1-$C46,0),IF(AND('Input data (2)'!$C$2=2,$B46&gt;=0),OFFSET('Input data (2)'!BK$126,'Input data (2)'!$BL$1-$B46,0),IF(AND('Input data (2)'!$C$2=1,$A46&gt;=0),OFFSET('Input data (2)'!BK$126,'Input data (2)'!$BL$1-$A46,0),""))))</f>
        <v/>
      </c>
      <c r="BR67" s="1" t="str">
        <f ca="1">IF(AND('Input data (2)'!$C$2=4,$D46&gt;=0),OFFSET('Input data (2)'!BJ$126,'Input data (2)'!$BL$1-$D46,0),IF(AND('Input data (2)'!$C$2=3,$C46&gt;=0),OFFSET('Input data (2)'!BJ$126,'Input data (2)'!$BL$1-$C46,0),IF(AND('Input data (2)'!$C$2=2,$B46&gt;=0),OFFSET('Input data (2)'!BJ$126,'Input data (2)'!$BL$1-$B46,0),IF(AND('Input data (2)'!$C$2=1,$A46&gt;=0),OFFSET('Input data (2)'!BJ$126,'Input data (2)'!$BL$1-$A46,0),""))))</f>
        <v/>
      </c>
      <c r="BS67" s="1" t="str">
        <f ca="1">IF(AND('Input data (2)'!$C$2=4,$D46&gt;=0),OFFSET('Input data (2)'!BF$126,'Input data (2)'!$BL$1-$D46,0),IF(AND('Input data (2)'!$C$2=3,$C46&gt;=0),OFFSET('Input data (2)'!BF$126,'Input data (2)'!$BL$1-$C46,0),IF(AND('Input data (2)'!$C$2=2,$B46&gt;=0),OFFSET('Input data (2)'!BF$126,'Input data (2)'!$BL$1-$B46,0),IF(AND('Input data (2)'!$C$2=1,$A46&gt;=0),OFFSET('Input data (2)'!BF$126,'Input data (2)'!$BL$1-$A46,0),""))))</f>
        <v/>
      </c>
      <c r="BT67" s="1" t="str">
        <f ca="1">IF(AND('Input data (2)'!$C$2=4,$D46&gt;=0),OFFSET('Input data (2)'!BD$126,'Input data (2)'!$BL$1-$D46,0),IF(AND('Input data (2)'!$C$2=3,$C46&gt;=0),OFFSET('Input data (2)'!BD$126,'Input data (2)'!$BL$1-$C46,0),IF(AND('Input data (2)'!$C$2=2,$B46&gt;=0),OFFSET('Input data (2)'!BD$126,'Input data (2)'!$BL$1-$B46,0),IF(AND('Input data (2)'!$C$2=1,$A46&gt;=0),OFFSET('Input data (2)'!BD$126,'Input data (2)'!$BL$1-$A46,0),""))))</f>
        <v/>
      </c>
      <c r="BU67" s="1" t="str">
        <f ca="1">IF(AND('Input data (2)'!$C$2=4,$D46&gt;=0),OFFSET('Input data (2)'!BE$126,'Input data (2)'!$BL$1-$D46,0),IF(AND('Input data (2)'!$C$2=3,$C46&gt;=0),OFFSET('Input data (2)'!BE$126,'Input data (2)'!$BL$1-$C46,0),IF(AND('Input data (2)'!$C$2=2,$B46&gt;=0),OFFSET('Input data (2)'!BE$126,'Input data (2)'!$BL$1-$B46,0),IF(AND('Input data (2)'!$C$2=1,$A46&gt;=0),OFFSET('Input data (2)'!BE$126,'Input data (2)'!$BL$1-$A46,0),""))))</f>
        <v/>
      </c>
      <c r="BW67" s="7" t="str">
        <f ca="1">IF(AND('Input data (2)'!$C$2=4,$D46&gt;=0),OFFSET('Input data (2)'!J$126,'Input data (2)'!$BL$1-$D46,0),IF(AND('Input data (2)'!$C$2=3,$C46&gt;=0),OFFSET('Input data (2)'!J$126,'Input data (2)'!$BL$1-$C46,0),IF(AND('Input data (2)'!$C$2=2,$B46&gt;=0),OFFSET('Input data (2)'!J$126,'Input data (2)'!$BL$1-$B46,0),IF(AND('Input data (2)'!$C$2=1,$A46&gt;=0),OFFSET('Input data (2)'!J$126,'Input data (2)'!$BL$1-$A46,0),""))))</f>
        <v/>
      </c>
      <c r="BX67" s="7" t="str">
        <f ca="1">IF(AND('Input data (2)'!$C$2=4,$D46&gt;=0),OFFSET('Input data (2)'!K$126,'Input data (2)'!$BL$1-$D46,0),IF(AND('Input data (2)'!$C$2=3,$C46&gt;=0),OFFSET('Input data (2)'!K$126,'Input data (2)'!$BL$1-$C46,0),IF(AND('Input data (2)'!$C$2=2,$B46&gt;=0),OFFSET('Input data (2)'!K$126,'Input data (2)'!$BL$1-$B46,0),IF(AND('Input data (2)'!$C$2=1,$A46&gt;=0),OFFSET('Input data (2)'!K$126,'Input data (2)'!$BL$1-$A46,0),""))))</f>
        <v/>
      </c>
      <c r="BY67" s="7" t="str">
        <f ca="1">IF(AND('Input data (2)'!$C$2=4,$D46&gt;=0),OFFSET('Input data (2)'!AS$126,'Input data (2)'!$BL$1-$D46,0),IF(AND('Input data (2)'!$C$2=3,$C46&gt;=0),OFFSET('Input data (2)'!AS$126,'Input data (2)'!$BL$1-$C46,0),IF(AND('Input data (2)'!$C$2=2,$B46&gt;=0),OFFSET('Input data (2)'!AS$126,'Input data (2)'!$BL$1-$B46,0),IF(AND('Input data (2)'!$C$2=1,$A46&gt;=0),OFFSET('Input data (2)'!AS$126,'Input data (2)'!$BL$1-$A46,0),""))))</f>
        <v/>
      </c>
      <c r="BZ67" s="7" t="str">
        <f ca="1">IF(AND('Input data (2)'!$C$2=4,$D46&gt;=0),OFFSET('Input data (2)'!AT$126,'Input data (2)'!$BL$1-$D46,0),IF(AND('Input data (2)'!$C$2=3,$C46&gt;=0),OFFSET('Input data (2)'!AT$126,'Input data (2)'!$BL$1-$C46,0),IF(AND('Input data (2)'!$C$2=2,$B46&gt;=0),OFFSET('Input data (2)'!AT$126,'Input data (2)'!$BL$1-$B46,0),IF(AND('Input data (2)'!$C$2=1,$A46&gt;=0),OFFSET('Input data (2)'!AT$126,'Input data (2)'!$BL$1-$A46,0),""))))</f>
        <v/>
      </c>
      <c r="CB67" s="122"/>
      <c r="CC67" s="122"/>
      <c r="CD67" s="122"/>
      <c r="CE67" s="122"/>
    </row>
    <row r="68" spans="5:83" x14ac:dyDescent="0.15">
      <c r="E68" s="1" t="str">
        <f>F68&amp;G63</f>
        <v>2013Q4</v>
      </c>
      <c r="F68" s="1">
        <f>F63+1</f>
        <v>2013</v>
      </c>
      <c r="G68" s="1" t="str">
        <f>IF(F68&amp;G63='Input data (2)'!$C$3,"p "&amp;'Output data - DO NOT TOUCH (2)'!G63,'Output data - DO NOT TOUCH (2)'!G63)</f>
        <v>Q4</v>
      </c>
      <c r="BW68" s="7"/>
      <c r="BX68" s="7"/>
      <c r="BY68" s="7"/>
      <c r="BZ68" s="7"/>
      <c r="CB68" s="122"/>
      <c r="CC68" s="122"/>
      <c r="CD68" s="122"/>
      <c r="CE68" s="122"/>
    </row>
    <row r="69" spans="5:83" x14ac:dyDescent="0.15">
      <c r="BW69" s="7"/>
      <c r="BX69" s="7"/>
      <c r="BY69" s="7"/>
      <c r="BZ69" s="7"/>
      <c r="CB69" s="122"/>
      <c r="CC69" s="122"/>
      <c r="CD69" s="122"/>
      <c r="CE69" s="122"/>
    </row>
    <row r="70" spans="5:83" x14ac:dyDescent="0.15">
      <c r="BW70" s="7"/>
      <c r="BX70" s="7"/>
      <c r="BY70" s="7"/>
      <c r="BZ70" s="7"/>
      <c r="CB70" s="122"/>
      <c r="CC70" s="122"/>
      <c r="CD70" s="122"/>
      <c r="CE70" s="122"/>
    </row>
    <row r="71" spans="5:83" x14ac:dyDescent="0.15">
      <c r="E71" s="1" t="s">
        <v>98</v>
      </c>
      <c r="H71" s="1">
        <v>6</v>
      </c>
      <c r="I71" s="1">
        <v>4</v>
      </c>
      <c r="J71" s="1">
        <v>5</v>
      </c>
      <c r="K71" s="1">
        <v>35</v>
      </c>
      <c r="L71" s="1">
        <v>33</v>
      </c>
      <c r="M71" s="1">
        <v>34</v>
      </c>
      <c r="BW71" s="7"/>
      <c r="BX71" s="7"/>
      <c r="BY71" s="7"/>
      <c r="BZ71" s="7"/>
      <c r="CB71" s="122"/>
      <c r="CC71" s="122"/>
      <c r="CD71" s="122"/>
      <c r="CE71" s="122"/>
    </row>
    <row r="72" spans="5:83" x14ac:dyDescent="0.15">
      <c r="BW72" s="7"/>
      <c r="BX72" s="7"/>
      <c r="BY72" s="7"/>
      <c r="BZ72" s="7"/>
      <c r="CB72" s="122"/>
      <c r="CC72" s="122"/>
      <c r="CD72" s="122"/>
      <c r="CE72" s="122"/>
    </row>
    <row r="73" spans="5:83" x14ac:dyDescent="0.15">
      <c r="E73" s="1" t="s">
        <v>95</v>
      </c>
      <c r="BW73" s="7"/>
      <c r="BX73" s="7"/>
      <c r="BY73" s="7"/>
      <c r="BZ73" s="7"/>
      <c r="CB73" s="122"/>
      <c r="CC73" s="122"/>
      <c r="CD73" s="122"/>
      <c r="CE73" s="122"/>
    </row>
    <row r="74" spans="5:83" x14ac:dyDescent="0.15">
      <c r="E74" s="1" t="str">
        <f>IF('Input data (2)'!C2=1,'Input data (2)'!C1-1&amp;"Q"&amp;4,'Input data (2)'!C1&amp;"Q"&amp;'Input data (2)'!C2-1)</f>
        <v>2013Q1</v>
      </c>
      <c r="F74" s="1">
        <f>LEFT(E74,4)*1</f>
        <v>2013</v>
      </c>
      <c r="G74" s="1" t="str">
        <f>RIGHT(E74,2)</f>
        <v>Q1</v>
      </c>
      <c r="H74" s="7">
        <f>100*(VLOOKUP('Input data (2)'!$C$3,$E$15:$M$68,H$78,FALSE)/VLOOKUP($E74,$E$15:$M$68,H$78,FALSE)-1)</f>
        <v>12.170605813637604</v>
      </c>
      <c r="I74" s="7">
        <f>100*(VLOOKUP('Input data (2)'!$C$3,$E$15:$M$68,I$78,FALSE)/VLOOKUP($E74,$E$15:$M$68,I$78,FALSE)-1)</f>
        <v>6.3720452209660827</v>
      </c>
      <c r="J74" s="7">
        <f>100*(VLOOKUP('Input data (2)'!$C$3,$E$15:$M$68,J$78,FALSE)/VLOOKUP($E74,$E$15:$M$68,J$78,FALSE)-1)</f>
        <v>14.254062038404737</v>
      </c>
      <c r="K74" s="7">
        <f>100*(VLOOKUP('Input data (2)'!$C$3,$E$15:$M$68,K$78,FALSE)/VLOOKUP($E74,$E$15:$M$68,K$78,FALSE)-1)</f>
        <v>10.45884733809439</v>
      </c>
      <c r="L74" s="7">
        <f>100*(VLOOKUP('Input data (2)'!$C$3,$E$15:$M$68,L$78,FALSE)/VLOOKUP($E74,$E$15:$M$68,L$78,FALSE)-1)</f>
        <v>-6.5928457342582236</v>
      </c>
      <c r="M74" s="7">
        <f>100*(VLOOKUP('Input data (2)'!$C$3,$E$15:$M$68,M$78,FALSE)/VLOOKUP($E74,$E$15:$M$68,M$78,FALSE)-1)</f>
        <v>17.278637745063151</v>
      </c>
      <c r="N74" s="7"/>
      <c r="BW74" s="7"/>
      <c r="BX74" s="7"/>
      <c r="BY74" s="7"/>
      <c r="BZ74" s="7"/>
      <c r="CB74" s="122"/>
      <c r="CC74" s="122"/>
      <c r="CD74" s="122"/>
      <c r="CE74" s="122"/>
    </row>
    <row r="75" spans="5:83" x14ac:dyDescent="0.15">
      <c r="E75" s="1" t="s">
        <v>96</v>
      </c>
      <c r="BW75" s="7"/>
      <c r="BX75" s="7"/>
      <c r="BY75" s="7"/>
      <c r="BZ75" s="7"/>
      <c r="CB75" s="122"/>
      <c r="CC75" s="122"/>
      <c r="CD75" s="122"/>
      <c r="CE75" s="122"/>
    </row>
    <row r="76" spans="5:83" x14ac:dyDescent="0.15">
      <c r="E76" s="1" t="str">
        <f>'Input data (2)'!C1-1&amp;"Q"&amp;'Input data (2)'!C2</f>
        <v>2012Q2</v>
      </c>
      <c r="F76" s="1">
        <f>LEFT(E76,4)*1</f>
        <v>2012</v>
      </c>
      <c r="G76" s="1" t="str">
        <f>RIGHT(E76,2)</f>
        <v>Q2</v>
      </c>
      <c r="H76" s="7">
        <f>100*(VLOOKUP('Input data (2)'!$C$3,$E$15:$M$68,H$78,FALSE)/VLOOKUP($E76,$E$15:$M$68,H$78,FALSE)-1)</f>
        <v>0.46228710462286049</v>
      </c>
      <c r="I76" s="7">
        <f>100*(VLOOKUP('Input data (2)'!$C$3,$E$15:$M$68,I$78,FALSE)/VLOOKUP($E76,$E$15:$M$68,I$78,FALSE)-1)</f>
        <v>0.38797284190106307</v>
      </c>
      <c r="J76" s="7">
        <f>100*(VLOOKUP('Input data (2)'!$C$3,$E$15:$M$68,J$78,FALSE)/VLOOKUP($E76,$E$15:$M$68,J$78,FALSE)-1)</f>
        <v>0.48717115946737</v>
      </c>
      <c r="K76" s="7">
        <f>100*(VLOOKUP('Input data (2)'!$C$3,$E$15:$M$68,K$78,FALSE)/VLOOKUP($E76,$E$15:$M$68,K$78,FALSE)-1)</f>
        <v>-2.1185277852630913</v>
      </c>
      <c r="L76" s="7">
        <f>100*(VLOOKUP('Input data (2)'!$C$3,$E$15:$M$68,L$78,FALSE)/VLOOKUP($E76,$E$15:$M$68,L$78,FALSE)-1)</f>
        <v>-6.5170668556441598</v>
      </c>
      <c r="M76" s="7">
        <f>100*(VLOOKUP('Input data (2)'!$C$3,$E$15:$M$68,M$78,FALSE)/VLOOKUP($E76,$E$15:$M$68,M$78,FALSE)-1)</f>
        <v>-0.62916738857279331</v>
      </c>
      <c r="N76" s="7"/>
      <c r="BW76" s="7"/>
      <c r="BX76" s="7"/>
      <c r="BY76" s="7"/>
      <c r="BZ76" s="7"/>
      <c r="CB76" s="122"/>
      <c r="CC76" s="122"/>
      <c r="CD76" s="122"/>
      <c r="CE76" s="122"/>
    </row>
    <row r="78" spans="5:83" x14ac:dyDescent="0.15">
      <c r="E78" s="1" t="s">
        <v>97</v>
      </c>
      <c r="H78" s="1">
        <f t="shared" ref="H78:M78" si="33">COLUMN(H76)-4</f>
        <v>4</v>
      </c>
      <c r="I78" s="1">
        <f t="shared" si="33"/>
        <v>5</v>
      </c>
      <c r="J78" s="1">
        <f t="shared" si="33"/>
        <v>6</v>
      </c>
      <c r="K78" s="1">
        <f t="shared" si="33"/>
        <v>7</v>
      </c>
      <c r="L78" s="1">
        <f t="shared" si="33"/>
        <v>8</v>
      </c>
      <c r="M78" s="1">
        <f t="shared" si="33"/>
        <v>9</v>
      </c>
    </row>
  </sheetData>
  <mergeCells count="27">
    <mergeCell ref="CM2:CO2"/>
    <mergeCell ref="DD2:DF2"/>
    <mergeCell ref="CQ2:CS2"/>
    <mergeCell ref="H2:J2"/>
    <mergeCell ref="K2:M2"/>
    <mergeCell ref="Y1:AH1"/>
    <mergeCell ref="AJ1:AL1"/>
    <mergeCell ref="H1:M1"/>
    <mergeCell ref="Q1:W1"/>
    <mergeCell ref="Q2:T2"/>
    <mergeCell ref="U2:W2"/>
    <mergeCell ref="AN1:AQ1"/>
    <mergeCell ref="AS1:AU1"/>
    <mergeCell ref="EH2:EJ2"/>
    <mergeCell ref="ED2:EF2"/>
    <mergeCell ref="AW1:AZ1"/>
    <mergeCell ref="BJ1:BM1"/>
    <mergeCell ref="BO1:BU1"/>
    <mergeCell ref="CB1:CE1"/>
    <mergeCell ref="BB1:BH1"/>
    <mergeCell ref="DY2:EA2"/>
    <mergeCell ref="DH2:DK2"/>
    <mergeCell ref="DQ2:DS2"/>
    <mergeCell ref="BW1:BZ1"/>
    <mergeCell ref="DM2:DO2"/>
    <mergeCell ref="CZ2:DB2"/>
    <mergeCell ref="CU2:CX2"/>
  </mergeCells>
  <phoneticPr fontId="0"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73"/>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2" t="s">
        <v>189</v>
      </c>
      <c r="B2" s="193"/>
      <c r="C2" s="193"/>
      <c r="D2" s="194" t="s">
        <v>235</v>
      </c>
      <c r="E2" s="133"/>
      <c r="F2" s="132"/>
      <c r="G2" s="133"/>
      <c r="H2" s="132"/>
      <c r="I2" s="133"/>
      <c r="J2" s="132"/>
    </row>
    <row r="3" spans="1:11" s="136" customFormat="1" ht="17.25" x14ac:dyDescent="0.3">
      <c r="A3" s="195" t="s">
        <v>153</v>
      </c>
      <c r="B3" s="196"/>
      <c r="C3" s="213"/>
      <c r="D3" s="197" t="s">
        <v>188</v>
      </c>
      <c r="E3" s="282"/>
      <c r="F3" s="187"/>
      <c r="G3" s="282"/>
      <c r="H3" s="187"/>
      <c r="I3" s="282"/>
      <c r="J3" s="132"/>
    </row>
    <row r="4" spans="1:11" ht="10.5" customHeight="1" thickBot="1" x14ac:dyDescent="0.35">
      <c r="A4" s="137"/>
      <c r="B4" s="137"/>
      <c r="C4" s="214"/>
      <c r="D4" s="137"/>
      <c r="E4" s="214"/>
      <c r="F4" s="137"/>
      <c r="G4" s="214"/>
      <c r="H4" s="137"/>
      <c r="I4" s="214"/>
    </row>
    <row r="5" spans="1:11" ht="47.25" customHeight="1" thickBot="1" x14ac:dyDescent="0.35">
      <c r="A5" s="230"/>
      <c r="B5" s="230"/>
      <c r="C5" s="231"/>
      <c r="D5" s="345" t="s">
        <v>137</v>
      </c>
      <c r="E5" s="345"/>
      <c r="F5" s="346" t="s">
        <v>116</v>
      </c>
      <c r="G5" s="346"/>
      <c r="H5" s="346" t="s">
        <v>412</v>
      </c>
      <c r="I5" s="346"/>
      <c r="J5" s="346" t="s">
        <v>167</v>
      </c>
      <c r="K5" s="346"/>
    </row>
    <row r="6" spans="1:11" s="142" customFormat="1" ht="12.75" customHeight="1" x14ac:dyDescent="0.25">
      <c r="A6" s="151">
        <v>2008</v>
      </c>
      <c r="B6" s="152" t="s">
        <v>1</v>
      </c>
      <c r="C6" s="218"/>
      <c r="D6" s="205">
        <v>0.41343301574879399</v>
      </c>
      <c r="E6" s="154" t="s">
        <v>501</v>
      </c>
      <c r="F6" s="205">
        <v>0.32489669115249392</v>
      </c>
      <c r="G6" s="154" t="s">
        <v>501</v>
      </c>
      <c r="H6" s="205">
        <v>7.8259786919943786E-2</v>
      </c>
      <c r="I6" s="154" t="s">
        <v>501</v>
      </c>
      <c r="J6" s="205">
        <v>1.0276537676356255E-2</v>
      </c>
      <c r="K6" s="154" t="s">
        <v>501</v>
      </c>
    </row>
    <row r="7" spans="1:11" s="142" customFormat="1" ht="12.75" customHeight="1" x14ac:dyDescent="0.25">
      <c r="A7" s="151"/>
      <c r="B7" s="152" t="s">
        <v>2</v>
      </c>
      <c r="C7" s="218"/>
      <c r="D7" s="205">
        <v>0.38878547391507873</v>
      </c>
      <c r="E7" s="154" t="s">
        <v>501</v>
      </c>
      <c r="F7" s="205">
        <v>0.33190904185936582</v>
      </c>
      <c r="G7" s="154" t="s">
        <v>501</v>
      </c>
      <c r="H7" s="205">
        <v>5.1422527612014421E-2</v>
      </c>
      <c r="I7" s="154" t="s">
        <v>501</v>
      </c>
      <c r="J7" s="205">
        <v>5.4539044436984997E-3</v>
      </c>
      <c r="K7" s="154" t="s">
        <v>501</v>
      </c>
    </row>
    <row r="8" spans="1:11" s="142" customFormat="1" ht="12.75" customHeight="1" x14ac:dyDescent="0.25">
      <c r="A8" s="151"/>
      <c r="B8" s="152" t="s">
        <v>3</v>
      </c>
      <c r="C8" s="218"/>
      <c r="D8" s="205">
        <v>0.44248325803905403</v>
      </c>
      <c r="E8" s="154" t="s">
        <v>501</v>
      </c>
      <c r="F8" s="205">
        <v>0.37949084977654979</v>
      </c>
      <c r="G8" s="154" t="s">
        <v>501</v>
      </c>
      <c r="H8" s="205">
        <v>5.6846807456406252E-2</v>
      </c>
      <c r="I8" s="154" t="s">
        <v>501</v>
      </c>
      <c r="J8" s="205">
        <v>6.1456008060979733E-3</v>
      </c>
      <c r="K8" s="154" t="s">
        <v>501</v>
      </c>
    </row>
    <row r="9" spans="1:11" s="142" customFormat="1" ht="12.75" customHeight="1" x14ac:dyDescent="0.25">
      <c r="A9" s="151"/>
      <c r="B9" s="152" t="s">
        <v>4</v>
      </c>
      <c r="C9" s="218"/>
      <c r="D9" s="205">
        <v>0.51262906837526134</v>
      </c>
      <c r="E9" s="154" t="s">
        <v>501</v>
      </c>
      <c r="F9" s="205">
        <v>0.42668383881086286</v>
      </c>
      <c r="G9" s="154" t="s">
        <v>501</v>
      </c>
      <c r="H9" s="205">
        <v>7.9100034289357829E-2</v>
      </c>
      <c r="I9" s="154" t="s">
        <v>501</v>
      </c>
      <c r="J9" s="205">
        <v>6.8451952750405807E-3</v>
      </c>
      <c r="K9" s="154" t="s">
        <v>501</v>
      </c>
    </row>
    <row r="10" spans="1:11" s="142" customFormat="1" ht="12.75" customHeight="1" x14ac:dyDescent="0.25">
      <c r="A10" s="151"/>
      <c r="B10" s="152"/>
      <c r="C10" s="218"/>
      <c r="D10" s="205"/>
      <c r="E10" s="154"/>
      <c r="F10" s="205"/>
      <c r="G10" s="154"/>
      <c r="H10" s="205"/>
      <c r="I10" s="154"/>
      <c r="J10" s="205"/>
      <c r="K10" s="154"/>
    </row>
    <row r="11" spans="1:11" s="142" customFormat="1" ht="12.75" customHeight="1" x14ac:dyDescent="0.25">
      <c r="A11" s="151">
        <v>2009</v>
      </c>
      <c r="B11" s="152" t="s">
        <v>1</v>
      </c>
      <c r="C11" s="218"/>
      <c r="D11" s="205">
        <v>0.55173703061142643</v>
      </c>
      <c r="E11" s="154" t="s">
        <v>501</v>
      </c>
      <c r="F11" s="205">
        <v>0.4418443528110737</v>
      </c>
      <c r="G11" s="154" t="s">
        <v>501</v>
      </c>
      <c r="H11" s="205">
        <v>0.1045875140444737</v>
      </c>
      <c r="I11" s="154" t="s">
        <v>501</v>
      </c>
      <c r="J11" s="205">
        <v>5.3051637558791014E-3</v>
      </c>
      <c r="K11" s="154" t="s">
        <v>501</v>
      </c>
    </row>
    <row r="12" spans="1:11" s="142" customFormat="1" ht="12.75" customHeight="1" x14ac:dyDescent="0.25">
      <c r="A12" s="151"/>
      <c r="B12" s="152" t="s">
        <v>2</v>
      </c>
      <c r="C12" s="218"/>
      <c r="D12" s="205">
        <v>0.57117211648472521</v>
      </c>
      <c r="E12" s="154" t="s">
        <v>501</v>
      </c>
      <c r="F12" s="205">
        <v>0.44146370756189912</v>
      </c>
      <c r="G12" s="154" t="s">
        <v>501</v>
      </c>
      <c r="H12" s="205">
        <v>0.12212312185131574</v>
      </c>
      <c r="I12" s="154" t="s">
        <v>501</v>
      </c>
      <c r="J12" s="205">
        <v>7.5852870715102938E-3</v>
      </c>
      <c r="K12" s="154" t="s">
        <v>501</v>
      </c>
    </row>
    <row r="13" spans="1:11" s="142" customFormat="1" ht="12.75" customHeight="1" x14ac:dyDescent="0.25">
      <c r="A13" s="151"/>
      <c r="B13" s="152" t="s">
        <v>3</v>
      </c>
      <c r="C13" s="218"/>
      <c r="D13" s="205">
        <v>0.56819694451522607</v>
      </c>
      <c r="E13" s="154" t="s">
        <v>501</v>
      </c>
      <c r="F13" s="205">
        <v>0.42595754876643455</v>
      </c>
      <c r="G13" s="154" t="s">
        <v>501</v>
      </c>
      <c r="H13" s="205">
        <v>0.12854790310987044</v>
      </c>
      <c r="I13" s="154" t="s">
        <v>501</v>
      </c>
      <c r="J13" s="205">
        <v>1.369149263892111E-2</v>
      </c>
      <c r="K13" s="154" t="s">
        <v>501</v>
      </c>
    </row>
    <row r="14" spans="1:11" s="142" customFormat="1" ht="12.75" customHeight="1" x14ac:dyDescent="0.25">
      <c r="A14" s="151"/>
      <c r="B14" s="152" t="s">
        <v>4</v>
      </c>
      <c r="C14" s="218"/>
      <c r="D14" s="205">
        <v>0.58229107274999103</v>
      </c>
      <c r="E14" s="154" t="s">
        <v>501</v>
      </c>
      <c r="F14" s="205">
        <v>0.42599189006446703</v>
      </c>
      <c r="G14" s="154" t="s">
        <v>501</v>
      </c>
      <c r="H14" s="205">
        <v>0.13101549136874796</v>
      </c>
      <c r="I14" s="154" t="s">
        <v>501</v>
      </c>
      <c r="J14" s="205">
        <v>2.5283691316775922E-2</v>
      </c>
      <c r="K14" s="154" t="s">
        <v>501</v>
      </c>
    </row>
    <row r="15" spans="1:11" s="142" customFormat="1" ht="12.75" customHeight="1" x14ac:dyDescent="0.25">
      <c r="A15" s="151"/>
      <c r="B15" s="152"/>
      <c r="C15" s="218"/>
      <c r="D15" s="205"/>
      <c r="E15" s="154"/>
      <c r="F15" s="205"/>
      <c r="G15" s="154"/>
      <c r="H15" s="205"/>
      <c r="I15" s="154"/>
      <c r="J15" s="205"/>
      <c r="K15" s="154"/>
    </row>
    <row r="16" spans="1:11" s="142" customFormat="1" ht="12.75" customHeight="1" x14ac:dyDescent="0.25">
      <c r="A16" s="151">
        <v>2010</v>
      </c>
      <c r="B16" s="152" t="s">
        <v>1</v>
      </c>
      <c r="C16" s="218"/>
      <c r="D16" s="205">
        <v>0.67156681635196047</v>
      </c>
      <c r="E16" s="154" t="s">
        <v>501</v>
      </c>
      <c r="F16" s="205">
        <v>0.49253355753044242</v>
      </c>
      <c r="G16" s="154" t="s">
        <v>501</v>
      </c>
      <c r="H16" s="205">
        <v>0.14829793541868236</v>
      </c>
      <c r="I16" s="154" t="s">
        <v>501</v>
      </c>
      <c r="J16" s="205">
        <v>3.0735323402835718E-2</v>
      </c>
      <c r="K16" s="154" t="s">
        <v>501</v>
      </c>
    </row>
    <row r="17" spans="1:11" s="142" customFormat="1" ht="12.75" customHeight="1" x14ac:dyDescent="0.25">
      <c r="A17" s="151"/>
      <c r="B17" s="152" t="s">
        <v>2</v>
      </c>
      <c r="C17" s="218"/>
      <c r="D17" s="205">
        <v>0.7447216792049115</v>
      </c>
      <c r="E17" s="154" t="s">
        <v>279</v>
      </c>
      <c r="F17" s="205">
        <v>0.54756681893970216</v>
      </c>
      <c r="G17" s="154" t="s">
        <v>501</v>
      </c>
      <c r="H17" s="205">
        <v>0.16326886865712639</v>
      </c>
      <c r="I17" s="154" t="s">
        <v>501</v>
      </c>
      <c r="J17" s="205">
        <v>3.3885991608082838E-2</v>
      </c>
      <c r="K17" s="154" t="s">
        <v>501</v>
      </c>
    </row>
    <row r="18" spans="1:11" s="142" customFormat="1" ht="12.75" customHeight="1" x14ac:dyDescent="0.25">
      <c r="A18" s="151"/>
      <c r="B18" s="152" t="s">
        <v>3</v>
      </c>
      <c r="C18" s="218"/>
      <c r="D18" s="205">
        <v>0.78290364692973868</v>
      </c>
      <c r="E18" s="154" t="s">
        <v>501</v>
      </c>
      <c r="F18" s="205">
        <v>0.56693022708705221</v>
      </c>
      <c r="G18" s="154" t="s">
        <v>501</v>
      </c>
      <c r="H18" s="205">
        <v>0.18126340593939763</v>
      </c>
      <c r="I18" s="154" t="s">
        <v>501</v>
      </c>
      <c r="J18" s="205">
        <v>3.4710013903288907E-2</v>
      </c>
      <c r="K18" s="154" t="s">
        <v>501</v>
      </c>
    </row>
    <row r="19" spans="1:11" s="142" customFormat="1" ht="12.75" customHeight="1" x14ac:dyDescent="0.25">
      <c r="A19" s="151"/>
      <c r="B19" s="152" t="s">
        <v>4</v>
      </c>
      <c r="C19" s="218"/>
      <c r="D19" s="205">
        <v>0.82410000613283718</v>
      </c>
      <c r="E19" s="154" t="s">
        <v>501</v>
      </c>
      <c r="F19" s="205">
        <v>0.5971850276999815</v>
      </c>
      <c r="G19" s="154" t="s">
        <v>501</v>
      </c>
      <c r="H19" s="205">
        <v>0.19318437353067441</v>
      </c>
      <c r="I19" s="154" t="s">
        <v>501</v>
      </c>
      <c r="J19" s="205">
        <v>3.3730604902181244E-2</v>
      </c>
      <c r="K19" s="154" t="s">
        <v>501</v>
      </c>
    </row>
    <row r="20" spans="1:11" s="142" customFormat="1" ht="12.75" customHeight="1" x14ac:dyDescent="0.25">
      <c r="A20" s="151"/>
      <c r="B20" s="152"/>
      <c r="C20" s="218"/>
      <c r="D20" s="205"/>
      <c r="E20" s="154"/>
      <c r="F20" s="205"/>
      <c r="G20" s="154"/>
      <c r="H20" s="205"/>
      <c r="I20" s="154"/>
      <c r="J20" s="205"/>
      <c r="K20" s="154"/>
    </row>
    <row r="21" spans="1:11" s="142" customFormat="1" ht="12.75" customHeight="1" x14ac:dyDescent="0.25">
      <c r="A21" s="151">
        <v>2011</v>
      </c>
      <c r="B21" s="152" t="s">
        <v>1</v>
      </c>
      <c r="C21" s="218"/>
      <c r="D21" s="205">
        <v>0.7967864972059252</v>
      </c>
      <c r="E21" s="154" t="s">
        <v>501</v>
      </c>
      <c r="F21" s="205">
        <v>0.57250022175196724</v>
      </c>
      <c r="G21" s="154" t="s">
        <v>501</v>
      </c>
      <c r="H21" s="205">
        <v>0.19311428462815361</v>
      </c>
      <c r="I21" s="154" t="s">
        <v>501</v>
      </c>
      <c r="J21" s="205">
        <v>3.1171990825804324E-2</v>
      </c>
      <c r="K21" s="154" t="s">
        <v>501</v>
      </c>
    </row>
    <row r="22" spans="1:11" s="142" customFormat="1" ht="12.75" customHeight="1" x14ac:dyDescent="0.25">
      <c r="A22" s="151"/>
      <c r="B22" s="152" t="s">
        <v>2</v>
      </c>
      <c r="C22" s="218"/>
      <c r="D22" s="205">
        <v>0.82663138300775629</v>
      </c>
      <c r="E22" s="154" t="s">
        <v>501</v>
      </c>
      <c r="F22" s="205">
        <v>0.60303436957123202</v>
      </c>
      <c r="G22" s="154" t="s">
        <v>501</v>
      </c>
      <c r="H22" s="205">
        <v>0.19348293755281726</v>
      </c>
      <c r="I22" s="154" t="s">
        <v>501</v>
      </c>
      <c r="J22" s="205">
        <v>3.0114075883706966E-2</v>
      </c>
      <c r="K22" s="154" t="s">
        <v>501</v>
      </c>
    </row>
    <row r="23" spans="1:11" s="142" customFormat="1" ht="12.75" customHeight="1" x14ac:dyDescent="0.25">
      <c r="A23" s="151"/>
      <c r="B23" s="152" t="s">
        <v>3</v>
      </c>
      <c r="C23" s="218"/>
      <c r="D23" s="205">
        <v>0.91022231050225455</v>
      </c>
      <c r="E23" s="154" t="s">
        <v>501</v>
      </c>
      <c r="F23" s="205">
        <v>0.67261108542024217</v>
      </c>
      <c r="G23" s="154" t="s">
        <v>501</v>
      </c>
      <c r="H23" s="205">
        <v>0.20632698855083839</v>
      </c>
      <c r="I23" s="154" t="s">
        <v>501</v>
      </c>
      <c r="J23" s="205">
        <v>3.1284236531174049E-2</v>
      </c>
      <c r="K23" s="154" t="s">
        <v>501</v>
      </c>
    </row>
    <row r="24" spans="1:11" s="142" customFormat="1" ht="12.75" customHeight="1" x14ac:dyDescent="0.25">
      <c r="A24" s="151"/>
      <c r="B24" s="152" t="s">
        <v>4</v>
      </c>
      <c r="C24" s="218"/>
      <c r="D24" s="205">
        <v>0.90293066125382504</v>
      </c>
      <c r="E24" s="154" t="s">
        <v>501</v>
      </c>
      <c r="F24" s="205">
        <v>0.67774990954749215</v>
      </c>
      <c r="G24" s="154" t="s">
        <v>501</v>
      </c>
      <c r="H24" s="205">
        <v>0.19795301375491353</v>
      </c>
      <c r="I24" s="154" t="s">
        <v>501</v>
      </c>
      <c r="J24" s="205">
        <v>2.7227737951419338E-2</v>
      </c>
      <c r="K24" s="154" t="s">
        <v>501</v>
      </c>
    </row>
    <row r="25" spans="1:11" s="142" customFormat="1" ht="12.75" customHeight="1" x14ac:dyDescent="0.25">
      <c r="A25" s="151"/>
      <c r="B25" s="152"/>
      <c r="C25" s="218"/>
      <c r="D25" s="205"/>
      <c r="E25" s="154"/>
      <c r="F25" s="205"/>
      <c r="G25" s="154"/>
      <c r="H25" s="205"/>
      <c r="I25" s="154"/>
      <c r="J25" s="205"/>
      <c r="K25" s="154"/>
    </row>
    <row r="26" spans="1:11" s="142" customFormat="1" ht="12.75" customHeight="1" x14ac:dyDescent="0.25">
      <c r="A26" s="151">
        <v>2012</v>
      </c>
      <c r="B26" s="152" t="s">
        <v>1</v>
      </c>
      <c r="C26" s="218"/>
      <c r="D26" s="205">
        <v>0.97115389849699774</v>
      </c>
      <c r="E26" s="154" t="s">
        <v>501</v>
      </c>
      <c r="F26" s="205">
        <v>0.7606646379856904</v>
      </c>
      <c r="G26" s="154" t="s">
        <v>501</v>
      </c>
      <c r="H26" s="205">
        <v>0.18290790913396371</v>
      </c>
      <c r="I26" s="154" t="s">
        <v>501</v>
      </c>
      <c r="J26" s="205">
        <v>2.7581351377343733E-2</v>
      </c>
      <c r="K26" s="154" t="s">
        <v>501</v>
      </c>
    </row>
    <row r="27" spans="1:11" s="142" customFormat="1" ht="12.75" customHeight="1" x14ac:dyDescent="0.25">
      <c r="A27" s="151"/>
      <c r="B27" s="152" t="s">
        <v>2</v>
      </c>
      <c r="C27" s="218"/>
      <c r="D27" s="205">
        <v>0.99166999585018034</v>
      </c>
      <c r="E27" s="154" t="s">
        <v>501</v>
      </c>
      <c r="F27" s="205">
        <v>0.79162129351729082</v>
      </c>
      <c r="G27" s="154" t="s">
        <v>501</v>
      </c>
      <c r="H27" s="205">
        <v>0.1750426145412782</v>
      </c>
      <c r="I27" s="154" t="s">
        <v>501</v>
      </c>
      <c r="J27" s="205">
        <v>2.5006087791611176E-2</v>
      </c>
      <c r="K27" s="154" t="s">
        <v>501</v>
      </c>
    </row>
    <row r="28" spans="1:11" s="142" customFormat="1" ht="12.75" customHeight="1" x14ac:dyDescent="0.25">
      <c r="A28" s="151"/>
      <c r="B28" s="152" t="s">
        <v>3</v>
      </c>
      <c r="C28" s="218"/>
      <c r="D28" s="205">
        <v>0.91357706328461086</v>
      </c>
      <c r="E28" s="154" t="s">
        <v>501</v>
      </c>
      <c r="F28" s="205">
        <v>0.7300176995299662</v>
      </c>
      <c r="G28" s="154" t="s">
        <v>501</v>
      </c>
      <c r="H28" s="205">
        <v>0.15894412340440497</v>
      </c>
      <c r="I28" s="154" t="s">
        <v>501</v>
      </c>
      <c r="J28" s="205">
        <v>2.4615240350239709E-2</v>
      </c>
      <c r="K28" s="154" t="s">
        <v>501</v>
      </c>
    </row>
    <row r="29" spans="1:11" s="142" customFormat="1" ht="12.75" customHeight="1" x14ac:dyDescent="0.25">
      <c r="A29" s="151"/>
      <c r="B29" s="152" t="s">
        <v>4</v>
      </c>
      <c r="C29" s="218"/>
      <c r="D29" s="205">
        <v>0.81713092026400502</v>
      </c>
      <c r="E29" s="154" t="s">
        <v>501</v>
      </c>
      <c r="F29" s="205">
        <v>0.63654567878313695</v>
      </c>
      <c r="G29" s="154" t="s">
        <v>501</v>
      </c>
      <c r="H29" s="205">
        <v>0.16121211212659881</v>
      </c>
      <c r="I29" s="154" t="s">
        <v>501</v>
      </c>
      <c r="J29" s="205">
        <v>1.9373129354269387E-2</v>
      </c>
      <c r="K29" s="154" t="s">
        <v>501</v>
      </c>
    </row>
    <row r="30" spans="1:11" s="142" customFormat="1" ht="12.75" customHeight="1" x14ac:dyDescent="0.25">
      <c r="A30" s="151"/>
      <c r="B30" s="152"/>
      <c r="C30" s="218"/>
      <c r="D30" s="205"/>
      <c r="E30" s="154"/>
      <c r="F30" s="205"/>
      <c r="G30" s="154"/>
      <c r="H30" s="205"/>
      <c r="I30" s="154"/>
      <c r="J30" s="205"/>
      <c r="K30" s="154"/>
    </row>
    <row r="31" spans="1:11" s="142" customFormat="1" ht="12.75" customHeight="1" x14ac:dyDescent="0.25">
      <c r="A31" s="151">
        <v>2013</v>
      </c>
      <c r="B31" s="152" t="s">
        <v>1</v>
      </c>
      <c r="C31" s="218"/>
      <c r="D31" s="205">
        <v>0.63171580957308127</v>
      </c>
      <c r="E31" s="154" t="s">
        <v>501</v>
      </c>
      <c r="F31" s="205">
        <v>0.45336500988757777</v>
      </c>
      <c r="G31" s="154" t="s">
        <v>501</v>
      </c>
      <c r="H31" s="205">
        <v>0.16065186536556808</v>
      </c>
      <c r="I31" s="154" t="s">
        <v>501</v>
      </c>
      <c r="J31" s="205">
        <v>1.7698934319935467E-2</v>
      </c>
      <c r="K31" s="154" t="s">
        <v>501</v>
      </c>
    </row>
    <row r="32" spans="1:11" s="142" customFormat="1" ht="12.75" customHeight="1" x14ac:dyDescent="0.25">
      <c r="A32" s="151"/>
      <c r="B32" s="152" t="s">
        <v>2</v>
      </c>
      <c r="C32" s="218"/>
      <c r="D32" s="205">
        <v>0.48683908325384195</v>
      </c>
      <c r="E32" s="154" t="s">
        <v>501</v>
      </c>
      <c r="F32" s="205">
        <v>0.29505398985081333</v>
      </c>
      <c r="G32" s="154" t="s">
        <v>501</v>
      </c>
      <c r="H32" s="205">
        <v>0.17367950766218329</v>
      </c>
      <c r="I32" s="154" t="s">
        <v>501</v>
      </c>
      <c r="J32" s="205">
        <v>1.8105585740845361E-2</v>
      </c>
      <c r="K32" s="154" t="s">
        <v>501</v>
      </c>
    </row>
    <row r="33" spans="1:11" s="142" customFormat="1" ht="12.75" customHeight="1" x14ac:dyDescent="0.25">
      <c r="A33" s="151"/>
      <c r="B33" s="152" t="s">
        <v>3</v>
      </c>
      <c r="C33" s="218"/>
      <c r="D33" s="205">
        <v>0.4741956865120236</v>
      </c>
      <c r="E33" s="154" t="s">
        <v>501</v>
      </c>
      <c r="F33" s="205">
        <v>0.27765839224139355</v>
      </c>
      <c r="G33" s="154" t="s">
        <v>501</v>
      </c>
      <c r="H33" s="205">
        <v>0.18070878734950555</v>
      </c>
      <c r="I33" s="154" t="s">
        <v>501</v>
      </c>
      <c r="J33" s="205">
        <v>1.5828506921124575E-2</v>
      </c>
      <c r="K33" s="154" t="s">
        <v>501</v>
      </c>
    </row>
    <row r="34" spans="1:11" s="142" customFormat="1" ht="12.75" customHeight="1" x14ac:dyDescent="0.25">
      <c r="A34" s="151"/>
      <c r="B34" s="152" t="s">
        <v>4</v>
      </c>
      <c r="C34" s="218"/>
      <c r="D34" s="205">
        <v>0.4974316680844984</v>
      </c>
      <c r="E34" s="154" t="s">
        <v>501</v>
      </c>
      <c r="F34" s="205">
        <v>0.31365469410549968</v>
      </c>
      <c r="G34" s="154" t="s">
        <v>501</v>
      </c>
      <c r="H34" s="205">
        <v>0.16754225896318614</v>
      </c>
      <c r="I34" s="154" t="s">
        <v>501</v>
      </c>
      <c r="J34" s="205">
        <v>1.6234715015812612E-2</v>
      </c>
      <c r="K34" s="154" t="s">
        <v>501</v>
      </c>
    </row>
    <row r="35" spans="1:11" s="142" customFormat="1" ht="12.75" customHeight="1" x14ac:dyDescent="0.25">
      <c r="A35" s="151"/>
      <c r="B35" s="152"/>
      <c r="C35" s="218"/>
      <c r="D35" s="205"/>
      <c r="E35" s="154"/>
      <c r="F35" s="205"/>
      <c r="G35" s="154"/>
      <c r="H35" s="205"/>
      <c r="I35" s="154"/>
      <c r="J35" s="205"/>
      <c r="K35" s="154"/>
    </row>
    <row r="36" spans="1:11" s="142" customFormat="1" ht="12.75" customHeight="1" x14ac:dyDescent="0.25">
      <c r="A36" s="151">
        <v>2014</v>
      </c>
      <c r="B36" s="152" t="s">
        <v>1</v>
      </c>
      <c r="C36" s="218"/>
      <c r="D36" s="205">
        <v>0.55769362985323767</v>
      </c>
      <c r="E36" s="154" t="s">
        <v>501</v>
      </c>
      <c r="F36" s="205">
        <v>0.38117592132170836</v>
      </c>
      <c r="G36" s="154" t="s">
        <v>501</v>
      </c>
      <c r="H36" s="205">
        <v>0.159249671827358</v>
      </c>
      <c r="I36" s="154" t="s">
        <v>501</v>
      </c>
      <c r="J36" s="205">
        <v>1.726803670417135E-2</v>
      </c>
      <c r="K36" s="154" t="s">
        <v>501</v>
      </c>
    </row>
    <row r="37" spans="1:11" s="142" customFormat="1" ht="12.75" customHeight="1" x14ac:dyDescent="0.25">
      <c r="A37" s="151"/>
      <c r="B37" s="152" t="s">
        <v>2</v>
      </c>
      <c r="C37" s="218"/>
      <c r="D37" s="205">
        <v>0.59180041635887437</v>
      </c>
      <c r="E37" s="154" t="s">
        <v>501</v>
      </c>
      <c r="F37" s="205">
        <v>0.43188838895977433</v>
      </c>
      <c r="G37" s="154" t="s">
        <v>501</v>
      </c>
      <c r="H37" s="205">
        <v>0.14354307971257807</v>
      </c>
      <c r="I37" s="154" t="s">
        <v>501</v>
      </c>
      <c r="J37" s="205">
        <v>1.636894768652206E-2</v>
      </c>
      <c r="K37" s="154" t="s">
        <v>501</v>
      </c>
    </row>
    <row r="38" spans="1:11" s="142" customFormat="1" ht="12.75" customHeight="1" x14ac:dyDescent="0.25">
      <c r="A38" s="151"/>
      <c r="B38" s="152" t="s">
        <v>3</v>
      </c>
      <c r="C38" s="218"/>
      <c r="D38" s="205">
        <v>0.55305088357792676</v>
      </c>
      <c r="E38" s="154" t="s">
        <v>501</v>
      </c>
      <c r="F38" s="205">
        <v>0.41587440179260482</v>
      </c>
      <c r="G38" s="154" t="s">
        <v>501</v>
      </c>
      <c r="H38" s="205">
        <v>0.12476232053778145</v>
      </c>
      <c r="I38" s="154" t="s">
        <v>501</v>
      </c>
      <c r="J38" s="205">
        <v>1.2414161247540443E-2</v>
      </c>
      <c r="K38" s="154" t="s">
        <v>501</v>
      </c>
    </row>
    <row r="39" spans="1:11" s="142" customFormat="1" ht="12.75" customHeight="1" x14ac:dyDescent="0.25">
      <c r="A39" s="151"/>
      <c r="B39" s="152" t="s">
        <v>4</v>
      </c>
      <c r="C39" s="218"/>
      <c r="D39" s="205">
        <v>0.53482916879143294</v>
      </c>
      <c r="E39" s="154" t="s">
        <v>501</v>
      </c>
      <c r="F39" s="205">
        <v>0.3977562468128506</v>
      </c>
      <c r="G39" s="154" t="s">
        <v>501</v>
      </c>
      <c r="H39" s="205">
        <v>0.12667006629270783</v>
      </c>
      <c r="I39" s="154" t="s">
        <v>501</v>
      </c>
      <c r="J39" s="205">
        <v>1.0402855685874554E-2</v>
      </c>
      <c r="K39" s="154" t="s">
        <v>501</v>
      </c>
    </row>
    <row r="40" spans="1:11" s="142" customFormat="1" ht="12.75" customHeight="1" x14ac:dyDescent="0.25">
      <c r="A40" s="151"/>
      <c r="B40" s="152"/>
      <c r="C40" s="218"/>
      <c r="D40" s="205"/>
      <c r="E40" s="154"/>
      <c r="F40" s="205"/>
      <c r="G40" s="154"/>
      <c r="H40" s="205"/>
      <c r="I40" s="154"/>
      <c r="J40" s="205"/>
      <c r="K40" s="154"/>
    </row>
    <row r="41" spans="1:11" s="142" customFormat="1" ht="12.75" customHeight="1" x14ac:dyDescent="0.25">
      <c r="A41" s="151">
        <v>2015</v>
      </c>
      <c r="B41" s="152" t="s">
        <v>1</v>
      </c>
      <c r="C41" s="218"/>
      <c r="D41" s="205">
        <v>0.50556391793937461</v>
      </c>
      <c r="E41" s="154" t="s">
        <v>501</v>
      </c>
      <c r="F41" s="205">
        <v>0.36801192117305315</v>
      </c>
      <c r="G41" s="154" t="s">
        <v>501</v>
      </c>
      <c r="H41" s="205">
        <v>0.12608933036912803</v>
      </c>
      <c r="I41" s="154" t="s">
        <v>501</v>
      </c>
      <c r="J41" s="205">
        <v>1.1462666397193459E-2</v>
      </c>
      <c r="K41" s="154" t="s">
        <v>501</v>
      </c>
    </row>
    <row r="42" spans="1:11" s="142" customFormat="1" ht="12.75" customHeight="1" x14ac:dyDescent="0.25">
      <c r="A42" s="151"/>
      <c r="B42" s="152" t="s">
        <v>2</v>
      </c>
      <c r="C42" s="218"/>
      <c r="D42" s="205">
        <v>0.46973224766385013</v>
      </c>
      <c r="E42" s="154" t="s">
        <v>501</v>
      </c>
      <c r="F42" s="205">
        <v>0.32524498667357721</v>
      </c>
      <c r="G42" s="154" t="s">
        <v>501</v>
      </c>
      <c r="H42" s="205">
        <v>0.13437909869877232</v>
      </c>
      <c r="I42" s="154" t="s">
        <v>501</v>
      </c>
      <c r="J42" s="205">
        <v>1.0108162291500572E-2</v>
      </c>
      <c r="K42" s="154" t="s">
        <v>501</v>
      </c>
    </row>
    <row r="43" spans="1:11" s="142" customFormat="1" ht="12.75" customHeight="1" x14ac:dyDescent="0.25">
      <c r="A43" s="151"/>
      <c r="B43" s="152" t="s">
        <v>3</v>
      </c>
      <c r="C43" s="218"/>
      <c r="D43" s="205">
        <v>0.47574083061302413</v>
      </c>
      <c r="E43" s="154" t="s">
        <v>501</v>
      </c>
      <c r="F43" s="205">
        <v>0.3304406754504256</v>
      </c>
      <c r="G43" s="154" t="s">
        <v>501</v>
      </c>
      <c r="H43" s="205">
        <v>0.13534006388129133</v>
      </c>
      <c r="I43" s="154" t="s">
        <v>501</v>
      </c>
      <c r="J43" s="205">
        <v>9.9600912813071554E-3</v>
      </c>
      <c r="K43" s="154" t="s">
        <v>501</v>
      </c>
    </row>
    <row r="44" spans="1:11" s="142" customFormat="1" ht="12.75" customHeight="1" x14ac:dyDescent="0.25">
      <c r="A44" s="151"/>
      <c r="B44" s="152" t="s">
        <v>4</v>
      </c>
      <c r="C44" s="218"/>
      <c r="D44" s="205">
        <v>0.48991924709579854</v>
      </c>
      <c r="E44" s="154" t="s">
        <v>501</v>
      </c>
      <c r="F44" s="205">
        <v>0.33219760268877851</v>
      </c>
      <c r="G44" s="154" t="s">
        <v>501</v>
      </c>
      <c r="H44" s="205">
        <v>0.14616694518306256</v>
      </c>
      <c r="I44" s="154" t="s">
        <v>501</v>
      </c>
      <c r="J44" s="205">
        <v>1.1554699223957514E-2</v>
      </c>
      <c r="K44" s="154" t="s">
        <v>501</v>
      </c>
    </row>
    <row r="45" spans="1:11" s="142" customFormat="1" ht="12.75" customHeight="1" x14ac:dyDescent="0.25">
      <c r="A45" s="151"/>
      <c r="B45" s="152"/>
      <c r="C45" s="218"/>
      <c r="D45" s="205"/>
      <c r="E45" s="154"/>
      <c r="F45" s="205"/>
      <c r="G45" s="154"/>
      <c r="H45" s="205"/>
      <c r="I45" s="154"/>
      <c r="J45" s="205"/>
      <c r="K45" s="154"/>
    </row>
    <row r="46" spans="1:11" s="142" customFormat="1" ht="12.75" customHeight="1" x14ac:dyDescent="0.25">
      <c r="A46" s="151">
        <v>2016</v>
      </c>
      <c r="B46" s="152" t="s">
        <v>1</v>
      </c>
      <c r="C46" s="218"/>
      <c r="D46" s="205">
        <v>0.49866310795343916</v>
      </c>
      <c r="E46" s="154" t="s">
        <v>501</v>
      </c>
      <c r="F46" s="205">
        <v>0.32883270090186789</v>
      </c>
      <c r="G46" s="154" t="s">
        <v>501</v>
      </c>
      <c r="H46" s="205">
        <v>0.16071199593470839</v>
      </c>
      <c r="I46" s="154" t="s">
        <v>501</v>
      </c>
      <c r="J46" s="205">
        <v>9.1184111168628873E-3</v>
      </c>
      <c r="K46" s="154" t="s">
        <v>501</v>
      </c>
    </row>
    <row r="47" spans="1:11" s="142" customFormat="1" ht="12.75" customHeight="1" x14ac:dyDescent="0.25">
      <c r="A47" s="151"/>
      <c r="B47" s="152" t="s">
        <v>2</v>
      </c>
      <c r="C47" s="218"/>
      <c r="D47" s="205">
        <v>0.5237228623800857</v>
      </c>
      <c r="E47" s="154" t="s">
        <v>501</v>
      </c>
      <c r="F47" s="205">
        <v>0.35252743209670284</v>
      </c>
      <c r="G47" s="154" t="s">
        <v>501</v>
      </c>
      <c r="H47" s="205">
        <v>0.16274828734176858</v>
      </c>
      <c r="I47" s="154" t="s">
        <v>501</v>
      </c>
      <c r="J47" s="205">
        <v>8.447142941614286E-3</v>
      </c>
      <c r="K47" s="154" t="s">
        <v>501</v>
      </c>
    </row>
    <row r="48" spans="1:11" s="142" customFormat="1" ht="12.75" customHeight="1" x14ac:dyDescent="0.25">
      <c r="A48" s="151"/>
      <c r="B48" s="152" t="s">
        <v>3</v>
      </c>
      <c r="C48" s="218"/>
      <c r="D48" s="205">
        <v>0.5079237780172593</v>
      </c>
      <c r="E48" s="154" t="s">
        <v>501</v>
      </c>
      <c r="F48" s="205">
        <v>0.33694505011013359</v>
      </c>
      <c r="G48" s="154" t="s">
        <v>501</v>
      </c>
      <c r="H48" s="205">
        <v>0.16318165236738702</v>
      </c>
      <c r="I48" s="154" t="s">
        <v>501</v>
      </c>
      <c r="J48" s="205">
        <v>7.7970755397386302E-3</v>
      </c>
      <c r="K48" s="154" t="s">
        <v>501</v>
      </c>
    </row>
    <row r="49" spans="1:11" s="142" customFormat="1" ht="12.75" customHeight="1" x14ac:dyDescent="0.25">
      <c r="A49" s="151"/>
      <c r="B49" s="152" t="s">
        <v>4</v>
      </c>
      <c r="C49" s="218"/>
      <c r="D49" s="205">
        <v>0.48788165657665122</v>
      </c>
      <c r="E49" s="154" t="s">
        <v>501</v>
      </c>
      <c r="F49" s="205">
        <v>0.3254379898835224</v>
      </c>
      <c r="G49" s="154" t="s">
        <v>501</v>
      </c>
      <c r="H49" s="205">
        <v>0.15638644522321551</v>
      </c>
      <c r="I49" s="154" t="s">
        <v>501</v>
      </c>
      <c r="J49" s="205">
        <v>6.0572214699132765E-3</v>
      </c>
      <c r="K49" s="154" t="s">
        <v>501</v>
      </c>
    </row>
    <row r="50" spans="1:11" s="142" customFormat="1" ht="12.75" customHeight="1" x14ac:dyDescent="0.25">
      <c r="A50" s="151"/>
      <c r="B50" s="152"/>
      <c r="C50" s="218"/>
      <c r="D50" s="205"/>
      <c r="E50" s="154"/>
      <c r="F50" s="205"/>
      <c r="G50" s="154"/>
      <c r="H50" s="205"/>
      <c r="I50" s="154"/>
      <c r="J50" s="205"/>
      <c r="K50" s="154"/>
    </row>
    <row r="51" spans="1:11" s="142" customFormat="1" ht="12.75" customHeight="1" x14ac:dyDescent="0.25">
      <c r="A51" s="151">
        <v>2017</v>
      </c>
      <c r="B51" s="152" t="s">
        <v>1</v>
      </c>
      <c r="C51" s="218"/>
      <c r="D51" s="205">
        <v>0.44449340944670906</v>
      </c>
      <c r="E51" s="154" t="s">
        <v>501</v>
      </c>
      <c r="F51" s="205">
        <v>0.29324595800706998</v>
      </c>
      <c r="G51" s="154" t="s">
        <v>501</v>
      </c>
      <c r="H51" s="205">
        <v>0.14635095121317593</v>
      </c>
      <c r="I51" s="154" t="s">
        <v>501</v>
      </c>
      <c r="J51" s="205">
        <v>4.8965002264631354E-3</v>
      </c>
      <c r="K51" s="154" t="s">
        <v>501</v>
      </c>
    </row>
    <row r="52" spans="1:11" s="142" customFormat="1" ht="12.75" customHeight="1" x14ac:dyDescent="0.25">
      <c r="A52" s="151"/>
      <c r="B52" s="152" t="s">
        <v>2</v>
      </c>
      <c r="C52" s="218"/>
      <c r="D52" s="205">
        <v>0.41133436779296711</v>
      </c>
      <c r="E52" s="154" t="s">
        <v>501</v>
      </c>
      <c r="F52" s="205">
        <v>0.26239368821303</v>
      </c>
      <c r="G52" s="154" t="s">
        <v>501</v>
      </c>
      <c r="H52" s="205">
        <v>0.14248837577141998</v>
      </c>
      <c r="I52" s="154" t="s">
        <v>501</v>
      </c>
      <c r="J52" s="205">
        <v>6.4523038085171304E-3</v>
      </c>
      <c r="K52" s="154" t="s">
        <v>501</v>
      </c>
    </row>
    <row r="53" spans="1:11" s="142" customFormat="1" ht="12.75" customHeight="1" x14ac:dyDescent="0.25">
      <c r="A53" s="151"/>
      <c r="B53" s="152" t="s">
        <v>3</v>
      </c>
      <c r="C53" s="218"/>
      <c r="D53" s="205">
        <v>0.4107869208916326</v>
      </c>
      <c r="E53" s="154" t="s">
        <v>501</v>
      </c>
      <c r="F53" s="205">
        <v>0.26305242670292123</v>
      </c>
      <c r="G53" s="154" t="s">
        <v>501</v>
      </c>
      <c r="H53" s="205">
        <v>0.13870037044335851</v>
      </c>
      <c r="I53" s="154" t="s">
        <v>501</v>
      </c>
      <c r="J53" s="205">
        <v>9.0341237453528522E-3</v>
      </c>
      <c r="K53" s="154" t="s">
        <v>501</v>
      </c>
    </row>
    <row r="54" spans="1:11" s="142" customFormat="1" ht="12.75" customHeight="1" x14ac:dyDescent="0.25">
      <c r="A54" s="152"/>
      <c r="B54" s="152" t="s">
        <v>4</v>
      </c>
      <c r="C54" s="218" t="s">
        <v>406</v>
      </c>
      <c r="D54" s="205">
        <v>0.41041414956644207</v>
      </c>
      <c r="E54" s="154" t="s">
        <v>501</v>
      </c>
      <c r="F54" s="205">
        <v>0.25276466829892263</v>
      </c>
      <c r="G54" s="154" t="s">
        <v>501</v>
      </c>
      <c r="H54" s="205">
        <v>0.14924150893325164</v>
      </c>
      <c r="I54" s="154" t="s">
        <v>501</v>
      </c>
      <c r="J54" s="205">
        <v>8.4079723342676983E-3</v>
      </c>
      <c r="K54" s="154" t="s">
        <v>501</v>
      </c>
    </row>
    <row r="55" spans="1:11" s="142" customFormat="1" ht="12.75" customHeight="1" x14ac:dyDescent="0.25">
      <c r="A55" s="151"/>
      <c r="B55" s="152"/>
      <c r="C55" s="218"/>
      <c r="D55" s="205"/>
      <c r="E55" s="154"/>
      <c r="F55" s="205"/>
      <c r="G55" s="154"/>
      <c r="H55" s="205"/>
      <c r="I55" s="154"/>
      <c r="J55" s="205"/>
      <c r="K55" s="154"/>
    </row>
    <row r="56" spans="1:11" s="142" customFormat="1" ht="12.75" customHeight="1" thickBot="1" x14ac:dyDescent="0.3">
      <c r="A56" s="152"/>
      <c r="B56" s="156"/>
      <c r="C56" s="219"/>
      <c r="D56" s="205"/>
      <c r="E56" s="154"/>
      <c r="F56" s="205"/>
      <c r="G56" s="154"/>
      <c r="H56" s="205"/>
      <c r="I56" s="154"/>
      <c r="J56" s="205"/>
      <c r="K56" s="154"/>
    </row>
    <row r="57" spans="1:11" s="142" customFormat="1" ht="12.75" customHeight="1" x14ac:dyDescent="0.2">
      <c r="A57" s="159" t="s">
        <v>503</v>
      </c>
      <c r="B57" s="159"/>
      <c r="C57" s="220"/>
      <c r="D57" s="206"/>
      <c r="E57" s="220"/>
      <c r="F57" s="206"/>
      <c r="G57" s="220"/>
      <c r="H57" s="206"/>
      <c r="I57" s="220"/>
      <c r="J57" s="206"/>
      <c r="K57" s="220"/>
    </row>
    <row r="58" spans="1:11" s="142" customFormat="1" ht="12.75" customHeight="1" x14ac:dyDescent="0.2">
      <c r="A58" s="160"/>
      <c r="B58" s="160"/>
      <c r="C58" s="161"/>
      <c r="D58" s="207"/>
      <c r="E58" s="161"/>
      <c r="F58" s="207"/>
      <c r="G58" s="161"/>
      <c r="H58" s="207"/>
      <c r="I58" s="161"/>
      <c r="J58" s="207"/>
      <c r="K58" s="161"/>
    </row>
    <row r="59" spans="1:11" s="142" customFormat="1" ht="12.75" customHeight="1" x14ac:dyDescent="0.2">
      <c r="A59" s="162">
        <v>2017</v>
      </c>
      <c r="B59" s="163" t="s">
        <v>3</v>
      </c>
      <c r="C59" s="221"/>
      <c r="D59" s="208">
        <v>-3.7277132519053513E-4</v>
      </c>
      <c r="E59" s="161"/>
      <c r="F59" s="208">
        <v>-1.0287758403998593E-2</v>
      </c>
      <c r="G59" s="161"/>
      <c r="H59" s="208">
        <v>1.0541138489893132E-2</v>
      </c>
      <c r="I59" s="161"/>
      <c r="J59" s="208">
        <v>-6.261514110851539E-4</v>
      </c>
      <c r="K59" s="161"/>
    </row>
    <row r="60" spans="1:11" s="142" customFormat="1" ht="12.75" customHeight="1" x14ac:dyDescent="0.2">
      <c r="A60" s="165"/>
      <c r="B60" s="166"/>
      <c r="C60" s="222"/>
      <c r="D60" s="209"/>
      <c r="E60" s="280"/>
      <c r="F60" s="209"/>
      <c r="G60" s="280"/>
      <c r="H60" s="209"/>
      <c r="I60" s="280"/>
      <c r="J60" s="209"/>
      <c r="K60" s="280"/>
    </row>
    <row r="61" spans="1:11" s="142" customFormat="1" ht="12.75" customHeight="1" thickBot="1" x14ac:dyDescent="0.25">
      <c r="A61" s="157">
        <v>2016</v>
      </c>
      <c r="B61" s="158" t="s">
        <v>4</v>
      </c>
      <c r="C61" s="223"/>
      <c r="D61" s="210">
        <v>-7.7467507010209158E-2</v>
      </c>
      <c r="E61" s="281"/>
      <c r="F61" s="210">
        <v>-7.267332158459977E-2</v>
      </c>
      <c r="G61" s="281"/>
      <c r="H61" s="210">
        <v>-7.1449362899638769E-3</v>
      </c>
      <c r="I61" s="281"/>
      <c r="J61" s="210">
        <v>2.3507508643544218E-3</v>
      </c>
      <c r="K61" s="281"/>
    </row>
    <row r="62" spans="1:11" s="169" customFormat="1" ht="12.75" customHeight="1" x14ac:dyDescent="0.2">
      <c r="A62" s="343"/>
      <c r="B62" s="343"/>
      <c r="C62" s="343"/>
      <c r="D62" s="343"/>
      <c r="E62" s="343"/>
      <c r="F62" s="343"/>
      <c r="G62" s="343"/>
      <c r="H62" s="343"/>
      <c r="I62" s="343"/>
    </row>
    <row r="63" spans="1:11" s="169" customFormat="1" ht="15" x14ac:dyDescent="0.2">
      <c r="A63" s="338" t="s">
        <v>265</v>
      </c>
      <c r="B63" s="338"/>
      <c r="C63" s="338"/>
      <c r="D63" s="338"/>
      <c r="E63" s="338"/>
      <c r="F63" s="338"/>
      <c r="G63" s="338"/>
      <c r="H63" s="338"/>
      <c r="I63" s="338"/>
    </row>
    <row r="64" spans="1:11" s="170" customFormat="1" ht="49.5" customHeight="1" x14ac:dyDescent="0.3">
      <c r="A64" s="362" t="s">
        <v>234</v>
      </c>
      <c r="B64" s="362"/>
      <c r="C64" s="362"/>
      <c r="D64" s="362"/>
      <c r="E64" s="362"/>
      <c r="F64" s="362"/>
      <c r="G64" s="362"/>
      <c r="H64" s="362"/>
      <c r="I64" s="362"/>
      <c r="J64" s="362"/>
      <c r="K64" s="259"/>
    </row>
    <row r="65" spans="1:15" s="170" customFormat="1" ht="15" x14ac:dyDescent="0.3">
      <c r="A65" s="338" t="s">
        <v>472</v>
      </c>
      <c r="B65" s="338"/>
      <c r="C65" s="338"/>
      <c r="D65" s="338"/>
      <c r="E65" s="338"/>
      <c r="F65" s="338"/>
      <c r="G65" s="338"/>
      <c r="H65" s="338"/>
      <c r="I65" s="338"/>
      <c r="J65" s="338"/>
      <c r="K65" s="338"/>
      <c r="L65" s="338"/>
      <c r="M65" s="338"/>
      <c r="N65" s="338"/>
      <c r="O65" s="338"/>
    </row>
    <row r="66" spans="1:15" s="171" customFormat="1" ht="53.25" customHeight="1" x14ac:dyDescent="0.3">
      <c r="A66" s="362" t="s">
        <v>479</v>
      </c>
      <c r="B66" s="362"/>
      <c r="C66" s="362"/>
      <c r="D66" s="362"/>
      <c r="E66" s="362"/>
      <c r="F66" s="362"/>
      <c r="G66" s="362"/>
      <c r="H66" s="362"/>
      <c r="I66" s="362"/>
      <c r="J66" s="362"/>
      <c r="K66" s="259"/>
      <c r="L66" s="259"/>
      <c r="M66" s="259"/>
      <c r="N66" s="259"/>
      <c r="O66" s="259"/>
    </row>
    <row r="67" spans="1:15" s="171" customFormat="1" ht="27.75" customHeight="1" x14ac:dyDescent="0.3">
      <c r="A67" s="344"/>
      <c r="B67" s="344"/>
      <c r="C67" s="344"/>
      <c r="D67" s="344"/>
      <c r="E67" s="344"/>
      <c r="F67" s="344"/>
      <c r="G67" s="344"/>
      <c r="H67" s="344"/>
      <c r="I67" s="344"/>
    </row>
    <row r="68" spans="1:15" ht="12.75" customHeight="1" x14ac:dyDescent="0.3">
      <c r="A68" s="344"/>
      <c r="B68" s="344"/>
      <c r="C68" s="344"/>
      <c r="D68" s="344"/>
      <c r="E68" s="344"/>
      <c r="F68" s="344"/>
      <c r="G68" s="344"/>
      <c r="H68" s="344"/>
      <c r="I68" s="344"/>
    </row>
    <row r="69" spans="1:15" ht="12.75" customHeight="1" x14ac:dyDescent="0.3">
      <c r="A69" s="344"/>
      <c r="B69" s="344"/>
      <c r="C69" s="344"/>
      <c r="D69" s="344"/>
      <c r="E69" s="344"/>
      <c r="F69" s="344"/>
      <c r="G69" s="344"/>
      <c r="H69" s="344"/>
      <c r="I69" s="344"/>
    </row>
    <row r="70" spans="1:15" ht="12.75" customHeight="1" x14ac:dyDescent="0.3">
      <c r="A70" s="344"/>
      <c r="B70" s="344"/>
      <c r="C70" s="344"/>
      <c r="D70" s="344"/>
      <c r="E70" s="344"/>
      <c r="F70" s="344"/>
      <c r="G70" s="344"/>
      <c r="H70" s="344"/>
      <c r="I70" s="344"/>
    </row>
    <row r="71" spans="1:15" ht="12.75" customHeight="1" x14ac:dyDescent="0.3">
      <c r="A71" s="344"/>
      <c r="B71" s="344"/>
      <c r="C71" s="344"/>
      <c r="D71" s="344"/>
      <c r="E71" s="344"/>
      <c r="F71" s="344"/>
      <c r="G71" s="344"/>
      <c r="H71" s="344"/>
      <c r="I71" s="344"/>
    </row>
    <row r="72" spans="1:15" ht="12.75" customHeight="1" x14ac:dyDescent="0.3">
      <c r="A72" s="344"/>
      <c r="B72" s="344"/>
      <c r="C72" s="344"/>
      <c r="D72" s="344"/>
      <c r="E72" s="344"/>
      <c r="F72" s="344"/>
      <c r="G72" s="344"/>
      <c r="H72" s="344"/>
      <c r="I72" s="344"/>
    </row>
    <row r="73" spans="1:15" ht="12.75" customHeight="1" x14ac:dyDescent="0.3">
      <c r="A73" s="344"/>
      <c r="B73" s="344"/>
      <c r="C73" s="344"/>
      <c r="D73" s="344"/>
      <c r="E73" s="344"/>
      <c r="F73" s="344"/>
      <c r="G73" s="344"/>
      <c r="H73" s="344"/>
      <c r="I73" s="344"/>
    </row>
  </sheetData>
  <dataConsolidate/>
  <mergeCells count="16">
    <mergeCell ref="J5:K5"/>
    <mergeCell ref="A65:O65"/>
    <mergeCell ref="D5:E5"/>
    <mergeCell ref="F5:G5"/>
    <mergeCell ref="H5:I5"/>
    <mergeCell ref="A62:I62"/>
    <mergeCell ref="A70:I70"/>
    <mergeCell ref="A71:I71"/>
    <mergeCell ref="A72:I72"/>
    <mergeCell ref="A73:I73"/>
    <mergeCell ref="A63:I63"/>
    <mergeCell ref="A67:I67"/>
    <mergeCell ref="A68:I68"/>
    <mergeCell ref="A69:I69"/>
    <mergeCell ref="A66:J66"/>
    <mergeCell ref="A64:J64"/>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P83"/>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9.570312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2" t="s">
        <v>191</v>
      </c>
      <c r="B2" s="193"/>
      <c r="C2" s="193"/>
      <c r="D2" s="194" t="s">
        <v>169</v>
      </c>
      <c r="E2" s="133"/>
      <c r="F2" s="132"/>
      <c r="G2" s="133"/>
      <c r="H2" s="132"/>
      <c r="I2" s="133"/>
      <c r="J2" s="132"/>
      <c r="K2" s="133"/>
      <c r="L2" s="132"/>
      <c r="M2" s="132"/>
      <c r="N2" s="132"/>
    </row>
    <row r="3" spans="1:16" s="136" customFormat="1" ht="17.25" x14ac:dyDescent="0.3">
      <c r="A3" s="195" t="s">
        <v>153</v>
      </c>
      <c r="B3" s="196"/>
      <c r="C3" s="213"/>
      <c r="D3" s="197" t="s">
        <v>186</v>
      </c>
      <c r="E3" s="282"/>
      <c r="F3" s="187"/>
      <c r="G3" s="282"/>
      <c r="H3" s="187"/>
      <c r="I3" s="282"/>
      <c r="J3" s="187"/>
      <c r="K3" s="282"/>
      <c r="L3" s="132"/>
      <c r="M3" s="132"/>
      <c r="N3" s="132"/>
    </row>
    <row r="4" spans="1:16" ht="10.5" customHeight="1" thickBot="1" x14ac:dyDescent="0.35">
      <c r="A4" s="137"/>
      <c r="B4" s="137"/>
      <c r="C4" s="214"/>
      <c r="D4" s="137"/>
      <c r="E4" s="214"/>
      <c r="F4" s="137"/>
      <c r="G4" s="214"/>
      <c r="H4" s="137"/>
      <c r="I4" s="214"/>
      <c r="J4" s="339"/>
      <c r="K4" s="339"/>
    </row>
    <row r="5" spans="1:16" ht="30.75" customHeight="1" thickBot="1" x14ac:dyDescent="0.35">
      <c r="A5" s="230"/>
      <c r="B5" s="230"/>
      <c r="C5" s="231"/>
      <c r="D5" s="345" t="s">
        <v>123</v>
      </c>
      <c r="E5" s="345"/>
      <c r="F5" s="346" t="s">
        <v>395</v>
      </c>
      <c r="G5" s="346"/>
      <c r="H5" s="346"/>
      <c r="I5" s="346"/>
      <c r="J5" s="346" t="s">
        <v>16</v>
      </c>
      <c r="K5" s="346"/>
    </row>
    <row r="6" spans="1:16" s="146" customFormat="1" ht="12.75" customHeight="1" x14ac:dyDescent="0.25">
      <c r="A6" s="143">
        <v>2008</v>
      </c>
      <c r="B6" s="143"/>
      <c r="C6" s="212"/>
      <c r="D6" s="144">
        <v>19991</v>
      </c>
      <c r="E6" s="145" t="s">
        <v>501</v>
      </c>
      <c r="F6" s="144">
        <v>12449</v>
      </c>
      <c r="G6" s="145" t="s">
        <v>501</v>
      </c>
      <c r="H6" s="144" t="s">
        <v>507</v>
      </c>
      <c r="I6" s="145" t="s">
        <v>501</v>
      </c>
      <c r="J6" s="144">
        <v>7542</v>
      </c>
      <c r="K6" s="145" t="s">
        <v>501</v>
      </c>
    </row>
    <row r="7" spans="1:16" s="146" customFormat="1" ht="12.75" customHeight="1" x14ac:dyDescent="0.25">
      <c r="A7" s="143">
        <v>2009</v>
      </c>
      <c r="B7" s="143"/>
      <c r="C7" s="212"/>
      <c r="D7" s="144">
        <v>23541</v>
      </c>
      <c r="E7" s="145" t="s">
        <v>501</v>
      </c>
      <c r="F7" s="144">
        <v>14415</v>
      </c>
      <c r="G7" s="145" t="s">
        <v>501</v>
      </c>
      <c r="H7" s="144" t="s">
        <v>508</v>
      </c>
      <c r="I7" s="145" t="s">
        <v>501</v>
      </c>
      <c r="J7" s="144">
        <v>9126</v>
      </c>
      <c r="K7" s="145" t="s">
        <v>501</v>
      </c>
    </row>
    <row r="8" spans="1:16" s="146" customFormat="1" ht="12.75" customHeight="1" x14ac:dyDescent="0.25">
      <c r="A8" s="143">
        <v>2010</v>
      </c>
      <c r="B8" s="143"/>
      <c r="C8" s="212"/>
      <c r="D8" s="144">
        <v>20350</v>
      </c>
      <c r="E8" s="145" t="s">
        <v>501</v>
      </c>
      <c r="F8" s="144">
        <v>11912</v>
      </c>
      <c r="G8" s="145" t="s">
        <v>501</v>
      </c>
      <c r="H8" s="144" t="s">
        <v>509</v>
      </c>
      <c r="I8" s="145" t="s">
        <v>501</v>
      </c>
      <c r="J8" s="144">
        <v>8438</v>
      </c>
      <c r="K8" s="145" t="s">
        <v>501</v>
      </c>
    </row>
    <row r="9" spans="1:16" s="146" customFormat="1" ht="12.75" customHeight="1" x14ac:dyDescent="0.25">
      <c r="A9" s="143">
        <v>2011</v>
      </c>
      <c r="B9" s="143"/>
      <c r="C9" s="212"/>
      <c r="D9" s="144">
        <v>19650</v>
      </c>
      <c r="E9" s="145" t="s">
        <v>501</v>
      </c>
      <c r="F9" s="144">
        <v>11128</v>
      </c>
      <c r="G9" s="145" t="s">
        <v>501</v>
      </c>
      <c r="H9" s="144" t="s">
        <v>510</v>
      </c>
      <c r="I9" s="145" t="s">
        <v>501</v>
      </c>
      <c r="J9" s="144">
        <v>8522</v>
      </c>
      <c r="K9" s="145" t="s">
        <v>501</v>
      </c>
    </row>
    <row r="10" spans="1:16" s="146" customFormat="1" ht="12.75" customHeight="1" x14ac:dyDescent="0.25">
      <c r="A10" s="143">
        <v>2012</v>
      </c>
      <c r="B10" s="143"/>
      <c r="C10" s="212"/>
      <c r="D10" s="144">
        <v>18402</v>
      </c>
      <c r="E10" s="145" t="s">
        <v>501</v>
      </c>
      <c r="F10" s="144">
        <v>9630</v>
      </c>
      <c r="G10" s="145" t="s">
        <v>501</v>
      </c>
      <c r="H10" s="144" t="s">
        <v>511</v>
      </c>
      <c r="I10" s="145" t="s">
        <v>501</v>
      </c>
      <c r="J10" s="144">
        <v>8772</v>
      </c>
      <c r="K10" s="145" t="s">
        <v>501</v>
      </c>
    </row>
    <row r="11" spans="1:16" s="146" customFormat="1" ht="12.75" customHeight="1" x14ac:dyDescent="0.25">
      <c r="A11" s="143">
        <v>2013</v>
      </c>
      <c r="B11" s="143"/>
      <c r="C11" s="212"/>
      <c r="D11" s="144">
        <v>14251</v>
      </c>
      <c r="E11" s="145" t="s">
        <v>501</v>
      </c>
      <c r="F11" s="144">
        <v>7190</v>
      </c>
      <c r="G11" s="145" t="s">
        <v>501</v>
      </c>
      <c r="H11" s="144" t="s">
        <v>512</v>
      </c>
      <c r="I11" s="145" t="s">
        <v>501</v>
      </c>
      <c r="J11" s="144">
        <v>7061</v>
      </c>
      <c r="K11" s="145" t="s">
        <v>501</v>
      </c>
    </row>
    <row r="12" spans="1:16" s="146" customFormat="1" ht="12.75" customHeight="1" x14ac:dyDescent="0.25">
      <c r="A12" s="143">
        <v>2014</v>
      </c>
      <c r="B12" s="143"/>
      <c r="C12" s="212"/>
      <c r="D12" s="144">
        <v>11622</v>
      </c>
      <c r="E12" s="145" t="s">
        <v>501</v>
      </c>
      <c r="F12" s="144">
        <v>6747</v>
      </c>
      <c r="G12" s="145" t="s">
        <v>501</v>
      </c>
      <c r="H12" s="144" t="s">
        <v>513</v>
      </c>
      <c r="I12" s="145" t="s">
        <v>501</v>
      </c>
      <c r="J12" s="144">
        <v>4875</v>
      </c>
      <c r="K12" s="145" t="s">
        <v>501</v>
      </c>
    </row>
    <row r="13" spans="1:16" s="146" customFormat="1" ht="12.75" customHeight="1" x14ac:dyDescent="0.25">
      <c r="A13" s="143">
        <v>2015</v>
      </c>
      <c r="B13" s="143"/>
      <c r="C13" s="212"/>
      <c r="D13" s="144">
        <v>8785</v>
      </c>
      <c r="E13" s="145" t="s">
        <v>501</v>
      </c>
      <c r="F13" s="144">
        <v>4477</v>
      </c>
      <c r="G13" s="145" t="s">
        <v>501</v>
      </c>
      <c r="H13" s="144" t="s">
        <v>514</v>
      </c>
      <c r="I13" s="145" t="s">
        <v>501</v>
      </c>
      <c r="J13" s="144">
        <v>4308</v>
      </c>
      <c r="K13" s="145" t="s">
        <v>501</v>
      </c>
    </row>
    <row r="14" spans="1:16" s="146" customFormat="1" ht="12.75" customHeight="1" x14ac:dyDescent="0.25">
      <c r="A14" s="143">
        <v>2016</v>
      </c>
      <c r="B14" s="143"/>
      <c r="C14" s="212"/>
      <c r="D14" s="144">
        <v>9779</v>
      </c>
      <c r="E14" s="145" t="s">
        <v>501</v>
      </c>
      <c r="F14" s="144">
        <v>4474</v>
      </c>
      <c r="G14" s="145" t="s">
        <v>501</v>
      </c>
      <c r="H14" s="144" t="s">
        <v>515</v>
      </c>
      <c r="I14" s="145" t="s">
        <v>501</v>
      </c>
      <c r="J14" s="144">
        <v>5305</v>
      </c>
      <c r="K14" s="145" t="s">
        <v>501</v>
      </c>
      <c r="P14" s="147"/>
    </row>
    <row r="15" spans="1:16" s="146" customFormat="1" ht="12.75" customHeight="1" x14ac:dyDescent="0.25">
      <c r="A15" s="143">
        <v>2017</v>
      </c>
      <c r="B15" s="212" t="s">
        <v>196</v>
      </c>
      <c r="C15" s="216"/>
      <c r="D15" s="144">
        <v>10518</v>
      </c>
      <c r="E15" s="145" t="s">
        <v>501</v>
      </c>
      <c r="F15" s="144">
        <v>4618</v>
      </c>
      <c r="G15" s="145" t="s">
        <v>501</v>
      </c>
      <c r="H15" s="144" t="s">
        <v>516</v>
      </c>
      <c r="I15" s="145" t="s">
        <v>501</v>
      </c>
      <c r="J15" s="144">
        <v>5900</v>
      </c>
      <c r="K15" s="145" t="s">
        <v>501</v>
      </c>
    </row>
    <row r="16" spans="1:16" s="142" customFormat="1" ht="12.75" customHeight="1" x14ac:dyDescent="0.25">
      <c r="A16" s="148"/>
      <c r="B16" s="148"/>
      <c r="C16" s="217"/>
      <c r="D16" s="319"/>
      <c r="E16" s="154"/>
      <c r="F16" s="319"/>
      <c r="G16" s="154"/>
      <c r="H16" s="319"/>
      <c r="I16" s="154"/>
      <c r="J16" s="319"/>
      <c r="K16" s="154"/>
    </row>
    <row r="17" spans="1:11" s="142" customFormat="1" ht="12.75" customHeight="1" x14ac:dyDescent="0.25">
      <c r="A17" s="151">
        <v>2008</v>
      </c>
      <c r="B17" s="152" t="s">
        <v>1</v>
      </c>
      <c r="C17" s="218"/>
      <c r="D17" s="153">
        <v>3324</v>
      </c>
      <c r="E17" s="154" t="s">
        <v>501</v>
      </c>
      <c r="F17" s="153">
        <v>1444</v>
      </c>
      <c r="G17" s="154" t="s">
        <v>501</v>
      </c>
      <c r="H17" s="153" t="s">
        <v>206</v>
      </c>
      <c r="I17" s="154" t="s">
        <v>501</v>
      </c>
      <c r="J17" s="153">
        <v>1880</v>
      </c>
      <c r="K17" s="154" t="s">
        <v>501</v>
      </c>
    </row>
    <row r="18" spans="1:11" s="142" customFormat="1" ht="12.75" customHeight="1" x14ac:dyDescent="0.25">
      <c r="A18" s="151"/>
      <c r="B18" s="152" t="s">
        <v>2</v>
      </c>
      <c r="C18" s="218"/>
      <c r="D18" s="153">
        <v>4814</v>
      </c>
      <c r="E18" s="154" t="s">
        <v>501</v>
      </c>
      <c r="F18" s="153">
        <v>2932</v>
      </c>
      <c r="G18" s="154" t="s">
        <v>501</v>
      </c>
      <c r="H18" s="153" t="s">
        <v>517</v>
      </c>
      <c r="I18" s="154" t="s">
        <v>501</v>
      </c>
      <c r="J18" s="153">
        <v>1882</v>
      </c>
      <c r="K18" s="154" t="s">
        <v>501</v>
      </c>
    </row>
    <row r="19" spans="1:11" s="142" customFormat="1" ht="12.75" customHeight="1" x14ac:dyDescent="0.25">
      <c r="A19" s="151"/>
      <c r="B19" s="152" t="s">
        <v>3</v>
      </c>
      <c r="C19" s="218"/>
      <c r="D19" s="153">
        <v>6020</v>
      </c>
      <c r="E19" s="154" t="s">
        <v>501</v>
      </c>
      <c r="F19" s="153">
        <v>4077</v>
      </c>
      <c r="G19" s="154" t="s">
        <v>501</v>
      </c>
      <c r="H19" s="153" t="s">
        <v>518</v>
      </c>
      <c r="I19" s="154" t="s">
        <v>501</v>
      </c>
      <c r="J19" s="153">
        <v>1943</v>
      </c>
      <c r="K19" s="154" t="s">
        <v>501</v>
      </c>
    </row>
    <row r="20" spans="1:11" s="142" customFormat="1" ht="12.75" customHeight="1" x14ac:dyDescent="0.25">
      <c r="A20" s="151"/>
      <c r="B20" s="152" t="s">
        <v>4</v>
      </c>
      <c r="C20" s="218"/>
      <c r="D20" s="153">
        <v>5833</v>
      </c>
      <c r="E20" s="154" t="s">
        <v>501</v>
      </c>
      <c r="F20" s="153">
        <v>3996</v>
      </c>
      <c r="G20" s="154" t="s">
        <v>501</v>
      </c>
      <c r="H20" s="153" t="s">
        <v>519</v>
      </c>
      <c r="I20" s="154" t="s">
        <v>501</v>
      </c>
      <c r="J20" s="153">
        <v>1837</v>
      </c>
      <c r="K20" s="154" t="s">
        <v>501</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2009</v>
      </c>
      <c r="B22" s="152" t="s">
        <v>1</v>
      </c>
      <c r="C22" s="218"/>
      <c r="D22" s="153">
        <v>5743</v>
      </c>
      <c r="E22" s="154" t="s">
        <v>501</v>
      </c>
      <c r="F22" s="153">
        <v>3772</v>
      </c>
      <c r="G22" s="154" t="s">
        <v>501</v>
      </c>
      <c r="H22" s="153" t="s">
        <v>520</v>
      </c>
      <c r="I22" s="154" t="s">
        <v>501</v>
      </c>
      <c r="J22" s="153">
        <v>1971</v>
      </c>
      <c r="K22" s="154" t="s">
        <v>501</v>
      </c>
    </row>
    <row r="23" spans="1:11" s="142" customFormat="1" ht="12.75" customHeight="1" x14ac:dyDescent="0.25">
      <c r="A23" s="151"/>
      <c r="B23" s="152" t="s">
        <v>2</v>
      </c>
      <c r="C23" s="218"/>
      <c r="D23" s="153">
        <v>6328</v>
      </c>
      <c r="E23" s="154" t="s">
        <v>501</v>
      </c>
      <c r="F23" s="153">
        <v>3764</v>
      </c>
      <c r="G23" s="154" t="s">
        <v>501</v>
      </c>
      <c r="H23" s="153" t="s">
        <v>521</v>
      </c>
      <c r="I23" s="154" t="s">
        <v>501</v>
      </c>
      <c r="J23" s="153">
        <v>2564</v>
      </c>
      <c r="K23" s="154" t="s">
        <v>501</v>
      </c>
    </row>
    <row r="24" spans="1:11" s="142" customFormat="1" ht="12.75" customHeight="1" x14ac:dyDescent="0.25">
      <c r="A24" s="151"/>
      <c r="B24" s="152" t="s">
        <v>3</v>
      </c>
      <c r="C24" s="218"/>
      <c r="D24" s="153">
        <v>5777</v>
      </c>
      <c r="E24" s="154" t="s">
        <v>501</v>
      </c>
      <c r="F24" s="153">
        <v>3514</v>
      </c>
      <c r="G24" s="154" t="s">
        <v>501</v>
      </c>
      <c r="H24" s="153" t="s">
        <v>522</v>
      </c>
      <c r="I24" s="154" t="s">
        <v>501</v>
      </c>
      <c r="J24" s="153">
        <v>2263</v>
      </c>
      <c r="K24" s="154" t="s">
        <v>501</v>
      </c>
    </row>
    <row r="25" spans="1:11" s="142" customFormat="1" ht="12.75" customHeight="1" x14ac:dyDescent="0.25">
      <c r="A25" s="151"/>
      <c r="B25" s="152" t="s">
        <v>4</v>
      </c>
      <c r="C25" s="218"/>
      <c r="D25" s="153">
        <v>5693</v>
      </c>
      <c r="E25" s="154" t="s">
        <v>501</v>
      </c>
      <c r="F25" s="153">
        <v>3365</v>
      </c>
      <c r="G25" s="154" t="s">
        <v>501</v>
      </c>
      <c r="H25" s="153" t="s">
        <v>523</v>
      </c>
      <c r="I25" s="154" t="s">
        <v>501</v>
      </c>
      <c r="J25" s="153">
        <v>2328</v>
      </c>
      <c r="K25" s="154" t="s">
        <v>501</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2010</v>
      </c>
      <c r="B27" s="152" t="s">
        <v>1</v>
      </c>
      <c r="C27" s="218"/>
      <c r="D27" s="153">
        <v>5200</v>
      </c>
      <c r="E27" s="154" t="s">
        <v>501</v>
      </c>
      <c r="F27" s="153">
        <v>3167</v>
      </c>
      <c r="G27" s="154" t="s">
        <v>501</v>
      </c>
      <c r="H27" s="153" t="s">
        <v>524</v>
      </c>
      <c r="I27" s="154" t="s">
        <v>501</v>
      </c>
      <c r="J27" s="153">
        <v>2033</v>
      </c>
      <c r="K27" s="154" t="s">
        <v>501</v>
      </c>
    </row>
    <row r="28" spans="1:11" s="142" customFormat="1" ht="12.75" customHeight="1" x14ac:dyDescent="0.25">
      <c r="A28" s="151"/>
      <c r="B28" s="152" t="s">
        <v>2</v>
      </c>
      <c r="C28" s="218"/>
      <c r="D28" s="153">
        <v>5384</v>
      </c>
      <c r="E28" s="154" t="s">
        <v>501</v>
      </c>
      <c r="F28" s="153">
        <v>3145</v>
      </c>
      <c r="G28" s="154" t="s">
        <v>501</v>
      </c>
      <c r="H28" s="153" t="s">
        <v>525</v>
      </c>
      <c r="I28" s="154" t="s">
        <v>501</v>
      </c>
      <c r="J28" s="153">
        <v>2239</v>
      </c>
      <c r="K28" s="154" t="s">
        <v>501</v>
      </c>
    </row>
    <row r="29" spans="1:11" s="142" customFormat="1" ht="12.75" customHeight="1" x14ac:dyDescent="0.25">
      <c r="A29" s="151"/>
      <c r="B29" s="152" t="s">
        <v>3</v>
      </c>
      <c r="C29" s="218"/>
      <c r="D29" s="153">
        <v>5175</v>
      </c>
      <c r="E29" s="154" t="s">
        <v>501</v>
      </c>
      <c r="F29" s="153">
        <v>3099</v>
      </c>
      <c r="G29" s="154" t="s">
        <v>501</v>
      </c>
      <c r="H29" s="153" t="s">
        <v>526</v>
      </c>
      <c r="I29" s="154" t="s">
        <v>501</v>
      </c>
      <c r="J29" s="153">
        <v>2076</v>
      </c>
      <c r="K29" s="154" t="s">
        <v>501</v>
      </c>
    </row>
    <row r="30" spans="1:11" s="142" customFormat="1" ht="12.75" customHeight="1" x14ac:dyDescent="0.25">
      <c r="A30" s="151"/>
      <c r="B30" s="152" t="s">
        <v>4</v>
      </c>
      <c r="C30" s="218"/>
      <c r="D30" s="153">
        <v>4591</v>
      </c>
      <c r="E30" s="154" t="s">
        <v>501</v>
      </c>
      <c r="F30" s="153">
        <v>2501</v>
      </c>
      <c r="G30" s="154" t="s">
        <v>501</v>
      </c>
      <c r="H30" s="153" t="s">
        <v>527</v>
      </c>
      <c r="I30" s="154" t="s">
        <v>501</v>
      </c>
      <c r="J30" s="153">
        <v>2090</v>
      </c>
      <c r="K30" s="154" t="s">
        <v>501</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2011</v>
      </c>
      <c r="B32" s="152" t="s">
        <v>1</v>
      </c>
      <c r="C32" s="218"/>
      <c r="D32" s="153">
        <v>4273</v>
      </c>
      <c r="E32" s="154" t="s">
        <v>501</v>
      </c>
      <c r="F32" s="153">
        <v>2698</v>
      </c>
      <c r="G32" s="154" t="s">
        <v>501</v>
      </c>
      <c r="H32" s="153" t="s">
        <v>528</v>
      </c>
      <c r="I32" s="154" t="s">
        <v>501</v>
      </c>
      <c r="J32" s="153">
        <v>1575</v>
      </c>
      <c r="K32" s="154" t="s">
        <v>501</v>
      </c>
    </row>
    <row r="33" spans="1:11" s="142" customFormat="1" ht="12.75" customHeight="1" x14ac:dyDescent="0.25">
      <c r="A33" s="151"/>
      <c r="B33" s="152" t="s">
        <v>2</v>
      </c>
      <c r="C33" s="218"/>
      <c r="D33" s="153">
        <v>5320</v>
      </c>
      <c r="E33" s="154" t="s">
        <v>501</v>
      </c>
      <c r="F33" s="153">
        <v>2948</v>
      </c>
      <c r="G33" s="154" t="s">
        <v>501</v>
      </c>
      <c r="H33" s="153" t="s">
        <v>529</v>
      </c>
      <c r="I33" s="154" t="s">
        <v>501</v>
      </c>
      <c r="J33" s="153">
        <v>2372</v>
      </c>
      <c r="K33" s="154" t="s">
        <v>501</v>
      </c>
    </row>
    <row r="34" spans="1:11" s="142" customFormat="1" ht="12.75" customHeight="1" x14ac:dyDescent="0.25">
      <c r="A34" s="151"/>
      <c r="B34" s="152" t="s">
        <v>3</v>
      </c>
      <c r="C34" s="218"/>
      <c r="D34" s="153">
        <v>5383</v>
      </c>
      <c r="E34" s="154" t="s">
        <v>501</v>
      </c>
      <c r="F34" s="153">
        <v>2857</v>
      </c>
      <c r="G34" s="154" t="s">
        <v>501</v>
      </c>
      <c r="H34" s="153" t="s">
        <v>530</v>
      </c>
      <c r="I34" s="154" t="s">
        <v>501</v>
      </c>
      <c r="J34" s="153">
        <v>2526</v>
      </c>
      <c r="K34" s="154" t="s">
        <v>501</v>
      </c>
    </row>
    <row r="35" spans="1:11" s="142" customFormat="1" ht="12.75" customHeight="1" x14ac:dyDescent="0.25">
      <c r="A35" s="151"/>
      <c r="B35" s="152" t="s">
        <v>4</v>
      </c>
      <c r="C35" s="218"/>
      <c r="D35" s="153">
        <v>4674</v>
      </c>
      <c r="E35" s="154" t="s">
        <v>501</v>
      </c>
      <c r="F35" s="153">
        <v>2625</v>
      </c>
      <c r="G35" s="154" t="s">
        <v>501</v>
      </c>
      <c r="H35" s="153" t="s">
        <v>531</v>
      </c>
      <c r="I35" s="154" t="s">
        <v>501</v>
      </c>
      <c r="J35" s="153">
        <v>2049</v>
      </c>
      <c r="K35" s="154" t="s">
        <v>501</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2012</v>
      </c>
      <c r="B37" s="152" t="s">
        <v>1</v>
      </c>
      <c r="C37" s="218"/>
      <c r="D37" s="153">
        <v>4873</v>
      </c>
      <c r="E37" s="154" t="s">
        <v>501</v>
      </c>
      <c r="F37" s="153">
        <v>2626</v>
      </c>
      <c r="G37" s="154" t="s">
        <v>501</v>
      </c>
      <c r="H37" s="153" t="s">
        <v>532</v>
      </c>
      <c r="I37" s="154" t="s">
        <v>501</v>
      </c>
      <c r="J37" s="153">
        <v>2247</v>
      </c>
      <c r="K37" s="154" t="s">
        <v>501</v>
      </c>
    </row>
    <row r="38" spans="1:11" s="142" customFormat="1" ht="12.75" customHeight="1" x14ac:dyDescent="0.25">
      <c r="A38" s="151"/>
      <c r="B38" s="152" t="s">
        <v>2</v>
      </c>
      <c r="C38" s="218"/>
      <c r="D38" s="153">
        <v>5601</v>
      </c>
      <c r="E38" s="154" t="s">
        <v>501</v>
      </c>
      <c r="F38" s="153">
        <v>3310</v>
      </c>
      <c r="G38" s="154" t="s">
        <v>501</v>
      </c>
      <c r="H38" s="153" t="s">
        <v>533</v>
      </c>
      <c r="I38" s="154" t="s">
        <v>501</v>
      </c>
      <c r="J38" s="153">
        <v>2291</v>
      </c>
      <c r="K38" s="154" t="s">
        <v>501</v>
      </c>
    </row>
    <row r="39" spans="1:11" s="142" customFormat="1" ht="12.75" customHeight="1" x14ac:dyDescent="0.25">
      <c r="A39" s="151"/>
      <c r="B39" s="152" t="s">
        <v>3</v>
      </c>
      <c r="C39" s="218"/>
      <c r="D39" s="153">
        <v>4065</v>
      </c>
      <c r="E39" s="154" t="s">
        <v>501</v>
      </c>
      <c r="F39" s="153">
        <v>1861</v>
      </c>
      <c r="G39" s="154" t="s">
        <v>501</v>
      </c>
      <c r="H39" s="153" t="s">
        <v>534</v>
      </c>
      <c r="I39" s="154" t="s">
        <v>501</v>
      </c>
      <c r="J39" s="153">
        <v>2204</v>
      </c>
      <c r="K39" s="154" t="s">
        <v>501</v>
      </c>
    </row>
    <row r="40" spans="1:11" s="142" customFormat="1" ht="12.75" customHeight="1" x14ac:dyDescent="0.25">
      <c r="A40" s="151"/>
      <c r="B40" s="152" t="s">
        <v>4</v>
      </c>
      <c r="C40" s="218"/>
      <c r="D40" s="153">
        <v>3863</v>
      </c>
      <c r="E40" s="154" t="s">
        <v>501</v>
      </c>
      <c r="F40" s="153">
        <v>1833</v>
      </c>
      <c r="G40" s="154" t="s">
        <v>501</v>
      </c>
      <c r="H40" s="153" t="s">
        <v>535</v>
      </c>
      <c r="I40" s="154" t="s">
        <v>501</v>
      </c>
      <c r="J40" s="153">
        <v>2030</v>
      </c>
      <c r="K40" s="154" t="s">
        <v>501</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2013</v>
      </c>
      <c r="B42" s="152" t="s">
        <v>1</v>
      </c>
      <c r="C42" s="218"/>
      <c r="D42" s="153">
        <v>3486</v>
      </c>
      <c r="E42" s="154" t="s">
        <v>501</v>
      </c>
      <c r="F42" s="153">
        <v>1834</v>
      </c>
      <c r="G42" s="154" t="s">
        <v>501</v>
      </c>
      <c r="H42" s="153" t="s">
        <v>536</v>
      </c>
      <c r="I42" s="154" t="s">
        <v>501</v>
      </c>
      <c r="J42" s="153">
        <v>1652</v>
      </c>
      <c r="K42" s="154" t="s">
        <v>501</v>
      </c>
    </row>
    <row r="43" spans="1:11" s="142" customFormat="1" ht="12.75" customHeight="1" x14ac:dyDescent="0.25">
      <c r="A43" s="151"/>
      <c r="B43" s="152" t="s">
        <v>2</v>
      </c>
      <c r="C43" s="218"/>
      <c r="D43" s="153">
        <v>3999</v>
      </c>
      <c r="E43" s="154" t="s">
        <v>501</v>
      </c>
      <c r="F43" s="153">
        <v>1961</v>
      </c>
      <c r="G43" s="154" t="s">
        <v>501</v>
      </c>
      <c r="H43" s="153" t="s">
        <v>537</v>
      </c>
      <c r="I43" s="154" t="s">
        <v>501</v>
      </c>
      <c r="J43" s="153">
        <v>2038</v>
      </c>
      <c r="K43" s="154" t="s">
        <v>501</v>
      </c>
    </row>
    <row r="44" spans="1:11" s="142" customFormat="1" ht="12.75" customHeight="1" x14ac:dyDescent="0.25">
      <c r="A44" s="151"/>
      <c r="B44" s="152" t="s">
        <v>3</v>
      </c>
      <c r="C44" s="218"/>
      <c r="D44" s="153">
        <v>3419</v>
      </c>
      <c r="E44" s="154" t="s">
        <v>501</v>
      </c>
      <c r="F44" s="153">
        <v>1722</v>
      </c>
      <c r="G44" s="154" t="s">
        <v>501</v>
      </c>
      <c r="H44" s="153" t="s">
        <v>538</v>
      </c>
      <c r="I44" s="154" t="s">
        <v>501</v>
      </c>
      <c r="J44" s="153">
        <v>1697</v>
      </c>
      <c r="K44" s="154" t="s">
        <v>501</v>
      </c>
    </row>
    <row r="45" spans="1:11" s="142" customFormat="1" ht="12.75" customHeight="1" x14ac:dyDescent="0.25">
      <c r="A45" s="151"/>
      <c r="B45" s="152" t="s">
        <v>4</v>
      </c>
      <c r="C45" s="218"/>
      <c r="D45" s="153">
        <v>3347</v>
      </c>
      <c r="E45" s="154" t="s">
        <v>501</v>
      </c>
      <c r="F45" s="153">
        <v>1673</v>
      </c>
      <c r="G45" s="154" t="s">
        <v>501</v>
      </c>
      <c r="H45" s="153" t="s">
        <v>536</v>
      </c>
      <c r="I45" s="154" t="s">
        <v>501</v>
      </c>
      <c r="J45" s="153">
        <v>1674</v>
      </c>
      <c r="K45" s="154" t="s">
        <v>501</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2014</v>
      </c>
      <c r="B47" s="152" t="s">
        <v>1</v>
      </c>
      <c r="C47" s="218"/>
      <c r="D47" s="153">
        <v>3029</v>
      </c>
      <c r="E47" s="154" t="s">
        <v>501</v>
      </c>
      <c r="F47" s="153">
        <v>1757</v>
      </c>
      <c r="G47" s="154" t="s">
        <v>501</v>
      </c>
      <c r="H47" s="153" t="s">
        <v>539</v>
      </c>
      <c r="I47" s="154" t="s">
        <v>501</v>
      </c>
      <c r="J47" s="153">
        <v>1272</v>
      </c>
      <c r="K47" s="154" t="s">
        <v>501</v>
      </c>
    </row>
    <row r="48" spans="1:11" s="142" customFormat="1" ht="12.75" customHeight="1" x14ac:dyDescent="0.25">
      <c r="A48" s="151"/>
      <c r="B48" s="152" t="s">
        <v>2</v>
      </c>
      <c r="C48" s="218"/>
      <c r="D48" s="153">
        <v>2968</v>
      </c>
      <c r="E48" s="154" t="s">
        <v>501</v>
      </c>
      <c r="F48" s="153">
        <v>1756</v>
      </c>
      <c r="G48" s="154" t="s">
        <v>501</v>
      </c>
      <c r="H48" s="153" t="s">
        <v>540</v>
      </c>
      <c r="I48" s="154" t="s">
        <v>501</v>
      </c>
      <c r="J48" s="153">
        <v>1212</v>
      </c>
      <c r="K48" s="154" t="s">
        <v>501</v>
      </c>
    </row>
    <row r="49" spans="1:11" s="142" customFormat="1" ht="12.75" customHeight="1" x14ac:dyDescent="0.25">
      <c r="A49" s="151"/>
      <c r="B49" s="152" t="s">
        <v>3</v>
      </c>
      <c r="C49" s="218"/>
      <c r="D49" s="153">
        <v>2991</v>
      </c>
      <c r="E49" s="154" t="s">
        <v>501</v>
      </c>
      <c r="F49" s="153">
        <v>1654</v>
      </c>
      <c r="G49" s="154" t="s">
        <v>501</v>
      </c>
      <c r="H49" s="153" t="s">
        <v>541</v>
      </c>
      <c r="I49" s="154" t="s">
        <v>501</v>
      </c>
      <c r="J49" s="153">
        <v>1337</v>
      </c>
      <c r="K49" s="154" t="s">
        <v>501</v>
      </c>
    </row>
    <row r="50" spans="1:11" s="142" customFormat="1" ht="12.75" customHeight="1" x14ac:dyDescent="0.25">
      <c r="A50" s="151"/>
      <c r="B50" s="152" t="s">
        <v>4</v>
      </c>
      <c r="C50" s="218"/>
      <c r="D50" s="153">
        <v>2634</v>
      </c>
      <c r="E50" s="154" t="s">
        <v>501</v>
      </c>
      <c r="F50" s="153">
        <v>1580</v>
      </c>
      <c r="G50" s="154" t="s">
        <v>501</v>
      </c>
      <c r="H50" s="153" t="s">
        <v>542</v>
      </c>
      <c r="I50" s="154" t="s">
        <v>501</v>
      </c>
      <c r="J50" s="153">
        <v>1054</v>
      </c>
      <c r="K50" s="154" t="s">
        <v>501</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2015</v>
      </c>
      <c r="B52" s="152" t="s">
        <v>1</v>
      </c>
      <c r="C52" s="218"/>
      <c r="D52" s="153">
        <v>2574</v>
      </c>
      <c r="E52" s="154" t="s">
        <v>501</v>
      </c>
      <c r="F52" s="153">
        <v>1740</v>
      </c>
      <c r="G52" s="154" t="s">
        <v>501</v>
      </c>
      <c r="H52" s="153" t="s">
        <v>543</v>
      </c>
      <c r="I52" s="154" t="s">
        <v>501</v>
      </c>
      <c r="J52" s="153">
        <v>834</v>
      </c>
      <c r="K52" s="154" t="s">
        <v>501</v>
      </c>
    </row>
    <row r="53" spans="1:11" s="142" customFormat="1" ht="12.75" customHeight="1" x14ac:dyDescent="0.25">
      <c r="A53" s="151"/>
      <c r="B53" s="152" t="s">
        <v>2</v>
      </c>
      <c r="C53" s="218"/>
      <c r="D53" s="153">
        <v>1639</v>
      </c>
      <c r="E53" s="154" t="s">
        <v>501</v>
      </c>
      <c r="F53" s="153">
        <v>790</v>
      </c>
      <c r="G53" s="154" t="s">
        <v>501</v>
      </c>
      <c r="H53" s="153" t="s">
        <v>544</v>
      </c>
      <c r="I53" s="154" t="s">
        <v>501</v>
      </c>
      <c r="J53" s="153">
        <v>849</v>
      </c>
      <c r="K53" s="154" t="s">
        <v>501</v>
      </c>
    </row>
    <row r="54" spans="1:11" s="142" customFormat="1" ht="12.75" customHeight="1" x14ac:dyDescent="0.25">
      <c r="A54" s="151"/>
      <c r="B54" s="152" t="s">
        <v>3</v>
      </c>
      <c r="C54" s="218"/>
      <c r="D54" s="153">
        <v>2244</v>
      </c>
      <c r="E54" s="154" t="s">
        <v>501</v>
      </c>
      <c r="F54" s="153">
        <v>975</v>
      </c>
      <c r="G54" s="154" t="s">
        <v>501</v>
      </c>
      <c r="H54" s="153" t="s">
        <v>545</v>
      </c>
      <c r="I54" s="154" t="s">
        <v>501</v>
      </c>
      <c r="J54" s="153">
        <v>1269</v>
      </c>
      <c r="K54" s="154" t="s">
        <v>501</v>
      </c>
    </row>
    <row r="55" spans="1:11" s="142" customFormat="1" ht="12.75" customHeight="1" x14ac:dyDescent="0.25">
      <c r="A55" s="151"/>
      <c r="B55" s="152" t="s">
        <v>4</v>
      </c>
      <c r="C55" s="218"/>
      <c r="D55" s="153">
        <v>2328</v>
      </c>
      <c r="E55" s="154" t="s">
        <v>501</v>
      </c>
      <c r="F55" s="153">
        <v>972</v>
      </c>
      <c r="G55" s="154" t="s">
        <v>501</v>
      </c>
      <c r="H55" s="153" t="s">
        <v>546</v>
      </c>
      <c r="I55" s="154" t="s">
        <v>501</v>
      </c>
      <c r="J55" s="153">
        <v>1356</v>
      </c>
      <c r="K55" s="154" t="s">
        <v>501</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2016</v>
      </c>
      <c r="B57" s="152" t="s">
        <v>1</v>
      </c>
      <c r="C57" s="218"/>
      <c r="D57" s="153">
        <v>2263</v>
      </c>
      <c r="E57" s="154" t="s">
        <v>501</v>
      </c>
      <c r="F57" s="153">
        <v>1028</v>
      </c>
      <c r="G57" s="154" t="s">
        <v>501</v>
      </c>
      <c r="H57" s="153" t="s">
        <v>547</v>
      </c>
      <c r="I57" s="154" t="s">
        <v>501</v>
      </c>
      <c r="J57" s="153">
        <v>1235</v>
      </c>
      <c r="K57" s="154" t="s">
        <v>501</v>
      </c>
    </row>
    <row r="58" spans="1:11" s="142" customFormat="1" ht="12.75" customHeight="1" x14ac:dyDescent="0.25">
      <c r="A58" s="151"/>
      <c r="B58" s="152" t="s">
        <v>2</v>
      </c>
      <c r="C58" s="218"/>
      <c r="D58" s="153">
        <v>2420</v>
      </c>
      <c r="E58" s="154" t="s">
        <v>501</v>
      </c>
      <c r="F58" s="153">
        <v>1159</v>
      </c>
      <c r="G58" s="154" t="s">
        <v>501</v>
      </c>
      <c r="H58" s="153" t="s">
        <v>548</v>
      </c>
      <c r="I58" s="154" t="s">
        <v>501</v>
      </c>
      <c r="J58" s="153">
        <v>1261</v>
      </c>
      <c r="K58" s="154" t="s">
        <v>501</v>
      </c>
    </row>
    <row r="59" spans="1:11" s="142" customFormat="1" ht="12.75" customHeight="1" x14ac:dyDescent="0.25">
      <c r="A59" s="151"/>
      <c r="B59" s="152" t="s">
        <v>3</v>
      </c>
      <c r="C59" s="218"/>
      <c r="D59" s="153">
        <v>2460</v>
      </c>
      <c r="E59" s="154" t="s">
        <v>501</v>
      </c>
      <c r="F59" s="153">
        <v>1150</v>
      </c>
      <c r="G59" s="154" t="s">
        <v>501</v>
      </c>
      <c r="H59" s="153" t="s">
        <v>549</v>
      </c>
      <c r="I59" s="154" t="s">
        <v>501</v>
      </c>
      <c r="J59" s="153">
        <v>1310</v>
      </c>
      <c r="K59" s="154" t="s">
        <v>501</v>
      </c>
    </row>
    <row r="60" spans="1:11" s="142" customFormat="1" ht="12.75" customHeight="1" x14ac:dyDescent="0.25">
      <c r="A60" s="151"/>
      <c r="B60" s="152" t="s">
        <v>4</v>
      </c>
      <c r="C60" s="218"/>
      <c r="D60" s="153">
        <v>2636</v>
      </c>
      <c r="E60" s="154" t="s">
        <v>501</v>
      </c>
      <c r="F60" s="153">
        <v>1137</v>
      </c>
      <c r="G60" s="154" t="s">
        <v>501</v>
      </c>
      <c r="H60" s="153" t="s">
        <v>550</v>
      </c>
      <c r="I60" s="154" t="s">
        <v>501</v>
      </c>
      <c r="J60" s="153">
        <v>1499</v>
      </c>
      <c r="K60" s="154" t="s">
        <v>501</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2017</v>
      </c>
      <c r="B62" s="152" t="s">
        <v>1</v>
      </c>
      <c r="C62" s="218"/>
      <c r="D62" s="153">
        <v>2516</v>
      </c>
      <c r="E62" s="154" t="s">
        <v>501</v>
      </c>
      <c r="F62" s="153">
        <v>1116</v>
      </c>
      <c r="G62" s="154" t="s">
        <v>501</v>
      </c>
      <c r="H62" s="153" t="s">
        <v>551</v>
      </c>
      <c r="I62" s="154" t="s">
        <v>501</v>
      </c>
      <c r="J62" s="153">
        <v>1400</v>
      </c>
      <c r="K62" s="154" t="s">
        <v>501</v>
      </c>
    </row>
    <row r="63" spans="1:11" s="142" customFormat="1" ht="12.75" customHeight="1" x14ac:dyDescent="0.25">
      <c r="A63" s="151"/>
      <c r="B63" s="152" t="s">
        <v>2</v>
      </c>
      <c r="C63" s="218" t="s">
        <v>196</v>
      </c>
      <c r="D63" s="153">
        <v>2839</v>
      </c>
      <c r="E63" s="154" t="s">
        <v>501</v>
      </c>
      <c r="F63" s="153">
        <v>1289</v>
      </c>
      <c r="G63" s="154" t="s">
        <v>501</v>
      </c>
      <c r="H63" s="153" t="s">
        <v>552</v>
      </c>
      <c r="I63" s="154" t="s">
        <v>501</v>
      </c>
      <c r="J63" s="153">
        <v>1550</v>
      </c>
      <c r="K63" s="154" t="s">
        <v>501</v>
      </c>
    </row>
    <row r="64" spans="1:11" s="142" customFormat="1" ht="12.75" customHeight="1" x14ac:dyDescent="0.25">
      <c r="A64" s="151"/>
      <c r="B64" s="152" t="s">
        <v>3</v>
      </c>
      <c r="C64" s="218" t="s">
        <v>196</v>
      </c>
      <c r="D64" s="153">
        <v>2472</v>
      </c>
      <c r="E64" s="154" t="s">
        <v>501</v>
      </c>
      <c r="F64" s="153">
        <v>1124</v>
      </c>
      <c r="G64" s="154" t="s">
        <v>501</v>
      </c>
      <c r="H64" s="153" t="s">
        <v>553</v>
      </c>
      <c r="I64" s="154" t="s">
        <v>501</v>
      </c>
      <c r="J64" s="153">
        <v>1348</v>
      </c>
      <c r="K64" s="154" t="s">
        <v>501</v>
      </c>
    </row>
    <row r="65" spans="1:11" s="142" customFormat="1" ht="12.75" customHeight="1" x14ac:dyDescent="0.25">
      <c r="A65" s="152"/>
      <c r="B65" s="152" t="s">
        <v>4</v>
      </c>
      <c r="C65" s="218" t="s">
        <v>196</v>
      </c>
      <c r="D65" s="153">
        <v>2691</v>
      </c>
      <c r="E65" s="154" t="s">
        <v>501</v>
      </c>
      <c r="F65" s="153">
        <v>1089</v>
      </c>
      <c r="G65" s="154" t="s">
        <v>501</v>
      </c>
      <c r="H65" s="153" t="s">
        <v>554</v>
      </c>
      <c r="I65" s="154" t="s">
        <v>501</v>
      </c>
      <c r="J65" s="153">
        <v>1602</v>
      </c>
      <c r="K65" s="154" t="s">
        <v>501</v>
      </c>
    </row>
    <row r="66" spans="1:11" s="142" customFormat="1" ht="12.75" customHeight="1" x14ac:dyDescent="0.25">
      <c r="A66" s="151"/>
      <c r="B66" s="152"/>
      <c r="C66" s="218"/>
      <c r="D66" s="153"/>
      <c r="E66" s="154"/>
      <c r="F66" s="153"/>
      <c r="G66" s="154"/>
      <c r="H66" s="153"/>
      <c r="I66" s="154"/>
      <c r="J66" s="153"/>
      <c r="K66" s="154"/>
    </row>
    <row r="67" spans="1:11" s="142" customFormat="1" ht="12.75" customHeight="1" thickBot="1" x14ac:dyDescent="0.3">
      <c r="A67" s="152"/>
      <c r="B67" s="156"/>
      <c r="C67" s="219"/>
      <c r="D67" s="153"/>
      <c r="E67" s="154"/>
      <c r="F67" s="153"/>
      <c r="G67" s="154"/>
      <c r="H67" s="153"/>
      <c r="I67" s="154"/>
      <c r="J67" s="153"/>
      <c r="K67" s="154"/>
    </row>
    <row r="68" spans="1:11" s="142" customFormat="1" ht="12.75" customHeight="1" x14ac:dyDescent="0.2">
      <c r="A68" s="159" t="s">
        <v>502</v>
      </c>
      <c r="B68" s="159"/>
      <c r="C68" s="220"/>
      <c r="D68" s="159"/>
      <c r="E68" s="220"/>
      <c r="F68" s="159"/>
      <c r="G68" s="220"/>
      <c r="H68" s="159"/>
      <c r="I68" s="220"/>
      <c r="J68" s="159"/>
      <c r="K68" s="220"/>
    </row>
    <row r="69" spans="1:11" s="142" customFormat="1" ht="12.75" customHeight="1" x14ac:dyDescent="0.2">
      <c r="A69" s="160"/>
      <c r="B69" s="160"/>
      <c r="C69" s="161"/>
      <c r="D69" s="160"/>
      <c r="E69" s="161"/>
      <c r="F69" s="160"/>
      <c r="G69" s="161"/>
      <c r="H69" s="160"/>
      <c r="I69" s="161"/>
      <c r="J69" s="160"/>
      <c r="K69" s="161"/>
    </row>
    <row r="70" spans="1:11" s="142" customFormat="1" ht="12.75" hidden="1" customHeight="1" x14ac:dyDescent="0.2">
      <c r="A70" s="162">
        <v>2017</v>
      </c>
      <c r="B70" s="163" t="s">
        <v>3</v>
      </c>
      <c r="C70" s="221"/>
      <c r="D70" s="164" t="s">
        <v>121</v>
      </c>
      <c r="E70" s="161"/>
      <c r="F70" s="164" t="s">
        <v>121</v>
      </c>
      <c r="G70" s="161"/>
      <c r="H70" s="164" t="s">
        <v>121</v>
      </c>
      <c r="I70" s="161"/>
      <c r="J70" s="164" t="s">
        <v>121</v>
      </c>
      <c r="K70" s="161"/>
    </row>
    <row r="71" spans="1:11" s="142" customFormat="1" ht="12.75" hidden="1" customHeight="1" x14ac:dyDescent="0.2">
      <c r="A71" s="165"/>
      <c r="B71" s="166"/>
      <c r="C71" s="222"/>
      <c r="D71" s="167"/>
      <c r="E71" s="280"/>
      <c r="F71" s="167"/>
      <c r="G71" s="280"/>
      <c r="H71" s="167"/>
      <c r="I71" s="280"/>
      <c r="J71" s="167"/>
      <c r="K71" s="280"/>
    </row>
    <row r="72" spans="1:11" s="142" customFormat="1" ht="12.75" customHeight="1" thickBot="1" x14ac:dyDescent="0.25">
      <c r="A72" s="157">
        <v>2016</v>
      </c>
      <c r="B72" s="158" t="s">
        <v>4</v>
      </c>
      <c r="C72" s="223"/>
      <c r="D72" s="168">
        <v>2.0864946889226132</v>
      </c>
      <c r="E72" s="281"/>
      <c r="F72" s="168">
        <v>-4.2216358839050176</v>
      </c>
      <c r="G72" s="281"/>
      <c r="H72" s="168">
        <v>7.4074074074074181</v>
      </c>
      <c r="I72" s="281"/>
      <c r="J72" s="168">
        <v>6.8712474983322114</v>
      </c>
      <c r="K72" s="281"/>
    </row>
    <row r="73" spans="1:11" s="169" customFormat="1" ht="12.75" customHeight="1" x14ac:dyDescent="0.2">
      <c r="A73" s="343"/>
      <c r="B73" s="343"/>
      <c r="C73" s="343"/>
      <c r="D73" s="343"/>
      <c r="E73" s="343"/>
      <c r="F73" s="343"/>
      <c r="G73" s="343"/>
      <c r="H73" s="343"/>
      <c r="I73" s="343"/>
      <c r="J73" s="343"/>
      <c r="K73" s="343"/>
    </row>
    <row r="74" spans="1:11" s="169" customFormat="1" ht="12.75" customHeight="1" x14ac:dyDescent="0.2">
      <c r="A74" s="338" t="s">
        <v>267</v>
      </c>
      <c r="B74" s="338"/>
      <c r="C74" s="338"/>
      <c r="D74" s="338"/>
      <c r="E74" s="338"/>
      <c r="F74" s="338"/>
      <c r="G74" s="338"/>
      <c r="H74" s="338"/>
      <c r="I74" s="338"/>
      <c r="J74" s="338"/>
      <c r="K74" s="338"/>
    </row>
    <row r="75" spans="1:11" s="170" customFormat="1" ht="75" customHeight="1" x14ac:dyDescent="0.3">
      <c r="A75" s="338" t="s">
        <v>268</v>
      </c>
      <c r="B75" s="338"/>
      <c r="C75" s="338"/>
      <c r="D75" s="338"/>
      <c r="E75" s="338"/>
      <c r="F75" s="338"/>
      <c r="G75" s="338"/>
      <c r="H75" s="338"/>
      <c r="I75" s="338"/>
      <c r="J75" s="338"/>
      <c r="K75" s="338"/>
    </row>
    <row r="76" spans="1:11" s="170" customFormat="1" ht="90" customHeight="1" x14ac:dyDescent="0.3">
      <c r="A76" s="338" t="s">
        <v>396</v>
      </c>
      <c r="B76" s="338"/>
      <c r="C76" s="338"/>
      <c r="D76" s="338"/>
      <c r="E76" s="338"/>
      <c r="F76" s="338"/>
      <c r="G76" s="338"/>
      <c r="H76" s="338"/>
      <c r="I76" s="338"/>
      <c r="J76" s="338"/>
      <c r="K76" s="338"/>
    </row>
    <row r="77" spans="1:11" s="171" customFormat="1" ht="27.75" customHeight="1" x14ac:dyDescent="0.3">
      <c r="A77" s="338"/>
      <c r="B77" s="338"/>
      <c r="C77" s="338"/>
      <c r="D77" s="338"/>
      <c r="E77" s="338"/>
      <c r="F77" s="338"/>
      <c r="G77" s="338"/>
      <c r="H77" s="338"/>
      <c r="I77" s="338"/>
      <c r="J77" s="338"/>
      <c r="K77" s="338"/>
    </row>
    <row r="78" spans="1:11" ht="12.75" customHeight="1" x14ac:dyDescent="0.3">
      <c r="A78" s="338"/>
      <c r="B78" s="338"/>
      <c r="C78" s="338"/>
      <c r="D78" s="338"/>
      <c r="E78" s="338"/>
      <c r="F78" s="338"/>
      <c r="G78" s="338"/>
      <c r="H78" s="338"/>
      <c r="I78" s="338"/>
      <c r="J78" s="338"/>
      <c r="K78" s="338"/>
    </row>
    <row r="79" spans="1:11" ht="12.75" customHeight="1" x14ac:dyDescent="0.3">
      <c r="A79" s="338"/>
      <c r="B79" s="338"/>
      <c r="C79" s="338"/>
      <c r="D79" s="338"/>
      <c r="E79" s="338"/>
      <c r="F79" s="338"/>
      <c r="G79" s="338"/>
      <c r="H79" s="338"/>
      <c r="I79" s="338"/>
      <c r="J79" s="338"/>
      <c r="K79" s="338"/>
    </row>
    <row r="80" spans="1:11" ht="12.75" customHeight="1" x14ac:dyDescent="0.3">
      <c r="A80" s="338"/>
      <c r="B80" s="338"/>
      <c r="C80" s="338"/>
      <c r="D80" s="338"/>
      <c r="E80" s="338"/>
      <c r="F80" s="338"/>
      <c r="G80" s="338"/>
      <c r="H80" s="338"/>
      <c r="I80" s="338"/>
      <c r="J80" s="338"/>
      <c r="K80" s="338"/>
    </row>
    <row r="81" spans="1:11" ht="12.75" customHeight="1" x14ac:dyDescent="0.3">
      <c r="A81" s="338"/>
      <c r="B81" s="338"/>
      <c r="C81" s="338"/>
      <c r="D81" s="338"/>
      <c r="E81" s="338"/>
      <c r="F81" s="338"/>
      <c r="G81" s="338"/>
      <c r="H81" s="338"/>
      <c r="I81" s="338"/>
      <c r="J81" s="338"/>
      <c r="K81" s="338"/>
    </row>
    <row r="82" spans="1:11" ht="12.75" customHeight="1" x14ac:dyDescent="0.3">
      <c r="A82" s="338"/>
      <c r="B82" s="338"/>
      <c r="C82" s="338"/>
      <c r="D82" s="338"/>
      <c r="E82" s="338"/>
      <c r="F82" s="338"/>
      <c r="G82" s="338"/>
      <c r="H82" s="338"/>
      <c r="I82" s="338"/>
      <c r="J82" s="338"/>
      <c r="K82" s="338"/>
    </row>
    <row r="83" spans="1:11" ht="12.75" customHeight="1" x14ac:dyDescent="0.3">
      <c r="A83" s="338"/>
      <c r="B83" s="338"/>
      <c r="C83" s="338"/>
      <c r="D83" s="338"/>
      <c r="E83" s="338"/>
      <c r="F83" s="338"/>
      <c r="G83" s="338"/>
      <c r="H83" s="338"/>
      <c r="I83" s="338"/>
      <c r="J83" s="338"/>
      <c r="K83" s="338"/>
    </row>
  </sheetData>
  <dataConsolidate/>
  <mergeCells count="15">
    <mergeCell ref="J4:K4"/>
    <mergeCell ref="D5:E5"/>
    <mergeCell ref="J5:K5"/>
    <mergeCell ref="A73:K73"/>
    <mergeCell ref="A80:K80"/>
    <mergeCell ref="A81:K81"/>
    <mergeCell ref="A82:K82"/>
    <mergeCell ref="A83:K83"/>
    <mergeCell ref="F5:I5"/>
    <mergeCell ref="A74:K74"/>
    <mergeCell ref="A75:K75"/>
    <mergeCell ref="A76:K76"/>
    <mergeCell ref="A77:K77"/>
    <mergeCell ref="A78:K78"/>
    <mergeCell ref="A79:K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80"/>
  <sheetViews>
    <sheetView showGridLines="0" topLeftCell="A3" zoomScaleNormal="100" workbookViewId="0">
      <pane xSplit="3" ySplit="5" topLeftCell="D8" activePane="bottomRight" state="frozen"/>
      <selection activeCell="CS201" sqref="CS201"/>
      <selection pane="topRight" activeCell="CS201" sqref="CS201"/>
      <selection pane="bottomLeft" activeCell="CS201" sqref="CS201"/>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1.28515625" style="172" customWidth="1"/>
    <col min="11" max="11" width="3.85546875" style="174" customWidth="1"/>
    <col min="12" max="12" width="11.28515625" style="172" customWidth="1"/>
    <col min="13" max="13" width="3.85546875" style="174" customWidth="1"/>
    <col min="14" max="14" width="11.28515625" style="172"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192</v>
      </c>
      <c r="B4" s="190"/>
      <c r="C4" s="190"/>
      <c r="D4" s="135" t="s">
        <v>401</v>
      </c>
      <c r="E4" s="133"/>
      <c r="F4" s="132"/>
      <c r="G4" s="133"/>
      <c r="H4" s="132"/>
      <c r="I4" s="133"/>
      <c r="J4" s="132"/>
      <c r="K4" s="133"/>
      <c r="L4" s="132"/>
      <c r="M4" s="133"/>
      <c r="N4" s="132"/>
      <c r="O4" s="133"/>
    </row>
    <row r="5" spans="1:15" s="136" customFormat="1" ht="17.25" x14ac:dyDescent="0.3">
      <c r="A5" s="189" t="s">
        <v>153</v>
      </c>
      <c r="B5" s="186"/>
      <c r="C5" s="186"/>
      <c r="D5" s="187" t="s">
        <v>190</v>
      </c>
      <c r="E5" s="282"/>
      <c r="F5" s="187"/>
      <c r="G5" s="282"/>
      <c r="H5" s="187"/>
      <c r="I5" s="282"/>
      <c r="J5" s="187"/>
      <c r="K5" s="282"/>
      <c r="L5" s="187"/>
      <c r="M5" s="282"/>
      <c r="N5" s="187"/>
      <c r="O5" s="282"/>
    </row>
    <row r="6" spans="1:15" ht="10.5" customHeight="1" thickBot="1" x14ac:dyDescent="0.35">
      <c r="A6" s="137"/>
      <c r="B6" s="137"/>
      <c r="C6" s="137"/>
      <c r="D6" s="137"/>
      <c r="E6" s="214"/>
      <c r="F6" s="137"/>
      <c r="G6" s="214"/>
      <c r="H6" s="137"/>
      <c r="I6" s="214"/>
      <c r="J6" s="137"/>
      <c r="K6" s="214"/>
      <c r="L6" s="137"/>
      <c r="M6" s="214"/>
      <c r="N6" s="137"/>
      <c r="O6" s="214"/>
    </row>
    <row r="7" spans="1:15" s="141" customFormat="1" ht="60" customHeight="1" thickBot="1" x14ac:dyDescent="0.35">
      <c r="A7" s="226"/>
      <c r="B7" s="227" t="s">
        <v>140</v>
      </c>
      <c r="C7" s="227"/>
      <c r="D7" s="340" t="s">
        <v>416</v>
      </c>
      <c r="E7" s="340"/>
      <c r="F7" s="342" t="s">
        <v>417</v>
      </c>
      <c r="G7" s="342"/>
      <c r="H7" s="342" t="s">
        <v>418</v>
      </c>
      <c r="I7" s="342"/>
      <c r="J7" s="342" t="s">
        <v>421</v>
      </c>
      <c r="K7" s="342"/>
      <c r="L7" s="342" t="s">
        <v>423</v>
      </c>
      <c r="M7" s="342"/>
      <c r="N7" s="342" t="s">
        <v>422</v>
      </c>
      <c r="O7" s="342"/>
    </row>
    <row r="8" spans="1:15" s="146" customFormat="1" ht="15" x14ac:dyDescent="0.25">
      <c r="A8" s="143">
        <v>2008</v>
      </c>
      <c r="B8" s="143"/>
      <c r="C8" s="212"/>
      <c r="D8" s="144" t="s">
        <v>67</v>
      </c>
      <c r="E8" s="145" t="s">
        <v>501</v>
      </c>
      <c r="F8" s="144">
        <v>158</v>
      </c>
      <c r="G8" s="145" t="s">
        <v>501</v>
      </c>
      <c r="H8" s="144">
        <v>51</v>
      </c>
      <c r="I8" s="145" t="s">
        <v>501</v>
      </c>
      <c r="J8" s="144" t="s">
        <v>67</v>
      </c>
      <c r="K8" s="145" t="s">
        <v>501</v>
      </c>
      <c r="L8" s="144" t="s">
        <v>67</v>
      </c>
      <c r="M8" s="145" t="s">
        <v>501</v>
      </c>
      <c r="N8" s="144" t="s">
        <v>67</v>
      </c>
      <c r="O8" s="145" t="s">
        <v>501</v>
      </c>
    </row>
    <row r="9" spans="1:15" s="146" customFormat="1" ht="12.75" customHeight="1" x14ac:dyDescent="0.25">
      <c r="A9" s="143">
        <v>2009</v>
      </c>
      <c r="B9" s="143"/>
      <c r="C9" s="212"/>
      <c r="D9" s="144" t="s">
        <v>67</v>
      </c>
      <c r="E9" s="145" t="s">
        <v>501</v>
      </c>
      <c r="F9" s="144">
        <v>164</v>
      </c>
      <c r="G9" s="145" t="s">
        <v>501</v>
      </c>
      <c r="H9" s="144">
        <v>86</v>
      </c>
      <c r="I9" s="145" t="s">
        <v>501</v>
      </c>
      <c r="J9" s="144" t="s">
        <v>67</v>
      </c>
      <c r="K9" s="145" t="s">
        <v>501</v>
      </c>
      <c r="L9" s="144" t="s">
        <v>67</v>
      </c>
      <c r="M9" s="145" t="s">
        <v>501</v>
      </c>
      <c r="N9" s="144" t="s">
        <v>67</v>
      </c>
      <c r="O9" s="145" t="s">
        <v>501</v>
      </c>
    </row>
    <row r="10" spans="1:15" s="146" customFormat="1" ht="12.75" customHeight="1" x14ac:dyDescent="0.25">
      <c r="A10" s="143">
        <v>2010</v>
      </c>
      <c r="B10" s="143"/>
      <c r="C10" s="212"/>
      <c r="D10" s="144">
        <v>495</v>
      </c>
      <c r="E10" s="145" t="s">
        <v>501</v>
      </c>
      <c r="F10" s="144">
        <v>250</v>
      </c>
      <c r="G10" s="145" t="s">
        <v>501</v>
      </c>
      <c r="H10" s="144">
        <v>117</v>
      </c>
      <c r="I10" s="145" t="s">
        <v>501</v>
      </c>
      <c r="J10" s="144">
        <v>78</v>
      </c>
      <c r="K10" s="145" t="s">
        <v>501</v>
      </c>
      <c r="L10" s="144">
        <v>42</v>
      </c>
      <c r="M10" s="145" t="s">
        <v>501</v>
      </c>
      <c r="N10" s="144">
        <v>8</v>
      </c>
      <c r="O10" s="145" t="s">
        <v>501</v>
      </c>
    </row>
    <row r="11" spans="1:15" s="146" customFormat="1" ht="12.75" customHeight="1" x14ac:dyDescent="0.25">
      <c r="A11" s="143">
        <v>2011</v>
      </c>
      <c r="B11" s="143"/>
      <c r="C11" s="212"/>
      <c r="D11" s="144">
        <v>437</v>
      </c>
      <c r="E11" s="145" t="s">
        <v>501</v>
      </c>
      <c r="F11" s="144">
        <v>208</v>
      </c>
      <c r="G11" s="145" t="s">
        <v>501</v>
      </c>
      <c r="H11" s="144">
        <v>116</v>
      </c>
      <c r="I11" s="145" t="s">
        <v>501</v>
      </c>
      <c r="J11" s="144">
        <v>68</v>
      </c>
      <c r="K11" s="145" t="s">
        <v>501</v>
      </c>
      <c r="L11" s="144">
        <v>26</v>
      </c>
      <c r="M11" s="145" t="s">
        <v>501</v>
      </c>
      <c r="N11" s="144">
        <v>19</v>
      </c>
      <c r="O11" s="145" t="s">
        <v>501</v>
      </c>
    </row>
    <row r="12" spans="1:15" s="146" customFormat="1" ht="12.75" customHeight="1" x14ac:dyDescent="0.25">
      <c r="A12" s="143">
        <v>2012</v>
      </c>
      <c r="B12" s="143"/>
      <c r="C12" s="212"/>
      <c r="D12" s="144">
        <v>526</v>
      </c>
      <c r="E12" s="145" t="s">
        <v>501</v>
      </c>
      <c r="F12" s="144">
        <v>252</v>
      </c>
      <c r="G12" s="145" t="s">
        <v>501</v>
      </c>
      <c r="H12" s="144">
        <v>136</v>
      </c>
      <c r="I12" s="145" t="s">
        <v>501</v>
      </c>
      <c r="J12" s="144">
        <v>83</v>
      </c>
      <c r="K12" s="145" t="s">
        <v>501</v>
      </c>
      <c r="L12" s="144">
        <v>41</v>
      </c>
      <c r="M12" s="145" t="s">
        <v>501</v>
      </c>
      <c r="N12" s="144">
        <v>14</v>
      </c>
      <c r="O12" s="145" t="s">
        <v>501</v>
      </c>
    </row>
    <row r="13" spans="1:15" s="146" customFormat="1" ht="12.75" customHeight="1" x14ac:dyDescent="0.25">
      <c r="A13" s="143">
        <v>2013</v>
      </c>
      <c r="B13" s="143"/>
      <c r="C13" s="212"/>
      <c r="D13" s="144">
        <v>357</v>
      </c>
      <c r="E13" s="145" t="s">
        <v>501</v>
      </c>
      <c r="F13" s="144">
        <v>178</v>
      </c>
      <c r="G13" s="145" t="s">
        <v>501</v>
      </c>
      <c r="H13" s="144">
        <v>98</v>
      </c>
      <c r="I13" s="145" t="s">
        <v>501</v>
      </c>
      <c r="J13" s="144">
        <v>47</v>
      </c>
      <c r="K13" s="145" t="s">
        <v>501</v>
      </c>
      <c r="L13" s="144">
        <v>33</v>
      </c>
      <c r="M13" s="145" t="s">
        <v>501</v>
      </c>
      <c r="N13" s="144">
        <v>1</v>
      </c>
      <c r="O13" s="145" t="s">
        <v>501</v>
      </c>
    </row>
    <row r="14" spans="1:15" s="146" customFormat="1" ht="12.75" customHeight="1" x14ac:dyDescent="0.25">
      <c r="A14" s="143">
        <v>2014</v>
      </c>
      <c r="B14" s="143"/>
      <c r="C14" s="212"/>
      <c r="D14" s="144">
        <v>380</v>
      </c>
      <c r="E14" s="145" t="s">
        <v>501</v>
      </c>
      <c r="F14" s="144">
        <v>221</v>
      </c>
      <c r="G14" s="145" t="s">
        <v>501</v>
      </c>
      <c r="H14" s="144">
        <v>90</v>
      </c>
      <c r="I14" s="145" t="s">
        <v>501</v>
      </c>
      <c r="J14" s="144">
        <v>29</v>
      </c>
      <c r="K14" s="145" t="s">
        <v>501</v>
      </c>
      <c r="L14" s="144">
        <v>37</v>
      </c>
      <c r="M14" s="145" t="s">
        <v>501</v>
      </c>
      <c r="N14" s="144">
        <v>3</v>
      </c>
      <c r="O14" s="145" t="s">
        <v>501</v>
      </c>
    </row>
    <row r="15" spans="1:15" s="146" customFormat="1" ht="12.75" customHeight="1" x14ac:dyDescent="0.25">
      <c r="A15" s="143">
        <v>2015</v>
      </c>
      <c r="B15" s="143"/>
      <c r="C15" s="212"/>
      <c r="D15" s="144">
        <v>378</v>
      </c>
      <c r="E15" s="145" t="s">
        <v>501</v>
      </c>
      <c r="F15" s="144">
        <v>225</v>
      </c>
      <c r="G15" s="145" t="s">
        <v>501</v>
      </c>
      <c r="H15" s="144">
        <v>76</v>
      </c>
      <c r="I15" s="145" t="s">
        <v>501</v>
      </c>
      <c r="J15" s="144">
        <v>35</v>
      </c>
      <c r="K15" s="145" t="s">
        <v>501</v>
      </c>
      <c r="L15" s="144">
        <v>39</v>
      </c>
      <c r="M15" s="145" t="s">
        <v>501</v>
      </c>
      <c r="N15" s="144">
        <v>3</v>
      </c>
      <c r="O15" s="145" t="s">
        <v>501</v>
      </c>
    </row>
    <row r="16" spans="1:15" s="146" customFormat="1" ht="12.75" customHeight="1" x14ac:dyDescent="0.25">
      <c r="A16" s="143">
        <v>2016</v>
      </c>
      <c r="B16" s="143"/>
      <c r="C16" s="212"/>
      <c r="D16" s="144">
        <v>395</v>
      </c>
      <c r="E16" s="145" t="s">
        <v>279</v>
      </c>
      <c r="F16" s="144">
        <v>243</v>
      </c>
      <c r="G16" s="145" t="s">
        <v>501</v>
      </c>
      <c r="H16" s="144">
        <v>89</v>
      </c>
      <c r="I16" s="145" t="s">
        <v>501</v>
      </c>
      <c r="J16" s="144">
        <v>32</v>
      </c>
      <c r="K16" s="145" t="s">
        <v>501</v>
      </c>
      <c r="L16" s="144">
        <v>27</v>
      </c>
      <c r="M16" s="145" t="s">
        <v>279</v>
      </c>
      <c r="N16" s="144">
        <v>4</v>
      </c>
      <c r="O16" s="145" t="s">
        <v>501</v>
      </c>
    </row>
    <row r="17" spans="1:15" s="146" customFormat="1" ht="12.75" customHeight="1" x14ac:dyDescent="0.25">
      <c r="A17" s="143">
        <v>2017</v>
      </c>
      <c r="B17" s="212" t="s">
        <v>196</v>
      </c>
      <c r="D17" s="144">
        <v>302</v>
      </c>
      <c r="E17" s="145" t="s">
        <v>501</v>
      </c>
      <c r="F17" s="144">
        <v>200</v>
      </c>
      <c r="G17" s="145" t="s">
        <v>501</v>
      </c>
      <c r="H17" s="144">
        <v>66</v>
      </c>
      <c r="I17" s="145" t="s">
        <v>501</v>
      </c>
      <c r="J17" s="144">
        <v>12</v>
      </c>
      <c r="K17" s="145" t="s">
        <v>501</v>
      </c>
      <c r="L17" s="144">
        <v>23</v>
      </c>
      <c r="M17" s="145" t="s">
        <v>501</v>
      </c>
      <c r="N17" s="144">
        <v>1</v>
      </c>
      <c r="O17" s="145" t="s">
        <v>501</v>
      </c>
    </row>
    <row r="18" spans="1:15" s="142" customFormat="1" ht="12.75" customHeight="1" x14ac:dyDescent="0.25">
      <c r="A18" s="148"/>
      <c r="B18" s="148"/>
      <c r="C18" s="217"/>
      <c r="D18" s="319"/>
      <c r="E18" s="154"/>
      <c r="F18" s="319"/>
      <c r="G18" s="154"/>
      <c r="H18" s="319"/>
      <c r="I18" s="320"/>
      <c r="J18" s="319"/>
      <c r="K18" s="320"/>
      <c r="L18" s="319"/>
      <c r="M18" s="320"/>
      <c r="N18" s="319"/>
      <c r="O18" s="154"/>
    </row>
    <row r="19" spans="1:15" s="142" customFormat="1" ht="12.75" customHeight="1" x14ac:dyDescent="0.25">
      <c r="A19" s="151">
        <v>2008</v>
      </c>
      <c r="B19" s="152" t="s">
        <v>1</v>
      </c>
      <c r="C19" s="218"/>
      <c r="D19" s="153" t="s">
        <v>67</v>
      </c>
      <c r="E19" s="154" t="s">
        <v>501</v>
      </c>
      <c r="F19" s="153">
        <v>37</v>
      </c>
      <c r="G19" s="154" t="s">
        <v>501</v>
      </c>
      <c r="H19" s="153">
        <v>5</v>
      </c>
      <c r="I19" s="154" t="s">
        <v>501</v>
      </c>
      <c r="J19" s="153" t="s">
        <v>67</v>
      </c>
      <c r="K19" s="154" t="s">
        <v>501</v>
      </c>
      <c r="L19" s="153" t="s">
        <v>67</v>
      </c>
      <c r="M19" s="154" t="s">
        <v>501</v>
      </c>
      <c r="N19" s="153" t="s">
        <v>67</v>
      </c>
      <c r="O19" s="154" t="s">
        <v>501</v>
      </c>
    </row>
    <row r="20" spans="1:15" s="142" customFormat="1" ht="12.75" customHeight="1" x14ac:dyDescent="0.25">
      <c r="A20" s="151"/>
      <c r="B20" s="152" t="s">
        <v>2</v>
      </c>
      <c r="C20" s="218"/>
      <c r="D20" s="153" t="s">
        <v>67</v>
      </c>
      <c r="E20" s="154" t="s">
        <v>501</v>
      </c>
      <c r="F20" s="153">
        <v>42</v>
      </c>
      <c r="G20" s="154" t="s">
        <v>501</v>
      </c>
      <c r="H20" s="153">
        <v>15</v>
      </c>
      <c r="I20" s="154" t="s">
        <v>501</v>
      </c>
      <c r="J20" s="153" t="s">
        <v>67</v>
      </c>
      <c r="K20" s="154" t="s">
        <v>501</v>
      </c>
      <c r="L20" s="153" t="s">
        <v>67</v>
      </c>
      <c r="M20" s="154" t="s">
        <v>501</v>
      </c>
      <c r="N20" s="153" t="s">
        <v>67</v>
      </c>
      <c r="O20" s="154" t="s">
        <v>501</v>
      </c>
    </row>
    <row r="21" spans="1:15" s="142" customFormat="1" ht="12.75" customHeight="1" x14ac:dyDescent="0.25">
      <c r="A21" s="151"/>
      <c r="B21" s="152" t="s">
        <v>3</v>
      </c>
      <c r="C21" s="218"/>
      <c r="D21" s="153" t="s">
        <v>67</v>
      </c>
      <c r="E21" s="154" t="s">
        <v>501</v>
      </c>
      <c r="F21" s="153">
        <v>27</v>
      </c>
      <c r="G21" s="154" t="s">
        <v>501</v>
      </c>
      <c r="H21" s="153">
        <v>17</v>
      </c>
      <c r="I21" s="154" t="s">
        <v>501</v>
      </c>
      <c r="J21" s="153" t="s">
        <v>67</v>
      </c>
      <c r="K21" s="154" t="s">
        <v>501</v>
      </c>
      <c r="L21" s="153" t="s">
        <v>67</v>
      </c>
      <c r="M21" s="154" t="s">
        <v>501</v>
      </c>
      <c r="N21" s="153" t="s">
        <v>67</v>
      </c>
      <c r="O21" s="154" t="s">
        <v>501</v>
      </c>
    </row>
    <row r="22" spans="1:15" s="142" customFormat="1" ht="12.75" customHeight="1" x14ac:dyDescent="0.25">
      <c r="A22" s="151"/>
      <c r="B22" s="152" t="s">
        <v>4</v>
      </c>
      <c r="C22" s="218"/>
      <c r="D22" s="153" t="s">
        <v>67</v>
      </c>
      <c r="E22" s="154" t="s">
        <v>501</v>
      </c>
      <c r="F22" s="153">
        <v>52</v>
      </c>
      <c r="G22" s="154" t="s">
        <v>501</v>
      </c>
      <c r="H22" s="153">
        <v>14</v>
      </c>
      <c r="I22" s="154" t="s">
        <v>501</v>
      </c>
      <c r="J22" s="153" t="s">
        <v>67</v>
      </c>
      <c r="K22" s="154" t="s">
        <v>501</v>
      </c>
      <c r="L22" s="153" t="s">
        <v>67</v>
      </c>
      <c r="M22" s="154" t="s">
        <v>501</v>
      </c>
      <c r="N22" s="153" t="s">
        <v>67</v>
      </c>
      <c r="O22" s="154" t="s">
        <v>501</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2009</v>
      </c>
      <c r="B24" s="152" t="s">
        <v>1</v>
      </c>
      <c r="C24" s="218"/>
      <c r="D24" s="153" t="s">
        <v>67</v>
      </c>
      <c r="E24" s="154" t="s">
        <v>501</v>
      </c>
      <c r="F24" s="153">
        <v>34</v>
      </c>
      <c r="G24" s="154" t="s">
        <v>501</v>
      </c>
      <c r="H24" s="153">
        <v>23</v>
      </c>
      <c r="I24" s="154" t="s">
        <v>501</v>
      </c>
      <c r="J24" s="153" t="s">
        <v>67</v>
      </c>
      <c r="K24" s="154" t="s">
        <v>501</v>
      </c>
      <c r="L24" s="153" t="s">
        <v>67</v>
      </c>
      <c r="M24" s="154" t="s">
        <v>501</v>
      </c>
      <c r="N24" s="153" t="s">
        <v>67</v>
      </c>
      <c r="O24" s="154" t="s">
        <v>501</v>
      </c>
    </row>
    <row r="25" spans="1:15" s="142" customFormat="1" ht="12.75" customHeight="1" x14ac:dyDescent="0.25">
      <c r="A25" s="151"/>
      <c r="B25" s="152" t="s">
        <v>2</v>
      </c>
      <c r="C25" s="218"/>
      <c r="D25" s="153" t="s">
        <v>67</v>
      </c>
      <c r="E25" s="154" t="s">
        <v>501</v>
      </c>
      <c r="F25" s="153">
        <v>46</v>
      </c>
      <c r="G25" s="154" t="s">
        <v>501</v>
      </c>
      <c r="H25" s="153">
        <v>19</v>
      </c>
      <c r="I25" s="154" t="s">
        <v>501</v>
      </c>
      <c r="J25" s="153" t="s">
        <v>67</v>
      </c>
      <c r="K25" s="154" t="s">
        <v>501</v>
      </c>
      <c r="L25" s="153" t="s">
        <v>67</v>
      </c>
      <c r="M25" s="154" t="s">
        <v>501</v>
      </c>
      <c r="N25" s="153" t="s">
        <v>67</v>
      </c>
      <c r="O25" s="154" t="s">
        <v>501</v>
      </c>
    </row>
    <row r="26" spans="1:15" s="142" customFormat="1" ht="12.75" customHeight="1" x14ac:dyDescent="0.25">
      <c r="A26" s="151"/>
      <c r="B26" s="152" t="s">
        <v>3</v>
      </c>
      <c r="C26" s="218"/>
      <c r="D26" s="153" t="s">
        <v>67</v>
      </c>
      <c r="E26" s="154" t="s">
        <v>501</v>
      </c>
      <c r="F26" s="153">
        <v>27</v>
      </c>
      <c r="G26" s="154" t="s">
        <v>501</v>
      </c>
      <c r="H26" s="153">
        <v>24</v>
      </c>
      <c r="I26" s="154" t="s">
        <v>501</v>
      </c>
      <c r="J26" s="153" t="s">
        <v>67</v>
      </c>
      <c r="K26" s="154" t="s">
        <v>501</v>
      </c>
      <c r="L26" s="153" t="s">
        <v>67</v>
      </c>
      <c r="M26" s="154" t="s">
        <v>501</v>
      </c>
      <c r="N26" s="153" t="s">
        <v>67</v>
      </c>
      <c r="O26" s="154" t="s">
        <v>501</v>
      </c>
    </row>
    <row r="27" spans="1:15" s="142" customFormat="1" ht="12.75" customHeight="1" x14ac:dyDescent="0.25">
      <c r="A27" s="151"/>
      <c r="B27" s="152" t="s">
        <v>4</v>
      </c>
      <c r="C27" s="218"/>
      <c r="D27" s="153">
        <v>98</v>
      </c>
      <c r="E27" s="154" t="s">
        <v>501</v>
      </c>
      <c r="F27" s="153">
        <v>57</v>
      </c>
      <c r="G27" s="154" t="s">
        <v>501</v>
      </c>
      <c r="H27" s="153">
        <v>20</v>
      </c>
      <c r="I27" s="154" t="s">
        <v>501</v>
      </c>
      <c r="J27" s="153">
        <v>11</v>
      </c>
      <c r="K27" s="154" t="s">
        <v>501</v>
      </c>
      <c r="L27" s="153">
        <v>10</v>
      </c>
      <c r="M27" s="154" t="s">
        <v>501</v>
      </c>
      <c r="N27" s="153">
        <v>0</v>
      </c>
      <c r="O27" s="154" t="s">
        <v>501</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2010</v>
      </c>
      <c r="B29" s="152" t="s">
        <v>1</v>
      </c>
      <c r="C29" s="218"/>
      <c r="D29" s="153">
        <v>115</v>
      </c>
      <c r="E29" s="154" t="s">
        <v>501</v>
      </c>
      <c r="F29" s="153">
        <v>49</v>
      </c>
      <c r="G29" s="154" t="s">
        <v>501</v>
      </c>
      <c r="H29" s="153">
        <v>41</v>
      </c>
      <c r="I29" s="154" t="s">
        <v>501</v>
      </c>
      <c r="J29" s="153">
        <v>17</v>
      </c>
      <c r="K29" s="154" t="s">
        <v>501</v>
      </c>
      <c r="L29" s="153">
        <v>7</v>
      </c>
      <c r="M29" s="154" t="s">
        <v>501</v>
      </c>
      <c r="N29" s="153">
        <v>1</v>
      </c>
      <c r="O29" s="154" t="s">
        <v>501</v>
      </c>
    </row>
    <row r="30" spans="1:15" s="142" customFormat="1" ht="12.75" customHeight="1" x14ac:dyDescent="0.25">
      <c r="A30" s="151"/>
      <c r="B30" s="152" t="s">
        <v>2</v>
      </c>
      <c r="C30" s="218"/>
      <c r="D30" s="153">
        <v>143</v>
      </c>
      <c r="E30" s="154" t="s">
        <v>501</v>
      </c>
      <c r="F30" s="153">
        <v>92</v>
      </c>
      <c r="G30" s="154" t="s">
        <v>501</v>
      </c>
      <c r="H30" s="153">
        <v>24</v>
      </c>
      <c r="I30" s="154" t="s">
        <v>501</v>
      </c>
      <c r="J30" s="153">
        <v>16</v>
      </c>
      <c r="K30" s="154" t="s">
        <v>501</v>
      </c>
      <c r="L30" s="153">
        <v>10</v>
      </c>
      <c r="M30" s="154" t="s">
        <v>501</v>
      </c>
      <c r="N30" s="153">
        <v>1</v>
      </c>
      <c r="O30" s="154" t="s">
        <v>501</v>
      </c>
    </row>
    <row r="31" spans="1:15" s="142" customFormat="1" ht="12.75" customHeight="1" x14ac:dyDescent="0.25">
      <c r="A31" s="151"/>
      <c r="B31" s="152" t="s">
        <v>3</v>
      </c>
      <c r="C31" s="218"/>
      <c r="D31" s="153">
        <v>97</v>
      </c>
      <c r="E31" s="154" t="s">
        <v>501</v>
      </c>
      <c r="F31" s="153">
        <v>55</v>
      </c>
      <c r="G31" s="154" t="s">
        <v>501</v>
      </c>
      <c r="H31" s="153">
        <v>24</v>
      </c>
      <c r="I31" s="154" t="s">
        <v>501</v>
      </c>
      <c r="J31" s="153">
        <v>11</v>
      </c>
      <c r="K31" s="154" t="s">
        <v>501</v>
      </c>
      <c r="L31" s="153">
        <v>6</v>
      </c>
      <c r="M31" s="154" t="s">
        <v>501</v>
      </c>
      <c r="N31" s="153">
        <v>1</v>
      </c>
      <c r="O31" s="154" t="s">
        <v>501</v>
      </c>
    </row>
    <row r="32" spans="1:15" s="142" customFormat="1" ht="12.75" customHeight="1" x14ac:dyDescent="0.25">
      <c r="A32" s="151"/>
      <c r="B32" s="152" t="s">
        <v>4</v>
      </c>
      <c r="C32" s="218"/>
      <c r="D32" s="153">
        <v>140</v>
      </c>
      <c r="E32" s="154" t="s">
        <v>501</v>
      </c>
      <c r="F32" s="153">
        <v>54</v>
      </c>
      <c r="G32" s="154" t="s">
        <v>501</v>
      </c>
      <c r="H32" s="153">
        <v>28</v>
      </c>
      <c r="I32" s="154" t="s">
        <v>501</v>
      </c>
      <c r="J32" s="153">
        <v>34</v>
      </c>
      <c r="K32" s="154" t="s">
        <v>501</v>
      </c>
      <c r="L32" s="153">
        <v>19</v>
      </c>
      <c r="M32" s="154" t="s">
        <v>501</v>
      </c>
      <c r="N32" s="153">
        <v>5</v>
      </c>
      <c r="O32" s="154" t="s">
        <v>501</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2011</v>
      </c>
      <c r="B34" s="152" t="s">
        <v>1</v>
      </c>
      <c r="C34" s="218"/>
      <c r="D34" s="153">
        <v>120</v>
      </c>
      <c r="E34" s="154" t="s">
        <v>501</v>
      </c>
      <c r="F34" s="153">
        <v>61</v>
      </c>
      <c r="G34" s="154" t="s">
        <v>501</v>
      </c>
      <c r="H34" s="153">
        <v>35</v>
      </c>
      <c r="I34" s="154" t="s">
        <v>501</v>
      </c>
      <c r="J34" s="153">
        <v>14</v>
      </c>
      <c r="K34" s="154" t="s">
        <v>501</v>
      </c>
      <c r="L34" s="153">
        <v>5</v>
      </c>
      <c r="M34" s="154" t="s">
        <v>501</v>
      </c>
      <c r="N34" s="153">
        <v>5</v>
      </c>
      <c r="O34" s="154" t="s">
        <v>501</v>
      </c>
    </row>
    <row r="35" spans="1:15" s="142" customFormat="1" ht="12.75" customHeight="1" x14ac:dyDescent="0.25">
      <c r="A35" s="151"/>
      <c r="B35" s="152" t="s">
        <v>2</v>
      </c>
      <c r="C35" s="218"/>
      <c r="D35" s="153">
        <v>113</v>
      </c>
      <c r="E35" s="154" t="s">
        <v>501</v>
      </c>
      <c r="F35" s="153">
        <v>56</v>
      </c>
      <c r="G35" s="154" t="s">
        <v>501</v>
      </c>
      <c r="H35" s="153">
        <v>23</v>
      </c>
      <c r="I35" s="154" t="s">
        <v>501</v>
      </c>
      <c r="J35" s="153">
        <v>22</v>
      </c>
      <c r="K35" s="154" t="s">
        <v>501</v>
      </c>
      <c r="L35" s="153">
        <v>7</v>
      </c>
      <c r="M35" s="154" t="s">
        <v>501</v>
      </c>
      <c r="N35" s="153">
        <v>5</v>
      </c>
      <c r="O35" s="154" t="s">
        <v>501</v>
      </c>
    </row>
    <row r="36" spans="1:15" s="142" customFormat="1" ht="12.75" customHeight="1" x14ac:dyDescent="0.25">
      <c r="A36" s="151"/>
      <c r="B36" s="152" t="s">
        <v>3</v>
      </c>
      <c r="C36" s="218"/>
      <c r="D36" s="153">
        <v>93</v>
      </c>
      <c r="E36" s="154" t="s">
        <v>501</v>
      </c>
      <c r="F36" s="153">
        <v>43</v>
      </c>
      <c r="G36" s="154" t="s">
        <v>501</v>
      </c>
      <c r="H36" s="153">
        <v>31</v>
      </c>
      <c r="I36" s="154" t="s">
        <v>501</v>
      </c>
      <c r="J36" s="153">
        <v>10</v>
      </c>
      <c r="K36" s="154" t="s">
        <v>501</v>
      </c>
      <c r="L36" s="153">
        <v>6</v>
      </c>
      <c r="M36" s="154" t="s">
        <v>501</v>
      </c>
      <c r="N36" s="153">
        <v>3</v>
      </c>
      <c r="O36" s="154" t="s">
        <v>501</v>
      </c>
    </row>
    <row r="37" spans="1:15" s="142" customFormat="1" ht="12.75" customHeight="1" x14ac:dyDescent="0.25">
      <c r="A37" s="151"/>
      <c r="B37" s="152" t="s">
        <v>4</v>
      </c>
      <c r="C37" s="218"/>
      <c r="D37" s="153">
        <v>111</v>
      </c>
      <c r="E37" s="154" t="s">
        <v>501</v>
      </c>
      <c r="F37" s="153">
        <v>48</v>
      </c>
      <c r="G37" s="154" t="s">
        <v>501</v>
      </c>
      <c r="H37" s="153">
        <v>27</v>
      </c>
      <c r="I37" s="154" t="s">
        <v>501</v>
      </c>
      <c r="J37" s="153">
        <v>22</v>
      </c>
      <c r="K37" s="154" t="s">
        <v>501</v>
      </c>
      <c r="L37" s="153">
        <v>8</v>
      </c>
      <c r="M37" s="154" t="s">
        <v>501</v>
      </c>
      <c r="N37" s="153">
        <v>6</v>
      </c>
      <c r="O37" s="154" t="s">
        <v>501</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2012</v>
      </c>
      <c r="B39" s="152" t="s">
        <v>1</v>
      </c>
      <c r="C39" s="218"/>
      <c r="D39" s="153">
        <v>142</v>
      </c>
      <c r="E39" s="154" t="s">
        <v>501</v>
      </c>
      <c r="F39" s="153">
        <v>72</v>
      </c>
      <c r="G39" s="154" t="s">
        <v>501</v>
      </c>
      <c r="H39" s="153">
        <v>34</v>
      </c>
      <c r="I39" s="154" t="s">
        <v>501</v>
      </c>
      <c r="J39" s="153">
        <v>23</v>
      </c>
      <c r="K39" s="154" t="s">
        <v>501</v>
      </c>
      <c r="L39" s="153">
        <v>9</v>
      </c>
      <c r="M39" s="154" t="s">
        <v>501</v>
      </c>
      <c r="N39" s="153">
        <v>4</v>
      </c>
      <c r="O39" s="154" t="s">
        <v>501</v>
      </c>
    </row>
    <row r="40" spans="1:15" s="142" customFormat="1" ht="12.75" customHeight="1" x14ac:dyDescent="0.25">
      <c r="A40" s="151"/>
      <c r="B40" s="152" t="s">
        <v>2</v>
      </c>
      <c r="C40" s="218"/>
      <c r="D40" s="153">
        <v>147</v>
      </c>
      <c r="E40" s="154" t="s">
        <v>501</v>
      </c>
      <c r="F40" s="153">
        <v>72</v>
      </c>
      <c r="G40" s="154" t="s">
        <v>501</v>
      </c>
      <c r="H40" s="153">
        <v>37</v>
      </c>
      <c r="I40" s="154" t="s">
        <v>501</v>
      </c>
      <c r="J40" s="153">
        <v>19</v>
      </c>
      <c r="K40" s="154" t="s">
        <v>501</v>
      </c>
      <c r="L40" s="153">
        <v>13</v>
      </c>
      <c r="M40" s="154" t="s">
        <v>501</v>
      </c>
      <c r="N40" s="153">
        <v>6</v>
      </c>
      <c r="O40" s="154" t="s">
        <v>501</v>
      </c>
    </row>
    <row r="41" spans="1:15" s="142" customFormat="1" ht="12.75" customHeight="1" x14ac:dyDescent="0.25">
      <c r="A41" s="151"/>
      <c r="B41" s="152" t="s">
        <v>3</v>
      </c>
      <c r="C41" s="218"/>
      <c r="D41" s="153">
        <v>127</v>
      </c>
      <c r="E41" s="154" t="s">
        <v>501</v>
      </c>
      <c r="F41" s="153">
        <v>60</v>
      </c>
      <c r="G41" s="154" t="s">
        <v>501</v>
      </c>
      <c r="H41" s="153">
        <v>32</v>
      </c>
      <c r="I41" s="154" t="s">
        <v>501</v>
      </c>
      <c r="J41" s="153">
        <v>27</v>
      </c>
      <c r="K41" s="154" t="s">
        <v>501</v>
      </c>
      <c r="L41" s="153">
        <v>6</v>
      </c>
      <c r="M41" s="154" t="s">
        <v>501</v>
      </c>
      <c r="N41" s="153">
        <v>2</v>
      </c>
      <c r="O41" s="154" t="s">
        <v>501</v>
      </c>
    </row>
    <row r="42" spans="1:15" s="142" customFormat="1" ht="12.75" customHeight="1" x14ac:dyDescent="0.25">
      <c r="A42" s="151"/>
      <c r="B42" s="152" t="s">
        <v>4</v>
      </c>
      <c r="C42" s="218"/>
      <c r="D42" s="153">
        <v>110</v>
      </c>
      <c r="E42" s="154" t="s">
        <v>501</v>
      </c>
      <c r="F42" s="153">
        <v>48</v>
      </c>
      <c r="G42" s="154" t="s">
        <v>501</v>
      </c>
      <c r="H42" s="153">
        <v>33</v>
      </c>
      <c r="I42" s="154" t="s">
        <v>501</v>
      </c>
      <c r="J42" s="153">
        <v>14</v>
      </c>
      <c r="K42" s="154" t="s">
        <v>501</v>
      </c>
      <c r="L42" s="153">
        <v>13</v>
      </c>
      <c r="M42" s="154" t="s">
        <v>501</v>
      </c>
      <c r="N42" s="153">
        <v>2</v>
      </c>
      <c r="O42" s="154" t="s">
        <v>501</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2013</v>
      </c>
      <c r="B44" s="152" t="s">
        <v>1</v>
      </c>
      <c r="C44" s="218"/>
      <c r="D44" s="153">
        <v>70</v>
      </c>
      <c r="E44" s="154" t="s">
        <v>501</v>
      </c>
      <c r="F44" s="153">
        <v>30</v>
      </c>
      <c r="G44" s="154" t="s">
        <v>501</v>
      </c>
      <c r="H44" s="153">
        <v>23</v>
      </c>
      <c r="I44" s="154" t="s">
        <v>501</v>
      </c>
      <c r="J44" s="153">
        <v>9</v>
      </c>
      <c r="K44" s="154" t="s">
        <v>501</v>
      </c>
      <c r="L44" s="153">
        <v>8</v>
      </c>
      <c r="M44" s="154" t="s">
        <v>501</v>
      </c>
      <c r="N44" s="153">
        <v>0</v>
      </c>
      <c r="O44" s="154" t="s">
        <v>501</v>
      </c>
    </row>
    <row r="45" spans="1:15" s="142" customFormat="1" ht="12.75" customHeight="1" x14ac:dyDescent="0.25">
      <c r="A45" s="151"/>
      <c r="B45" s="152" t="s">
        <v>2</v>
      </c>
      <c r="C45" s="218"/>
      <c r="D45" s="153">
        <v>113</v>
      </c>
      <c r="E45" s="154" t="s">
        <v>501</v>
      </c>
      <c r="F45" s="153">
        <v>66</v>
      </c>
      <c r="G45" s="154" t="s">
        <v>501</v>
      </c>
      <c r="H45" s="153">
        <v>25</v>
      </c>
      <c r="I45" s="154" t="s">
        <v>501</v>
      </c>
      <c r="J45" s="153">
        <v>13</v>
      </c>
      <c r="K45" s="154" t="s">
        <v>501</v>
      </c>
      <c r="L45" s="153">
        <v>8</v>
      </c>
      <c r="M45" s="154" t="s">
        <v>501</v>
      </c>
      <c r="N45" s="153">
        <v>1</v>
      </c>
      <c r="O45" s="154" t="s">
        <v>501</v>
      </c>
    </row>
    <row r="46" spans="1:15" s="142" customFormat="1" ht="12.75" customHeight="1" x14ac:dyDescent="0.25">
      <c r="A46" s="151"/>
      <c r="B46" s="152" t="s">
        <v>3</v>
      </c>
      <c r="C46" s="218"/>
      <c r="D46" s="153">
        <v>93</v>
      </c>
      <c r="E46" s="154" t="s">
        <v>501</v>
      </c>
      <c r="F46" s="153">
        <v>46</v>
      </c>
      <c r="G46" s="154" t="s">
        <v>501</v>
      </c>
      <c r="H46" s="153">
        <v>26</v>
      </c>
      <c r="I46" s="154" t="s">
        <v>501</v>
      </c>
      <c r="J46" s="153">
        <v>13</v>
      </c>
      <c r="K46" s="154" t="s">
        <v>501</v>
      </c>
      <c r="L46" s="153">
        <v>8</v>
      </c>
      <c r="M46" s="154" t="s">
        <v>501</v>
      </c>
      <c r="N46" s="153">
        <v>0</v>
      </c>
      <c r="O46" s="154" t="s">
        <v>501</v>
      </c>
    </row>
    <row r="47" spans="1:15" s="142" customFormat="1" ht="12.75" customHeight="1" x14ac:dyDescent="0.25">
      <c r="A47" s="151"/>
      <c r="B47" s="152" t="s">
        <v>4</v>
      </c>
      <c r="C47" s="218"/>
      <c r="D47" s="153">
        <v>81</v>
      </c>
      <c r="E47" s="154" t="s">
        <v>501</v>
      </c>
      <c r="F47" s="153">
        <v>36</v>
      </c>
      <c r="G47" s="154" t="s">
        <v>501</v>
      </c>
      <c r="H47" s="153">
        <v>24</v>
      </c>
      <c r="I47" s="154" t="s">
        <v>501</v>
      </c>
      <c r="J47" s="153">
        <v>12</v>
      </c>
      <c r="K47" s="154" t="s">
        <v>501</v>
      </c>
      <c r="L47" s="153">
        <v>9</v>
      </c>
      <c r="M47" s="154" t="s">
        <v>501</v>
      </c>
      <c r="N47" s="153">
        <v>0</v>
      </c>
      <c r="O47" s="154" t="s">
        <v>501</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2014</v>
      </c>
      <c r="B49" s="152" t="s">
        <v>1</v>
      </c>
      <c r="C49" s="218"/>
      <c r="D49" s="153">
        <v>84</v>
      </c>
      <c r="E49" s="154" t="s">
        <v>501</v>
      </c>
      <c r="F49" s="153">
        <v>43</v>
      </c>
      <c r="G49" s="154" t="s">
        <v>501</v>
      </c>
      <c r="H49" s="153">
        <v>25</v>
      </c>
      <c r="I49" s="154" t="s">
        <v>501</v>
      </c>
      <c r="J49" s="153">
        <v>9</v>
      </c>
      <c r="K49" s="154" t="s">
        <v>501</v>
      </c>
      <c r="L49" s="153">
        <v>7</v>
      </c>
      <c r="M49" s="154" t="s">
        <v>501</v>
      </c>
      <c r="N49" s="153">
        <v>0</v>
      </c>
      <c r="O49" s="154" t="s">
        <v>501</v>
      </c>
    </row>
    <row r="50" spans="1:15" s="142" customFormat="1" ht="12.75" customHeight="1" x14ac:dyDescent="0.25">
      <c r="A50" s="151"/>
      <c r="B50" s="152" t="s">
        <v>2</v>
      </c>
      <c r="C50" s="218"/>
      <c r="D50" s="153">
        <v>92</v>
      </c>
      <c r="E50" s="154" t="s">
        <v>501</v>
      </c>
      <c r="F50" s="153">
        <v>52</v>
      </c>
      <c r="G50" s="154" t="s">
        <v>501</v>
      </c>
      <c r="H50" s="153">
        <v>22</v>
      </c>
      <c r="I50" s="154" t="s">
        <v>501</v>
      </c>
      <c r="J50" s="153">
        <v>7</v>
      </c>
      <c r="K50" s="154" t="s">
        <v>501</v>
      </c>
      <c r="L50" s="153">
        <v>10</v>
      </c>
      <c r="M50" s="154" t="s">
        <v>501</v>
      </c>
      <c r="N50" s="153">
        <v>1</v>
      </c>
      <c r="O50" s="154" t="s">
        <v>501</v>
      </c>
    </row>
    <row r="51" spans="1:15" s="142" customFormat="1" ht="12.75" customHeight="1" x14ac:dyDescent="0.25">
      <c r="A51" s="151"/>
      <c r="B51" s="152" t="s">
        <v>3</v>
      </c>
      <c r="C51" s="218"/>
      <c r="D51" s="153">
        <v>90</v>
      </c>
      <c r="E51" s="154" t="s">
        <v>501</v>
      </c>
      <c r="F51" s="153">
        <v>51</v>
      </c>
      <c r="G51" s="154" t="s">
        <v>501</v>
      </c>
      <c r="H51" s="153">
        <v>24</v>
      </c>
      <c r="I51" s="154" t="s">
        <v>501</v>
      </c>
      <c r="J51" s="153">
        <v>7</v>
      </c>
      <c r="K51" s="154" t="s">
        <v>501</v>
      </c>
      <c r="L51" s="153">
        <v>7</v>
      </c>
      <c r="M51" s="154" t="s">
        <v>501</v>
      </c>
      <c r="N51" s="153">
        <v>1</v>
      </c>
      <c r="O51" s="154" t="s">
        <v>501</v>
      </c>
    </row>
    <row r="52" spans="1:15" s="142" customFormat="1" ht="12.75" customHeight="1" x14ac:dyDescent="0.25">
      <c r="A52" s="151"/>
      <c r="B52" s="152" t="s">
        <v>4</v>
      </c>
      <c r="C52" s="218"/>
      <c r="D52" s="153">
        <v>114</v>
      </c>
      <c r="E52" s="154" t="s">
        <v>501</v>
      </c>
      <c r="F52" s="153">
        <v>75</v>
      </c>
      <c r="G52" s="154" t="s">
        <v>501</v>
      </c>
      <c r="H52" s="153">
        <v>19</v>
      </c>
      <c r="I52" s="154" t="s">
        <v>501</v>
      </c>
      <c r="J52" s="153">
        <v>6</v>
      </c>
      <c r="K52" s="154" t="s">
        <v>501</v>
      </c>
      <c r="L52" s="153">
        <v>13</v>
      </c>
      <c r="M52" s="154" t="s">
        <v>501</v>
      </c>
      <c r="N52" s="153">
        <v>1</v>
      </c>
      <c r="O52" s="154" t="s">
        <v>501</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2015</v>
      </c>
      <c r="B54" s="152" t="s">
        <v>1</v>
      </c>
      <c r="C54" s="218"/>
      <c r="D54" s="153">
        <v>94</v>
      </c>
      <c r="E54" s="154" t="s">
        <v>501</v>
      </c>
      <c r="F54" s="153">
        <v>56</v>
      </c>
      <c r="G54" s="154" t="s">
        <v>501</v>
      </c>
      <c r="H54" s="153">
        <v>18</v>
      </c>
      <c r="I54" s="154" t="s">
        <v>501</v>
      </c>
      <c r="J54" s="153">
        <v>10</v>
      </c>
      <c r="K54" s="154" t="s">
        <v>501</v>
      </c>
      <c r="L54" s="153">
        <v>8</v>
      </c>
      <c r="M54" s="154" t="s">
        <v>501</v>
      </c>
      <c r="N54" s="153">
        <v>2</v>
      </c>
      <c r="O54" s="154" t="s">
        <v>501</v>
      </c>
    </row>
    <row r="55" spans="1:15" s="142" customFormat="1" ht="12.75" customHeight="1" x14ac:dyDescent="0.25">
      <c r="A55" s="151"/>
      <c r="B55" s="152" t="s">
        <v>2</v>
      </c>
      <c r="C55" s="218"/>
      <c r="D55" s="153">
        <v>79</v>
      </c>
      <c r="E55" s="154" t="s">
        <v>501</v>
      </c>
      <c r="F55" s="153">
        <v>40</v>
      </c>
      <c r="G55" s="154" t="s">
        <v>501</v>
      </c>
      <c r="H55" s="153">
        <v>24</v>
      </c>
      <c r="I55" s="154" t="s">
        <v>501</v>
      </c>
      <c r="J55" s="153">
        <v>3</v>
      </c>
      <c r="K55" s="154" t="s">
        <v>501</v>
      </c>
      <c r="L55" s="153">
        <v>11</v>
      </c>
      <c r="M55" s="154" t="s">
        <v>501</v>
      </c>
      <c r="N55" s="153">
        <v>1</v>
      </c>
      <c r="O55" s="154" t="s">
        <v>501</v>
      </c>
    </row>
    <row r="56" spans="1:15" s="142" customFormat="1" ht="12.75" customHeight="1" x14ac:dyDescent="0.25">
      <c r="A56" s="151"/>
      <c r="B56" s="152" t="s">
        <v>3</v>
      </c>
      <c r="C56" s="218"/>
      <c r="D56" s="153">
        <v>90</v>
      </c>
      <c r="E56" s="154" t="s">
        <v>501</v>
      </c>
      <c r="F56" s="153">
        <v>55</v>
      </c>
      <c r="G56" s="154" t="s">
        <v>501</v>
      </c>
      <c r="H56" s="153">
        <v>18</v>
      </c>
      <c r="I56" s="154" t="s">
        <v>501</v>
      </c>
      <c r="J56" s="153">
        <v>10</v>
      </c>
      <c r="K56" s="154" t="s">
        <v>501</v>
      </c>
      <c r="L56" s="153">
        <v>7</v>
      </c>
      <c r="M56" s="154" t="s">
        <v>501</v>
      </c>
      <c r="N56" s="153">
        <v>0</v>
      </c>
      <c r="O56" s="154" t="s">
        <v>501</v>
      </c>
    </row>
    <row r="57" spans="1:15" s="142" customFormat="1" ht="12.75" customHeight="1" x14ac:dyDescent="0.25">
      <c r="A57" s="151"/>
      <c r="B57" s="152" t="s">
        <v>4</v>
      </c>
      <c r="C57" s="218"/>
      <c r="D57" s="153">
        <v>115</v>
      </c>
      <c r="E57" s="154" t="s">
        <v>501</v>
      </c>
      <c r="F57" s="153">
        <v>74</v>
      </c>
      <c r="G57" s="154" t="s">
        <v>501</v>
      </c>
      <c r="H57" s="153">
        <v>16</v>
      </c>
      <c r="I57" s="154" t="s">
        <v>501</v>
      </c>
      <c r="J57" s="153">
        <v>12</v>
      </c>
      <c r="K57" s="154" t="s">
        <v>501</v>
      </c>
      <c r="L57" s="153">
        <v>13</v>
      </c>
      <c r="M57" s="154" t="s">
        <v>501</v>
      </c>
      <c r="N57" s="153">
        <v>0</v>
      </c>
      <c r="O57" s="154" t="s">
        <v>501</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2016</v>
      </c>
      <c r="B59" s="152" t="s">
        <v>1</v>
      </c>
      <c r="C59" s="218"/>
      <c r="D59" s="153">
        <v>82</v>
      </c>
      <c r="E59" s="154" t="s">
        <v>501</v>
      </c>
      <c r="F59" s="153">
        <v>42</v>
      </c>
      <c r="G59" s="154" t="s">
        <v>501</v>
      </c>
      <c r="H59" s="153">
        <v>23</v>
      </c>
      <c r="I59" s="154" t="s">
        <v>501</v>
      </c>
      <c r="J59" s="153">
        <v>12</v>
      </c>
      <c r="K59" s="154" t="s">
        <v>501</v>
      </c>
      <c r="L59" s="153">
        <v>5</v>
      </c>
      <c r="M59" s="154" t="s">
        <v>501</v>
      </c>
      <c r="N59" s="153">
        <v>0</v>
      </c>
      <c r="O59" s="154" t="s">
        <v>501</v>
      </c>
    </row>
    <row r="60" spans="1:15" s="142" customFormat="1" ht="12.75" customHeight="1" x14ac:dyDescent="0.25">
      <c r="A60" s="151"/>
      <c r="B60" s="152" t="s">
        <v>2</v>
      </c>
      <c r="C60" s="218"/>
      <c r="D60" s="153">
        <v>115</v>
      </c>
      <c r="E60" s="154" t="s">
        <v>501</v>
      </c>
      <c r="F60" s="153">
        <v>71</v>
      </c>
      <c r="G60" s="154" t="s">
        <v>501</v>
      </c>
      <c r="H60" s="153">
        <v>29</v>
      </c>
      <c r="I60" s="154" t="s">
        <v>501</v>
      </c>
      <c r="J60" s="153">
        <v>9</v>
      </c>
      <c r="K60" s="154" t="s">
        <v>501</v>
      </c>
      <c r="L60" s="153">
        <v>3</v>
      </c>
      <c r="M60" s="154" t="s">
        <v>501</v>
      </c>
      <c r="N60" s="153">
        <v>3</v>
      </c>
      <c r="O60" s="154" t="s">
        <v>501</v>
      </c>
    </row>
    <row r="61" spans="1:15" s="142" customFormat="1" ht="12.75" customHeight="1" x14ac:dyDescent="0.25">
      <c r="A61" s="151"/>
      <c r="B61" s="152" t="s">
        <v>3</v>
      </c>
      <c r="C61" s="218"/>
      <c r="D61" s="153">
        <v>72</v>
      </c>
      <c r="E61" s="154" t="s">
        <v>501</v>
      </c>
      <c r="F61" s="153">
        <v>46</v>
      </c>
      <c r="G61" s="154" t="s">
        <v>501</v>
      </c>
      <c r="H61" s="153">
        <v>13</v>
      </c>
      <c r="I61" s="154" t="s">
        <v>501</v>
      </c>
      <c r="J61" s="153">
        <v>7</v>
      </c>
      <c r="K61" s="154" t="s">
        <v>501</v>
      </c>
      <c r="L61" s="153">
        <v>5</v>
      </c>
      <c r="M61" s="154" t="s">
        <v>501</v>
      </c>
      <c r="N61" s="153">
        <v>1</v>
      </c>
      <c r="O61" s="154" t="s">
        <v>501</v>
      </c>
    </row>
    <row r="62" spans="1:15" s="142" customFormat="1" ht="12.75" customHeight="1" x14ac:dyDescent="0.25">
      <c r="A62" s="151"/>
      <c r="B62" s="152" t="s">
        <v>4</v>
      </c>
      <c r="C62" s="218"/>
      <c r="D62" s="153">
        <v>126</v>
      </c>
      <c r="E62" s="154" t="s">
        <v>279</v>
      </c>
      <c r="F62" s="153">
        <v>84</v>
      </c>
      <c r="G62" s="154" t="s">
        <v>501</v>
      </c>
      <c r="H62" s="153">
        <v>24</v>
      </c>
      <c r="I62" s="154" t="s">
        <v>501</v>
      </c>
      <c r="J62" s="153">
        <v>4</v>
      </c>
      <c r="K62" s="154" t="s">
        <v>501</v>
      </c>
      <c r="L62" s="153">
        <v>14</v>
      </c>
      <c r="M62" s="154" t="s">
        <v>279</v>
      </c>
      <c r="N62" s="153">
        <v>0</v>
      </c>
      <c r="O62" s="154" t="s">
        <v>501</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2017</v>
      </c>
      <c r="B64" s="152" t="s">
        <v>1</v>
      </c>
      <c r="C64" s="218" t="s">
        <v>196</v>
      </c>
      <c r="D64" s="153">
        <v>98</v>
      </c>
      <c r="E64" s="154" t="s">
        <v>501</v>
      </c>
      <c r="F64" s="153">
        <v>67</v>
      </c>
      <c r="G64" s="154" t="s">
        <v>501</v>
      </c>
      <c r="H64" s="153">
        <v>18</v>
      </c>
      <c r="I64" s="154" t="s">
        <v>501</v>
      </c>
      <c r="J64" s="153">
        <v>5</v>
      </c>
      <c r="K64" s="154" t="s">
        <v>501</v>
      </c>
      <c r="L64" s="153">
        <v>7</v>
      </c>
      <c r="M64" s="154" t="s">
        <v>501</v>
      </c>
      <c r="N64" s="153">
        <v>1</v>
      </c>
      <c r="O64" s="154" t="s">
        <v>501</v>
      </c>
    </row>
    <row r="65" spans="1:15" s="142" customFormat="1" ht="12.75" customHeight="1" x14ac:dyDescent="0.25">
      <c r="A65" s="151"/>
      <c r="B65" s="152" t="s">
        <v>2</v>
      </c>
      <c r="C65" s="218" t="s">
        <v>196</v>
      </c>
      <c r="D65" s="153">
        <v>57</v>
      </c>
      <c r="E65" s="154" t="s">
        <v>501</v>
      </c>
      <c r="F65" s="153">
        <v>35</v>
      </c>
      <c r="G65" s="154" t="s">
        <v>501</v>
      </c>
      <c r="H65" s="153">
        <v>16</v>
      </c>
      <c r="I65" s="154" t="s">
        <v>501</v>
      </c>
      <c r="J65" s="153">
        <v>0</v>
      </c>
      <c r="K65" s="154" t="s">
        <v>501</v>
      </c>
      <c r="L65" s="153">
        <v>6</v>
      </c>
      <c r="M65" s="154" t="s">
        <v>501</v>
      </c>
      <c r="N65" s="153">
        <v>0</v>
      </c>
      <c r="O65" s="154" t="s">
        <v>501</v>
      </c>
    </row>
    <row r="66" spans="1:15" s="142" customFormat="1" ht="12.75" customHeight="1" x14ac:dyDescent="0.25">
      <c r="A66" s="151"/>
      <c r="B66" s="152" t="s">
        <v>3</v>
      </c>
      <c r="C66" s="218" t="s">
        <v>196</v>
      </c>
      <c r="D66" s="153">
        <v>58</v>
      </c>
      <c r="E66" s="154" t="s">
        <v>501</v>
      </c>
      <c r="F66" s="153">
        <v>35</v>
      </c>
      <c r="G66" s="154" t="s">
        <v>501</v>
      </c>
      <c r="H66" s="153">
        <v>15</v>
      </c>
      <c r="I66" s="154" t="s">
        <v>279</v>
      </c>
      <c r="J66" s="153">
        <v>3</v>
      </c>
      <c r="K66" s="154" t="s">
        <v>501</v>
      </c>
      <c r="L66" s="153">
        <v>5</v>
      </c>
      <c r="M66" s="154" t="s">
        <v>279</v>
      </c>
      <c r="N66" s="153">
        <v>0</v>
      </c>
      <c r="O66" s="154" t="s">
        <v>501</v>
      </c>
    </row>
    <row r="67" spans="1:15" s="142" customFormat="1" ht="12.75" customHeight="1" x14ac:dyDescent="0.25">
      <c r="A67" s="152"/>
      <c r="B67" s="152" t="s">
        <v>4</v>
      </c>
      <c r="C67" s="218" t="s">
        <v>406</v>
      </c>
      <c r="D67" s="153">
        <v>89</v>
      </c>
      <c r="E67" s="154" t="s">
        <v>501</v>
      </c>
      <c r="F67" s="153">
        <v>63</v>
      </c>
      <c r="G67" s="154" t="s">
        <v>501</v>
      </c>
      <c r="H67" s="153">
        <v>17</v>
      </c>
      <c r="I67" s="154" t="s">
        <v>501</v>
      </c>
      <c r="J67" s="153">
        <v>4</v>
      </c>
      <c r="K67" s="154" t="s">
        <v>501</v>
      </c>
      <c r="L67" s="153">
        <v>5</v>
      </c>
      <c r="M67" s="154" t="s">
        <v>501</v>
      </c>
      <c r="N67" s="153">
        <v>0</v>
      </c>
      <c r="O67" s="154" t="s">
        <v>501</v>
      </c>
    </row>
    <row r="68" spans="1:15" s="142" customFormat="1" ht="12.75" customHeight="1" x14ac:dyDescent="0.25">
      <c r="A68" s="151"/>
      <c r="B68" s="152"/>
      <c r="C68" s="218"/>
      <c r="D68" s="153"/>
      <c r="E68" s="154"/>
      <c r="F68" s="153"/>
      <c r="G68" s="154"/>
      <c r="H68" s="153"/>
      <c r="I68" s="154"/>
      <c r="J68" s="153"/>
      <c r="K68" s="154"/>
      <c r="L68" s="153"/>
      <c r="M68" s="154"/>
      <c r="N68" s="153"/>
      <c r="O68" s="154"/>
    </row>
    <row r="69" spans="1:15" s="142" customFormat="1" ht="12.75" customHeight="1" thickBot="1" x14ac:dyDescent="0.3">
      <c r="A69" s="152"/>
      <c r="B69" s="156"/>
      <c r="C69" s="156"/>
      <c r="D69" s="153"/>
      <c r="E69" s="154"/>
      <c r="F69" s="153"/>
      <c r="G69" s="154"/>
      <c r="H69" s="153"/>
      <c r="I69" s="154"/>
      <c r="J69" s="153"/>
      <c r="K69" s="154"/>
      <c r="L69" s="153"/>
      <c r="M69" s="154"/>
      <c r="N69" s="153"/>
      <c r="O69" s="154"/>
    </row>
    <row r="70" spans="1:15" s="142" customFormat="1" ht="12.75" customHeight="1" x14ac:dyDescent="0.2">
      <c r="A70" s="159" t="s">
        <v>502</v>
      </c>
      <c r="B70" s="159"/>
      <c r="C70" s="159"/>
      <c r="D70" s="159"/>
      <c r="E70" s="220"/>
      <c r="F70" s="159"/>
      <c r="G70" s="220"/>
      <c r="H70" s="159"/>
      <c r="I70" s="220"/>
      <c r="J70" s="159"/>
      <c r="K70" s="220"/>
      <c r="L70" s="159"/>
      <c r="M70" s="220"/>
      <c r="N70" s="159"/>
      <c r="O70" s="220"/>
    </row>
    <row r="71" spans="1:15" s="142" customFormat="1" ht="12.75" customHeight="1" x14ac:dyDescent="0.2">
      <c r="A71" s="160"/>
      <c r="B71" s="160"/>
      <c r="C71" s="160"/>
      <c r="D71" s="160"/>
      <c r="E71" s="161"/>
      <c r="F71" s="160"/>
      <c r="G71" s="161"/>
      <c r="H71" s="160"/>
      <c r="I71" s="161"/>
      <c r="J71" s="160"/>
      <c r="K71" s="161"/>
      <c r="L71" s="160"/>
      <c r="M71" s="161"/>
      <c r="N71" s="160"/>
      <c r="O71" s="161"/>
    </row>
    <row r="72" spans="1:15" s="142" customFormat="1" ht="12.75" hidden="1" customHeight="1" x14ac:dyDescent="0.2">
      <c r="A72" s="162">
        <v>2017</v>
      </c>
      <c r="B72" s="163" t="s">
        <v>3</v>
      </c>
      <c r="C72" s="163"/>
      <c r="D72" s="164" t="s">
        <v>121</v>
      </c>
      <c r="E72" s="161"/>
      <c r="F72" s="164" t="s">
        <v>121</v>
      </c>
      <c r="G72" s="161"/>
      <c r="H72" s="164" t="s">
        <v>121</v>
      </c>
      <c r="I72" s="161"/>
      <c r="J72" s="164" t="s">
        <v>121</v>
      </c>
      <c r="K72" s="161"/>
      <c r="L72" s="164" t="s">
        <v>121</v>
      </c>
      <c r="M72" s="161"/>
      <c r="N72" s="164" t="s">
        <v>121</v>
      </c>
      <c r="O72" s="161"/>
    </row>
    <row r="73" spans="1:15" s="142" customFormat="1" ht="12.75" hidden="1" customHeight="1" x14ac:dyDescent="0.2">
      <c r="A73" s="165"/>
      <c r="B73" s="166"/>
      <c r="C73" s="166"/>
      <c r="D73" s="167"/>
      <c r="E73" s="280"/>
      <c r="F73" s="167"/>
      <c r="G73" s="280"/>
      <c r="H73" s="167"/>
      <c r="I73" s="280"/>
      <c r="J73" s="167"/>
      <c r="K73" s="280"/>
      <c r="L73" s="167"/>
      <c r="M73" s="280"/>
      <c r="N73" s="167"/>
      <c r="O73" s="280"/>
    </row>
    <row r="74" spans="1:15" s="142" customFormat="1" ht="12.75" customHeight="1" thickBot="1" x14ac:dyDescent="0.25">
      <c r="A74" s="157">
        <v>2016</v>
      </c>
      <c r="B74" s="158" t="s">
        <v>4</v>
      </c>
      <c r="C74" s="158"/>
      <c r="D74" s="168">
        <v>-29.36507936507936</v>
      </c>
      <c r="E74" s="281"/>
      <c r="F74" s="168">
        <v>-25</v>
      </c>
      <c r="G74" s="281"/>
      <c r="H74" s="168">
        <v>-29.166666666666664</v>
      </c>
      <c r="I74" s="281"/>
      <c r="J74" s="168">
        <v>0</v>
      </c>
      <c r="K74" s="281"/>
      <c r="L74" s="168">
        <v>-64.285714285714278</v>
      </c>
      <c r="M74" s="281"/>
      <c r="N74" s="168" t="e">
        <v>#DIV/0!</v>
      </c>
      <c r="O74" s="281"/>
    </row>
    <row r="75" spans="1:15" s="169" customFormat="1" ht="12.75" customHeight="1" x14ac:dyDescent="0.2">
      <c r="A75" s="343"/>
      <c r="B75" s="343"/>
      <c r="C75" s="343"/>
      <c r="D75" s="343"/>
      <c r="E75" s="343"/>
      <c r="F75" s="343"/>
      <c r="G75" s="343"/>
      <c r="H75" s="343"/>
      <c r="I75" s="343"/>
    </row>
    <row r="76" spans="1:15" s="169" customFormat="1" ht="12.75" customHeight="1" x14ac:dyDescent="0.2">
      <c r="A76" s="362" t="s">
        <v>231</v>
      </c>
      <c r="B76" s="362"/>
      <c r="C76" s="362"/>
      <c r="D76" s="362"/>
      <c r="E76" s="362"/>
      <c r="F76" s="362"/>
      <c r="G76" s="362"/>
      <c r="H76" s="362"/>
      <c r="I76" s="362"/>
      <c r="J76" s="362"/>
      <c r="K76" s="362"/>
      <c r="L76" s="362"/>
      <c r="M76" s="362"/>
      <c r="N76" s="362"/>
      <c r="O76" s="362"/>
    </row>
    <row r="77" spans="1:15" ht="30.75" customHeight="1" x14ac:dyDescent="0.3">
      <c r="A77" s="362" t="s">
        <v>462</v>
      </c>
      <c r="B77" s="362"/>
      <c r="C77" s="362"/>
      <c r="D77" s="362"/>
      <c r="E77" s="362"/>
      <c r="F77" s="362"/>
      <c r="G77" s="362"/>
      <c r="H77" s="362"/>
      <c r="I77" s="362"/>
      <c r="J77" s="362"/>
      <c r="K77" s="362"/>
      <c r="L77" s="362"/>
      <c r="M77" s="362"/>
      <c r="N77" s="362"/>
      <c r="O77" s="362"/>
    </row>
    <row r="78" spans="1:15" s="170" customFormat="1" ht="15" customHeight="1" x14ac:dyDescent="0.3">
      <c r="A78" s="338" t="s">
        <v>419</v>
      </c>
      <c r="B78" s="338"/>
      <c r="C78" s="338"/>
      <c r="D78" s="338"/>
      <c r="E78" s="338"/>
      <c r="F78" s="338"/>
      <c r="G78" s="338"/>
      <c r="H78" s="338"/>
      <c r="I78" s="338"/>
      <c r="J78" s="338"/>
      <c r="K78" s="338"/>
      <c r="L78" s="338"/>
      <c r="M78" s="338"/>
      <c r="N78" s="338"/>
      <c r="O78" s="338"/>
    </row>
    <row r="79" spans="1:15" s="171" customFormat="1" ht="15" customHeight="1" x14ac:dyDescent="0.3">
      <c r="A79" s="338" t="s">
        <v>420</v>
      </c>
      <c r="B79" s="338"/>
      <c r="C79" s="338"/>
      <c r="D79" s="338"/>
      <c r="E79" s="338"/>
      <c r="F79" s="338"/>
      <c r="G79" s="338"/>
      <c r="H79" s="338"/>
      <c r="I79" s="338"/>
      <c r="J79" s="338"/>
      <c r="K79" s="338"/>
      <c r="L79" s="338"/>
      <c r="M79" s="338"/>
      <c r="N79" s="338"/>
      <c r="O79" s="338"/>
    </row>
    <row r="80" spans="1:15" s="171" customFormat="1" ht="33" customHeight="1" x14ac:dyDescent="0.3">
      <c r="A80" s="362" t="s">
        <v>463</v>
      </c>
      <c r="B80" s="362"/>
      <c r="C80" s="362"/>
      <c r="D80" s="362"/>
      <c r="E80" s="362"/>
      <c r="F80" s="362"/>
      <c r="G80" s="362"/>
      <c r="H80" s="362"/>
      <c r="I80" s="362"/>
      <c r="J80" s="362"/>
      <c r="K80" s="362"/>
      <c r="L80" s="362"/>
      <c r="M80" s="362"/>
      <c r="N80" s="362"/>
      <c r="O80" s="362"/>
    </row>
  </sheetData>
  <dataConsolidate/>
  <mergeCells count="12">
    <mergeCell ref="A78:O78"/>
    <mergeCell ref="A79:O79"/>
    <mergeCell ref="A80:O80"/>
    <mergeCell ref="J7:K7"/>
    <mergeCell ref="L7:M7"/>
    <mergeCell ref="N7:O7"/>
    <mergeCell ref="A76:O76"/>
    <mergeCell ref="A77:O77"/>
    <mergeCell ref="D7:E7"/>
    <mergeCell ref="F7:G7"/>
    <mergeCell ref="H7:I7"/>
    <mergeCell ref="A75:I75"/>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72"/>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2" t="s">
        <v>194</v>
      </c>
      <c r="B2" s="193"/>
      <c r="C2" s="193"/>
      <c r="D2" s="194" t="s">
        <v>233</v>
      </c>
      <c r="E2" s="133"/>
      <c r="F2" s="132"/>
      <c r="G2" s="133"/>
      <c r="H2" s="132"/>
      <c r="I2" s="133"/>
      <c r="J2" s="132"/>
    </row>
    <row r="3" spans="1:11" s="136" customFormat="1" ht="17.25" x14ac:dyDescent="0.3">
      <c r="A3" s="195" t="s">
        <v>153</v>
      </c>
      <c r="B3" s="196"/>
      <c r="C3" s="213"/>
      <c r="D3" s="197" t="s">
        <v>193</v>
      </c>
      <c r="E3" s="282"/>
      <c r="F3" s="187"/>
      <c r="G3" s="282"/>
      <c r="H3" s="187"/>
      <c r="I3" s="282"/>
      <c r="J3" s="132"/>
    </row>
    <row r="4" spans="1:11" ht="10.5" customHeight="1" thickBot="1" x14ac:dyDescent="0.35">
      <c r="A4" s="137"/>
      <c r="B4" s="137"/>
      <c r="C4" s="214"/>
      <c r="D4" s="137"/>
      <c r="E4" s="214"/>
      <c r="F4" s="137"/>
      <c r="G4" s="214"/>
      <c r="H4" s="137"/>
      <c r="I4" s="214"/>
    </row>
    <row r="5" spans="1:11" ht="47.25" customHeight="1" thickBot="1" x14ac:dyDescent="0.35">
      <c r="A5" s="230"/>
      <c r="B5" s="230"/>
      <c r="C5" s="231"/>
      <c r="D5" s="345" t="s">
        <v>137</v>
      </c>
      <c r="E5" s="345"/>
      <c r="F5" s="346" t="s">
        <v>116</v>
      </c>
      <c r="G5" s="346"/>
      <c r="H5" s="346" t="s">
        <v>230</v>
      </c>
      <c r="I5" s="346"/>
      <c r="J5" s="346" t="s">
        <v>167</v>
      </c>
      <c r="K5" s="346"/>
    </row>
    <row r="6" spans="1:11" s="142" customFormat="1" ht="12.75" customHeight="1" x14ac:dyDescent="0.25">
      <c r="A6" s="151">
        <v>2008</v>
      </c>
      <c r="B6" s="152" t="s">
        <v>1</v>
      </c>
      <c r="C6" s="218"/>
      <c r="D6" s="205">
        <v>0.48854786332155076</v>
      </c>
      <c r="E6" s="154" t="s">
        <v>501</v>
      </c>
      <c r="F6" s="205">
        <v>0.37359542489295056</v>
      </c>
      <c r="G6" s="154" t="s">
        <v>501</v>
      </c>
      <c r="H6" s="205">
        <v>0.11495243842860017</v>
      </c>
      <c r="I6" s="154" t="s">
        <v>501</v>
      </c>
      <c r="J6" s="205" t="s">
        <v>67</v>
      </c>
      <c r="K6" s="154" t="s">
        <v>501</v>
      </c>
    </row>
    <row r="7" spans="1:11" s="142" customFormat="1" ht="12.75" customHeight="1" x14ac:dyDescent="0.25">
      <c r="A7" s="151"/>
      <c r="B7" s="152" t="s">
        <v>2</v>
      </c>
      <c r="C7" s="218"/>
      <c r="D7" s="205">
        <v>0.53670183941066918</v>
      </c>
      <c r="E7" s="154" t="s">
        <v>501</v>
      </c>
      <c r="F7" s="205">
        <v>0.40607599489801954</v>
      </c>
      <c r="G7" s="154" t="s">
        <v>501</v>
      </c>
      <c r="H7" s="205">
        <v>0.13062584451264964</v>
      </c>
      <c r="I7" s="154" t="s">
        <v>501</v>
      </c>
      <c r="J7" s="205" t="s">
        <v>67</v>
      </c>
      <c r="K7" s="154" t="s">
        <v>501</v>
      </c>
    </row>
    <row r="8" spans="1:11" s="142" customFormat="1" ht="12.75" customHeight="1" x14ac:dyDescent="0.25">
      <c r="A8" s="151"/>
      <c r="B8" s="152" t="s">
        <v>3</v>
      </c>
      <c r="C8" s="218"/>
      <c r="D8" s="205">
        <v>0.53700332464100209</v>
      </c>
      <c r="E8" s="154" t="s">
        <v>501</v>
      </c>
      <c r="F8" s="205">
        <v>0.3992380738168706</v>
      </c>
      <c r="G8" s="154" t="s">
        <v>501</v>
      </c>
      <c r="H8" s="205">
        <v>0.13776525082413141</v>
      </c>
      <c r="I8" s="154" t="s">
        <v>501</v>
      </c>
      <c r="J8" s="205" t="s">
        <v>67</v>
      </c>
      <c r="K8" s="154" t="s">
        <v>501</v>
      </c>
    </row>
    <row r="9" spans="1:11" s="142" customFormat="1" ht="12.75" customHeight="1" x14ac:dyDescent="0.25">
      <c r="A9" s="151"/>
      <c r="B9" s="152" t="s">
        <v>4</v>
      </c>
      <c r="C9" s="218"/>
      <c r="D9" s="205">
        <v>0.59742734635540728</v>
      </c>
      <c r="E9" s="154" t="s">
        <v>501</v>
      </c>
      <c r="F9" s="205">
        <v>0.45164363982848976</v>
      </c>
      <c r="G9" s="154" t="s">
        <v>501</v>
      </c>
      <c r="H9" s="205">
        <v>0.14578370652691758</v>
      </c>
      <c r="I9" s="154" t="s">
        <v>501</v>
      </c>
      <c r="J9" s="205" t="s">
        <v>67</v>
      </c>
      <c r="K9" s="154" t="s">
        <v>501</v>
      </c>
    </row>
    <row r="10" spans="1:11" s="142" customFormat="1" ht="12.75" customHeight="1" x14ac:dyDescent="0.25">
      <c r="A10" s="151"/>
      <c r="B10" s="152"/>
      <c r="C10" s="218"/>
      <c r="D10" s="205"/>
      <c r="E10" s="154"/>
      <c r="F10" s="205"/>
      <c r="G10" s="154"/>
      <c r="H10" s="205"/>
      <c r="I10" s="154"/>
      <c r="J10" s="205"/>
      <c r="K10" s="154"/>
    </row>
    <row r="11" spans="1:11" s="142" customFormat="1" ht="12.75" customHeight="1" x14ac:dyDescent="0.25">
      <c r="A11" s="151">
        <v>2009</v>
      </c>
      <c r="B11" s="152" t="s">
        <v>1</v>
      </c>
      <c r="C11" s="218"/>
      <c r="D11" s="205">
        <v>0.63742752463273222</v>
      </c>
      <c r="E11" s="154" t="s">
        <v>501</v>
      </c>
      <c r="F11" s="205">
        <v>0.4410770817771138</v>
      </c>
      <c r="G11" s="154" t="s">
        <v>501</v>
      </c>
      <c r="H11" s="205">
        <v>0.1963504428556184</v>
      </c>
      <c r="I11" s="154" t="s">
        <v>501</v>
      </c>
      <c r="J11" s="205" t="s">
        <v>67</v>
      </c>
      <c r="K11" s="154" t="s">
        <v>501</v>
      </c>
    </row>
    <row r="12" spans="1:11" s="142" customFormat="1" ht="12.75" customHeight="1" x14ac:dyDescent="0.25">
      <c r="A12" s="151"/>
      <c r="B12" s="152" t="s">
        <v>2</v>
      </c>
      <c r="C12" s="218"/>
      <c r="D12" s="205">
        <v>0.65647681344645614</v>
      </c>
      <c r="E12" s="154" t="s">
        <v>501</v>
      </c>
      <c r="F12" s="205">
        <v>0.44991298852580397</v>
      </c>
      <c r="G12" s="154" t="s">
        <v>501</v>
      </c>
      <c r="H12" s="205">
        <v>0.20656382492065217</v>
      </c>
      <c r="I12" s="154" t="s">
        <v>501</v>
      </c>
      <c r="J12" s="205" t="s">
        <v>67</v>
      </c>
      <c r="K12" s="154" t="s">
        <v>501</v>
      </c>
    </row>
    <row r="13" spans="1:11" s="142" customFormat="1" ht="12.75" customHeight="1" x14ac:dyDescent="0.25">
      <c r="A13" s="151"/>
      <c r="B13" s="152" t="s">
        <v>3</v>
      </c>
      <c r="C13" s="218"/>
      <c r="D13" s="205">
        <v>0.67262523188919043</v>
      </c>
      <c r="E13" s="154" t="s">
        <v>501</v>
      </c>
      <c r="F13" s="205">
        <v>0.44747871075473339</v>
      </c>
      <c r="G13" s="154" t="s">
        <v>501</v>
      </c>
      <c r="H13" s="205">
        <v>0.22514652113445704</v>
      </c>
      <c r="I13" s="154" t="s">
        <v>501</v>
      </c>
      <c r="J13" s="205" t="s">
        <v>67</v>
      </c>
      <c r="K13" s="154" t="s">
        <v>501</v>
      </c>
    </row>
    <row r="14" spans="1:11" s="142" customFormat="1" ht="12.75" customHeight="1" x14ac:dyDescent="0.25">
      <c r="A14" s="151"/>
      <c r="B14" s="152" t="s">
        <v>4</v>
      </c>
      <c r="C14" s="218"/>
      <c r="D14" s="205">
        <v>0.71373511862277683</v>
      </c>
      <c r="E14" s="154" t="s">
        <v>501</v>
      </c>
      <c r="F14" s="205">
        <v>0.46821023781654159</v>
      </c>
      <c r="G14" s="154" t="s">
        <v>501</v>
      </c>
      <c r="H14" s="205">
        <v>0.24552488080623525</v>
      </c>
      <c r="I14" s="154" t="s">
        <v>501</v>
      </c>
      <c r="J14" s="205" t="s">
        <v>67</v>
      </c>
      <c r="K14" s="154" t="s">
        <v>501</v>
      </c>
    </row>
    <row r="15" spans="1:11" s="142" customFormat="1" ht="12.75" customHeight="1" x14ac:dyDescent="0.25">
      <c r="A15" s="151"/>
      <c r="B15" s="152"/>
      <c r="C15" s="218"/>
      <c r="D15" s="205"/>
      <c r="E15" s="154"/>
      <c r="F15" s="205"/>
      <c r="G15" s="154"/>
      <c r="H15" s="205"/>
      <c r="I15" s="154"/>
      <c r="J15" s="205"/>
      <c r="K15" s="154"/>
    </row>
    <row r="16" spans="1:11" s="142" customFormat="1" ht="12.75" customHeight="1" x14ac:dyDescent="0.25">
      <c r="A16" s="151">
        <v>2010</v>
      </c>
      <c r="B16" s="152" t="s">
        <v>1</v>
      </c>
      <c r="C16" s="218"/>
      <c r="D16" s="205">
        <v>0.82048944474516405</v>
      </c>
      <c r="E16" s="154" t="s">
        <v>501</v>
      </c>
      <c r="F16" s="205">
        <v>0.5099569812825846</v>
      </c>
      <c r="G16" s="154" t="s">
        <v>501</v>
      </c>
      <c r="H16" s="205">
        <v>0.29628785504686478</v>
      </c>
      <c r="I16" s="154" t="s">
        <v>501</v>
      </c>
      <c r="J16" s="205">
        <v>1.4244608415714654E-2</v>
      </c>
      <c r="K16" s="154" t="s">
        <v>501</v>
      </c>
    </row>
    <row r="17" spans="1:11" s="142" customFormat="1" ht="12.75" customHeight="1" x14ac:dyDescent="0.25">
      <c r="A17" s="151"/>
      <c r="B17" s="152" t="s">
        <v>2</v>
      </c>
      <c r="C17" s="218"/>
      <c r="D17" s="205">
        <v>0.99823654606263301</v>
      </c>
      <c r="E17" s="154" t="s">
        <v>501</v>
      </c>
      <c r="F17" s="205">
        <v>0.65673456977804801</v>
      </c>
      <c r="G17" s="154" t="s">
        <v>501</v>
      </c>
      <c r="H17" s="205">
        <v>0.31815141380358775</v>
      </c>
      <c r="I17" s="154" t="s">
        <v>501</v>
      </c>
      <c r="J17" s="205">
        <v>2.3350562480997265E-2</v>
      </c>
      <c r="K17" s="154" t="s">
        <v>501</v>
      </c>
    </row>
    <row r="18" spans="1:11" s="142" customFormat="1" ht="12.75" customHeight="1" x14ac:dyDescent="0.25">
      <c r="A18" s="151"/>
      <c r="B18" s="152" t="s">
        <v>3</v>
      </c>
      <c r="C18" s="218"/>
      <c r="D18" s="205">
        <v>1.1124192888745679</v>
      </c>
      <c r="E18" s="154" t="s">
        <v>501</v>
      </c>
      <c r="F18" s="205">
        <v>0.75251893070926656</v>
      </c>
      <c r="G18" s="154" t="s">
        <v>501</v>
      </c>
      <c r="H18" s="205">
        <v>0.32420776066130452</v>
      </c>
      <c r="I18" s="154" t="s">
        <v>501</v>
      </c>
      <c r="J18" s="205">
        <v>3.569259750399683E-2</v>
      </c>
      <c r="K18" s="154" t="s">
        <v>501</v>
      </c>
    </row>
    <row r="19" spans="1:11" s="142" customFormat="1" ht="12.75" customHeight="1" x14ac:dyDescent="0.25">
      <c r="A19" s="151"/>
      <c r="B19" s="152" t="s">
        <v>4</v>
      </c>
      <c r="C19" s="218"/>
      <c r="D19" s="205">
        <v>1.1319689624608194</v>
      </c>
      <c r="E19" s="154" t="s">
        <v>501</v>
      </c>
      <c r="F19" s="205">
        <v>0.74276178639161372</v>
      </c>
      <c r="G19" s="154" t="s">
        <v>501</v>
      </c>
      <c r="H19" s="205">
        <v>0.34761251603127524</v>
      </c>
      <c r="I19" s="154" t="s">
        <v>501</v>
      </c>
      <c r="J19" s="205">
        <v>4.1594660037930373E-2</v>
      </c>
      <c r="K19" s="154" t="s">
        <v>501</v>
      </c>
    </row>
    <row r="20" spans="1:11" s="142" customFormat="1" ht="12.75" customHeight="1" x14ac:dyDescent="0.25">
      <c r="A20" s="151"/>
      <c r="B20" s="152"/>
      <c r="C20" s="218"/>
      <c r="D20" s="205"/>
      <c r="E20" s="154"/>
      <c r="F20" s="205"/>
      <c r="G20" s="154"/>
      <c r="H20" s="205"/>
      <c r="I20" s="154"/>
      <c r="J20" s="205"/>
      <c r="K20" s="154"/>
    </row>
    <row r="21" spans="1:11" s="142" customFormat="1" ht="12.75" customHeight="1" x14ac:dyDescent="0.25">
      <c r="A21" s="151">
        <v>2011</v>
      </c>
      <c r="B21" s="152" t="s">
        <v>1</v>
      </c>
      <c r="C21" s="218"/>
      <c r="D21" s="205">
        <v>1.1527753392359981</v>
      </c>
      <c r="E21" s="154" t="s">
        <v>501</v>
      </c>
      <c r="F21" s="205">
        <v>0.78858260804133551</v>
      </c>
      <c r="G21" s="154" t="s">
        <v>501</v>
      </c>
      <c r="H21" s="205">
        <v>0.33409415836865741</v>
      </c>
      <c r="I21" s="154" t="s">
        <v>501</v>
      </c>
      <c r="J21" s="205">
        <v>3.0098572826005168E-2</v>
      </c>
      <c r="K21" s="154" t="s">
        <v>501</v>
      </c>
    </row>
    <row r="22" spans="1:11" s="142" customFormat="1" ht="12.75" customHeight="1" x14ac:dyDescent="0.25">
      <c r="A22" s="151"/>
      <c r="B22" s="152" t="s">
        <v>2</v>
      </c>
      <c r="C22" s="218"/>
      <c r="D22" s="205">
        <v>1.031083106384765</v>
      </c>
      <c r="E22" s="154" t="s">
        <v>501</v>
      </c>
      <c r="F22" s="205">
        <v>0.66961144265217487</v>
      </c>
      <c r="G22" s="154" t="s">
        <v>501</v>
      </c>
      <c r="H22" s="205">
        <v>0.32591707385725333</v>
      </c>
      <c r="I22" s="154" t="s">
        <v>501</v>
      </c>
      <c r="J22" s="205">
        <v>3.5554589875336724E-2</v>
      </c>
      <c r="K22" s="154" t="s">
        <v>501</v>
      </c>
    </row>
    <row r="23" spans="1:11" s="142" customFormat="1" ht="12.75" customHeight="1" x14ac:dyDescent="0.25">
      <c r="A23" s="151"/>
      <c r="B23" s="152" t="s">
        <v>3</v>
      </c>
      <c r="C23" s="218"/>
      <c r="D23" s="205">
        <v>1.00912071068695</v>
      </c>
      <c r="E23" s="154" t="s">
        <v>501</v>
      </c>
      <c r="F23" s="205">
        <v>0.62776695374130032</v>
      </c>
      <c r="G23" s="154" t="s">
        <v>501</v>
      </c>
      <c r="H23" s="205">
        <v>0.34321838125108478</v>
      </c>
      <c r="I23" s="154" t="s">
        <v>501</v>
      </c>
      <c r="J23" s="205">
        <v>3.8135375694564974E-2</v>
      </c>
      <c r="K23" s="154" t="s">
        <v>501</v>
      </c>
    </row>
    <row r="24" spans="1:11" s="142" customFormat="1" ht="12.75" customHeight="1" x14ac:dyDescent="0.25">
      <c r="A24" s="151"/>
      <c r="B24" s="152" t="s">
        <v>4</v>
      </c>
      <c r="C24" s="218"/>
      <c r="D24" s="205">
        <v>0.97119416898104116</v>
      </c>
      <c r="E24" s="154" t="s">
        <v>501</v>
      </c>
      <c r="F24" s="205">
        <v>0.60121543794064447</v>
      </c>
      <c r="G24" s="154" t="s">
        <v>501</v>
      </c>
      <c r="H24" s="205">
        <v>0.33529322500535946</v>
      </c>
      <c r="I24" s="154" t="s">
        <v>501</v>
      </c>
      <c r="J24" s="205">
        <v>3.4685506035037179E-2</v>
      </c>
      <c r="K24" s="154" t="s">
        <v>501</v>
      </c>
    </row>
    <row r="25" spans="1:11" s="142" customFormat="1" ht="12.75" customHeight="1" x14ac:dyDescent="0.25">
      <c r="A25" s="151"/>
      <c r="B25" s="152"/>
      <c r="C25" s="218"/>
      <c r="D25" s="205"/>
      <c r="E25" s="154"/>
      <c r="F25" s="205"/>
      <c r="G25" s="154"/>
      <c r="H25" s="205"/>
      <c r="I25" s="154"/>
      <c r="J25" s="205"/>
      <c r="K25" s="154"/>
    </row>
    <row r="26" spans="1:11" s="142" customFormat="1" ht="12.75" customHeight="1" x14ac:dyDescent="0.25">
      <c r="A26" s="151">
        <v>2012</v>
      </c>
      <c r="B26" s="152" t="s">
        <v>1</v>
      </c>
      <c r="C26" s="218"/>
      <c r="D26" s="205">
        <v>0.99399520565827282</v>
      </c>
      <c r="E26" s="154" t="s">
        <v>501</v>
      </c>
      <c r="F26" s="205">
        <v>0.62373911186006226</v>
      </c>
      <c r="G26" s="154" t="s">
        <v>501</v>
      </c>
      <c r="H26" s="205">
        <v>0.32753423682149385</v>
      </c>
      <c r="I26" s="154" t="s">
        <v>501</v>
      </c>
      <c r="J26" s="205">
        <v>4.2721856976716592E-2</v>
      </c>
      <c r="K26" s="154" t="s">
        <v>501</v>
      </c>
    </row>
    <row r="27" spans="1:11" s="142" customFormat="1" ht="12.75" customHeight="1" x14ac:dyDescent="0.25">
      <c r="A27" s="151"/>
      <c r="B27" s="152" t="s">
        <v>2</v>
      </c>
      <c r="C27" s="218"/>
      <c r="D27" s="205">
        <v>1.0715537997615654</v>
      </c>
      <c r="E27" s="154" t="s">
        <v>501</v>
      </c>
      <c r="F27" s="205">
        <v>0.65920194487949701</v>
      </c>
      <c r="G27" s="154" t="s">
        <v>501</v>
      </c>
      <c r="H27" s="205">
        <v>0.36185979101895793</v>
      </c>
      <c r="I27" s="154" t="s">
        <v>501</v>
      </c>
      <c r="J27" s="205">
        <v>5.0492063863110413E-2</v>
      </c>
      <c r="K27" s="154" t="s">
        <v>501</v>
      </c>
    </row>
    <row r="28" spans="1:11" s="142" customFormat="1" ht="12.75" customHeight="1" x14ac:dyDescent="0.25">
      <c r="A28" s="151"/>
      <c r="B28" s="152" t="s">
        <v>3</v>
      </c>
      <c r="C28" s="218"/>
      <c r="D28" s="205">
        <v>1.0971567192808755</v>
      </c>
      <c r="E28" s="154" t="s">
        <v>501</v>
      </c>
      <c r="F28" s="205">
        <v>0.69468214386628302</v>
      </c>
      <c r="G28" s="154" t="s">
        <v>501</v>
      </c>
      <c r="H28" s="205">
        <v>0.35836777262943165</v>
      </c>
      <c r="I28" s="154" t="s">
        <v>501</v>
      </c>
      <c r="J28" s="205">
        <v>4.4106802785160826E-2</v>
      </c>
      <c r="K28" s="154" t="s">
        <v>501</v>
      </c>
    </row>
    <row r="29" spans="1:11" s="142" customFormat="1" ht="12.75" customHeight="1" x14ac:dyDescent="0.25">
      <c r="A29" s="151"/>
      <c r="B29" s="152" t="s">
        <v>4</v>
      </c>
      <c r="C29" s="218"/>
      <c r="D29" s="205">
        <v>1.1003132459918292</v>
      </c>
      <c r="E29" s="154" t="s">
        <v>501</v>
      </c>
      <c r="F29" s="205">
        <v>0.68295304923630773</v>
      </c>
      <c r="G29" s="154" t="s">
        <v>501</v>
      </c>
      <c r="H29" s="205">
        <v>0.36857783609578509</v>
      </c>
      <c r="I29" s="154" t="s">
        <v>501</v>
      </c>
      <c r="J29" s="205">
        <v>4.8782360659736262E-2</v>
      </c>
      <c r="K29" s="154" t="s">
        <v>501</v>
      </c>
    </row>
    <row r="30" spans="1:11" s="142" customFormat="1" ht="12.75" customHeight="1" x14ac:dyDescent="0.25">
      <c r="A30" s="151"/>
      <c r="B30" s="152"/>
      <c r="C30" s="218"/>
      <c r="D30" s="205"/>
      <c r="E30" s="154"/>
      <c r="F30" s="205"/>
      <c r="G30" s="154"/>
      <c r="H30" s="205"/>
      <c r="I30" s="154"/>
      <c r="J30" s="205"/>
      <c r="K30" s="154"/>
    </row>
    <row r="31" spans="1:11" s="142" customFormat="1" ht="12.75" customHeight="1" x14ac:dyDescent="0.25">
      <c r="A31" s="151">
        <v>2013</v>
      </c>
      <c r="B31" s="152" t="s">
        <v>1</v>
      </c>
      <c r="C31" s="218"/>
      <c r="D31" s="205">
        <v>0.93720046860023432</v>
      </c>
      <c r="E31" s="154" t="s">
        <v>501</v>
      </c>
      <c r="F31" s="205">
        <v>0.5591252795626398</v>
      </c>
      <c r="G31" s="154" t="s">
        <v>501</v>
      </c>
      <c r="H31" s="205">
        <v>0.33281266640633322</v>
      </c>
      <c r="I31" s="154" t="s">
        <v>501</v>
      </c>
      <c r="J31" s="205">
        <v>4.526252263126132E-2</v>
      </c>
      <c r="K31" s="154" t="s">
        <v>501</v>
      </c>
    </row>
    <row r="32" spans="1:11" s="142" customFormat="1" ht="12.75" customHeight="1" x14ac:dyDescent="0.25">
      <c r="A32" s="151"/>
      <c r="B32" s="152" t="s">
        <v>2</v>
      </c>
      <c r="C32" s="218"/>
      <c r="D32" s="205">
        <v>0.87729061233575345</v>
      </c>
      <c r="E32" s="154" t="s">
        <v>501</v>
      </c>
      <c r="F32" s="205">
        <v>0.53423070124326477</v>
      </c>
      <c r="G32" s="154" t="s">
        <v>501</v>
      </c>
      <c r="H32" s="205">
        <v>0.29592190804161239</v>
      </c>
      <c r="I32" s="154" t="s">
        <v>501</v>
      </c>
      <c r="J32" s="205">
        <v>4.7138003050876308E-2</v>
      </c>
      <c r="K32" s="154" t="s">
        <v>501</v>
      </c>
    </row>
    <row r="33" spans="1:11" s="142" customFormat="1" ht="12.75" customHeight="1" x14ac:dyDescent="0.25">
      <c r="A33" s="151"/>
      <c r="B33" s="152" t="s">
        <v>3</v>
      </c>
      <c r="C33" s="218"/>
      <c r="D33" s="205">
        <v>0.81041446911420423</v>
      </c>
      <c r="E33" s="154" t="s">
        <v>501</v>
      </c>
      <c r="F33" s="205">
        <v>0.48882142581491678</v>
      </c>
      <c r="G33" s="154" t="s">
        <v>501</v>
      </c>
      <c r="H33" s="205">
        <v>0.27528364506419001</v>
      </c>
      <c r="I33" s="154" t="s">
        <v>501</v>
      </c>
      <c r="J33" s="205">
        <v>4.6309398235097374E-2</v>
      </c>
      <c r="K33" s="154" t="s">
        <v>501</v>
      </c>
    </row>
    <row r="34" spans="1:11" s="142" customFormat="1" ht="12.75" customHeight="1" x14ac:dyDescent="0.25">
      <c r="A34" s="151"/>
      <c r="B34" s="152" t="s">
        <v>4</v>
      </c>
      <c r="C34" s="218"/>
      <c r="D34" s="205">
        <v>0.75079788074447795</v>
      </c>
      <c r="E34" s="154" t="s">
        <v>501</v>
      </c>
      <c r="F34" s="205">
        <v>0.44997314064820559</v>
      </c>
      <c r="G34" s="154" t="s">
        <v>501</v>
      </c>
      <c r="H34" s="205">
        <v>0.24773802125575367</v>
      </c>
      <c r="I34" s="154" t="s">
        <v>501</v>
      </c>
      <c r="J34" s="205">
        <v>5.3086718840518639E-2</v>
      </c>
      <c r="K34" s="154" t="s">
        <v>501</v>
      </c>
    </row>
    <row r="35" spans="1:11" s="142" customFormat="1" ht="12.75" customHeight="1" x14ac:dyDescent="0.25">
      <c r="A35" s="151"/>
      <c r="B35" s="152"/>
      <c r="C35" s="218"/>
      <c r="D35" s="205"/>
      <c r="E35" s="154"/>
      <c r="F35" s="205"/>
      <c r="G35" s="154"/>
      <c r="H35" s="205"/>
      <c r="I35" s="154"/>
      <c r="J35" s="205"/>
      <c r="K35" s="154"/>
    </row>
    <row r="36" spans="1:11" s="142" customFormat="1" ht="12.75" customHeight="1" x14ac:dyDescent="0.25">
      <c r="A36" s="151">
        <v>2014</v>
      </c>
      <c r="B36" s="152" t="s">
        <v>1</v>
      </c>
      <c r="C36" s="218"/>
      <c r="D36" s="205">
        <v>0.7849696528082537</v>
      </c>
      <c r="E36" s="154" t="s">
        <v>501</v>
      </c>
      <c r="F36" s="205">
        <v>0.47445950533663434</v>
      </c>
      <c r="G36" s="154" t="s">
        <v>501</v>
      </c>
      <c r="H36" s="205">
        <v>0.24840811797729548</v>
      </c>
      <c r="I36" s="154" t="s">
        <v>501</v>
      </c>
      <c r="J36" s="205">
        <v>6.210202949432387E-2</v>
      </c>
      <c r="K36" s="154" t="s">
        <v>501</v>
      </c>
    </row>
    <row r="37" spans="1:11" s="142" customFormat="1" ht="12.75" customHeight="1" x14ac:dyDescent="0.25">
      <c r="A37" s="151"/>
      <c r="B37" s="152" t="s">
        <v>2</v>
      </c>
      <c r="C37" s="218"/>
      <c r="D37" s="205">
        <v>0.71663910883245507</v>
      </c>
      <c r="E37" s="154" t="s">
        <v>501</v>
      </c>
      <c r="F37" s="205">
        <v>0.43144599409300871</v>
      </c>
      <c r="G37" s="154" t="s">
        <v>501</v>
      </c>
      <c r="H37" s="205">
        <v>0.23644215495492565</v>
      </c>
      <c r="I37" s="154" t="s">
        <v>501</v>
      </c>
      <c r="J37" s="205">
        <v>4.8750959784520757E-2</v>
      </c>
      <c r="K37" s="154" t="s">
        <v>501</v>
      </c>
    </row>
    <row r="38" spans="1:11" s="142" customFormat="1" ht="12.75" customHeight="1" x14ac:dyDescent="0.25">
      <c r="A38" s="151"/>
      <c r="B38" s="152" t="s">
        <v>3</v>
      </c>
      <c r="C38" s="218"/>
      <c r="D38" s="205">
        <v>0.71379810053055792</v>
      </c>
      <c r="E38" s="154" t="s">
        <v>501</v>
      </c>
      <c r="F38" s="205">
        <v>0.43594380636430052</v>
      </c>
      <c r="G38" s="154" t="s">
        <v>501</v>
      </c>
      <c r="H38" s="205">
        <v>0.22755308573960742</v>
      </c>
      <c r="I38" s="154" t="s">
        <v>501</v>
      </c>
      <c r="J38" s="205">
        <v>5.0301208426650063E-2</v>
      </c>
      <c r="K38" s="154" t="s">
        <v>501</v>
      </c>
    </row>
    <row r="39" spans="1:11" s="142" customFormat="1" ht="12.75" customHeight="1" x14ac:dyDescent="0.25">
      <c r="A39" s="151"/>
      <c r="B39" s="152" t="s">
        <v>4</v>
      </c>
      <c r="C39" s="218"/>
      <c r="D39" s="205">
        <v>0.76967737886015575</v>
      </c>
      <c r="E39" s="154" t="s">
        <v>501</v>
      </c>
      <c r="F39" s="205">
        <v>0.52017951292995235</v>
      </c>
      <c r="G39" s="154" t="s">
        <v>501</v>
      </c>
      <c r="H39" s="205">
        <v>0.21183781069545571</v>
      </c>
      <c r="I39" s="154" t="s">
        <v>501</v>
      </c>
      <c r="J39" s="205">
        <v>3.7660055234747684E-2</v>
      </c>
      <c r="K39" s="154" t="s">
        <v>501</v>
      </c>
    </row>
    <row r="40" spans="1:11" s="142" customFormat="1" ht="12.75" customHeight="1" x14ac:dyDescent="0.25">
      <c r="A40" s="151"/>
      <c r="B40" s="152"/>
      <c r="C40" s="218"/>
      <c r="D40" s="205"/>
      <c r="E40" s="154"/>
      <c r="F40" s="205"/>
      <c r="G40" s="154"/>
      <c r="H40" s="205"/>
      <c r="I40" s="154"/>
      <c r="J40" s="205"/>
      <c r="K40" s="154"/>
    </row>
    <row r="41" spans="1:11" s="142" customFormat="1" ht="12.75" customHeight="1" x14ac:dyDescent="0.25">
      <c r="A41" s="151">
        <v>2015</v>
      </c>
      <c r="B41" s="152" t="s">
        <v>1</v>
      </c>
      <c r="C41" s="218"/>
      <c r="D41" s="205">
        <v>0.758482341582985</v>
      </c>
      <c r="E41" s="154" t="s">
        <v>501</v>
      </c>
      <c r="F41" s="205">
        <v>0.54111240222688561</v>
      </c>
      <c r="G41" s="154" t="s">
        <v>501</v>
      </c>
      <c r="H41" s="205">
        <v>0.19193303155910901</v>
      </c>
      <c r="I41" s="154" t="s">
        <v>501</v>
      </c>
      <c r="J41" s="205">
        <v>2.543690779699035E-2</v>
      </c>
      <c r="K41" s="154" t="s">
        <v>501</v>
      </c>
    </row>
    <row r="42" spans="1:11" s="142" customFormat="1" ht="12.75" customHeight="1" x14ac:dyDescent="0.25">
      <c r="A42" s="151"/>
      <c r="B42" s="152" t="s">
        <v>2</v>
      </c>
      <c r="C42" s="218"/>
      <c r="D42" s="205">
        <v>0.72655717853629009</v>
      </c>
      <c r="E42" s="154" t="s">
        <v>501</v>
      </c>
      <c r="F42" s="205">
        <v>0.5040490426095513</v>
      </c>
      <c r="G42" s="154" t="s">
        <v>501</v>
      </c>
      <c r="H42" s="205">
        <v>0.19299175054870205</v>
      </c>
      <c r="I42" s="154" t="s">
        <v>501</v>
      </c>
      <c r="J42" s="205">
        <v>2.9516385378036785E-2</v>
      </c>
      <c r="K42" s="154" t="s">
        <v>501</v>
      </c>
    </row>
    <row r="43" spans="1:11" s="142" customFormat="1" ht="12.75" customHeight="1" x14ac:dyDescent="0.25">
      <c r="A43" s="151"/>
      <c r="B43" s="152" t="s">
        <v>3</v>
      </c>
      <c r="C43" s="218"/>
      <c r="D43" s="205">
        <v>0.7062230803505124</v>
      </c>
      <c r="E43" s="154" t="s">
        <v>501</v>
      </c>
      <c r="F43" s="205">
        <v>0.50349027179563355</v>
      </c>
      <c r="G43" s="154" t="s">
        <v>501</v>
      </c>
      <c r="H43" s="205">
        <v>0.17599881182236743</v>
      </c>
      <c r="I43" s="154" t="s">
        <v>501</v>
      </c>
      <c r="J43" s="205">
        <v>2.6733996732511509E-2</v>
      </c>
      <c r="K43" s="154" t="s">
        <v>501</v>
      </c>
    </row>
    <row r="44" spans="1:11" s="142" customFormat="1" ht="12.75" customHeight="1" x14ac:dyDescent="0.25">
      <c r="A44" s="151"/>
      <c r="B44" s="152" t="s">
        <v>4</v>
      </c>
      <c r="C44" s="218"/>
      <c r="D44" s="205">
        <v>0.69977603522206044</v>
      </c>
      <c r="E44" s="154" t="s">
        <v>501</v>
      </c>
      <c r="F44" s="205">
        <v>0.49203002476551122</v>
      </c>
      <c r="G44" s="154" t="s">
        <v>501</v>
      </c>
      <c r="H44" s="205">
        <v>0.16619680836523937</v>
      </c>
      <c r="I44" s="154" t="s">
        <v>501</v>
      </c>
      <c r="J44" s="205">
        <v>4.1549202091309842E-2</v>
      </c>
      <c r="K44" s="154" t="s">
        <v>501</v>
      </c>
    </row>
    <row r="45" spans="1:11" s="142" customFormat="1" ht="12.75" customHeight="1" x14ac:dyDescent="0.25">
      <c r="A45" s="151"/>
      <c r="B45" s="152"/>
      <c r="C45" s="218"/>
      <c r="D45" s="205"/>
      <c r="E45" s="154"/>
      <c r="F45" s="205"/>
      <c r="G45" s="154"/>
      <c r="H45" s="205"/>
      <c r="I45" s="154"/>
      <c r="J45" s="205"/>
      <c r="K45" s="154"/>
    </row>
    <row r="46" spans="1:11" s="142" customFormat="1" ht="12.75" customHeight="1" x14ac:dyDescent="0.25">
      <c r="A46" s="151">
        <v>2016</v>
      </c>
      <c r="B46" s="152" t="s">
        <v>1</v>
      </c>
      <c r="C46" s="218"/>
      <c r="D46" s="205">
        <v>0.66967879028536492</v>
      </c>
      <c r="E46" s="154" t="s">
        <v>501</v>
      </c>
      <c r="F46" s="205">
        <v>0.45289174599426918</v>
      </c>
      <c r="G46" s="154" t="s">
        <v>501</v>
      </c>
      <c r="H46" s="205">
        <v>0.17385891670870049</v>
      </c>
      <c r="I46" s="154" t="s">
        <v>501</v>
      </c>
      <c r="J46" s="205">
        <v>4.2928127582395184E-2</v>
      </c>
      <c r="K46" s="154" t="s">
        <v>501</v>
      </c>
    </row>
    <row r="47" spans="1:11" s="142" customFormat="1" ht="12.75" customHeight="1" x14ac:dyDescent="0.25">
      <c r="A47" s="151"/>
      <c r="B47" s="152" t="s">
        <v>2</v>
      </c>
      <c r="C47" s="218"/>
      <c r="D47" s="205">
        <v>0.73347571942446044</v>
      </c>
      <c r="E47" s="154" t="s">
        <v>501</v>
      </c>
      <c r="F47" s="205">
        <v>0.51006070143884896</v>
      </c>
      <c r="G47" s="154" t="s">
        <v>501</v>
      </c>
      <c r="H47" s="205">
        <v>0.18126124100719426</v>
      </c>
      <c r="I47" s="154" t="s">
        <v>501</v>
      </c>
      <c r="J47" s="205">
        <v>4.2153776978417268E-2</v>
      </c>
      <c r="K47" s="154" t="s">
        <v>501</v>
      </c>
    </row>
    <row r="48" spans="1:11" s="142" customFormat="1" ht="12.75" customHeight="1" x14ac:dyDescent="0.25">
      <c r="A48" s="151"/>
      <c r="B48" s="152" t="s">
        <v>3</v>
      </c>
      <c r="C48" s="218"/>
      <c r="D48" s="205">
        <v>0.69214190981432377</v>
      </c>
      <c r="E48" s="154" t="s">
        <v>501</v>
      </c>
      <c r="F48" s="205">
        <v>0.48284151193633956</v>
      </c>
      <c r="G48" s="154" t="s">
        <v>501</v>
      </c>
      <c r="H48" s="205">
        <v>0.16785477453580905</v>
      </c>
      <c r="I48" s="154" t="s">
        <v>501</v>
      </c>
      <c r="J48" s="205">
        <v>4.1445623342175074E-2</v>
      </c>
      <c r="K48" s="154" t="s">
        <v>501</v>
      </c>
    </row>
    <row r="49" spans="1:11" s="142" customFormat="1" ht="12.75" customHeight="1" x14ac:dyDescent="0.25">
      <c r="A49" s="151"/>
      <c r="B49" s="152" t="s">
        <v>4</v>
      </c>
      <c r="C49" s="218"/>
      <c r="D49" s="205">
        <v>0.70418952060161399</v>
      </c>
      <c r="E49" s="154" t="s">
        <v>501</v>
      </c>
      <c r="F49" s="205">
        <v>0.49456084828379249</v>
      </c>
      <c r="G49" s="154" t="s">
        <v>501</v>
      </c>
      <c r="H49" s="205">
        <v>0.18113545472122444</v>
      </c>
      <c r="I49" s="154" t="s">
        <v>501</v>
      </c>
      <c r="J49" s="205">
        <v>2.8493217596597103E-2</v>
      </c>
      <c r="K49" s="154" t="s">
        <v>501</v>
      </c>
    </row>
    <row r="50" spans="1:11" s="142" customFormat="1" ht="12.75" customHeight="1" x14ac:dyDescent="0.25">
      <c r="A50" s="151"/>
      <c r="B50" s="152"/>
      <c r="C50" s="218"/>
      <c r="D50" s="205"/>
      <c r="E50" s="154"/>
      <c r="F50" s="205"/>
      <c r="G50" s="154"/>
      <c r="H50" s="205"/>
      <c r="I50" s="154"/>
      <c r="J50" s="205"/>
      <c r="K50" s="154"/>
    </row>
    <row r="51" spans="1:11" s="142" customFormat="1" ht="12.75" customHeight="1" x14ac:dyDescent="0.25">
      <c r="A51" s="151">
        <v>2017</v>
      </c>
      <c r="B51" s="152" t="s">
        <v>1</v>
      </c>
      <c r="C51" s="218" t="s">
        <v>196</v>
      </c>
      <c r="D51" s="205">
        <v>0.7396129358968806</v>
      </c>
      <c r="E51" s="154" t="s">
        <v>501</v>
      </c>
      <c r="F51" s="205">
        <v>0.53571964005503792</v>
      </c>
      <c r="G51" s="154" t="s">
        <v>501</v>
      </c>
      <c r="H51" s="205">
        <v>0.16791212598739994</v>
      </c>
      <c r="I51" s="154" t="s">
        <v>501</v>
      </c>
      <c r="J51" s="205">
        <v>3.5981169854442843E-2</v>
      </c>
      <c r="K51" s="154" t="s">
        <v>501</v>
      </c>
    </row>
    <row r="52" spans="1:11" s="142" customFormat="1" ht="12.75" customHeight="1" x14ac:dyDescent="0.25">
      <c r="A52" s="151"/>
      <c r="B52" s="152" t="s">
        <v>2</v>
      </c>
      <c r="C52" s="218" t="s">
        <v>196</v>
      </c>
      <c r="D52" s="205">
        <v>0.62906475762986758</v>
      </c>
      <c r="E52" s="154" t="s">
        <v>501</v>
      </c>
      <c r="F52" s="205">
        <v>0.45607194928165395</v>
      </c>
      <c r="G52" s="154" t="s">
        <v>501</v>
      </c>
      <c r="H52" s="205">
        <v>0.13957374309912685</v>
      </c>
      <c r="I52" s="154" t="s">
        <v>501</v>
      </c>
      <c r="J52" s="205">
        <v>3.3419065249086707E-2</v>
      </c>
      <c r="K52" s="154" t="s">
        <v>501</v>
      </c>
    </row>
    <row r="53" spans="1:11" s="142" customFormat="1" ht="12.75" customHeight="1" x14ac:dyDescent="0.25">
      <c r="A53" s="151"/>
      <c r="B53" s="152" t="s">
        <v>3</v>
      </c>
      <c r="C53" s="218" t="s">
        <v>196</v>
      </c>
      <c r="D53" s="205">
        <v>0.60725417326083242</v>
      </c>
      <c r="E53" s="154" t="s">
        <v>501</v>
      </c>
      <c r="F53" s="205">
        <v>0.42739863786829291</v>
      </c>
      <c r="G53" s="154" t="s">
        <v>501</v>
      </c>
      <c r="H53" s="205">
        <v>0.14117692563070308</v>
      </c>
      <c r="I53" s="154" t="s">
        <v>501</v>
      </c>
      <c r="J53" s="205">
        <v>3.8678609761836465E-2</v>
      </c>
      <c r="K53" s="154" t="s">
        <v>501</v>
      </c>
    </row>
    <row r="54" spans="1:11" s="142" customFormat="1" ht="12.75" customHeight="1" x14ac:dyDescent="0.25">
      <c r="A54" s="152"/>
      <c r="B54" s="152" t="s">
        <v>4</v>
      </c>
      <c r="C54" s="218" t="s">
        <v>406</v>
      </c>
      <c r="D54" s="205">
        <v>0.54285800453651512</v>
      </c>
      <c r="E54" s="154" t="s">
        <v>501</v>
      </c>
      <c r="F54" s="205">
        <v>0.38095298563965974</v>
      </c>
      <c r="G54" s="154" t="s">
        <v>501</v>
      </c>
      <c r="H54" s="205">
        <v>0.12571448526108772</v>
      </c>
      <c r="I54" s="154" t="s">
        <v>501</v>
      </c>
      <c r="J54" s="205">
        <v>3.6190533635767679E-2</v>
      </c>
      <c r="K54" s="154" t="s">
        <v>501</v>
      </c>
    </row>
    <row r="55" spans="1:11" s="142" customFormat="1" ht="12.75" customHeight="1" x14ac:dyDescent="0.25">
      <c r="A55" s="151"/>
      <c r="B55" s="152"/>
      <c r="C55" s="218"/>
      <c r="D55" s="205"/>
      <c r="E55" s="154"/>
      <c r="F55" s="205"/>
      <c r="G55" s="154"/>
      <c r="H55" s="205"/>
      <c r="I55" s="154"/>
      <c r="J55" s="205"/>
      <c r="K55" s="154"/>
    </row>
    <row r="56" spans="1:11" s="142" customFormat="1" ht="12.75" customHeight="1" thickBot="1" x14ac:dyDescent="0.3">
      <c r="A56" s="152"/>
      <c r="B56" s="156"/>
      <c r="C56" s="219"/>
      <c r="D56" s="205"/>
      <c r="E56" s="154"/>
      <c r="F56" s="205"/>
      <c r="G56" s="154"/>
      <c r="H56" s="205"/>
      <c r="I56" s="154"/>
      <c r="J56" s="205"/>
      <c r="K56" s="154"/>
    </row>
    <row r="57" spans="1:11" s="142" customFormat="1" ht="12.75" customHeight="1" x14ac:dyDescent="0.2">
      <c r="A57" s="159" t="s">
        <v>503</v>
      </c>
      <c r="B57" s="159"/>
      <c r="C57" s="220"/>
      <c r="D57" s="206"/>
      <c r="E57" s="220"/>
      <c r="F57" s="206"/>
      <c r="G57" s="220"/>
      <c r="H57" s="206"/>
      <c r="I57" s="220"/>
      <c r="J57" s="206"/>
      <c r="K57" s="220"/>
    </row>
    <row r="58" spans="1:11" s="142" customFormat="1" ht="12.75" customHeight="1" x14ac:dyDescent="0.2">
      <c r="A58" s="160"/>
      <c r="B58" s="160"/>
      <c r="C58" s="161"/>
      <c r="D58" s="207"/>
      <c r="E58" s="161"/>
      <c r="F58" s="207"/>
      <c r="G58" s="161"/>
      <c r="H58" s="207"/>
      <c r="I58" s="161"/>
      <c r="J58" s="207"/>
      <c r="K58" s="161"/>
    </row>
    <row r="59" spans="1:11" s="142" customFormat="1" ht="12.75" customHeight="1" x14ac:dyDescent="0.2">
      <c r="A59" s="162">
        <v>2017</v>
      </c>
      <c r="B59" s="163" t="s">
        <v>3</v>
      </c>
      <c r="C59" s="221"/>
      <c r="D59" s="208">
        <v>-6.4396168724317304E-2</v>
      </c>
      <c r="E59" s="161"/>
      <c r="F59" s="208">
        <v>-4.6445652228633172E-2</v>
      </c>
      <c r="G59" s="161"/>
      <c r="H59" s="208">
        <v>-1.546244036961536E-2</v>
      </c>
      <c r="I59" s="161"/>
      <c r="J59" s="208">
        <v>-2.4880761260687861E-3</v>
      </c>
      <c r="K59" s="161"/>
    </row>
    <row r="60" spans="1:11" s="142" customFormat="1" ht="12.75" customHeight="1" x14ac:dyDescent="0.2">
      <c r="A60" s="165"/>
      <c r="B60" s="166"/>
      <c r="C60" s="222"/>
      <c r="D60" s="209"/>
      <c r="E60" s="280"/>
      <c r="F60" s="209"/>
      <c r="G60" s="280"/>
      <c r="H60" s="209"/>
      <c r="I60" s="280"/>
      <c r="J60" s="209"/>
      <c r="K60" s="280"/>
    </row>
    <row r="61" spans="1:11" s="142" customFormat="1" ht="12.75" customHeight="1" thickBot="1" x14ac:dyDescent="0.25">
      <c r="A61" s="157">
        <v>2016</v>
      </c>
      <c r="B61" s="158" t="s">
        <v>4</v>
      </c>
      <c r="C61" s="223"/>
      <c r="D61" s="210">
        <v>-0.16133151606509888</v>
      </c>
      <c r="E61" s="281"/>
      <c r="F61" s="210">
        <v>-0.11360786264413275</v>
      </c>
      <c r="G61" s="281"/>
      <c r="H61" s="210">
        <v>-5.5420969460136721E-2</v>
      </c>
      <c r="I61" s="281"/>
      <c r="J61" s="210">
        <v>7.6973160391705757E-3</v>
      </c>
      <c r="K61" s="281"/>
    </row>
    <row r="62" spans="1:11" s="169" customFormat="1" ht="12.75" customHeight="1" x14ac:dyDescent="0.2">
      <c r="A62" s="343"/>
      <c r="B62" s="343"/>
      <c r="C62" s="343"/>
      <c r="D62" s="343"/>
      <c r="E62" s="343"/>
      <c r="F62" s="343"/>
      <c r="G62" s="343"/>
      <c r="H62" s="343"/>
      <c r="I62" s="343"/>
    </row>
    <row r="63" spans="1:11" s="169" customFormat="1" ht="49.5" customHeight="1" x14ac:dyDescent="0.2">
      <c r="A63" s="338" t="s">
        <v>269</v>
      </c>
      <c r="B63" s="338"/>
      <c r="C63" s="338"/>
      <c r="D63" s="338"/>
      <c r="E63" s="338"/>
      <c r="F63" s="338"/>
      <c r="G63" s="338"/>
      <c r="H63" s="338"/>
      <c r="I63" s="338"/>
    </row>
    <row r="64" spans="1:11" s="170" customFormat="1" ht="49.5" customHeight="1" x14ac:dyDescent="0.3">
      <c r="A64" s="362" t="s">
        <v>234</v>
      </c>
      <c r="B64" s="362"/>
      <c r="C64" s="362"/>
      <c r="D64" s="362"/>
      <c r="E64" s="362"/>
      <c r="F64" s="362"/>
      <c r="G64" s="362"/>
      <c r="H64" s="362"/>
      <c r="I64" s="362"/>
      <c r="J64" s="362"/>
      <c r="K64" s="259"/>
    </row>
    <row r="65" spans="1:15" s="171" customFormat="1" ht="53.25" customHeight="1" x14ac:dyDescent="0.3">
      <c r="A65" s="362" t="s">
        <v>266</v>
      </c>
      <c r="B65" s="362"/>
      <c r="C65" s="362"/>
      <c r="D65" s="362"/>
      <c r="E65" s="362"/>
      <c r="F65" s="362"/>
      <c r="G65" s="362"/>
      <c r="H65" s="362"/>
      <c r="I65" s="362"/>
      <c r="J65" s="362"/>
      <c r="K65" s="259"/>
      <c r="L65" s="259"/>
      <c r="M65" s="259"/>
      <c r="N65" s="259"/>
      <c r="O65" s="259"/>
    </row>
    <row r="66" spans="1:15" s="171" customFormat="1" ht="27.75" customHeight="1" x14ac:dyDescent="0.3">
      <c r="A66" s="344"/>
      <c r="B66" s="344"/>
      <c r="C66" s="344"/>
      <c r="D66" s="344"/>
      <c r="E66" s="344"/>
      <c r="F66" s="344"/>
      <c r="G66" s="344"/>
      <c r="H66" s="344"/>
      <c r="I66" s="344"/>
    </row>
    <row r="67" spans="1:15" ht="12.75" customHeight="1" x14ac:dyDescent="0.3">
      <c r="A67" s="344"/>
      <c r="B67" s="344"/>
      <c r="C67" s="344"/>
      <c r="D67" s="344"/>
      <c r="E67" s="344"/>
      <c r="F67" s="344"/>
      <c r="G67" s="344"/>
      <c r="H67" s="344"/>
      <c r="I67" s="344"/>
    </row>
    <row r="68" spans="1:15" ht="12.75" customHeight="1" x14ac:dyDescent="0.3">
      <c r="A68" s="344"/>
      <c r="B68" s="344"/>
      <c r="C68" s="344"/>
      <c r="D68" s="344"/>
      <c r="E68" s="344"/>
      <c r="F68" s="344"/>
      <c r="G68" s="344"/>
      <c r="H68" s="344"/>
      <c r="I68" s="344"/>
    </row>
    <row r="69" spans="1:15" ht="12.75" customHeight="1" x14ac:dyDescent="0.3">
      <c r="A69" s="344"/>
      <c r="B69" s="344"/>
      <c r="C69" s="344"/>
      <c r="D69" s="344"/>
      <c r="E69" s="344"/>
      <c r="F69" s="344"/>
      <c r="G69" s="344"/>
      <c r="H69" s="344"/>
      <c r="I69" s="344"/>
    </row>
    <row r="70" spans="1:15" ht="12.75" customHeight="1" x14ac:dyDescent="0.3">
      <c r="A70" s="344"/>
      <c r="B70" s="344"/>
      <c r="C70" s="344"/>
      <c r="D70" s="344"/>
      <c r="E70" s="344"/>
      <c r="F70" s="344"/>
      <c r="G70" s="344"/>
      <c r="H70" s="344"/>
      <c r="I70" s="344"/>
    </row>
    <row r="71" spans="1:15" ht="12.75" customHeight="1" x14ac:dyDescent="0.3">
      <c r="A71" s="344"/>
      <c r="B71" s="344"/>
      <c r="C71" s="344"/>
      <c r="D71" s="344"/>
      <c r="E71" s="344"/>
      <c r="F71" s="344"/>
      <c r="G71" s="344"/>
      <c r="H71" s="344"/>
      <c r="I71" s="344"/>
    </row>
    <row r="72" spans="1:15" ht="12.75" customHeight="1" x14ac:dyDescent="0.3">
      <c r="A72" s="344"/>
      <c r="B72" s="344"/>
      <c r="C72" s="344"/>
      <c r="D72" s="344"/>
      <c r="E72" s="344"/>
      <c r="F72" s="344"/>
      <c r="G72" s="344"/>
      <c r="H72" s="344"/>
      <c r="I72" s="344"/>
    </row>
  </sheetData>
  <dataConsolidate/>
  <mergeCells count="15">
    <mergeCell ref="A65:J65"/>
    <mergeCell ref="D5:E5"/>
    <mergeCell ref="F5:G5"/>
    <mergeCell ref="H5:I5"/>
    <mergeCell ref="A62:I62"/>
    <mergeCell ref="A63:I63"/>
    <mergeCell ref="A64:J64"/>
    <mergeCell ref="J5:K5"/>
    <mergeCell ref="A71:I71"/>
    <mergeCell ref="A72:I72"/>
    <mergeCell ref="A66:I66"/>
    <mergeCell ref="A67:I67"/>
    <mergeCell ref="A68:I68"/>
    <mergeCell ref="A69:I69"/>
    <mergeCell ref="A70:I70"/>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0" orientation="portrait" horizontalDpi="300" vertic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83"/>
  <sheetViews>
    <sheetView showGridLines="0" zoomScaleNormal="100" workbookViewId="0">
      <pane xSplit="3" ySplit="5" topLeftCell="D6" activePane="bottomRight" state="frozen"/>
      <selection pane="topRight"/>
      <selection pane="bottomLeft"/>
      <selection pane="bottomRight" activeCell="D6" sqref="D6"/>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2" t="s">
        <v>203</v>
      </c>
      <c r="B2" s="193"/>
      <c r="C2" s="193"/>
      <c r="D2" s="194" t="s">
        <v>169</v>
      </c>
      <c r="E2" s="133"/>
      <c r="F2" s="132"/>
      <c r="G2" s="133"/>
      <c r="H2" s="132"/>
      <c r="I2" s="133"/>
      <c r="J2" s="132"/>
      <c r="K2" s="133"/>
      <c r="L2" s="132"/>
      <c r="M2" s="132"/>
      <c r="N2" s="132"/>
    </row>
    <row r="3" spans="1:16" s="136" customFormat="1" ht="17.25" x14ac:dyDescent="0.3">
      <c r="A3" s="195" t="s">
        <v>153</v>
      </c>
      <c r="B3" s="196"/>
      <c r="C3" s="213"/>
      <c r="D3" s="197" t="s">
        <v>190</v>
      </c>
      <c r="E3" s="282"/>
      <c r="F3" s="187"/>
      <c r="G3" s="282"/>
      <c r="H3" s="187"/>
      <c r="I3" s="282"/>
      <c r="J3" s="187"/>
      <c r="K3" s="282"/>
      <c r="L3" s="132"/>
      <c r="M3" s="132"/>
      <c r="N3" s="132"/>
    </row>
    <row r="4" spans="1:16" ht="10.5" customHeight="1" thickBot="1" x14ac:dyDescent="0.35">
      <c r="A4" s="137"/>
      <c r="B4" s="137"/>
      <c r="C4" s="214"/>
      <c r="D4" s="137"/>
      <c r="E4" s="214"/>
      <c r="F4" s="137"/>
      <c r="G4" s="214"/>
      <c r="H4" s="137"/>
      <c r="I4" s="214"/>
      <c r="J4" s="339"/>
      <c r="K4" s="339"/>
    </row>
    <row r="5" spans="1:16" ht="30.75" customHeight="1" thickBot="1" x14ac:dyDescent="0.35">
      <c r="A5" s="230"/>
      <c r="B5" s="230"/>
      <c r="C5" s="231"/>
      <c r="D5" s="345" t="s">
        <v>123</v>
      </c>
      <c r="E5" s="345"/>
      <c r="F5" s="346" t="s">
        <v>124</v>
      </c>
      <c r="G5" s="346"/>
      <c r="H5" s="346" t="s">
        <v>270</v>
      </c>
      <c r="I5" s="346"/>
      <c r="J5" s="346" t="s">
        <v>125</v>
      </c>
      <c r="K5" s="346"/>
    </row>
    <row r="6" spans="1:16" s="146" customFormat="1" ht="12.75" customHeight="1" x14ac:dyDescent="0.25">
      <c r="A6" s="143">
        <v>2008</v>
      </c>
      <c r="B6" s="143"/>
      <c r="C6" s="212"/>
      <c r="D6" s="144">
        <v>1638</v>
      </c>
      <c r="E6" s="145" t="s">
        <v>501</v>
      </c>
      <c r="F6" s="144">
        <v>1079</v>
      </c>
      <c r="G6" s="145" t="s">
        <v>501</v>
      </c>
      <c r="H6" s="144" t="s">
        <v>206</v>
      </c>
      <c r="I6" s="145" t="s">
        <v>501</v>
      </c>
      <c r="J6" s="144">
        <v>559</v>
      </c>
      <c r="K6" s="145" t="s">
        <v>501</v>
      </c>
    </row>
    <row r="7" spans="1:16" s="146" customFormat="1" ht="12.75" customHeight="1" x14ac:dyDescent="0.25">
      <c r="A7" s="143">
        <v>2009</v>
      </c>
      <c r="B7" s="143"/>
      <c r="C7" s="212"/>
      <c r="D7" s="144">
        <v>1958</v>
      </c>
      <c r="E7" s="145" t="s">
        <v>501</v>
      </c>
      <c r="F7" s="144">
        <v>1236</v>
      </c>
      <c r="G7" s="145" t="s">
        <v>501</v>
      </c>
      <c r="H7" s="144" t="s">
        <v>206</v>
      </c>
      <c r="I7" s="145" t="s">
        <v>501</v>
      </c>
      <c r="J7" s="144">
        <v>722</v>
      </c>
      <c r="K7" s="145" t="s">
        <v>501</v>
      </c>
    </row>
    <row r="8" spans="1:16" s="146" customFormat="1" ht="12.75" customHeight="1" x14ac:dyDescent="0.25">
      <c r="A8" s="143">
        <v>2010</v>
      </c>
      <c r="B8" s="143"/>
      <c r="C8" s="212"/>
      <c r="D8" s="144">
        <v>2323</v>
      </c>
      <c r="E8" s="145" t="s">
        <v>501</v>
      </c>
      <c r="F8" s="144">
        <v>1321</v>
      </c>
      <c r="G8" s="145" t="s">
        <v>501</v>
      </c>
      <c r="H8" s="144" t="s">
        <v>206</v>
      </c>
      <c r="I8" s="145" t="s">
        <v>501</v>
      </c>
      <c r="J8" s="144">
        <v>1002</v>
      </c>
      <c r="K8" s="145" t="s">
        <v>501</v>
      </c>
    </row>
    <row r="9" spans="1:16" s="146" customFormat="1" ht="12.75" customHeight="1" x14ac:dyDescent="0.25">
      <c r="A9" s="143">
        <v>2011</v>
      </c>
      <c r="B9" s="143"/>
      <c r="C9" s="212"/>
      <c r="D9" s="144">
        <v>2839</v>
      </c>
      <c r="E9" s="145" t="s">
        <v>501</v>
      </c>
      <c r="F9" s="144">
        <v>1615</v>
      </c>
      <c r="G9" s="145" t="s">
        <v>501</v>
      </c>
      <c r="H9" s="144">
        <v>112</v>
      </c>
      <c r="I9" s="145" t="s">
        <v>501</v>
      </c>
      <c r="J9" s="144">
        <v>1112</v>
      </c>
      <c r="K9" s="145" t="s">
        <v>501</v>
      </c>
    </row>
    <row r="10" spans="1:16" s="146" customFormat="1" ht="12.75" customHeight="1" x14ac:dyDescent="0.25">
      <c r="A10" s="143">
        <v>2012</v>
      </c>
      <c r="B10" s="143"/>
      <c r="C10" s="212"/>
      <c r="D10" s="144">
        <v>3189</v>
      </c>
      <c r="E10" s="145" t="s">
        <v>501</v>
      </c>
      <c r="F10" s="144">
        <v>1452</v>
      </c>
      <c r="G10" s="145" t="s">
        <v>501</v>
      </c>
      <c r="H10" s="144">
        <v>506</v>
      </c>
      <c r="I10" s="145" t="s">
        <v>501</v>
      </c>
      <c r="J10" s="144">
        <v>1231</v>
      </c>
      <c r="K10" s="145" t="s">
        <v>501</v>
      </c>
    </row>
    <row r="11" spans="1:16" s="146" customFormat="1" ht="12.75" customHeight="1" x14ac:dyDescent="0.25">
      <c r="A11" s="143">
        <v>2013</v>
      </c>
      <c r="B11" s="143"/>
      <c r="C11" s="212"/>
      <c r="D11" s="144">
        <v>3373</v>
      </c>
      <c r="E11" s="145" t="s">
        <v>501</v>
      </c>
      <c r="F11" s="144">
        <v>1347</v>
      </c>
      <c r="G11" s="145" t="s">
        <v>501</v>
      </c>
      <c r="H11" s="144">
        <v>593</v>
      </c>
      <c r="I11" s="145" t="s">
        <v>501</v>
      </c>
      <c r="J11" s="144">
        <v>1433</v>
      </c>
      <c r="K11" s="145" t="s">
        <v>501</v>
      </c>
    </row>
    <row r="12" spans="1:16" s="146" customFormat="1" ht="12.75" customHeight="1" x14ac:dyDescent="0.25">
      <c r="A12" s="143">
        <v>2014</v>
      </c>
      <c r="B12" s="143"/>
      <c r="C12" s="212"/>
      <c r="D12" s="144">
        <v>3395</v>
      </c>
      <c r="E12" s="145" t="s">
        <v>501</v>
      </c>
      <c r="F12" s="144">
        <v>1367</v>
      </c>
      <c r="G12" s="145" t="s">
        <v>501</v>
      </c>
      <c r="H12" s="144">
        <v>536</v>
      </c>
      <c r="I12" s="145" t="s">
        <v>501</v>
      </c>
      <c r="J12" s="144">
        <v>1492</v>
      </c>
      <c r="K12" s="145" t="s">
        <v>501</v>
      </c>
    </row>
    <row r="13" spans="1:16" s="146" customFormat="1" ht="12.75" customHeight="1" x14ac:dyDescent="0.25">
      <c r="A13" s="143">
        <v>2015</v>
      </c>
      <c r="B13" s="143"/>
      <c r="C13" s="212"/>
      <c r="D13" s="144">
        <v>2690</v>
      </c>
      <c r="E13" s="145" t="s">
        <v>501</v>
      </c>
      <c r="F13" s="144">
        <v>1071</v>
      </c>
      <c r="G13" s="145" t="s">
        <v>501</v>
      </c>
      <c r="H13" s="144">
        <v>472</v>
      </c>
      <c r="I13" s="145" t="s">
        <v>501</v>
      </c>
      <c r="J13" s="144">
        <v>1147</v>
      </c>
      <c r="K13" s="145" t="s">
        <v>501</v>
      </c>
    </row>
    <row r="14" spans="1:16" s="146" customFormat="1" ht="12.75" customHeight="1" x14ac:dyDescent="0.25">
      <c r="A14" s="143">
        <v>2016</v>
      </c>
      <c r="B14" s="143"/>
      <c r="C14" s="212"/>
      <c r="D14" s="144">
        <v>2582</v>
      </c>
      <c r="E14" s="145" t="s">
        <v>501</v>
      </c>
      <c r="F14" s="144">
        <v>997</v>
      </c>
      <c r="G14" s="145" t="s">
        <v>501</v>
      </c>
      <c r="H14" s="144">
        <v>366</v>
      </c>
      <c r="I14" s="145" t="s">
        <v>501</v>
      </c>
      <c r="J14" s="144">
        <v>1219</v>
      </c>
      <c r="K14" s="145" t="s">
        <v>501</v>
      </c>
      <c r="P14" s="147"/>
    </row>
    <row r="15" spans="1:16" s="146" customFormat="1" ht="12.75" customHeight="1" x14ac:dyDescent="0.25">
      <c r="A15" s="143">
        <v>2017</v>
      </c>
      <c r="B15" s="212" t="s">
        <v>196</v>
      </c>
      <c r="C15" s="216"/>
      <c r="D15" s="144">
        <v>2878</v>
      </c>
      <c r="E15" s="145" t="s">
        <v>501</v>
      </c>
      <c r="F15" s="144">
        <v>812</v>
      </c>
      <c r="G15" s="145" t="s">
        <v>501</v>
      </c>
      <c r="H15" s="144">
        <v>529</v>
      </c>
      <c r="I15" s="145" t="s">
        <v>501</v>
      </c>
      <c r="J15" s="144">
        <v>1537</v>
      </c>
      <c r="K15" s="145" t="s">
        <v>501</v>
      </c>
    </row>
    <row r="16" spans="1:16" s="142" customFormat="1" ht="12.75" customHeight="1" x14ac:dyDescent="0.25">
      <c r="A16" s="148"/>
      <c r="B16" s="148"/>
      <c r="C16" s="217"/>
      <c r="D16" s="319"/>
      <c r="E16" s="154"/>
      <c r="F16" s="319"/>
      <c r="G16" s="154"/>
      <c r="H16" s="319"/>
      <c r="I16" s="154"/>
      <c r="J16" s="319"/>
      <c r="K16" s="154"/>
    </row>
    <row r="17" spans="1:11" s="142" customFormat="1" ht="12.75" customHeight="1" x14ac:dyDescent="0.25">
      <c r="A17" s="151">
        <v>2008</v>
      </c>
      <c r="B17" s="152" t="s">
        <v>1</v>
      </c>
      <c r="C17" s="218"/>
      <c r="D17" s="153">
        <v>330</v>
      </c>
      <c r="E17" s="154" t="s">
        <v>501</v>
      </c>
      <c r="F17" s="153">
        <v>226</v>
      </c>
      <c r="G17" s="154" t="s">
        <v>501</v>
      </c>
      <c r="H17" s="153" t="s">
        <v>206</v>
      </c>
      <c r="I17" s="154" t="s">
        <v>501</v>
      </c>
      <c r="J17" s="153">
        <v>104</v>
      </c>
      <c r="K17" s="154" t="s">
        <v>501</v>
      </c>
    </row>
    <row r="18" spans="1:11" s="142" customFormat="1" ht="12.75" customHeight="1" x14ac:dyDescent="0.25">
      <c r="A18" s="151"/>
      <c r="B18" s="152" t="s">
        <v>2</v>
      </c>
      <c r="C18" s="218"/>
      <c r="D18" s="153">
        <v>479</v>
      </c>
      <c r="E18" s="154" t="s">
        <v>501</v>
      </c>
      <c r="F18" s="153">
        <v>331</v>
      </c>
      <c r="G18" s="154" t="s">
        <v>501</v>
      </c>
      <c r="H18" s="153" t="s">
        <v>206</v>
      </c>
      <c r="I18" s="154" t="s">
        <v>501</v>
      </c>
      <c r="J18" s="153">
        <v>148</v>
      </c>
      <c r="K18" s="154" t="s">
        <v>501</v>
      </c>
    </row>
    <row r="19" spans="1:11" s="142" customFormat="1" ht="12.75" customHeight="1" x14ac:dyDescent="0.25">
      <c r="A19" s="151"/>
      <c r="B19" s="152" t="s">
        <v>3</v>
      </c>
      <c r="C19" s="218"/>
      <c r="D19" s="153">
        <v>386</v>
      </c>
      <c r="E19" s="154" t="s">
        <v>501</v>
      </c>
      <c r="F19" s="153">
        <v>229</v>
      </c>
      <c r="G19" s="154" t="s">
        <v>501</v>
      </c>
      <c r="H19" s="153" t="s">
        <v>206</v>
      </c>
      <c r="I19" s="154" t="s">
        <v>501</v>
      </c>
      <c r="J19" s="153">
        <v>157</v>
      </c>
      <c r="K19" s="154" t="s">
        <v>501</v>
      </c>
    </row>
    <row r="20" spans="1:11" s="142" customFormat="1" ht="12.75" customHeight="1" x14ac:dyDescent="0.25">
      <c r="A20" s="151"/>
      <c r="B20" s="152" t="s">
        <v>4</v>
      </c>
      <c r="C20" s="218"/>
      <c r="D20" s="153">
        <v>443</v>
      </c>
      <c r="E20" s="154" t="s">
        <v>501</v>
      </c>
      <c r="F20" s="153">
        <v>293</v>
      </c>
      <c r="G20" s="154" t="s">
        <v>501</v>
      </c>
      <c r="H20" s="153" t="s">
        <v>206</v>
      </c>
      <c r="I20" s="154" t="s">
        <v>501</v>
      </c>
      <c r="J20" s="153">
        <v>150</v>
      </c>
      <c r="K20" s="154" t="s">
        <v>501</v>
      </c>
    </row>
    <row r="21" spans="1:11" s="142" customFormat="1" ht="12.75" customHeight="1" x14ac:dyDescent="0.25">
      <c r="A21" s="151"/>
      <c r="B21" s="152"/>
      <c r="C21" s="218"/>
      <c r="D21" s="153"/>
      <c r="E21" s="154"/>
      <c r="F21" s="153"/>
      <c r="G21" s="154"/>
      <c r="H21" s="153"/>
      <c r="I21" s="154"/>
      <c r="J21" s="153"/>
      <c r="K21" s="154"/>
    </row>
    <row r="22" spans="1:11" s="142" customFormat="1" ht="12.75" customHeight="1" x14ac:dyDescent="0.25">
      <c r="A22" s="151">
        <v>2009</v>
      </c>
      <c r="B22" s="152" t="s">
        <v>1</v>
      </c>
      <c r="C22" s="218"/>
      <c r="D22" s="153">
        <v>446</v>
      </c>
      <c r="E22" s="154" t="s">
        <v>501</v>
      </c>
      <c r="F22" s="153">
        <v>302</v>
      </c>
      <c r="G22" s="154" t="s">
        <v>501</v>
      </c>
      <c r="H22" s="153" t="s">
        <v>206</v>
      </c>
      <c r="I22" s="154" t="s">
        <v>501</v>
      </c>
      <c r="J22" s="153">
        <v>144</v>
      </c>
      <c r="K22" s="154" t="s">
        <v>501</v>
      </c>
    </row>
    <row r="23" spans="1:11" s="142" customFormat="1" ht="12.75" customHeight="1" x14ac:dyDescent="0.25">
      <c r="A23" s="151"/>
      <c r="B23" s="152" t="s">
        <v>2</v>
      </c>
      <c r="C23" s="218"/>
      <c r="D23" s="153">
        <v>560</v>
      </c>
      <c r="E23" s="154" t="s">
        <v>501</v>
      </c>
      <c r="F23" s="153">
        <v>355</v>
      </c>
      <c r="G23" s="154" t="s">
        <v>501</v>
      </c>
      <c r="H23" s="153" t="s">
        <v>206</v>
      </c>
      <c r="I23" s="154" t="s">
        <v>501</v>
      </c>
      <c r="J23" s="153">
        <v>205</v>
      </c>
      <c r="K23" s="154" t="s">
        <v>501</v>
      </c>
    </row>
    <row r="24" spans="1:11" s="142" customFormat="1" ht="12.75" customHeight="1" x14ac:dyDescent="0.25">
      <c r="A24" s="151"/>
      <c r="B24" s="152" t="s">
        <v>3</v>
      </c>
      <c r="C24" s="218"/>
      <c r="D24" s="153">
        <v>379</v>
      </c>
      <c r="E24" s="154" t="s">
        <v>501</v>
      </c>
      <c r="F24" s="153">
        <v>198</v>
      </c>
      <c r="G24" s="154" t="s">
        <v>501</v>
      </c>
      <c r="H24" s="153" t="s">
        <v>206</v>
      </c>
      <c r="I24" s="154" t="s">
        <v>501</v>
      </c>
      <c r="J24" s="153">
        <v>181</v>
      </c>
      <c r="K24" s="154" t="s">
        <v>501</v>
      </c>
    </row>
    <row r="25" spans="1:11" s="142" customFormat="1" ht="12.75" customHeight="1" x14ac:dyDescent="0.25">
      <c r="A25" s="151"/>
      <c r="B25" s="152" t="s">
        <v>4</v>
      </c>
      <c r="C25" s="218"/>
      <c r="D25" s="153">
        <v>573</v>
      </c>
      <c r="E25" s="154" t="s">
        <v>501</v>
      </c>
      <c r="F25" s="153">
        <v>381</v>
      </c>
      <c r="G25" s="154" t="s">
        <v>501</v>
      </c>
      <c r="H25" s="153" t="s">
        <v>206</v>
      </c>
      <c r="I25" s="154" t="s">
        <v>501</v>
      </c>
      <c r="J25" s="153">
        <v>192</v>
      </c>
      <c r="K25" s="154" t="s">
        <v>501</v>
      </c>
    </row>
    <row r="26" spans="1:11" s="142" customFormat="1" ht="12.75" customHeight="1" x14ac:dyDescent="0.25">
      <c r="A26" s="151"/>
      <c r="B26" s="152"/>
      <c r="C26" s="218"/>
      <c r="D26" s="153"/>
      <c r="E26" s="154"/>
      <c r="F26" s="153"/>
      <c r="G26" s="154"/>
      <c r="H26" s="153"/>
      <c r="I26" s="154"/>
      <c r="J26" s="153"/>
      <c r="K26" s="154"/>
    </row>
    <row r="27" spans="1:11" s="142" customFormat="1" ht="12.75" customHeight="1" x14ac:dyDescent="0.25">
      <c r="A27" s="151">
        <v>2010</v>
      </c>
      <c r="B27" s="152" t="s">
        <v>1</v>
      </c>
      <c r="C27" s="218"/>
      <c r="D27" s="153">
        <v>554</v>
      </c>
      <c r="E27" s="154" t="s">
        <v>501</v>
      </c>
      <c r="F27" s="153">
        <v>316</v>
      </c>
      <c r="G27" s="154" t="s">
        <v>501</v>
      </c>
      <c r="H27" s="153" t="s">
        <v>206</v>
      </c>
      <c r="I27" s="154" t="s">
        <v>501</v>
      </c>
      <c r="J27" s="153">
        <v>238</v>
      </c>
      <c r="K27" s="154" t="s">
        <v>501</v>
      </c>
    </row>
    <row r="28" spans="1:11" s="142" customFormat="1" ht="12.75" customHeight="1" x14ac:dyDescent="0.25">
      <c r="A28" s="151"/>
      <c r="B28" s="152" t="s">
        <v>2</v>
      </c>
      <c r="C28" s="218"/>
      <c r="D28" s="153">
        <v>636</v>
      </c>
      <c r="E28" s="154" t="s">
        <v>501</v>
      </c>
      <c r="F28" s="153">
        <v>363</v>
      </c>
      <c r="G28" s="154" t="s">
        <v>501</v>
      </c>
      <c r="H28" s="153" t="s">
        <v>206</v>
      </c>
      <c r="I28" s="154" t="s">
        <v>501</v>
      </c>
      <c r="J28" s="153">
        <v>273</v>
      </c>
      <c r="K28" s="154" t="s">
        <v>501</v>
      </c>
    </row>
    <row r="29" spans="1:11" s="142" customFormat="1" ht="12.75" customHeight="1" x14ac:dyDescent="0.25">
      <c r="A29" s="151"/>
      <c r="B29" s="152" t="s">
        <v>3</v>
      </c>
      <c r="C29" s="218"/>
      <c r="D29" s="153">
        <v>551</v>
      </c>
      <c r="E29" s="154" t="s">
        <v>501</v>
      </c>
      <c r="F29" s="153">
        <v>290</v>
      </c>
      <c r="G29" s="154" t="s">
        <v>501</v>
      </c>
      <c r="H29" s="153" t="s">
        <v>206</v>
      </c>
      <c r="I29" s="154" t="s">
        <v>501</v>
      </c>
      <c r="J29" s="153">
        <v>261</v>
      </c>
      <c r="K29" s="154" t="s">
        <v>501</v>
      </c>
    </row>
    <row r="30" spans="1:11" s="142" customFormat="1" ht="12.75" customHeight="1" x14ac:dyDescent="0.25">
      <c r="A30" s="151"/>
      <c r="B30" s="152" t="s">
        <v>4</v>
      </c>
      <c r="C30" s="218"/>
      <c r="D30" s="153">
        <v>582</v>
      </c>
      <c r="E30" s="154" t="s">
        <v>501</v>
      </c>
      <c r="F30" s="153">
        <v>352</v>
      </c>
      <c r="G30" s="154" t="s">
        <v>501</v>
      </c>
      <c r="H30" s="153" t="s">
        <v>206</v>
      </c>
      <c r="I30" s="154" t="s">
        <v>501</v>
      </c>
      <c r="J30" s="153">
        <v>230</v>
      </c>
      <c r="K30" s="154" t="s">
        <v>501</v>
      </c>
    </row>
    <row r="31" spans="1:11" s="142" customFormat="1" ht="12.75" customHeight="1" x14ac:dyDescent="0.25">
      <c r="A31" s="151"/>
      <c r="B31" s="152"/>
      <c r="C31" s="218"/>
      <c r="D31" s="153"/>
      <c r="E31" s="154"/>
      <c r="F31" s="153"/>
      <c r="G31" s="154"/>
      <c r="H31" s="153"/>
      <c r="I31" s="154"/>
      <c r="J31" s="153"/>
      <c r="K31" s="154"/>
    </row>
    <row r="32" spans="1:11" s="142" customFormat="1" ht="12.75" customHeight="1" x14ac:dyDescent="0.25">
      <c r="A32" s="151">
        <v>2011</v>
      </c>
      <c r="B32" s="152" t="s">
        <v>1</v>
      </c>
      <c r="C32" s="218"/>
      <c r="D32" s="153">
        <v>692</v>
      </c>
      <c r="E32" s="154" t="s">
        <v>501</v>
      </c>
      <c r="F32" s="153">
        <v>451</v>
      </c>
      <c r="G32" s="154" t="s">
        <v>501</v>
      </c>
      <c r="H32" s="153" t="s">
        <v>206</v>
      </c>
      <c r="I32" s="154" t="s">
        <v>501</v>
      </c>
      <c r="J32" s="153">
        <v>241</v>
      </c>
      <c r="K32" s="154" t="s">
        <v>501</v>
      </c>
    </row>
    <row r="33" spans="1:11" s="142" customFormat="1" ht="12.75" customHeight="1" x14ac:dyDescent="0.25">
      <c r="A33" s="151"/>
      <c r="B33" s="152" t="s">
        <v>2</v>
      </c>
      <c r="C33" s="218"/>
      <c r="D33" s="153">
        <v>752</v>
      </c>
      <c r="E33" s="154" t="s">
        <v>501</v>
      </c>
      <c r="F33" s="153">
        <v>451</v>
      </c>
      <c r="G33" s="154" t="s">
        <v>501</v>
      </c>
      <c r="H33" s="153" t="s">
        <v>206</v>
      </c>
      <c r="I33" s="154" t="s">
        <v>501</v>
      </c>
      <c r="J33" s="153">
        <v>301</v>
      </c>
      <c r="K33" s="154" t="s">
        <v>501</v>
      </c>
    </row>
    <row r="34" spans="1:11" s="142" customFormat="1" ht="12.75" customHeight="1" x14ac:dyDescent="0.25">
      <c r="A34" s="151"/>
      <c r="B34" s="152" t="s">
        <v>3</v>
      </c>
      <c r="C34" s="218"/>
      <c r="D34" s="153">
        <v>608</v>
      </c>
      <c r="E34" s="154" t="s">
        <v>501</v>
      </c>
      <c r="F34" s="153">
        <v>301</v>
      </c>
      <c r="G34" s="154" t="s">
        <v>501</v>
      </c>
      <c r="H34" s="153">
        <v>34</v>
      </c>
      <c r="I34" s="154" t="s">
        <v>501</v>
      </c>
      <c r="J34" s="153">
        <v>273</v>
      </c>
      <c r="K34" s="154" t="s">
        <v>501</v>
      </c>
    </row>
    <row r="35" spans="1:11" s="142" customFormat="1" ht="12.75" customHeight="1" x14ac:dyDescent="0.25">
      <c r="A35" s="151"/>
      <c r="B35" s="152" t="s">
        <v>4</v>
      </c>
      <c r="C35" s="218"/>
      <c r="D35" s="153">
        <v>787</v>
      </c>
      <c r="E35" s="154" t="s">
        <v>501</v>
      </c>
      <c r="F35" s="153">
        <v>412</v>
      </c>
      <c r="G35" s="154" t="s">
        <v>501</v>
      </c>
      <c r="H35" s="153">
        <v>78</v>
      </c>
      <c r="I35" s="154" t="s">
        <v>501</v>
      </c>
      <c r="J35" s="153">
        <v>297</v>
      </c>
      <c r="K35" s="154" t="s">
        <v>501</v>
      </c>
    </row>
    <row r="36" spans="1:11" s="142" customFormat="1" ht="12.75" customHeight="1" x14ac:dyDescent="0.25">
      <c r="A36" s="151"/>
      <c r="B36" s="152"/>
      <c r="C36" s="218"/>
      <c r="D36" s="153"/>
      <c r="E36" s="154"/>
      <c r="F36" s="153"/>
      <c r="G36" s="154"/>
      <c r="H36" s="153"/>
      <c r="I36" s="154"/>
      <c r="J36" s="153"/>
      <c r="K36" s="154"/>
    </row>
    <row r="37" spans="1:11" s="142" customFormat="1" ht="12.75" customHeight="1" x14ac:dyDescent="0.25">
      <c r="A37" s="151">
        <v>2012</v>
      </c>
      <c r="B37" s="152" t="s">
        <v>1</v>
      </c>
      <c r="C37" s="218"/>
      <c r="D37" s="153">
        <v>794</v>
      </c>
      <c r="E37" s="154" t="s">
        <v>501</v>
      </c>
      <c r="F37" s="153">
        <v>405</v>
      </c>
      <c r="G37" s="154" t="s">
        <v>501</v>
      </c>
      <c r="H37" s="153">
        <v>113</v>
      </c>
      <c r="I37" s="154" t="s">
        <v>501</v>
      </c>
      <c r="J37" s="153">
        <v>276</v>
      </c>
      <c r="K37" s="154" t="s">
        <v>501</v>
      </c>
    </row>
    <row r="38" spans="1:11" s="142" customFormat="1" ht="12.75" customHeight="1" x14ac:dyDescent="0.25">
      <c r="A38" s="151"/>
      <c r="B38" s="152" t="s">
        <v>2</v>
      </c>
      <c r="C38" s="218"/>
      <c r="D38" s="153">
        <v>795</v>
      </c>
      <c r="E38" s="154" t="s">
        <v>501</v>
      </c>
      <c r="F38" s="153">
        <v>381</v>
      </c>
      <c r="G38" s="154" t="s">
        <v>501</v>
      </c>
      <c r="H38" s="153">
        <v>132</v>
      </c>
      <c r="I38" s="154" t="s">
        <v>501</v>
      </c>
      <c r="J38" s="153">
        <v>282</v>
      </c>
      <c r="K38" s="154" t="s">
        <v>501</v>
      </c>
    </row>
    <row r="39" spans="1:11" s="142" customFormat="1" ht="12.75" customHeight="1" x14ac:dyDescent="0.25">
      <c r="A39" s="151"/>
      <c r="B39" s="152" t="s">
        <v>3</v>
      </c>
      <c r="C39" s="218"/>
      <c r="D39" s="153">
        <v>844</v>
      </c>
      <c r="E39" s="154" t="s">
        <v>501</v>
      </c>
      <c r="F39" s="153">
        <v>307</v>
      </c>
      <c r="G39" s="154" t="s">
        <v>501</v>
      </c>
      <c r="H39" s="153">
        <v>144</v>
      </c>
      <c r="I39" s="154" t="s">
        <v>501</v>
      </c>
      <c r="J39" s="153">
        <v>393</v>
      </c>
      <c r="K39" s="154" t="s">
        <v>501</v>
      </c>
    </row>
    <row r="40" spans="1:11" s="142" customFormat="1" ht="12.75" customHeight="1" x14ac:dyDescent="0.25">
      <c r="A40" s="151"/>
      <c r="B40" s="152" t="s">
        <v>4</v>
      </c>
      <c r="C40" s="218"/>
      <c r="D40" s="153">
        <v>756</v>
      </c>
      <c r="E40" s="154" t="s">
        <v>501</v>
      </c>
      <c r="F40" s="153">
        <v>359</v>
      </c>
      <c r="G40" s="154" t="s">
        <v>501</v>
      </c>
      <c r="H40" s="153">
        <v>117</v>
      </c>
      <c r="I40" s="154" t="s">
        <v>501</v>
      </c>
      <c r="J40" s="153">
        <v>280</v>
      </c>
      <c r="K40" s="154" t="s">
        <v>501</v>
      </c>
    </row>
    <row r="41" spans="1:11" s="142" customFormat="1" ht="12.75" customHeight="1" x14ac:dyDescent="0.25">
      <c r="A41" s="151"/>
      <c r="B41" s="152"/>
      <c r="C41" s="218"/>
      <c r="D41" s="153"/>
      <c r="E41" s="154"/>
      <c r="F41" s="153"/>
      <c r="G41" s="154"/>
      <c r="H41" s="153"/>
      <c r="I41" s="154"/>
      <c r="J41" s="153"/>
      <c r="K41" s="154"/>
    </row>
    <row r="42" spans="1:11" s="142" customFormat="1" ht="12.75" customHeight="1" x14ac:dyDescent="0.25">
      <c r="A42" s="151">
        <v>2013</v>
      </c>
      <c r="B42" s="152" t="s">
        <v>1</v>
      </c>
      <c r="C42" s="218"/>
      <c r="D42" s="153">
        <v>836</v>
      </c>
      <c r="E42" s="154" t="s">
        <v>501</v>
      </c>
      <c r="F42" s="153">
        <v>328</v>
      </c>
      <c r="G42" s="154" t="s">
        <v>501</v>
      </c>
      <c r="H42" s="153">
        <v>119</v>
      </c>
      <c r="I42" s="154" t="s">
        <v>501</v>
      </c>
      <c r="J42" s="153">
        <v>389</v>
      </c>
      <c r="K42" s="154" t="s">
        <v>501</v>
      </c>
    </row>
    <row r="43" spans="1:11" s="142" customFormat="1" ht="12.75" customHeight="1" x14ac:dyDescent="0.25">
      <c r="A43" s="151"/>
      <c r="B43" s="152" t="s">
        <v>2</v>
      </c>
      <c r="C43" s="218"/>
      <c r="D43" s="153">
        <v>894</v>
      </c>
      <c r="E43" s="154" t="s">
        <v>501</v>
      </c>
      <c r="F43" s="153">
        <v>374</v>
      </c>
      <c r="G43" s="154" t="s">
        <v>501</v>
      </c>
      <c r="H43" s="153">
        <v>167</v>
      </c>
      <c r="I43" s="154" t="s">
        <v>501</v>
      </c>
      <c r="J43" s="153">
        <v>353</v>
      </c>
      <c r="K43" s="154" t="s">
        <v>501</v>
      </c>
    </row>
    <row r="44" spans="1:11" s="142" customFormat="1" ht="12.75" customHeight="1" x14ac:dyDescent="0.25">
      <c r="A44" s="151"/>
      <c r="B44" s="152" t="s">
        <v>3</v>
      </c>
      <c r="C44" s="218"/>
      <c r="D44" s="153">
        <v>717</v>
      </c>
      <c r="E44" s="154" t="s">
        <v>501</v>
      </c>
      <c r="F44" s="153">
        <v>252</v>
      </c>
      <c r="G44" s="154" t="s">
        <v>501</v>
      </c>
      <c r="H44" s="153">
        <v>139</v>
      </c>
      <c r="I44" s="154" t="s">
        <v>501</v>
      </c>
      <c r="J44" s="153">
        <v>326</v>
      </c>
      <c r="K44" s="154" t="s">
        <v>501</v>
      </c>
    </row>
    <row r="45" spans="1:11" s="142" customFormat="1" ht="12.75" customHeight="1" x14ac:dyDescent="0.25">
      <c r="A45" s="151"/>
      <c r="B45" s="152" t="s">
        <v>4</v>
      </c>
      <c r="C45" s="218"/>
      <c r="D45" s="153">
        <v>926</v>
      </c>
      <c r="E45" s="154" t="s">
        <v>501</v>
      </c>
      <c r="F45" s="153">
        <v>393</v>
      </c>
      <c r="G45" s="154" t="s">
        <v>501</v>
      </c>
      <c r="H45" s="153">
        <v>168</v>
      </c>
      <c r="I45" s="154" t="s">
        <v>501</v>
      </c>
      <c r="J45" s="153">
        <v>365</v>
      </c>
      <c r="K45" s="154" t="s">
        <v>501</v>
      </c>
    </row>
    <row r="46" spans="1:11" s="142" customFormat="1" ht="12.75" customHeight="1" x14ac:dyDescent="0.25">
      <c r="A46" s="151"/>
      <c r="B46" s="152"/>
      <c r="C46" s="218"/>
      <c r="D46" s="153"/>
      <c r="E46" s="154"/>
      <c r="F46" s="153"/>
      <c r="G46" s="154"/>
      <c r="H46" s="153"/>
      <c r="I46" s="154"/>
      <c r="J46" s="153"/>
      <c r="K46" s="154"/>
    </row>
    <row r="47" spans="1:11" s="142" customFormat="1" ht="12.75" customHeight="1" x14ac:dyDescent="0.25">
      <c r="A47" s="151">
        <v>2014</v>
      </c>
      <c r="B47" s="152" t="s">
        <v>1</v>
      </c>
      <c r="C47" s="218"/>
      <c r="D47" s="153">
        <v>840</v>
      </c>
      <c r="E47" s="154" t="s">
        <v>501</v>
      </c>
      <c r="F47" s="153">
        <v>351</v>
      </c>
      <c r="G47" s="154" t="s">
        <v>501</v>
      </c>
      <c r="H47" s="153">
        <v>142</v>
      </c>
      <c r="I47" s="154" t="s">
        <v>501</v>
      </c>
      <c r="J47" s="153">
        <v>347</v>
      </c>
      <c r="K47" s="154" t="s">
        <v>501</v>
      </c>
    </row>
    <row r="48" spans="1:11" s="142" customFormat="1" ht="12.75" customHeight="1" x14ac:dyDescent="0.25">
      <c r="A48" s="151"/>
      <c r="B48" s="152" t="s">
        <v>2</v>
      </c>
      <c r="C48" s="218"/>
      <c r="D48" s="153">
        <v>769</v>
      </c>
      <c r="E48" s="154" t="s">
        <v>501</v>
      </c>
      <c r="F48" s="153">
        <v>379</v>
      </c>
      <c r="G48" s="154" t="s">
        <v>501</v>
      </c>
      <c r="H48" s="153">
        <v>155</v>
      </c>
      <c r="I48" s="154" t="s">
        <v>501</v>
      </c>
      <c r="J48" s="153">
        <v>235</v>
      </c>
      <c r="K48" s="154" t="s">
        <v>501</v>
      </c>
    </row>
    <row r="49" spans="1:11" s="142" customFormat="1" ht="12.75" customHeight="1" x14ac:dyDescent="0.25">
      <c r="A49" s="151"/>
      <c r="B49" s="152" t="s">
        <v>3</v>
      </c>
      <c r="C49" s="218"/>
      <c r="D49" s="153">
        <v>975</v>
      </c>
      <c r="E49" s="154" t="s">
        <v>501</v>
      </c>
      <c r="F49" s="153">
        <v>303</v>
      </c>
      <c r="G49" s="154" t="s">
        <v>501</v>
      </c>
      <c r="H49" s="153">
        <v>123</v>
      </c>
      <c r="I49" s="154" t="s">
        <v>501</v>
      </c>
      <c r="J49" s="153">
        <v>549</v>
      </c>
      <c r="K49" s="154" t="s">
        <v>501</v>
      </c>
    </row>
    <row r="50" spans="1:11" s="142" customFormat="1" ht="12.75" customHeight="1" x14ac:dyDescent="0.25">
      <c r="A50" s="151"/>
      <c r="B50" s="152" t="s">
        <v>4</v>
      </c>
      <c r="C50" s="218"/>
      <c r="D50" s="153">
        <v>811</v>
      </c>
      <c r="E50" s="154" t="s">
        <v>501</v>
      </c>
      <c r="F50" s="153">
        <v>334</v>
      </c>
      <c r="G50" s="154" t="s">
        <v>501</v>
      </c>
      <c r="H50" s="153">
        <v>116</v>
      </c>
      <c r="I50" s="154" t="s">
        <v>501</v>
      </c>
      <c r="J50" s="153">
        <v>361</v>
      </c>
      <c r="K50" s="154" t="s">
        <v>501</v>
      </c>
    </row>
    <row r="51" spans="1:11" s="142" customFormat="1" ht="12.75" customHeight="1" x14ac:dyDescent="0.25">
      <c r="A51" s="151"/>
      <c r="B51" s="152"/>
      <c r="C51" s="218"/>
      <c r="D51" s="153"/>
      <c r="E51" s="154"/>
      <c r="F51" s="153"/>
      <c r="G51" s="154"/>
      <c r="H51" s="153"/>
      <c r="I51" s="154"/>
      <c r="J51" s="153"/>
      <c r="K51" s="154"/>
    </row>
    <row r="52" spans="1:11" s="142" customFormat="1" ht="12.75" customHeight="1" x14ac:dyDescent="0.25">
      <c r="A52" s="151">
        <v>2015</v>
      </c>
      <c r="B52" s="152" t="s">
        <v>1</v>
      </c>
      <c r="C52" s="218"/>
      <c r="D52" s="153">
        <v>777</v>
      </c>
      <c r="E52" s="154" t="s">
        <v>501</v>
      </c>
      <c r="F52" s="153">
        <v>342</v>
      </c>
      <c r="G52" s="154" t="s">
        <v>501</v>
      </c>
      <c r="H52" s="153">
        <v>136</v>
      </c>
      <c r="I52" s="154" t="s">
        <v>501</v>
      </c>
      <c r="J52" s="153">
        <v>299</v>
      </c>
      <c r="K52" s="154" t="s">
        <v>501</v>
      </c>
    </row>
    <row r="53" spans="1:11" s="142" customFormat="1" ht="12.75" customHeight="1" x14ac:dyDescent="0.25">
      <c r="A53" s="151"/>
      <c r="B53" s="152" t="s">
        <v>2</v>
      </c>
      <c r="C53" s="218"/>
      <c r="D53" s="153">
        <v>696</v>
      </c>
      <c r="E53" s="154" t="s">
        <v>501</v>
      </c>
      <c r="F53" s="153">
        <v>304</v>
      </c>
      <c r="G53" s="154" t="s">
        <v>501</v>
      </c>
      <c r="H53" s="153">
        <v>119</v>
      </c>
      <c r="I53" s="154" t="s">
        <v>501</v>
      </c>
      <c r="J53" s="153">
        <v>273</v>
      </c>
      <c r="K53" s="154" t="s">
        <v>501</v>
      </c>
    </row>
    <row r="54" spans="1:11" s="142" customFormat="1" ht="12.75" customHeight="1" x14ac:dyDescent="0.25">
      <c r="A54" s="151"/>
      <c r="B54" s="152" t="s">
        <v>3</v>
      </c>
      <c r="C54" s="218"/>
      <c r="D54" s="153">
        <v>611</v>
      </c>
      <c r="E54" s="154" t="s">
        <v>501</v>
      </c>
      <c r="F54" s="153">
        <v>199</v>
      </c>
      <c r="G54" s="154" t="s">
        <v>501</v>
      </c>
      <c r="H54" s="153">
        <v>111</v>
      </c>
      <c r="I54" s="154" t="s">
        <v>501</v>
      </c>
      <c r="J54" s="153">
        <v>301</v>
      </c>
      <c r="K54" s="154" t="s">
        <v>501</v>
      </c>
    </row>
    <row r="55" spans="1:11" s="142" customFormat="1" ht="12.75" customHeight="1" x14ac:dyDescent="0.25">
      <c r="A55" s="151"/>
      <c r="B55" s="152" t="s">
        <v>4</v>
      </c>
      <c r="C55" s="218"/>
      <c r="D55" s="153">
        <v>606</v>
      </c>
      <c r="E55" s="154" t="s">
        <v>501</v>
      </c>
      <c r="F55" s="153">
        <v>226</v>
      </c>
      <c r="G55" s="154" t="s">
        <v>501</v>
      </c>
      <c r="H55" s="153">
        <v>106</v>
      </c>
      <c r="I55" s="154" t="s">
        <v>501</v>
      </c>
      <c r="J55" s="153">
        <v>274</v>
      </c>
      <c r="K55" s="154" t="s">
        <v>501</v>
      </c>
    </row>
    <row r="56" spans="1:11" s="142" customFormat="1" ht="12.75" customHeight="1" x14ac:dyDescent="0.25">
      <c r="A56" s="151"/>
      <c r="B56" s="152"/>
      <c r="C56" s="218"/>
      <c r="D56" s="153"/>
      <c r="E56" s="154"/>
      <c r="F56" s="153"/>
      <c r="G56" s="154"/>
      <c r="H56" s="153"/>
      <c r="I56" s="154"/>
      <c r="J56" s="153"/>
      <c r="K56" s="154"/>
    </row>
    <row r="57" spans="1:11" s="142" customFormat="1" ht="12.75" customHeight="1" x14ac:dyDescent="0.25">
      <c r="A57" s="151">
        <v>2016</v>
      </c>
      <c r="B57" s="152" t="s">
        <v>1</v>
      </c>
      <c r="C57" s="218"/>
      <c r="D57" s="153">
        <v>666</v>
      </c>
      <c r="E57" s="154" t="s">
        <v>501</v>
      </c>
      <c r="F57" s="153">
        <v>236</v>
      </c>
      <c r="G57" s="154" t="s">
        <v>501</v>
      </c>
      <c r="H57" s="153">
        <v>106</v>
      </c>
      <c r="I57" s="154" t="s">
        <v>501</v>
      </c>
      <c r="J57" s="153">
        <v>324</v>
      </c>
      <c r="K57" s="154" t="s">
        <v>501</v>
      </c>
    </row>
    <row r="58" spans="1:11" s="142" customFormat="1" ht="12.75" customHeight="1" x14ac:dyDescent="0.25">
      <c r="A58" s="151"/>
      <c r="B58" s="152" t="s">
        <v>2</v>
      </c>
      <c r="C58" s="218"/>
      <c r="D58" s="153">
        <v>752</v>
      </c>
      <c r="E58" s="154" t="s">
        <v>501</v>
      </c>
      <c r="F58" s="153">
        <v>299</v>
      </c>
      <c r="G58" s="154" t="s">
        <v>501</v>
      </c>
      <c r="H58" s="153">
        <v>61</v>
      </c>
      <c r="I58" s="154" t="s">
        <v>501</v>
      </c>
      <c r="J58" s="153">
        <v>392</v>
      </c>
      <c r="K58" s="154" t="s">
        <v>501</v>
      </c>
    </row>
    <row r="59" spans="1:11" s="142" customFormat="1" ht="12.75" customHeight="1" x14ac:dyDescent="0.25">
      <c r="A59" s="151"/>
      <c r="B59" s="152" t="s">
        <v>3</v>
      </c>
      <c r="C59" s="218"/>
      <c r="D59" s="153">
        <v>547</v>
      </c>
      <c r="E59" s="154" t="s">
        <v>501</v>
      </c>
      <c r="F59" s="153">
        <v>203</v>
      </c>
      <c r="G59" s="154" t="s">
        <v>501</v>
      </c>
      <c r="H59" s="153">
        <v>101</v>
      </c>
      <c r="I59" s="154" t="s">
        <v>501</v>
      </c>
      <c r="J59" s="153">
        <v>243</v>
      </c>
      <c r="K59" s="154" t="s">
        <v>501</v>
      </c>
    </row>
    <row r="60" spans="1:11" s="142" customFormat="1" ht="12.75" customHeight="1" x14ac:dyDescent="0.25">
      <c r="A60" s="151"/>
      <c r="B60" s="152" t="s">
        <v>4</v>
      </c>
      <c r="C60" s="218"/>
      <c r="D60" s="153">
        <v>617</v>
      </c>
      <c r="E60" s="154" t="s">
        <v>501</v>
      </c>
      <c r="F60" s="153">
        <v>259</v>
      </c>
      <c r="G60" s="154" t="s">
        <v>501</v>
      </c>
      <c r="H60" s="153">
        <v>98</v>
      </c>
      <c r="I60" s="154" t="s">
        <v>501</v>
      </c>
      <c r="J60" s="153">
        <v>260</v>
      </c>
      <c r="K60" s="154" t="s">
        <v>501</v>
      </c>
    </row>
    <row r="61" spans="1:11" s="142" customFormat="1" ht="12.75" customHeight="1" x14ac:dyDescent="0.25">
      <c r="A61" s="151"/>
      <c r="B61" s="152"/>
      <c r="C61" s="218"/>
      <c r="D61" s="153"/>
      <c r="E61" s="154"/>
      <c r="F61" s="153"/>
      <c r="G61" s="154"/>
      <c r="H61" s="153"/>
      <c r="I61" s="154"/>
      <c r="J61" s="153"/>
      <c r="K61" s="154"/>
    </row>
    <row r="62" spans="1:11" s="142" customFormat="1" ht="12.75" customHeight="1" x14ac:dyDescent="0.25">
      <c r="A62" s="151">
        <v>2017</v>
      </c>
      <c r="B62" s="152" t="s">
        <v>1</v>
      </c>
      <c r="C62" s="218"/>
      <c r="D62" s="153">
        <v>713</v>
      </c>
      <c r="E62" s="154" t="s">
        <v>501</v>
      </c>
      <c r="F62" s="153">
        <v>197</v>
      </c>
      <c r="G62" s="154" t="s">
        <v>501</v>
      </c>
      <c r="H62" s="153">
        <v>130</v>
      </c>
      <c r="I62" s="154" t="s">
        <v>501</v>
      </c>
      <c r="J62" s="153">
        <v>386</v>
      </c>
      <c r="K62" s="154" t="s">
        <v>501</v>
      </c>
    </row>
    <row r="63" spans="1:11" s="142" customFormat="1" ht="12.75" customHeight="1" x14ac:dyDescent="0.25">
      <c r="A63" s="151"/>
      <c r="B63" s="152" t="s">
        <v>2</v>
      </c>
      <c r="C63" s="218"/>
      <c r="D63" s="153">
        <v>841</v>
      </c>
      <c r="E63" s="154" t="s">
        <v>501</v>
      </c>
      <c r="F63" s="153">
        <v>208</v>
      </c>
      <c r="G63" s="154" t="s">
        <v>501</v>
      </c>
      <c r="H63" s="153">
        <v>167</v>
      </c>
      <c r="I63" s="154" t="s">
        <v>501</v>
      </c>
      <c r="J63" s="153">
        <v>466</v>
      </c>
      <c r="K63" s="154" t="s">
        <v>501</v>
      </c>
    </row>
    <row r="64" spans="1:11" s="142" customFormat="1" ht="12.75" customHeight="1" x14ac:dyDescent="0.25">
      <c r="A64" s="151"/>
      <c r="B64" s="152" t="s">
        <v>3</v>
      </c>
      <c r="C64" s="218"/>
      <c r="D64" s="153">
        <v>684</v>
      </c>
      <c r="E64" s="154" t="s">
        <v>501</v>
      </c>
      <c r="F64" s="153">
        <v>162</v>
      </c>
      <c r="G64" s="154" t="s">
        <v>501</v>
      </c>
      <c r="H64" s="153">
        <v>113</v>
      </c>
      <c r="I64" s="154" t="s">
        <v>501</v>
      </c>
      <c r="J64" s="153">
        <v>409</v>
      </c>
      <c r="K64" s="154" t="s">
        <v>501</v>
      </c>
    </row>
    <row r="65" spans="1:11" s="142" customFormat="1" ht="12.75" customHeight="1" x14ac:dyDescent="0.25">
      <c r="A65" s="152"/>
      <c r="B65" s="152" t="s">
        <v>4</v>
      </c>
      <c r="C65" s="218" t="s">
        <v>406</v>
      </c>
      <c r="D65" s="153">
        <v>640</v>
      </c>
      <c r="E65" s="154" t="s">
        <v>501</v>
      </c>
      <c r="F65" s="153">
        <v>245</v>
      </c>
      <c r="G65" s="154" t="s">
        <v>501</v>
      </c>
      <c r="H65" s="153">
        <v>119</v>
      </c>
      <c r="I65" s="154" t="s">
        <v>501</v>
      </c>
      <c r="J65" s="153">
        <v>276</v>
      </c>
      <c r="K65" s="154" t="s">
        <v>501</v>
      </c>
    </row>
    <row r="66" spans="1:11" s="142" customFormat="1" ht="12.75" customHeight="1" x14ac:dyDescent="0.25">
      <c r="A66" s="151"/>
      <c r="B66" s="152"/>
      <c r="C66" s="218"/>
      <c r="D66" s="153"/>
      <c r="E66" s="154"/>
      <c r="F66" s="153"/>
      <c r="G66" s="154"/>
      <c r="H66" s="153"/>
      <c r="I66" s="154"/>
      <c r="J66" s="153"/>
      <c r="K66" s="154"/>
    </row>
    <row r="67" spans="1:11" s="142" customFormat="1" ht="12.75" customHeight="1" thickBot="1" x14ac:dyDescent="0.3">
      <c r="A67" s="152"/>
      <c r="B67" s="156"/>
      <c r="C67" s="219"/>
      <c r="D67" s="153"/>
      <c r="E67" s="154"/>
      <c r="F67" s="153"/>
      <c r="G67" s="154"/>
      <c r="H67" s="153"/>
      <c r="I67" s="154"/>
      <c r="J67" s="153"/>
      <c r="K67" s="154"/>
    </row>
    <row r="68" spans="1:11" s="142" customFormat="1" ht="12.75" customHeight="1" x14ac:dyDescent="0.2">
      <c r="A68" s="159" t="s">
        <v>502</v>
      </c>
      <c r="B68" s="159"/>
      <c r="C68" s="220"/>
      <c r="D68" s="159"/>
      <c r="E68" s="220"/>
      <c r="F68" s="159"/>
      <c r="G68" s="220"/>
      <c r="H68" s="159"/>
      <c r="I68" s="220"/>
      <c r="J68" s="159"/>
      <c r="K68" s="220"/>
    </row>
    <row r="69" spans="1:11" s="142" customFormat="1" ht="12.75" customHeight="1" x14ac:dyDescent="0.2">
      <c r="A69" s="160"/>
      <c r="B69" s="160"/>
      <c r="C69" s="161"/>
      <c r="D69" s="160"/>
      <c r="E69" s="161"/>
      <c r="F69" s="160"/>
      <c r="G69" s="161"/>
      <c r="H69" s="160"/>
      <c r="I69" s="161"/>
      <c r="J69" s="160"/>
      <c r="K69" s="161"/>
    </row>
    <row r="70" spans="1:11" s="142" customFormat="1" ht="12.75" hidden="1" customHeight="1" x14ac:dyDescent="0.2">
      <c r="A70" s="162">
        <v>2017</v>
      </c>
      <c r="B70" s="163" t="s">
        <v>3</v>
      </c>
      <c r="C70" s="221"/>
      <c r="D70" s="164" t="s">
        <v>121</v>
      </c>
      <c r="E70" s="161"/>
      <c r="F70" s="164" t="s">
        <v>121</v>
      </c>
      <c r="G70" s="161"/>
      <c r="H70" s="164" t="s">
        <v>121</v>
      </c>
      <c r="I70" s="161"/>
      <c r="J70" s="164" t="s">
        <v>121</v>
      </c>
      <c r="K70" s="161"/>
    </row>
    <row r="71" spans="1:11" s="142" customFormat="1" ht="12.75" hidden="1" customHeight="1" x14ac:dyDescent="0.2">
      <c r="A71" s="165"/>
      <c r="B71" s="166"/>
      <c r="C71" s="222"/>
      <c r="D71" s="167"/>
      <c r="E71" s="280"/>
      <c r="F71" s="167"/>
      <c r="G71" s="280"/>
      <c r="H71" s="167"/>
      <c r="I71" s="280"/>
      <c r="J71" s="167"/>
      <c r="K71" s="280"/>
    </row>
    <row r="72" spans="1:11" s="142" customFormat="1" ht="12.75" customHeight="1" thickBot="1" x14ac:dyDescent="0.25">
      <c r="A72" s="157">
        <v>2016</v>
      </c>
      <c r="B72" s="158" t="s">
        <v>4</v>
      </c>
      <c r="C72" s="223"/>
      <c r="D72" s="168">
        <v>3.7277147487844386</v>
      </c>
      <c r="E72" s="281"/>
      <c r="F72" s="168">
        <v>-5.4054054054054053</v>
      </c>
      <c r="G72" s="281"/>
      <c r="H72" s="168">
        <v>21.42857142857142</v>
      </c>
      <c r="I72" s="281"/>
      <c r="J72" s="168">
        <v>6.1538461538461542</v>
      </c>
      <c r="K72" s="281"/>
    </row>
    <row r="73" spans="1:11" s="169" customFormat="1" ht="12.75" customHeight="1" x14ac:dyDescent="0.2">
      <c r="A73" s="343"/>
      <c r="B73" s="343"/>
      <c r="C73" s="343"/>
      <c r="D73" s="343"/>
      <c r="E73" s="343"/>
      <c r="F73" s="343"/>
      <c r="G73" s="343"/>
      <c r="H73" s="343"/>
      <c r="I73" s="343"/>
      <c r="J73" s="343"/>
      <c r="K73" s="343"/>
    </row>
    <row r="74" spans="1:11" s="170" customFormat="1" ht="15" x14ac:dyDescent="0.3">
      <c r="A74" s="338" t="s">
        <v>271</v>
      </c>
      <c r="B74" s="338"/>
      <c r="C74" s="338"/>
      <c r="D74" s="338"/>
      <c r="E74" s="338"/>
      <c r="F74" s="338"/>
      <c r="G74" s="338"/>
      <c r="H74" s="338"/>
      <c r="I74" s="338"/>
      <c r="J74" s="338"/>
      <c r="K74" s="338"/>
    </row>
    <row r="75" spans="1:11" s="170" customFormat="1" ht="15" x14ac:dyDescent="0.3">
      <c r="A75" s="338" t="s">
        <v>272</v>
      </c>
      <c r="B75" s="338"/>
      <c r="C75" s="338"/>
      <c r="D75" s="338"/>
      <c r="E75" s="338"/>
      <c r="F75" s="338"/>
      <c r="G75" s="338"/>
      <c r="H75" s="338"/>
      <c r="I75" s="338"/>
      <c r="J75" s="338"/>
      <c r="K75" s="338"/>
    </row>
    <row r="76" spans="1:11" s="171" customFormat="1" ht="15" x14ac:dyDescent="0.3">
      <c r="A76" s="344"/>
      <c r="B76" s="344"/>
      <c r="C76" s="344"/>
      <c r="D76" s="344"/>
      <c r="E76" s="344"/>
      <c r="F76" s="344"/>
      <c r="G76" s="344"/>
      <c r="H76" s="344"/>
      <c r="I76" s="344"/>
      <c r="J76" s="344"/>
      <c r="K76" s="344"/>
    </row>
    <row r="77" spans="1:11" s="171" customFormat="1" ht="27.75" customHeight="1" x14ac:dyDescent="0.3">
      <c r="A77" s="344"/>
      <c r="B77" s="344"/>
      <c r="C77" s="344"/>
      <c r="D77" s="344"/>
      <c r="E77" s="344"/>
      <c r="F77" s="344"/>
      <c r="G77" s="344"/>
      <c r="H77" s="344"/>
      <c r="I77" s="344"/>
      <c r="J77" s="344"/>
      <c r="K77" s="344"/>
    </row>
    <row r="78" spans="1:11" ht="12.75" customHeight="1" x14ac:dyDescent="0.3">
      <c r="A78" s="344"/>
      <c r="B78" s="344"/>
      <c r="C78" s="344"/>
      <c r="D78" s="344"/>
      <c r="E78" s="344"/>
      <c r="F78" s="344"/>
      <c r="G78" s="344"/>
      <c r="H78" s="344"/>
      <c r="I78" s="344"/>
      <c r="J78" s="344"/>
      <c r="K78" s="344"/>
    </row>
    <row r="79" spans="1:11" ht="12.75" customHeight="1" x14ac:dyDescent="0.3">
      <c r="A79" s="344"/>
      <c r="B79" s="344"/>
      <c r="C79" s="344"/>
      <c r="D79" s="344"/>
      <c r="E79" s="344"/>
      <c r="F79" s="344"/>
      <c r="G79" s="344"/>
      <c r="H79" s="344"/>
      <c r="I79" s="344"/>
      <c r="J79" s="344"/>
      <c r="K79" s="344"/>
    </row>
    <row r="80" spans="1:11" ht="12.75" customHeight="1" x14ac:dyDescent="0.3">
      <c r="A80" s="344"/>
      <c r="B80" s="344"/>
      <c r="C80" s="344"/>
      <c r="D80" s="344"/>
      <c r="E80" s="344"/>
      <c r="F80" s="344"/>
      <c r="G80" s="344"/>
      <c r="H80" s="344"/>
      <c r="I80" s="344"/>
      <c r="J80" s="344"/>
      <c r="K80" s="344"/>
    </row>
    <row r="81" spans="1:11" ht="12.75" customHeight="1" x14ac:dyDescent="0.3">
      <c r="A81" s="344"/>
      <c r="B81" s="344"/>
      <c r="C81" s="344"/>
      <c r="D81" s="344"/>
      <c r="E81" s="344"/>
      <c r="F81" s="344"/>
      <c r="G81" s="344"/>
      <c r="H81" s="344"/>
      <c r="I81" s="344"/>
      <c r="J81" s="344"/>
      <c r="K81" s="344"/>
    </row>
    <row r="82" spans="1:11" ht="12.75" customHeight="1" x14ac:dyDescent="0.3">
      <c r="A82" s="344"/>
      <c r="B82" s="344"/>
      <c r="C82" s="344"/>
      <c r="D82" s="344"/>
      <c r="E82" s="344"/>
      <c r="F82" s="344"/>
      <c r="G82" s="344"/>
      <c r="H82" s="344"/>
      <c r="I82" s="344"/>
      <c r="J82" s="344"/>
      <c r="K82" s="344"/>
    </row>
    <row r="83" spans="1:11" ht="12.75" customHeight="1" x14ac:dyDescent="0.3">
      <c r="A83" s="344"/>
      <c r="B83" s="344"/>
      <c r="C83" s="344"/>
      <c r="D83" s="344"/>
      <c r="E83" s="344"/>
      <c r="F83" s="344"/>
      <c r="G83" s="344"/>
      <c r="H83" s="344"/>
      <c r="I83" s="344"/>
      <c r="J83" s="344"/>
      <c r="K83" s="344"/>
    </row>
  </sheetData>
  <dataConsolidate/>
  <mergeCells count="16">
    <mergeCell ref="A73:K73"/>
    <mergeCell ref="J4:K4"/>
    <mergeCell ref="D5:E5"/>
    <mergeCell ref="F5:G5"/>
    <mergeCell ref="H5:I5"/>
    <mergeCell ref="J5:K5"/>
    <mergeCell ref="A80:K80"/>
    <mergeCell ref="A81:K81"/>
    <mergeCell ref="A82:K82"/>
    <mergeCell ref="A83:K83"/>
    <mergeCell ref="A74:K74"/>
    <mergeCell ref="A75:K75"/>
    <mergeCell ref="A76:K76"/>
    <mergeCell ref="A77:K77"/>
    <mergeCell ref="A78:K78"/>
    <mergeCell ref="A79:K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39"/>
  <sheetViews>
    <sheetView showGridLines="0" tabSelected="1" zoomScaleNormal="100" workbookViewId="0">
      <selection activeCell="B18" sqref="B18"/>
    </sheetView>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175"/>
      <c r="B7" s="176" t="s">
        <v>499</v>
      </c>
    </row>
    <row r="10" spans="1:2" x14ac:dyDescent="0.2">
      <c r="B10" s="177" t="s">
        <v>142</v>
      </c>
    </row>
    <row r="11" spans="1:2" x14ac:dyDescent="0.2">
      <c r="B11" s="178" t="s">
        <v>20</v>
      </c>
    </row>
    <row r="12" spans="1:2" x14ac:dyDescent="0.2">
      <c r="B12" s="178" t="s">
        <v>19</v>
      </c>
    </row>
    <row r="13" spans="1:2" x14ac:dyDescent="0.2">
      <c r="B13" s="178" t="s">
        <v>21</v>
      </c>
    </row>
    <row r="14" spans="1:2" s="179" customFormat="1" ht="18" x14ac:dyDescent="0.25">
      <c r="B14" s="180"/>
    </row>
    <row r="15" spans="1:2" s="179" customFormat="1" x14ac:dyDescent="0.2">
      <c r="B15" s="315" t="s">
        <v>143</v>
      </c>
    </row>
    <row r="16" spans="1:2" s="179" customFormat="1" x14ac:dyDescent="0.2">
      <c r="B16" s="316">
        <v>43126</v>
      </c>
    </row>
    <row r="17" spans="1:2" s="179" customFormat="1" x14ac:dyDescent="0.2">
      <c r="B17" s="316"/>
    </row>
    <row r="18" spans="1:2" s="179" customFormat="1" x14ac:dyDescent="0.2">
      <c r="B18" s="315" t="s">
        <v>144</v>
      </c>
    </row>
    <row r="19" spans="1:2" s="179" customFormat="1" x14ac:dyDescent="0.2">
      <c r="B19" s="316" t="s">
        <v>195</v>
      </c>
    </row>
    <row r="20" spans="1:2" s="179" customFormat="1" x14ac:dyDescent="0.2">
      <c r="B20" s="316"/>
    </row>
    <row r="21" spans="1:2" s="179" customFormat="1" x14ac:dyDescent="0.2">
      <c r="B21" s="315" t="s">
        <v>145</v>
      </c>
    </row>
    <row r="22" spans="1:2" s="179" customFormat="1" x14ac:dyDescent="0.2">
      <c r="B22" s="316">
        <v>43217</v>
      </c>
    </row>
    <row r="23" spans="1:2" ht="15" x14ac:dyDescent="0.2">
      <c r="A23" s="181"/>
      <c r="B23" s="363"/>
    </row>
    <row r="24" spans="1:2" ht="15" x14ac:dyDescent="0.2">
      <c r="A24" s="181"/>
      <c r="B24" s="364" t="s">
        <v>146</v>
      </c>
    </row>
    <row r="25" spans="1:2" ht="15" x14ac:dyDescent="0.2">
      <c r="A25" s="181"/>
      <c r="B25" s="365" t="s">
        <v>491</v>
      </c>
    </row>
    <row r="26" spans="1:2" ht="15" x14ac:dyDescent="0.2">
      <c r="A26" s="181"/>
      <c r="B26" s="366" t="s">
        <v>492</v>
      </c>
    </row>
    <row r="27" spans="1:2" ht="15" x14ac:dyDescent="0.2">
      <c r="A27" s="181"/>
      <c r="B27" s="365" t="s">
        <v>147</v>
      </c>
    </row>
    <row r="28" spans="1:2" ht="15" x14ac:dyDescent="0.2">
      <c r="A28" s="181"/>
      <c r="B28" s="366" t="s">
        <v>148</v>
      </c>
    </row>
    <row r="29" spans="1:2" ht="15" x14ac:dyDescent="0.2">
      <c r="A29" s="181"/>
      <c r="B29" s="363"/>
    </row>
    <row r="30" spans="1:2" ht="15" x14ac:dyDescent="0.2">
      <c r="A30" s="181"/>
      <c r="B30" s="364" t="s">
        <v>497</v>
      </c>
    </row>
    <row r="31" spans="1:2" x14ac:dyDescent="0.2">
      <c r="B31" s="365" t="s">
        <v>555</v>
      </c>
    </row>
    <row r="32" spans="1:2" x14ac:dyDescent="0.2">
      <c r="B32" s="367" t="s">
        <v>150</v>
      </c>
    </row>
    <row r="33" spans="2:2" x14ac:dyDescent="0.2">
      <c r="B33" s="365" t="s">
        <v>556</v>
      </c>
    </row>
    <row r="34" spans="2:2" x14ac:dyDescent="0.2">
      <c r="B34" s="368"/>
    </row>
    <row r="35" spans="2:2" x14ac:dyDescent="0.2">
      <c r="B35" s="315" t="s">
        <v>498</v>
      </c>
    </row>
    <row r="36" spans="2:2" x14ac:dyDescent="0.2">
      <c r="B36" s="366" t="s">
        <v>149</v>
      </c>
    </row>
    <row r="37" spans="2:2" x14ac:dyDescent="0.2">
      <c r="B37" s="368"/>
    </row>
    <row r="38" spans="2:2" x14ac:dyDescent="0.2">
      <c r="B38" s="364" t="s">
        <v>151</v>
      </c>
    </row>
    <row r="39" spans="2:2" x14ac:dyDescent="0.2">
      <c r="B39" s="183" t="s">
        <v>152</v>
      </c>
    </row>
  </sheetData>
  <hyperlinks>
    <hyperlink ref="B32" r:id="rId1" display="mailto:statistics@insolvency.gsi.gov.uk"/>
    <hyperlink ref="B39" r:id="rId2"/>
    <hyperlink ref="B7" r:id="rId3" display="Insolvency Statistics - January to March 2015 (Q1 2015)"/>
  </hyperlinks>
  <pageMargins left="0.75" right="0.75" top="1" bottom="1" header="0.5" footer="0.5"/>
  <pageSetup paperSize="9" scale="6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49"/>
  <sheetViews>
    <sheetView workbookViewId="0"/>
  </sheetViews>
  <sheetFormatPr defaultRowHeight="12.75" x14ac:dyDescent="0.2"/>
  <cols>
    <col min="1" max="1" width="2.5703125" style="179" customWidth="1"/>
    <col min="2" max="2" width="9.140625" style="179"/>
    <col min="3" max="3" width="48.7109375" style="179" customWidth="1"/>
    <col min="4" max="4" width="21.7109375" style="179" customWidth="1"/>
    <col min="5" max="5" width="23.7109375" style="179" bestFit="1" customWidth="1"/>
    <col min="6" max="16384" width="9.140625" style="179"/>
  </cols>
  <sheetData>
    <row r="2" spans="2:4" ht="19.5" x14ac:dyDescent="0.3">
      <c r="B2" s="294" t="s">
        <v>500</v>
      </c>
    </row>
    <row r="4" spans="2:4" x14ac:dyDescent="0.2">
      <c r="B4" s="295" t="s">
        <v>207</v>
      </c>
    </row>
    <row r="5" spans="2:4" x14ac:dyDescent="0.2">
      <c r="B5" s="295" t="s">
        <v>208</v>
      </c>
    </row>
    <row r="7" spans="2:4" x14ac:dyDescent="0.2">
      <c r="B7" s="296" t="s">
        <v>205</v>
      </c>
    </row>
    <row r="8" spans="2:4" x14ac:dyDescent="0.2">
      <c r="B8" s="295" t="s">
        <v>210</v>
      </c>
    </row>
    <row r="9" spans="2:4" x14ac:dyDescent="0.2">
      <c r="B9" s="295" t="s">
        <v>211</v>
      </c>
    </row>
    <row r="10" spans="2:4" ht="4.5" customHeight="1" x14ac:dyDescent="0.2"/>
    <row r="11" spans="2:4" x14ac:dyDescent="0.2">
      <c r="B11" s="295" t="s">
        <v>273</v>
      </c>
    </row>
    <row r="12" spans="2:4" x14ac:dyDescent="0.2">
      <c r="B12" s="295" t="s">
        <v>224</v>
      </c>
    </row>
    <row r="13" spans="2:4" ht="4.5" customHeight="1" x14ac:dyDescent="0.2">
      <c r="B13" s="295"/>
    </row>
    <row r="14" spans="2:4" x14ac:dyDescent="0.2">
      <c r="B14" s="296" t="s">
        <v>225</v>
      </c>
    </row>
    <row r="15" spans="2:4" x14ac:dyDescent="0.2">
      <c r="B15" s="295" t="s">
        <v>274</v>
      </c>
      <c r="D15" s="297"/>
    </row>
    <row r="16" spans="2:4" ht="4.5" customHeight="1" x14ac:dyDescent="0.2">
      <c r="B16" s="295"/>
    </row>
    <row r="17" spans="2:5" x14ac:dyDescent="0.2">
      <c r="B17" s="296" t="s">
        <v>226</v>
      </c>
    </row>
    <row r="18" spans="2:5" x14ac:dyDescent="0.2">
      <c r="B18" s="295" t="s">
        <v>227</v>
      </c>
    </row>
    <row r="20" spans="2:5" s="299" customFormat="1" ht="18.75" x14ac:dyDescent="0.25">
      <c r="B20" s="298" t="s">
        <v>209</v>
      </c>
      <c r="C20" s="298" t="s">
        <v>204</v>
      </c>
      <c r="D20" s="298" t="s">
        <v>218</v>
      </c>
      <c r="E20" s="298" t="s">
        <v>275</v>
      </c>
    </row>
    <row r="21" spans="2:5" s="303" customFormat="1" ht="19.5" customHeight="1" x14ac:dyDescent="0.25">
      <c r="B21" s="300" t="s">
        <v>213</v>
      </c>
      <c r="C21" s="301"/>
      <c r="D21" s="301"/>
      <c r="E21" s="302"/>
    </row>
    <row r="22" spans="2:5" x14ac:dyDescent="0.2">
      <c r="B22" s="304" t="s">
        <v>117</v>
      </c>
      <c r="C22" s="305" t="s">
        <v>154</v>
      </c>
      <c r="D22" s="304" t="s">
        <v>48</v>
      </c>
      <c r="E22" s="304" t="s">
        <v>220</v>
      </c>
    </row>
    <row r="23" spans="2:5" x14ac:dyDescent="0.2">
      <c r="B23" s="304" t="s">
        <v>118</v>
      </c>
      <c r="C23" s="305" t="s">
        <v>154</v>
      </c>
      <c r="D23" s="304" t="s">
        <v>47</v>
      </c>
      <c r="E23" s="304" t="s">
        <v>220</v>
      </c>
    </row>
    <row r="24" spans="2:5" x14ac:dyDescent="0.2">
      <c r="B24" s="304" t="s">
        <v>50</v>
      </c>
      <c r="C24" s="305" t="s">
        <v>161</v>
      </c>
      <c r="D24" s="304" t="s">
        <v>47</v>
      </c>
      <c r="E24" s="304" t="s">
        <v>104</v>
      </c>
    </row>
    <row r="25" spans="2:5" x14ac:dyDescent="0.2">
      <c r="B25" s="304" t="s">
        <v>107</v>
      </c>
      <c r="C25" s="305" t="s">
        <v>165</v>
      </c>
      <c r="D25" s="304" t="s">
        <v>135</v>
      </c>
      <c r="E25" s="304" t="s">
        <v>56</v>
      </c>
    </row>
    <row r="26" spans="2:5" s="303" customFormat="1" ht="19.5" customHeight="1" x14ac:dyDescent="0.25">
      <c r="B26" s="300" t="s">
        <v>212</v>
      </c>
      <c r="C26" s="301"/>
      <c r="D26" s="301"/>
      <c r="E26" s="302"/>
    </row>
    <row r="27" spans="2:5" x14ac:dyDescent="0.2">
      <c r="B27" s="304" t="s">
        <v>122</v>
      </c>
      <c r="C27" s="305" t="s">
        <v>169</v>
      </c>
      <c r="D27" s="306" t="s">
        <v>48</v>
      </c>
      <c r="E27" s="306" t="s">
        <v>50</v>
      </c>
    </row>
    <row r="28" spans="2:5" x14ac:dyDescent="0.2">
      <c r="B28" s="304" t="s">
        <v>126</v>
      </c>
      <c r="C28" s="305" t="s">
        <v>169</v>
      </c>
      <c r="D28" s="306" t="s">
        <v>47</v>
      </c>
      <c r="E28" s="306" t="s">
        <v>50</v>
      </c>
    </row>
    <row r="29" spans="2:5" x14ac:dyDescent="0.2">
      <c r="B29" s="304" t="s">
        <v>80</v>
      </c>
      <c r="C29" s="305" t="s">
        <v>127</v>
      </c>
      <c r="D29" s="306" t="s">
        <v>135</v>
      </c>
      <c r="E29" s="306" t="s">
        <v>108</v>
      </c>
    </row>
    <row r="30" spans="2:5" x14ac:dyDescent="0.2">
      <c r="B30" s="304" t="s">
        <v>128</v>
      </c>
      <c r="C30" s="305" t="s">
        <v>200</v>
      </c>
      <c r="D30" s="306" t="s">
        <v>48</v>
      </c>
      <c r="E30" s="306" t="s">
        <v>78</v>
      </c>
    </row>
    <row r="31" spans="2:5" x14ac:dyDescent="0.2">
      <c r="B31" s="304" t="s">
        <v>130</v>
      </c>
      <c r="C31" s="305" t="s">
        <v>200</v>
      </c>
      <c r="D31" s="306" t="s">
        <v>47</v>
      </c>
      <c r="E31" s="306" t="s">
        <v>78</v>
      </c>
    </row>
    <row r="32" spans="2:5" x14ac:dyDescent="0.2">
      <c r="B32" s="304" t="s">
        <v>131</v>
      </c>
      <c r="C32" s="305" t="s">
        <v>219</v>
      </c>
      <c r="D32" s="306" t="s">
        <v>48</v>
      </c>
      <c r="E32" s="306" t="s">
        <v>51</v>
      </c>
    </row>
    <row r="33" spans="2:5" x14ac:dyDescent="0.2">
      <c r="B33" s="304" t="s">
        <v>132</v>
      </c>
      <c r="C33" s="305" t="s">
        <v>219</v>
      </c>
      <c r="D33" s="306" t="s">
        <v>47</v>
      </c>
      <c r="E33" s="306" t="s">
        <v>51</v>
      </c>
    </row>
    <row r="34" spans="2:5" x14ac:dyDescent="0.2">
      <c r="B34" s="304" t="s">
        <v>197</v>
      </c>
      <c r="C34" s="305" t="s">
        <v>180</v>
      </c>
      <c r="D34" s="306" t="s">
        <v>48</v>
      </c>
      <c r="E34" s="307" t="s">
        <v>222</v>
      </c>
    </row>
    <row r="35" spans="2:5" x14ac:dyDescent="0.2">
      <c r="B35" s="304" t="s">
        <v>198</v>
      </c>
      <c r="C35" s="305" t="s">
        <v>180</v>
      </c>
      <c r="D35" s="306" t="s">
        <v>47</v>
      </c>
      <c r="E35" s="306" t="s">
        <v>221</v>
      </c>
    </row>
    <row r="36" spans="2:5" s="303" customFormat="1" ht="19.5" customHeight="1" x14ac:dyDescent="0.25">
      <c r="B36" s="300" t="s">
        <v>214</v>
      </c>
      <c r="C36" s="301"/>
      <c r="D36" s="301"/>
      <c r="E36" s="302"/>
    </row>
    <row r="37" spans="2:5" x14ac:dyDescent="0.2">
      <c r="B37" s="304" t="s">
        <v>133</v>
      </c>
      <c r="C37" s="305" t="s">
        <v>154</v>
      </c>
      <c r="D37" s="307" t="s">
        <v>47</v>
      </c>
      <c r="E37" s="306" t="s">
        <v>223</v>
      </c>
    </row>
    <row r="38" spans="2:5" x14ac:dyDescent="0.2">
      <c r="B38" s="304" t="s">
        <v>134</v>
      </c>
      <c r="C38" s="305" t="s">
        <v>165</v>
      </c>
      <c r="D38" s="307" t="s">
        <v>135</v>
      </c>
      <c r="E38" s="306" t="s">
        <v>56</v>
      </c>
    </row>
    <row r="39" spans="2:5" s="303" customFormat="1" ht="19.5" customHeight="1" x14ac:dyDescent="0.25">
      <c r="B39" s="300" t="s">
        <v>215</v>
      </c>
      <c r="C39" s="301"/>
      <c r="D39" s="301"/>
      <c r="E39" s="302"/>
    </row>
    <row r="40" spans="2:5" x14ac:dyDescent="0.2">
      <c r="B40" s="304" t="s">
        <v>136</v>
      </c>
      <c r="C40" s="305" t="s">
        <v>169</v>
      </c>
      <c r="D40" s="306" t="s">
        <v>47</v>
      </c>
      <c r="E40" s="307" t="s">
        <v>79</v>
      </c>
    </row>
    <row r="41" spans="2:5" s="303" customFormat="1" ht="19.5" customHeight="1" x14ac:dyDescent="0.25">
      <c r="B41" s="300" t="s">
        <v>217</v>
      </c>
      <c r="C41" s="301"/>
      <c r="D41" s="301"/>
      <c r="E41" s="302"/>
    </row>
    <row r="42" spans="2:5" x14ac:dyDescent="0.2">
      <c r="B42" s="304" t="s">
        <v>138</v>
      </c>
      <c r="C42" s="305" t="s">
        <v>154</v>
      </c>
      <c r="D42" s="306" t="s">
        <v>47</v>
      </c>
      <c r="E42" s="306" t="s">
        <v>55</v>
      </c>
    </row>
    <row r="43" spans="2:5" x14ac:dyDescent="0.2">
      <c r="B43" s="304" t="s">
        <v>139</v>
      </c>
      <c r="C43" s="305" t="s">
        <v>165</v>
      </c>
      <c r="D43" s="306" t="s">
        <v>135</v>
      </c>
      <c r="E43" s="306" t="s">
        <v>222</v>
      </c>
    </row>
    <row r="44" spans="2:5" s="303" customFormat="1" ht="19.5" customHeight="1" x14ac:dyDescent="0.25">
      <c r="B44" s="300" t="s">
        <v>216</v>
      </c>
      <c r="C44" s="301"/>
      <c r="D44" s="301"/>
      <c r="E44" s="302"/>
    </row>
    <row r="45" spans="2:5" x14ac:dyDescent="0.2">
      <c r="B45" s="304" t="s">
        <v>199</v>
      </c>
      <c r="C45" s="305" t="s">
        <v>169</v>
      </c>
      <c r="D45" s="306" t="s">
        <v>47</v>
      </c>
      <c r="E45" s="306" t="s">
        <v>55</v>
      </c>
    </row>
    <row r="47" spans="2:5" x14ac:dyDescent="0.2">
      <c r="B47" s="295" t="s">
        <v>229</v>
      </c>
    </row>
    <row r="48" spans="2:5" x14ac:dyDescent="0.2">
      <c r="B48" s="308" t="s">
        <v>228</v>
      </c>
    </row>
    <row r="49" spans="2:2" x14ac:dyDescent="0.2">
      <c r="B49" s="308" t="s">
        <v>276</v>
      </c>
    </row>
  </sheetData>
  <hyperlinks>
    <hyperlink ref="C22" location="'Table 1a'!A1" display="Company insolvencies"/>
    <hyperlink ref="C23" location="'Table 1b'!A1" display="Company insolvencies"/>
    <hyperlink ref="C24" location="'Table 2'!A1" display="Creditors' voluntary liquidations following administration"/>
    <hyperlink ref="C25" location="'Table 3'!A1" display="Company liquidation rate"/>
    <hyperlink ref="C27" location="'Table 4a'!A1" display="Individual insolvencies"/>
    <hyperlink ref="C28" location="'Table 4b'!A1" display="Individual insolvencies"/>
    <hyperlink ref="C29" location="'Table 5'!A1" display="Individual insolvency rate"/>
    <hyperlink ref="C30" location="'Table 6a'!A1" display="Bankruptcies by petition type"/>
    <hyperlink ref="C31" location="'Table 6b'!A1" display="Bankruptcies by petition type"/>
    <hyperlink ref="C32" location="'Table 7a'!A1" display="Bankruptcies by self-employment status"/>
    <hyperlink ref="C33" location="'Table 7b'!A1" display="Bankruptcies by self-employment status"/>
    <hyperlink ref="C34" location="'Table 8a'!A1" display="Income payment orders (IPOs) and agreements (IPAs)"/>
    <hyperlink ref="C35" location="'Table 8b'!A1" display="Income payment orders (IPOs) and agreements (IPAs)"/>
    <hyperlink ref="C37" location="'Table 9'!A1" display="Company insolvencies"/>
    <hyperlink ref="C38" location="'Table 10'!A1" display="Company liquidation rate"/>
    <hyperlink ref="C40" location="'Table 11'!A1" display="Individual insolvencies"/>
    <hyperlink ref="C42" location="'Table 12'!A1" display="Company liquidations"/>
    <hyperlink ref="C43" location="'Table 13'!A1" display="Company liquidation rate"/>
    <hyperlink ref="C45" location="'Table 14'!A1" display="Individual insolvencie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L163"/>
  <sheetViews>
    <sheetView showGridLines="0" zoomScaleNormal="100" workbookViewId="0"/>
  </sheetViews>
  <sheetFormatPr defaultRowHeight="12.75" x14ac:dyDescent="0.2"/>
  <cols>
    <col min="1" max="1" width="2.85546875" style="261" customWidth="1"/>
    <col min="2" max="2" width="1" style="261" customWidth="1"/>
    <col min="3" max="3" width="2.85546875" style="261" customWidth="1"/>
    <col min="4" max="4" width="12" style="261" customWidth="1"/>
    <col min="5" max="5" width="9.5703125" style="261" customWidth="1"/>
    <col min="6" max="6" width="12.28515625" style="261" customWidth="1"/>
    <col min="7" max="7" width="9.140625" style="261"/>
    <col min="8" max="8" width="9.7109375" style="261" customWidth="1"/>
    <col min="9" max="10" width="9.140625" style="261"/>
    <col min="11" max="11" width="10.42578125" style="261" customWidth="1"/>
    <col min="12" max="12" width="16.28515625" style="261" customWidth="1"/>
    <col min="13" max="13" width="2.28515625" style="261" customWidth="1"/>
    <col min="14" max="16384" width="9.140625" style="261"/>
  </cols>
  <sheetData>
    <row r="8" spans="2:6" ht="5.25" customHeight="1" x14ac:dyDescent="0.2">
      <c r="B8" s="262"/>
      <c r="C8" s="263"/>
      <c r="D8" s="263"/>
      <c r="E8" s="263"/>
      <c r="F8" s="264"/>
    </row>
    <row r="9" spans="2:6" x14ac:dyDescent="0.2">
      <c r="B9" s="265"/>
      <c r="C9" s="266" t="s">
        <v>277</v>
      </c>
      <c r="D9" s="267"/>
      <c r="E9" s="267"/>
      <c r="F9" s="268"/>
    </row>
    <row r="10" spans="2:6" x14ac:dyDescent="0.2">
      <c r="B10" s="265"/>
      <c r="C10" s="270" t="s">
        <v>406</v>
      </c>
      <c r="D10" s="267" t="s">
        <v>407</v>
      </c>
      <c r="E10" s="267"/>
      <c r="F10" s="268"/>
    </row>
    <row r="11" spans="2:6" x14ac:dyDescent="0.2">
      <c r="B11" s="269"/>
      <c r="C11" s="270" t="s">
        <v>196</v>
      </c>
      <c r="D11" s="267" t="s">
        <v>278</v>
      </c>
      <c r="E11" s="267"/>
      <c r="F11" s="268"/>
    </row>
    <row r="12" spans="2:6" x14ac:dyDescent="0.2">
      <c r="B12" s="269"/>
      <c r="C12" s="270" t="s">
        <v>279</v>
      </c>
      <c r="D12" s="267" t="s">
        <v>280</v>
      </c>
      <c r="E12" s="267"/>
      <c r="F12" s="268"/>
    </row>
    <row r="13" spans="2:6" x14ac:dyDescent="0.2">
      <c r="B13" s="269"/>
      <c r="C13" s="270" t="s">
        <v>206</v>
      </c>
      <c r="D13" s="267" t="s">
        <v>281</v>
      </c>
      <c r="E13" s="267"/>
      <c r="F13" s="268"/>
    </row>
    <row r="14" spans="2:6" x14ac:dyDescent="0.2">
      <c r="B14" s="269"/>
      <c r="C14" s="270" t="s">
        <v>67</v>
      </c>
      <c r="D14" s="267" t="s">
        <v>282</v>
      </c>
      <c r="E14" s="267"/>
      <c r="F14" s="268"/>
    </row>
    <row r="15" spans="2:6" ht="5.25" customHeight="1" x14ac:dyDescent="0.2">
      <c r="B15" s="271"/>
      <c r="C15" s="272"/>
      <c r="D15" s="272"/>
      <c r="E15" s="272"/>
      <c r="F15" s="273"/>
    </row>
    <row r="17" spans="2:10" ht="18" x14ac:dyDescent="0.25">
      <c r="B17" s="274" t="s">
        <v>283</v>
      </c>
    </row>
    <row r="19" spans="2:10" x14ac:dyDescent="0.2">
      <c r="B19" s="261" t="s">
        <v>285</v>
      </c>
      <c r="G19" s="184" t="s">
        <v>286</v>
      </c>
      <c r="J19" s="261" t="s">
        <v>287</v>
      </c>
    </row>
    <row r="20" spans="2:10" x14ac:dyDescent="0.2">
      <c r="B20" s="261" t="s">
        <v>288</v>
      </c>
    </row>
    <row r="21" spans="2:10" x14ac:dyDescent="0.2">
      <c r="B21" s="261" t="s">
        <v>289</v>
      </c>
    </row>
    <row r="22" spans="2:10" x14ac:dyDescent="0.2">
      <c r="B22" s="261" t="s">
        <v>290</v>
      </c>
    </row>
    <row r="24" spans="2:10" ht="15.75" x14ac:dyDescent="0.25">
      <c r="B24" s="275" t="s">
        <v>284</v>
      </c>
    </row>
    <row r="26" spans="2:10" x14ac:dyDescent="0.2">
      <c r="B26" s="261" t="s">
        <v>291</v>
      </c>
    </row>
    <row r="27" spans="2:10" x14ac:dyDescent="0.2">
      <c r="B27" s="261" t="s">
        <v>292</v>
      </c>
    </row>
    <row r="28" spans="2:10" x14ac:dyDescent="0.2">
      <c r="B28" s="184" t="s">
        <v>293</v>
      </c>
      <c r="F28" s="261" t="s">
        <v>294</v>
      </c>
    </row>
    <row r="30" spans="2:10" x14ac:dyDescent="0.2">
      <c r="B30" s="260" t="s">
        <v>295</v>
      </c>
    </row>
    <row r="31" spans="2:10" x14ac:dyDescent="0.2">
      <c r="B31" s="261" t="s">
        <v>296</v>
      </c>
    </row>
    <row r="32" spans="2:10" x14ac:dyDescent="0.2">
      <c r="B32" s="261" t="s">
        <v>297</v>
      </c>
    </row>
    <row r="33" spans="2:9" x14ac:dyDescent="0.2">
      <c r="B33" s="261" t="s">
        <v>494</v>
      </c>
    </row>
    <row r="34" spans="2:9" x14ac:dyDescent="0.2">
      <c r="B34" s="261" t="s">
        <v>493</v>
      </c>
    </row>
    <row r="35" spans="2:9" x14ac:dyDescent="0.2">
      <c r="B35" s="261" t="s">
        <v>298</v>
      </c>
    </row>
    <row r="36" spans="2:9" x14ac:dyDescent="0.2">
      <c r="B36" s="261" t="s">
        <v>495</v>
      </c>
    </row>
    <row r="37" spans="2:9" x14ac:dyDescent="0.2">
      <c r="B37" s="261" t="s">
        <v>299</v>
      </c>
    </row>
    <row r="38" spans="2:9" x14ac:dyDescent="0.2">
      <c r="B38" s="261" t="s">
        <v>300</v>
      </c>
    </row>
    <row r="39" spans="2:9" x14ac:dyDescent="0.2">
      <c r="B39" s="261" t="s">
        <v>301</v>
      </c>
      <c r="F39" s="185" t="s">
        <v>302</v>
      </c>
    </row>
    <row r="41" spans="2:9" x14ac:dyDescent="0.2">
      <c r="B41" s="260" t="s">
        <v>303</v>
      </c>
    </row>
    <row r="42" spans="2:9" x14ac:dyDescent="0.2">
      <c r="B42" s="261" t="s">
        <v>304</v>
      </c>
    </row>
    <row r="43" spans="2:9" x14ac:dyDescent="0.2">
      <c r="B43" s="261" t="s">
        <v>424</v>
      </c>
      <c r="G43" s="184" t="s">
        <v>425</v>
      </c>
    </row>
    <row r="44" spans="2:9" x14ac:dyDescent="0.2">
      <c r="B44" s="261" t="s">
        <v>305</v>
      </c>
    </row>
    <row r="45" spans="2:9" x14ac:dyDescent="0.2">
      <c r="B45" s="261" t="s">
        <v>306</v>
      </c>
    </row>
    <row r="46" spans="2:9" x14ac:dyDescent="0.2">
      <c r="B46" s="261" t="s">
        <v>307</v>
      </c>
    </row>
    <row r="47" spans="2:9" x14ac:dyDescent="0.2">
      <c r="B47" s="261" t="s">
        <v>308</v>
      </c>
    </row>
    <row r="48" spans="2:9" x14ac:dyDescent="0.2">
      <c r="B48" s="261" t="s">
        <v>309</v>
      </c>
      <c r="G48" s="184" t="s">
        <v>293</v>
      </c>
      <c r="I48" s="261" t="s">
        <v>310</v>
      </c>
    </row>
    <row r="50" spans="2:10" x14ac:dyDescent="0.2">
      <c r="B50" s="260" t="s">
        <v>311</v>
      </c>
    </row>
    <row r="51" spans="2:10" x14ac:dyDescent="0.2">
      <c r="B51" s="261" t="s">
        <v>313</v>
      </c>
      <c r="J51" s="185" t="s">
        <v>312</v>
      </c>
    </row>
    <row r="52" spans="2:10" x14ac:dyDescent="0.2">
      <c r="B52" s="261" t="s">
        <v>427</v>
      </c>
      <c r="J52" s="185"/>
    </row>
    <row r="53" spans="2:10" x14ac:dyDescent="0.2">
      <c r="B53" s="261" t="s">
        <v>428</v>
      </c>
      <c r="J53" s="185"/>
    </row>
    <row r="54" spans="2:10" x14ac:dyDescent="0.2">
      <c r="B54" s="261" t="s">
        <v>429</v>
      </c>
      <c r="G54" s="261" t="s">
        <v>430</v>
      </c>
      <c r="J54" s="185"/>
    </row>
    <row r="55" spans="2:10" x14ac:dyDescent="0.2">
      <c r="B55" s="261" t="s">
        <v>426</v>
      </c>
    </row>
    <row r="56" spans="2:10" x14ac:dyDescent="0.2">
      <c r="B56" s="261" t="s">
        <v>314</v>
      </c>
    </row>
    <row r="57" spans="2:10" x14ac:dyDescent="0.2">
      <c r="B57" s="261" t="s">
        <v>315</v>
      </c>
    </row>
    <row r="58" spans="2:10" x14ac:dyDescent="0.2">
      <c r="B58" s="261" t="s">
        <v>316</v>
      </c>
    </row>
    <row r="59" spans="2:10" x14ac:dyDescent="0.2">
      <c r="B59" s="261" t="s">
        <v>431</v>
      </c>
    </row>
    <row r="60" spans="2:10" x14ac:dyDescent="0.2">
      <c r="B60" s="261" t="s">
        <v>432</v>
      </c>
    </row>
    <row r="61" spans="2:10" x14ac:dyDescent="0.2">
      <c r="B61" s="261" t="s">
        <v>433</v>
      </c>
    </row>
    <row r="62" spans="2:10" x14ac:dyDescent="0.2">
      <c r="B62" s="261" t="s">
        <v>434</v>
      </c>
    </row>
    <row r="63" spans="2:10" x14ac:dyDescent="0.2">
      <c r="B63" s="261" t="s">
        <v>435</v>
      </c>
    </row>
    <row r="66" spans="2:9" ht="15.75" x14ac:dyDescent="0.25">
      <c r="B66" s="275" t="s">
        <v>317</v>
      </c>
    </row>
    <row r="67" spans="2:9" x14ac:dyDescent="0.2">
      <c r="B67" s="261" t="s">
        <v>318</v>
      </c>
    </row>
    <row r="68" spans="2:9" x14ac:dyDescent="0.2">
      <c r="B68" s="261" t="s">
        <v>319</v>
      </c>
    </row>
    <row r="69" spans="2:9" x14ac:dyDescent="0.2">
      <c r="B69" s="261" t="s">
        <v>321</v>
      </c>
      <c r="F69" s="184" t="s">
        <v>320</v>
      </c>
      <c r="I69" s="261" t="s">
        <v>322</v>
      </c>
    </row>
    <row r="70" spans="2:9" x14ac:dyDescent="0.2">
      <c r="B70" s="184" t="s">
        <v>323</v>
      </c>
      <c r="C70" s="184"/>
      <c r="I70" s="261" t="s">
        <v>324</v>
      </c>
    </row>
    <row r="72" spans="2:9" x14ac:dyDescent="0.2">
      <c r="B72" s="182" t="s">
        <v>325</v>
      </c>
    </row>
    <row r="73" spans="2:9" x14ac:dyDescent="0.2">
      <c r="B73" s="261" t="s">
        <v>326</v>
      </c>
    </row>
    <row r="74" spans="2:9" x14ac:dyDescent="0.2">
      <c r="B74" s="261" t="s">
        <v>327</v>
      </c>
    </row>
    <row r="75" spans="2:9" x14ac:dyDescent="0.2">
      <c r="B75" s="261" t="s">
        <v>328</v>
      </c>
    </row>
    <row r="76" spans="2:9" x14ac:dyDescent="0.2">
      <c r="B76" s="261" t="s">
        <v>329</v>
      </c>
    </row>
    <row r="77" spans="2:9" x14ac:dyDescent="0.2">
      <c r="B77" s="261" t="s">
        <v>330</v>
      </c>
    </row>
    <row r="78" spans="2:9" x14ac:dyDescent="0.2">
      <c r="B78" s="261" t="s">
        <v>331</v>
      </c>
    </row>
    <row r="79" spans="2:9" x14ac:dyDescent="0.2">
      <c r="B79" s="261" t="s">
        <v>332</v>
      </c>
    </row>
    <row r="80" spans="2:9" x14ac:dyDescent="0.2">
      <c r="B80" s="261" t="s">
        <v>333</v>
      </c>
    </row>
    <row r="81" spans="2:2" x14ac:dyDescent="0.2">
      <c r="B81" s="261" t="s">
        <v>334</v>
      </c>
    </row>
    <row r="82" spans="2:2" x14ac:dyDescent="0.2">
      <c r="B82" s="261" t="s">
        <v>335</v>
      </c>
    </row>
    <row r="83" spans="2:2" x14ac:dyDescent="0.2">
      <c r="B83" s="261" t="s">
        <v>336</v>
      </c>
    </row>
    <row r="84" spans="2:2" x14ac:dyDescent="0.2">
      <c r="B84" s="261" t="s">
        <v>337</v>
      </c>
    </row>
    <row r="85" spans="2:2" x14ac:dyDescent="0.2">
      <c r="B85" s="261" t="s">
        <v>338</v>
      </c>
    </row>
    <row r="86" spans="2:2" x14ac:dyDescent="0.2">
      <c r="B86" s="261" t="s">
        <v>339</v>
      </c>
    </row>
    <row r="87" spans="2:2" x14ac:dyDescent="0.2">
      <c r="B87" s="261" t="s">
        <v>340</v>
      </c>
    </row>
    <row r="88" spans="2:2" x14ac:dyDescent="0.2">
      <c r="B88" s="261" t="s">
        <v>341</v>
      </c>
    </row>
    <row r="90" spans="2:2" x14ac:dyDescent="0.2">
      <c r="B90" s="177" t="s">
        <v>342</v>
      </c>
    </row>
    <row r="91" spans="2:2" x14ac:dyDescent="0.2">
      <c r="B91" s="277" t="s">
        <v>343</v>
      </c>
    </row>
    <row r="92" spans="2:2" x14ac:dyDescent="0.2">
      <c r="B92" s="261" t="s">
        <v>344</v>
      </c>
    </row>
    <row r="93" spans="2:2" x14ac:dyDescent="0.2">
      <c r="B93" s="261" t="s">
        <v>345</v>
      </c>
    </row>
    <row r="94" spans="2:2" x14ac:dyDescent="0.2">
      <c r="B94" s="261" t="s">
        <v>346</v>
      </c>
    </row>
    <row r="95" spans="2:2" x14ac:dyDescent="0.2">
      <c r="B95" s="261" t="s">
        <v>436</v>
      </c>
    </row>
    <row r="96" spans="2:2" x14ac:dyDescent="0.2">
      <c r="B96" s="261" t="s">
        <v>437</v>
      </c>
    </row>
    <row r="97" spans="2:5" x14ac:dyDescent="0.2">
      <c r="B97" s="261" t="s">
        <v>438</v>
      </c>
    </row>
    <row r="98" spans="2:5" x14ac:dyDescent="0.2">
      <c r="B98" s="261" t="s">
        <v>439</v>
      </c>
    </row>
    <row r="99" spans="2:5" x14ac:dyDescent="0.2">
      <c r="B99" s="261" t="s">
        <v>440</v>
      </c>
    </row>
    <row r="100" spans="2:5" x14ac:dyDescent="0.2">
      <c r="B100" s="261" t="s">
        <v>441</v>
      </c>
    </row>
    <row r="101" spans="2:5" x14ac:dyDescent="0.2">
      <c r="B101" s="261" t="s">
        <v>442</v>
      </c>
    </row>
    <row r="105" spans="2:5" x14ac:dyDescent="0.2">
      <c r="B105" s="182" t="s">
        <v>347</v>
      </c>
    </row>
    <row r="106" spans="2:5" x14ac:dyDescent="0.2">
      <c r="B106" s="277" t="s">
        <v>348</v>
      </c>
    </row>
    <row r="107" spans="2:5" x14ac:dyDescent="0.2">
      <c r="B107" s="261" t="s">
        <v>443</v>
      </c>
    </row>
    <row r="108" spans="2:5" x14ac:dyDescent="0.2">
      <c r="B108" s="261" t="s">
        <v>349</v>
      </c>
    </row>
    <row r="109" spans="2:5" x14ac:dyDescent="0.2">
      <c r="B109" s="261" t="s">
        <v>352</v>
      </c>
    </row>
    <row r="110" spans="2:5" x14ac:dyDescent="0.2">
      <c r="B110" s="261" t="s">
        <v>350</v>
      </c>
    </row>
    <row r="111" spans="2:5" x14ac:dyDescent="0.2">
      <c r="B111" s="261" t="s">
        <v>351</v>
      </c>
    </row>
    <row r="112" spans="2:5" x14ac:dyDescent="0.2">
      <c r="B112" s="184" t="s">
        <v>353</v>
      </c>
      <c r="E112" s="261" t="s">
        <v>354</v>
      </c>
    </row>
    <row r="113" spans="2:11" x14ac:dyDescent="0.2">
      <c r="B113" s="261" t="s">
        <v>355</v>
      </c>
    </row>
    <row r="114" spans="2:11" x14ac:dyDescent="0.2">
      <c r="B114" s="261" t="s">
        <v>444</v>
      </c>
    </row>
    <row r="115" spans="2:11" x14ac:dyDescent="0.2">
      <c r="B115" s="184" t="s">
        <v>356</v>
      </c>
      <c r="F115" s="261" t="s">
        <v>357</v>
      </c>
    </row>
    <row r="116" spans="2:11" x14ac:dyDescent="0.2">
      <c r="B116" s="261" t="s">
        <v>358</v>
      </c>
    </row>
    <row r="117" spans="2:11" x14ac:dyDescent="0.2">
      <c r="B117" s="261" t="s">
        <v>445</v>
      </c>
    </row>
    <row r="118" spans="2:11" x14ac:dyDescent="0.2">
      <c r="B118" s="261" t="s">
        <v>446</v>
      </c>
    </row>
    <row r="119" spans="2:11" x14ac:dyDescent="0.2">
      <c r="B119" s="261" t="s">
        <v>447</v>
      </c>
    </row>
    <row r="120" spans="2:11" x14ac:dyDescent="0.2">
      <c r="B120" s="261" t="s">
        <v>448</v>
      </c>
    </row>
    <row r="121" spans="2:11" x14ac:dyDescent="0.2">
      <c r="B121" s="261" t="s">
        <v>449</v>
      </c>
    </row>
    <row r="122" spans="2:11" x14ac:dyDescent="0.2">
      <c r="B122" s="261" t="s">
        <v>361</v>
      </c>
      <c r="K122" s="184" t="s">
        <v>362</v>
      </c>
    </row>
    <row r="123" spans="2:11" x14ac:dyDescent="0.2">
      <c r="B123" s="261" t="s">
        <v>359</v>
      </c>
    </row>
    <row r="124" spans="2:11" x14ac:dyDescent="0.2">
      <c r="B124" s="261" t="s">
        <v>360</v>
      </c>
    </row>
    <row r="126" spans="2:11" x14ac:dyDescent="0.2">
      <c r="B126" s="182" t="s">
        <v>363</v>
      </c>
    </row>
    <row r="127" spans="2:11" x14ac:dyDescent="0.2">
      <c r="B127" s="277" t="s">
        <v>364</v>
      </c>
    </row>
    <row r="128" spans="2:11" x14ac:dyDescent="0.2">
      <c r="B128" s="261" t="s">
        <v>365</v>
      </c>
    </row>
    <row r="129" spans="2:11" x14ac:dyDescent="0.2">
      <c r="B129" s="261" t="s">
        <v>366</v>
      </c>
    </row>
    <row r="130" spans="2:11" x14ac:dyDescent="0.2">
      <c r="B130" s="261" t="s">
        <v>367</v>
      </c>
    </row>
    <row r="131" spans="2:11" x14ac:dyDescent="0.2">
      <c r="B131" s="261" t="s">
        <v>368</v>
      </c>
    </row>
    <row r="132" spans="2:11" x14ac:dyDescent="0.2">
      <c r="B132" s="261" t="s">
        <v>369</v>
      </c>
    </row>
    <row r="133" spans="2:11" x14ac:dyDescent="0.2">
      <c r="B133" s="261" t="s">
        <v>370</v>
      </c>
    </row>
    <row r="134" spans="2:11" x14ac:dyDescent="0.2">
      <c r="B134" s="261" t="s">
        <v>371</v>
      </c>
      <c r="I134" s="184" t="s">
        <v>372</v>
      </c>
    </row>
    <row r="135" spans="2:11" x14ac:dyDescent="0.2">
      <c r="B135" s="261" t="s">
        <v>373</v>
      </c>
    </row>
    <row r="137" spans="2:11" x14ac:dyDescent="0.2">
      <c r="B137" s="177" t="s">
        <v>374</v>
      </c>
    </row>
    <row r="138" spans="2:11" x14ac:dyDescent="0.2">
      <c r="B138" s="277" t="s">
        <v>375</v>
      </c>
    </row>
    <row r="139" spans="2:11" x14ac:dyDescent="0.2">
      <c r="B139" s="277" t="s">
        <v>376</v>
      </c>
    </row>
    <row r="140" spans="2:11" x14ac:dyDescent="0.2">
      <c r="B140" s="261" t="s">
        <v>377</v>
      </c>
      <c r="J140" s="184" t="s">
        <v>378</v>
      </c>
    </row>
    <row r="141" spans="2:11" x14ac:dyDescent="0.2">
      <c r="B141" s="261" t="s">
        <v>379</v>
      </c>
      <c r="F141" s="276" t="s">
        <v>381</v>
      </c>
      <c r="G141" s="278" t="s">
        <v>382</v>
      </c>
      <c r="K141" s="258"/>
    </row>
    <row r="142" spans="2:11" x14ac:dyDescent="0.2">
      <c r="B142" s="184" t="s">
        <v>380</v>
      </c>
    </row>
    <row r="143" spans="2:11" x14ac:dyDescent="0.2">
      <c r="B143" s="261" t="s">
        <v>384</v>
      </c>
      <c r="I143" s="276" t="s">
        <v>383</v>
      </c>
      <c r="J143" s="261" t="s">
        <v>385</v>
      </c>
    </row>
    <row r="144" spans="2:11" x14ac:dyDescent="0.2">
      <c r="B144" s="261" t="s">
        <v>393</v>
      </c>
    </row>
    <row r="146" spans="2:12" x14ac:dyDescent="0.2">
      <c r="B146" s="182" t="s">
        <v>386</v>
      </c>
    </row>
    <row r="147" spans="2:12" x14ac:dyDescent="0.2">
      <c r="B147" s="261" t="s">
        <v>387</v>
      </c>
    </row>
    <row r="148" spans="2:12" x14ac:dyDescent="0.2">
      <c r="B148" s="261" t="s">
        <v>388</v>
      </c>
    </row>
    <row r="149" spans="2:12" x14ac:dyDescent="0.2">
      <c r="B149" s="261" t="s">
        <v>389</v>
      </c>
      <c r="I149" s="276" t="s">
        <v>390</v>
      </c>
    </row>
    <row r="150" spans="2:12" x14ac:dyDescent="0.2">
      <c r="B150" s="261" t="s">
        <v>450</v>
      </c>
      <c r="I150" s="276"/>
    </row>
    <row r="151" spans="2:12" x14ac:dyDescent="0.2">
      <c r="B151" s="261" t="s">
        <v>451</v>
      </c>
      <c r="I151" s="276"/>
    </row>
    <row r="154" spans="2:12" x14ac:dyDescent="0.2">
      <c r="B154" s="262"/>
      <c r="C154" s="263"/>
      <c r="D154" s="263"/>
      <c r="E154" s="263"/>
      <c r="F154" s="263"/>
      <c r="G154" s="310" t="s">
        <v>452</v>
      </c>
      <c r="H154" s="263"/>
      <c r="I154" s="263"/>
      <c r="J154" s="263"/>
      <c r="K154" s="263"/>
      <c r="L154" s="264"/>
    </row>
    <row r="155" spans="2:12" x14ac:dyDescent="0.2">
      <c r="B155" s="311"/>
      <c r="C155" s="267" t="s">
        <v>453</v>
      </c>
      <c r="D155" s="267"/>
      <c r="E155" s="267"/>
      <c r="F155" s="267"/>
      <c r="G155" s="267"/>
      <c r="H155" s="267"/>
      <c r="I155" s="267"/>
      <c r="J155" s="267"/>
      <c r="K155" s="267"/>
      <c r="L155" s="268"/>
    </row>
    <row r="156" spans="2:12" x14ac:dyDescent="0.2">
      <c r="B156" s="311"/>
      <c r="C156" s="267" t="s">
        <v>454</v>
      </c>
      <c r="D156" s="267"/>
      <c r="E156" s="267"/>
      <c r="F156" s="267"/>
      <c r="G156" s="267"/>
      <c r="H156" s="267"/>
      <c r="I156" s="267"/>
      <c r="J156" s="267"/>
      <c r="K156" s="267"/>
      <c r="L156" s="268"/>
    </row>
    <row r="157" spans="2:12" x14ac:dyDescent="0.2">
      <c r="B157" s="311"/>
      <c r="C157" s="267" t="s">
        <v>455</v>
      </c>
      <c r="D157" s="267"/>
      <c r="E157" s="267"/>
      <c r="F157" s="267"/>
      <c r="G157" s="267"/>
      <c r="H157" s="267"/>
      <c r="I157" s="267"/>
      <c r="J157" s="267"/>
      <c r="K157" s="267"/>
      <c r="L157" s="268"/>
    </row>
    <row r="158" spans="2:12" x14ac:dyDescent="0.2">
      <c r="B158" s="311"/>
      <c r="C158" s="267"/>
      <c r="D158" s="267" t="s">
        <v>457</v>
      </c>
      <c r="E158" s="267"/>
      <c r="F158" s="267"/>
      <c r="G158" s="267"/>
      <c r="H158" s="267"/>
      <c r="I158" s="267"/>
      <c r="J158" s="267"/>
      <c r="K158" s="267"/>
      <c r="L158" s="268"/>
    </row>
    <row r="159" spans="2:12" x14ac:dyDescent="0.2">
      <c r="B159" s="311"/>
      <c r="C159" s="267"/>
      <c r="D159" s="267" t="s">
        <v>456</v>
      </c>
      <c r="E159" s="267"/>
      <c r="F159" s="267"/>
      <c r="G159" s="267"/>
      <c r="H159" s="267"/>
      <c r="I159" s="267"/>
      <c r="J159" s="267"/>
      <c r="K159" s="267"/>
      <c r="L159" s="268"/>
    </row>
    <row r="160" spans="2:12" x14ac:dyDescent="0.2">
      <c r="B160" s="311"/>
      <c r="C160" s="267"/>
      <c r="D160" s="267" t="s">
        <v>458</v>
      </c>
      <c r="E160" s="267"/>
      <c r="F160" s="267"/>
      <c r="G160" s="267"/>
      <c r="H160" s="267"/>
      <c r="I160" s="267"/>
      <c r="J160" s="267"/>
      <c r="K160" s="267"/>
      <c r="L160" s="268"/>
    </row>
    <row r="161" spans="2:12" x14ac:dyDescent="0.2">
      <c r="B161" s="311"/>
      <c r="C161" s="267"/>
      <c r="D161" s="267" t="s">
        <v>459</v>
      </c>
      <c r="E161" s="267"/>
      <c r="F161" s="267"/>
      <c r="G161" s="267"/>
      <c r="H161" s="267"/>
      <c r="I161" s="267"/>
      <c r="J161" s="267"/>
      <c r="K161" s="267"/>
      <c r="L161" s="268"/>
    </row>
    <row r="162" spans="2:12" x14ac:dyDescent="0.2">
      <c r="B162" s="311"/>
      <c r="C162" s="267" t="s">
        <v>460</v>
      </c>
      <c r="D162" s="267"/>
      <c r="E162" s="267"/>
      <c r="F162" s="267"/>
      <c r="G162" s="267"/>
      <c r="H162" s="267"/>
      <c r="I162" s="267"/>
      <c r="J162" s="267"/>
      <c r="K162" s="267"/>
      <c r="L162" s="268"/>
    </row>
    <row r="163" spans="2:12" x14ac:dyDescent="0.2">
      <c r="B163" s="271"/>
      <c r="C163" s="272" t="s">
        <v>461</v>
      </c>
      <c r="D163" s="272"/>
      <c r="E163" s="272"/>
      <c r="F163" s="272"/>
      <c r="G163" s="272"/>
      <c r="H163" s="272"/>
      <c r="I163" s="272"/>
      <c r="J163" s="272"/>
      <c r="K163" s="272"/>
      <c r="L163" s="273"/>
    </row>
  </sheetData>
  <hyperlinks>
    <hyperlink ref="G19" r:id="rId1"/>
    <hyperlink ref="B28" r:id="rId2"/>
    <hyperlink ref="G48" r:id="rId3"/>
    <hyperlink ref="F69" r:id="rId4"/>
    <hyperlink ref="B70" r:id="rId5" display="policy and procedures"/>
    <hyperlink ref="B112" r:id="rId6"/>
    <hyperlink ref="B115" r:id="rId7"/>
    <hyperlink ref="K122" r:id="rId8"/>
    <hyperlink ref="I134" r:id="rId9"/>
    <hyperlink ref="J140" r:id="rId10"/>
    <hyperlink ref="F141" r:id="rId11" display="Publication Hub and they meet the standards required under the "/>
    <hyperlink ref="B142" r:id="rId12"/>
    <hyperlink ref="I143" r:id="rId13"/>
    <hyperlink ref="I149" r:id="rId14"/>
    <hyperlink ref="F39" r:id="rId15"/>
    <hyperlink ref="J51" r:id="rId16" display="policy and procedures"/>
    <hyperlink ref="G43" r:id="rId17" display="policy and procedures"/>
  </hyperlinks>
  <pageMargins left="0.25" right="0.25" top="0.75" bottom="0.75" header="0.3" footer="0.3"/>
  <pageSetup paperSize="9" scale="94" orientation="portrait" r:id="rId18"/>
  <rowBreaks count="2" manualBreakCount="2">
    <brk id="63" max="12" man="1"/>
    <brk id="124" max="16383" man="1"/>
  </rowBreaks>
  <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89"/>
  <sheetViews>
    <sheetView showGridLines="0" topLeftCell="A3" zoomScaleNormal="100" workbookViewId="0">
      <pane xSplit="3" ySplit="5" topLeftCell="D47" activePane="bottomRight" state="frozen"/>
      <selection activeCell="CS201" sqref="CS201"/>
      <selection pane="topRight" activeCell="CS201" sqref="CS201"/>
      <selection pane="bottomLeft" activeCell="CS201" sqref="CS201"/>
      <selection pane="bottomRight" activeCell="A47" sqref="A47"/>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 width="8.85546875" style="134"/>
    <col min="17" max="17" width="10.28515625" style="134" bestFit="1" customWidth="1"/>
    <col min="18"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158</v>
      </c>
      <c r="B4" s="190"/>
      <c r="C4" s="190"/>
      <c r="D4" s="135" t="s">
        <v>401</v>
      </c>
      <c r="E4" s="133"/>
      <c r="F4" s="132"/>
      <c r="G4" s="133"/>
      <c r="H4" s="132"/>
      <c r="I4" s="133"/>
      <c r="J4" s="132"/>
      <c r="K4" s="133"/>
      <c r="L4" s="132"/>
      <c r="M4" s="133"/>
      <c r="N4" s="132"/>
      <c r="O4" s="133"/>
    </row>
    <row r="5" spans="1:15" s="136" customFormat="1" ht="17.25" x14ac:dyDescent="0.3">
      <c r="A5" s="189" t="s">
        <v>153</v>
      </c>
      <c r="B5" s="186"/>
      <c r="C5" s="186"/>
      <c r="D5" s="187" t="s">
        <v>155</v>
      </c>
      <c r="E5" s="282"/>
      <c r="F5" s="187"/>
      <c r="G5" s="282"/>
      <c r="H5" s="187"/>
      <c r="I5" s="282"/>
      <c r="J5" s="187"/>
      <c r="K5" s="282"/>
      <c r="L5" s="187"/>
      <c r="M5" s="282"/>
      <c r="N5" s="187"/>
      <c r="O5" s="133"/>
    </row>
    <row r="6" spans="1:15" ht="10.5" customHeight="1" thickBot="1" x14ac:dyDescent="0.35">
      <c r="A6" s="137"/>
      <c r="B6" s="137"/>
      <c r="C6" s="137"/>
      <c r="D6" s="137"/>
      <c r="E6" s="214"/>
      <c r="F6" s="137"/>
      <c r="G6" s="214"/>
      <c r="H6" s="137"/>
      <c r="I6" s="214"/>
      <c r="J6" s="339"/>
      <c r="K6" s="339"/>
      <c r="L6" s="339"/>
      <c r="M6" s="339"/>
      <c r="N6" s="339"/>
      <c r="O6" s="339"/>
    </row>
    <row r="7" spans="1:15" s="141" customFormat="1" ht="60" customHeight="1" thickBot="1" x14ac:dyDescent="0.35">
      <c r="A7" s="226"/>
      <c r="B7" s="227" t="s">
        <v>140</v>
      </c>
      <c r="C7" s="227"/>
      <c r="D7" s="340" t="s">
        <v>468</v>
      </c>
      <c r="E7" s="340"/>
      <c r="F7" s="342" t="s">
        <v>469</v>
      </c>
      <c r="G7" s="342"/>
      <c r="H7" s="342" t="s">
        <v>470</v>
      </c>
      <c r="I7" s="342"/>
      <c r="J7" s="342" t="s">
        <v>399</v>
      </c>
      <c r="K7" s="342"/>
      <c r="L7" s="342" t="s">
        <v>411</v>
      </c>
      <c r="M7" s="342"/>
      <c r="N7" s="342" t="s">
        <v>410</v>
      </c>
      <c r="O7" s="342"/>
    </row>
    <row r="8" spans="1:15" s="146" customFormat="1" ht="15" x14ac:dyDescent="0.25">
      <c r="A8" s="143">
        <v>2008</v>
      </c>
      <c r="B8" s="143"/>
      <c r="C8" s="212"/>
      <c r="D8" s="144">
        <v>21072</v>
      </c>
      <c r="E8" s="145" t="s">
        <v>501</v>
      </c>
      <c r="F8" s="144">
        <v>5494</v>
      </c>
      <c r="G8" s="145" t="s">
        <v>501</v>
      </c>
      <c r="H8" s="144">
        <v>9995</v>
      </c>
      <c r="I8" s="145" t="s">
        <v>501</v>
      </c>
      <c r="J8" s="144">
        <v>4808.0000000000009</v>
      </c>
      <c r="K8" s="145" t="s">
        <v>501</v>
      </c>
      <c r="L8" s="144">
        <v>586</v>
      </c>
      <c r="M8" s="145" t="s">
        <v>501</v>
      </c>
      <c r="N8" s="144">
        <v>189</v>
      </c>
      <c r="O8" s="145" t="s">
        <v>501</v>
      </c>
    </row>
    <row r="9" spans="1:15" s="146" customFormat="1" ht="12.75" customHeight="1" x14ac:dyDescent="0.25">
      <c r="A9" s="143">
        <v>2009</v>
      </c>
      <c r="B9" s="143"/>
      <c r="C9" s="212"/>
      <c r="D9" s="144">
        <v>24010.999999999985</v>
      </c>
      <c r="E9" s="145" t="s">
        <v>501</v>
      </c>
      <c r="F9" s="144">
        <v>5643</v>
      </c>
      <c r="G9" s="145" t="s">
        <v>501</v>
      </c>
      <c r="H9" s="144">
        <v>13508.999999999991</v>
      </c>
      <c r="I9" s="145" t="s">
        <v>501</v>
      </c>
      <c r="J9" s="144">
        <v>4018.9999999999941</v>
      </c>
      <c r="K9" s="145" t="s">
        <v>501</v>
      </c>
      <c r="L9" s="144">
        <v>723</v>
      </c>
      <c r="M9" s="145" t="s">
        <v>501</v>
      </c>
      <c r="N9" s="144">
        <v>117</v>
      </c>
      <c r="O9" s="145" t="s">
        <v>501</v>
      </c>
    </row>
    <row r="10" spans="1:15" s="146" customFormat="1" ht="12.75" customHeight="1" x14ac:dyDescent="0.25">
      <c r="A10" s="143">
        <v>2010</v>
      </c>
      <c r="B10" s="143"/>
      <c r="C10" s="212"/>
      <c r="D10" s="144">
        <v>19795.999999999989</v>
      </c>
      <c r="E10" s="145" t="s">
        <v>501</v>
      </c>
      <c r="F10" s="144">
        <v>4792</v>
      </c>
      <c r="G10" s="145" t="s">
        <v>501</v>
      </c>
      <c r="H10" s="144">
        <v>11506.999999999991</v>
      </c>
      <c r="I10" s="145" t="s">
        <v>501</v>
      </c>
      <c r="J10" s="144">
        <v>2682</v>
      </c>
      <c r="K10" s="145" t="s">
        <v>501</v>
      </c>
      <c r="L10" s="144">
        <v>766</v>
      </c>
      <c r="M10" s="145" t="s">
        <v>501</v>
      </c>
      <c r="N10" s="144">
        <v>49</v>
      </c>
      <c r="O10" s="145" t="s">
        <v>501</v>
      </c>
    </row>
    <row r="11" spans="1:15" s="146" customFormat="1" ht="12.75" customHeight="1" x14ac:dyDescent="0.25">
      <c r="A11" s="143">
        <v>2011</v>
      </c>
      <c r="B11" s="143"/>
      <c r="C11" s="212"/>
      <c r="D11" s="144">
        <v>20284.999999999996</v>
      </c>
      <c r="E11" s="145" t="s">
        <v>501</v>
      </c>
      <c r="F11" s="144">
        <v>5003</v>
      </c>
      <c r="G11" s="145" t="s">
        <v>501</v>
      </c>
      <c r="H11" s="144">
        <v>11946.999999999998</v>
      </c>
      <c r="I11" s="145" t="s">
        <v>501</v>
      </c>
      <c r="J11" s="144">
        <v>2539</v>
      </c>
      <c r="K11" s="145" t="s">
        <v>501</v>
      </c>
      <c r="L11" s="144">
        <v>748</v>
      </c>
      <c r="M11" s="145" t="s">
        <v>501</v>
      </c>
      <c r="N11" s="144">
        <v>48</v>
      </c>
      <c r="O11" s="145" t="s">
        <v>501</v>
      </c>
    </row>
    <row r="12" spans="1:15" s="146" customFormat="1" ht="12.75" customHeight="1" x14ac:dyDescent="0.25">
      <c r="A12" s="143">
        <v>2012</v>
      </c>
      <c r="B12" s="143"/>
      <c r="C12" s="212"/>
      <c r="D12" s="144">
        <v>19349</v>
      </c>
      <c r="E12" s="145" t="s">
        <v>501</v>
      </c>
      <c r="F12" s="144">
        <v>4261</v>
      </c>
      <c r="G12" s="145" t="s">
        <v>501</v>
      </c>
      <c r="H12" s="144">
        <v>11906</v>
      </c>
      <c r="I12" s="145" t="s">
        <v>501</v>
      </c>
      <c r="J12" s="144">
        <v>2334</v>
      </c>
      <c r="K12" s="145" t="s">
        <v>501</v>
      </c>
      <c r="L12" s="144">
        <v>816</v>
      </c>
      <c r="M12" s="145" t="s">
        <v>501</v>
      </c>
      <c r="N12" s="144">
        <v>32</v>
      </c>
      <c r="O12" s="145" t="s">
        <v>501</v>
      </c>
    </row>
    <row r="13" spans="1:15" s="146" customFormat="1" ht="12.75" customHeight="1" x14ac:dyDescent="0.25">
      <c r="A13" s="143">
        <v>2013</v>
      </c>
      <c r="B13" s="143"/>
      <c r="C13" s="212"/>
      <c r="D13" s="144">
        <v>17681.999999999993</v>
      </c>
      <c r="E13" s="145" t="s">
        <v>501</v>
      </c>
      <c r="F13" s="144">
        <v>3632</v>
      </c>
      <c r="G13" s="145" t="s">
        <v>501</v>
      </c>
      <c r="H13" s="144">
        <v>11452.999999999991</v>
      </c>
      <c r="I13" s="145" t="s">
        <v>501</v>
      </c>
      <c r="J13" s="144">
        <v>2009.0000000000011</v>
      </c>
      <c r="K13" s="145" t="s">
        <v>501</v>
      </c>
      <c r="L13" s="144">
        <v>571</v>
      </c>
      <c r="M13" s="145" t="s">
        <v>501</v>
      </c>
      <c r="N13" s="144">
        <v>17</v>
      </c>
      <c r="O13" s="145" t="s">
        <v>501</v>
      </c>
    </row>
    <row r="14" spans="1:15" s="146" customFormat="1" ht="12.75" customHeight="1" x14ac:dyDescent="0.25">
      <c r="A14" s="143">
        <v>2014</v>
      </c>
      <c r="B14" s="143"/>
      <c r="C14" s="212"/>
      <c r="D14" s="144">
        <v>16319</v>
      </c>
      <c r="E14" s="145" t="s">
        <v>501</v>
      </c>
      <c r="F14" s="144">
        <v>3755</v>
      </c>
      <c r="G14" s="145" t="s">
        <v>501</v>
      </c>
      <c r="H14" s="144">
        <v>10401</v>
      </c>
      <c r="I14" s="145" t="s">
        <v>501</v>
      </c>
      <c r="J14" s="144">
        <v>1587.0000000000002</v>
      </c>
      <c r="K14" s="145" t="s">
        <v>501</v>
      </c>
      <c r="L14" s="144">
        <v>554</v>
      </c>
      <c r="M14" s="145" t="s">
        <v>501</v>
      </c>
      <c r="N14" s="144">
        <v>22</v>
      </c>
      <c r="O14" s="145" t="s">
        <v>501</v>
      </c>
    </row>
    <row r="15" spans="1:15" s="146" customFormat="1" ht="12.75" customHeight="1" x14ac:dyDescent="0.25">
      <c r="A15" s="143">
        <v>2015</v>
      </c>
      <c r="B15" s="143"/>
      <c r="C15" s="212"/>
      <c r="D15" s="144">
        <v>14658.000000000011</v>
      </c>
      <c r="E15" s="145" t="s">
        <v>501</v>
      </c>
      <c r="F15" s="144">
        <v>2889</v>
      </c>
      <c r="G15" s="145" t="s">
        <v>501</v>
      </c>
      <c r="H15" s="144">
        <v>9992.0000000000109</v>
      </c>
      <c r="I15" s="145" t="s">
        <v>501</v>
      </c>
      <c r="J15" s="144">
        <v>1402</v>
      </c>
      <c r="K15" s="145" t="s">
        <v>501</v>
      </c>
      <c r="L15" s="144">
        <v>364</v>
      </c>
      <c r="M15" s="145" t="s">
        <v>501</v>
      </c>
      <c r="N15" s="144">
        <v>11</v>
      </c>
      <c r="O15" s="145" t="s">
        <v>501</v>
      </c>
    </row>
    <row r="16" spans="1:15" s="146" customFormat="1" ht="12.75" customHeight="1" x14ac:dyDescent="0.25">
      <c r="A16" s="143">
        <v>2016</v>
      </c>
      <c r="B16" s="143"/>
      <c r="C16" s="212"/>
      <c r="D16" s="144">
        <v>16545</v>
      </c>
      <c r="E16" s="145" t="s">
        <v>279</v>
      </c>
      <c r="F16" s="144">
        <v>2930</v>
      </c>
      <c r="G16" s="145" t="s">
        <v>501</v>
      </c>
      <c r="H16" s="144">
        <v>11890</v>
      </c>
      <c r="I16" s="145" t="s">
        <v>501</v>
      </c>
      <c r="J16" s="144">
        <v>1373.9999999999991</v>
      </c>
      <c r="K16" s="145" t="s">
        <v>501</v>
      </c>
      <c r="L16" s="144">
        <v>346</v>
      </c>
      <c r="M16" s="145" t="s">
        <v>501</v>
      </c>
      <c r="N16" s="144">
        <v>5</v>
      </c>
      <c r="O16" s="145" t="s">
        <v>279</v>
      </c>
    </row>
    <row r="17" spans="1:15" s="146" customFormat="1" ht="12.75" customHeight="1" x14ac:dyDescent="0.25">
      <c r="A17" s="143">
        <v>2017</v>
      </c>
      <c r="B17" s="212" t="s">
        <v>196</v>
      </c>
      <c r="D17" s="144">
        <v>17243</v>
      </c>
      <c r="E17" s="145" t="s">
        <v>501</v>
      </c>
      <c r="F17" s="144">
        <v>2799</v>
      </c>
      <c r="G17" s="145" t="s">
        <v>501</v>
      </c>
      <c r="H17" s="144">
        <v>12861</v>
      </c>
      <c r="I17" s="145" t="s">
        <v>501</v>
      </c>
      <c r="J17" s="144">
        <v>1289</v>
      </c>
      <c r="K17" s="145" t="s">
        <v>501</v>
      </c>
      <c r="L17" s="144">
        <v>292</v>
      </c>
      <c r="M17" s="145" t="s">
        <v>501</v>
      </c>
      <c r="N17" s="144">
        <v>2</v>
      </c>
      <c r="O17" s="145" t="s">
        <v>501</v>
      </c>
    </row>
    <row r="18" spans="1:15" s="142" customFormat="1" ht="12.75" customHeight="1" x14ac:dyDescent="0.25">
      <c r="A18" s="148"/>
      <c r="B18" s="148"/>
      <c r="C18" s="217"/>
      <c r="D18" s="149"/>
      <c r="E18" s="154"/>
      <c r="F18" s="149"/>
      <c r="G18" s="154"/>
      <c r="H18" s="149"/>
      <c r="I18" s="154"/>
      <c r="J18" s="149"/>
      <c r="K18" s="154"/>
      <c r="L18" s="149"/>
      <c r="M18" s="154"/>
      <c r="N18" s="149"/>
      <c r="O18" s="154"/>
    </row>
    <row r="19" spans="1:15" s="142" customFormat="1" ht="12.75" customHeight="1" x14ac:dyDescent="0.25">
      <c r="A19" s="151">
        <v>2008</v>
      </c>
      <c r="B19" s="152" t="s">
        <v>1</v>
      </c>
      <c r="C19" s="218"/>
      <c r="D19" s="153">
        <v>4183.9113050488086</v>
      </c>
      <c r="E19" s="154" t="s">
        <v>501</v>
      </c>
      <c r="F19" s="153">
        <v>1080</v>
      </c>
      <c r="G19" s="154" t="s">
        <v>501</v>
      </c>
      <c r="H19" s="153">
        <v>2140.3285408519801</v>
      </c>
      <c r="I19" s="154" t="s">
        <v>501</v>
      </c>
      <c r="J19" s="153">
        <v>800.58276419682898</v>
      </c>
      <c r="K19" s="154" t="s">
        <v>501</v>
      </c>
      <c r="L19" s="153">
        <v>134</v>
      </c>
      <c r="M19" s="154" t="s">
        <v>501</v>
      </c>
      <c r="N19" s="153">
        <v>29</v>
      </c>
      <c r="O19" s="154" t="s">
        <v>501</v>
      </c>
    </row>
    <row r="20" spans="1:15" s="142" customFormat="1" ht="12.75" customHeight="1" x14ac:dyDescent="0.25">
      <c r="A20" s="151"/>
      <c r="B20" s="152" t="s">
        <v>2</v>
      </c>
      <c r="C20" s="218"/>
      <c r="D20" s="153">
        <v>4592.1935127892921</v>
      </c>
      <c r="E20" s="154" t="s">
        <v>501</v>
      </c>
      <c r="F20" s="153">
        <v>1410</v>
      </c>
      <c r="G20" s="154" t="s">
        <v>501</v>
      </c>
      <c r="H20" s="153">
        <v>2088.6638786825001</v>
      </c>
      <c r="I20" s="154" t="s">
        <v>501</v>
      </c>
      <c r="J20" s="153">
        <v>945.52963410679195</v>
      </c>
      <c r="K20" s="154" t="s">
        <v>501</v>
      </c>
      <c r="L20" s="153">
        <v>123</v>
      </c>
      <c r="M20" s="154" t="s">
        <v>501</v>
      </c>
      <c r="N20" s="153">
        <v>25</v>
      </c>
      <c r="O20" s="154" t="s">
        <v>501</v>
      </c>
    </row>
    <row r="21" spans="1:15" s="142" customFormat="1" ht="12.75" customHeight="1" x14ac:dyDescent="0.25">
      <c r="A21" s="151"/>
      <c r="B21" s="152" t="s">
        <v>3</v>
      </c>
      <c r="C21" s="218"/>
      <c r="D21" s="153">
        <v>6181.2207360093198</v>
      </c>
      <c r="E21" s="154" t="s">
        <v>501</v>
      </c>
      <c r="F21" s="153">
        <v>1467</v>
      </c>
      <c r="G21" s="154" t="s">
        <v>501</v>
      </c>
      <c r="H21" s="153">
        <v>2673.2391437912902</v>
      </c>
      <c r="I21" s="154" t="s">
        <v>501</v>
      </c>
      <c r="J21" s="153">
        <v>1774.9815922180301</v>
      </c>
      <c r="K21" s="154" t="s">
        <v>501</v>
      </c>
      <c r="L21" s="153">
        <v>179</v>
      </c>
      <c r="M21" s="154" t="s">
        <v>501</v>
      </c>
      <c r="N21" s="153">
        <v>87</v>
      </c>
      <c r="O21" s="154" t="s">
        <v>501</v>
      </c>
    </row>
    <row r="22" spans="1:15" s="142" customFormat="1" ht="12.75" customHeight="1" x14ac:dyDescent="0.25">
      <c r="A22" s="151"/>
      <c r="B22" s="152" t="s">
        <v>4</v>
      </c>
      <c r="C22" s="218"/>
      <c r="D22" s="153">
        <v>6114.6744461525805</v>
      </c>
      <c r="E22" s="154" t="s">
        <v>501</v>
      </c>
      <c r="F22" s="153">
        <v>1537</v>
      </c>
      <c r="G22" s="154" t="s">
        <v>501</v>
      </c>
      <c r="H22" s="153">
        <v>3092.7684366742301</v>
      </c>
      <c r="I22" s="154" t="s">
        <v>501</v>
      </c>
      <c r="J22" s="153">
        <v>1286.9060094783499</v>
      </c>
      <c r="K22" s="154" t="s">
        <v>501</v>
      </c>
      <c r="L22" s="153">
        <v>150</v>
      </c>
      <c r="M22" s="154" t="s">
        <v>501</v>
      </c>
      <c r="N22" s="153">
        <v>48</v>
      </c>
      <c r="O22" s="154" t="s">
        <v>501</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2009</v>
      </c>
      <c r="B24" s="152" t="s">
        <v>1</v>
      </c>
      <c r="C24" s="218"/>
      <c r="D24" s="153">
        <v>6424.1555512354698</v>
      </c>
      <c r="E24" s="154" t="s">
        <v>501</v>
      </c>
      <c r="F24" s="153">
        <v>1555</v>
      </c>
      <c r="G24" s="154" t="s">
        <v>501</v>
      </c>
      <c r="H24" s="153">
        <v>3448.48597335047</v>
      </c>
      <c r="I24" s="154" t="s">
        <v>501</v>
      </c>
      <c r="J24" s="153">
        <v>1233.6695778850001</v>
      </c>
      <c r="K24" s="154" t="s">
        <v>501</v>
      </c>
      <c r="L24" s="153">
        <v>161</v>
      </c>
      <c r="M24" s="154" t="s">
        <v>501</v>
      </c>
      <c r="N24" s="153">
        <v>26</v>
      </c>
      <c r="O24" s="154" t="s">
        <v>501</v>
      </c>
    </row>
    <row r="25" spans="1:15" s="142" customFormat="1" ht="12.75" customHeight="1" x14ac:dyDescent="0.25">
      <c r="A25" s="151"/>
      <c r="B25" s="152" t="s">
        <v>2</v>
      </c>
      <c r="C25" s="218"/>
      <c r="D25" s="153">
        <v>6291.2592925106801</v>
      </c>
      <c r="E25" s="154" t="s">
        <v>501</v>
      </c>
      <c r="F25" s="153">
        <v>1520</v>
      </c>
      <c r="G25" s="154" t="s">
        <v>501</v>
      </c>
      <c r="H25" s="153">
        <v>3560.4534981992301</v>
      </c>
      <c r="I25" s="154" t="s">
        <v>501</v>
      </c>
      <c r="J25" s="153">
        <v>1025.80579431145</v>
      </c>
      <c r="K25" s="154" t="s">
        <v>501</v>
      </c>
      <c r="L25" s="153">
        <v>141</v>
      </c>
      <c r="M25" s="154" t="s">
        <v>501</v>
      </c>
      <c r="N25" s="153">
        <v>44</v>
      </c>
      <c r="O25" s="154" t="s">
        <v>501</v>
      </c>
    </row>
    <row r="26" spans="1:15" s="142" customFormat="1" ht="12.75" customHeight="1" x14ac:dyDescent="0.25">
      <c r="A26" s="151"/>
      <c r="B26" s="152" t="s">
        <v>3</v>
      </c>
      <c r="C26" s="218"/>
      <c r="D26" s="153">
        <v>5781.0684674724071</v>
      </c>
      <c r="E26" s="154" t="s">
        <v>501</v>
      </c>
      <c r="F26" s="153">
        <v>1253</v>
      </c>
      <c r="G26" s="154" t="s">
        <v>501</v>
      </c>
      <c r="H26" s="153">
        <v>3353.4883417323099</v>
      </c>
      <c r="I26" s="154" t="s">
        <v>501</v>
      </c>
      <c r="J26" s="153">
        <v>954.58012574009695</v>
      </c>
      <c r="K26" s="154" t="s">
        <v>501</v>
      </c>
      <c r="L26" s="153">
        <v>203</v>
      </c>
      <c r="M26" s="154" t="s">
        <v>501</v>
      </c>
      <c r="N26" s="153">
        <v>17</v>
      </c>
      <c r="O26" s="154" t="s">
        <v>501</v>
      </c>
    </row>
    <row r="27" spans="1:15" s="142" customFormat="1" ht="12.75" customHeight="1" x14ac:dyDescent="0.25">
      <c r="A27" s="151"/>
      <c r="B27" s="152" t="s">
        <v>4</v>
      </c>
      <c r="C27" s="218"/>
      <c r="D27" s="153">
        <v>5514.5166887814266</v>
      </c>
      <c r="E27" s="154" t="s">
        <v>501</v>
      </c>
      <c r="F27" s="153">
        <v>1315</v>
      </c>
      <c r="G27" s="154" t="s">
        <v>501</v>
      </c>
      <c r="H27" s="153">
        <v>3146.57218671798</v>
      </c>
      <c r="I27" s="154" t="s">
        <v>501</v>
      </c>
      <c r="J27" s="153">
        <v>804.94450206344698</v>
      </c>
      <c r="K27" s="154" t="s">
        <v>501</v>
      </c>
      <c r="L27" s="153">
        <v>218</v>
      </c>
      <c r="M27" s="154" t="s">
        <v>501</v>
      </c>
      <c r="N27" s="153">
        <v>30</v>
      </c>
      <c r="O27" s="154" t="s">
        <v>501</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2010</v>
      </c>
      <c r="B29" s="152" t="s">
        <v>1</v>
      </c>
      <c r="C29" s="218"/>
      <c r="D29" s="153">
        <v>5149.7371242929876</v>
      </c>
      <c r="E29" s="154" t="s">
        <v>501</v>
      </c>
      <c r="F29" s="153">
        <v>1330</v>
      </c>
      <c r="G29" s="154" t="s">
        <v>501</v>
      </c>
      <c r="H29" s="153">
        <v>2899.1192601831099</v>
      </c>
      <c r="I29" s="154" t="s">
        <v>501</v>
      </c>
      <c r="J29" s="153">
        <v>697.61786410987804</v>
      </c>
      <c r="K29" s="154" t="s">
        <v>501</v>
      </c>
      <c r="L29" s="153">
        <v>209</v>
      </c>
      <c r="M29" s="154" t="s">
        <v>501</v>
      </c>
      <c r="N29" s="153">
        <v>14</v>
      </c>
      <c r="O29" s="154" t="s">
        <v>501</v>
      </c>
    </row>
    <row r="30" spans="1:15" s="142" customFormat="1" ht="12.75" customHeight="1" x14ac:dyDescent="0.25">
      <c r="A30" s="151"/>
      <c r="B30" s="152" t="s">
        <v>2</v>
      </c>
      <c r="C30" s="218"/>
      <c r="D30" s="153">
        <v>4976.3065673925375</v>
      </c>
      <c r="E30" s="154" t="s">
        <v>501</v>
      </c>
      <c r="F30" s="153">
        <v>1185</v>
      </c>
      <c r="G30" s="154" t="s">
        <v>501</v>
      </c>
      <c r="H30" s="153">
        <v>2860.54529764177</v>
      </c>
      <c r="I30" s="154" t="s">
        <v>501</v>
      </c>
      <c r="J30" s="153">
        <v>701.76126975076795</v>
      </c>
      <c r="K30" s="154" t="s">
        <v>501</v>
      </c>
      <c r="L30" s="153">
        <v>222</v>
      </c>
      <c r="M30" s="154" t="s">
        <v>501</v>
      </c>
      <c r="N30" s="153">
        <v>7</v>
      </c>
      <c r="O30" s="154" t="s">
        <v>501</v>
      </c>
    </row>
    <row r="31" spans="1:15" s="142" customFormat="1" ht="12.75" customHeight="1" x14ac:dyDescent="0.25">
      <c r="A31" s="151"/>
      <c r="B31" s="152" t="s">
        <v>3</v>
      </c>
      <c r="C31" s="218"/>
      <c r="D31" s="153">
        <v>4802.8050490215337</v>
      </c>
      <c r="E31" s="154" t="s">
        <v>501</v>
      </c>
      <c r="F31" s="153">
        <v>1082</v>
      </c>
      <c r="G31" s="154" t="s">
        <v>501</v>
      </c>
      <c r="H31" s="153">
        <v>2899.6973385742699</v>
      </c>
      <c r="I31" s="154" t="s">
        <v>501</v>
      </c>
      <c r="J31" s="153">
        <v>644.10771044726403</v>
      </c>
      <c r="K31" s="154" t="s">
        <v>501</v>
      </c>
      <c r="L31" s="153">
        <v>155</v>
      </c>
      <c r="M31" s="154" t="s">
        <v>501</v>
      </c>
      <c r="N31" s="153">
        <v>22</v>
      </c>
      <c r="O31" s="154" t="s">
        <v>501</v>
      </c>
    </row>
    <row r="32" spans="1:15" s="142" customFormat="1" ht="12.75" customHeight="1" x14ac:dyDescent="0.25">
      <c r="A32" s="151"/>
      <c r="B32" s="152" t="s">
        <v>4</v>
      </c>
      <c r="C32" s="218"/>
      <c r="D32" s="153">
        <v>4867.1512592929303</v>
      </c>
      <c r="E32" s="154" t="s">
        <v>501</v>
      </c>
      <c r="F32" s="153">
        <v>1195</v>
      </c>
      <c r="G32" s="154" t="s">
        <v>501</v>
      </c>
      <c r="H32" s="153">
        <v>2847.6381036008402</v>
      </c>
      <c r="I32" s="154" t="s">
        <v>501</v>
      </c>
      <c r="J32" s="153">
        <v>638.51315569208998</v>
      </c>
      <c r="K32" s="154" t="s">
        <v>501</v>
      </c>
      <c r="L32" s="153">
        <v>180</v>
      </c>
      <c r="M32" s="154" t="s">
        <v>501</v>
      </c>
      <c r="N32" s="153">
        <v>6</v>
      </c>
      <c r="O32" s="154" t="s">
        <v>501</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2011</v>
      </c>
      <c r="B34" s="152" t="s">
        <v>1</v>
      </c>
      <c r="C34" s="218"/>
      <c r="D34" s="153">
        <v>4841.9126643316558</v>
      </c>
      <c r="E34" s="154" t="s">
        <v>501</v>
      </c>
      <c r="F34" s="153">
        <v>1111</v>
      </c>
      <c r="G34" s="154" t="s">
        <v>501</v>
      </c>
      <c r="H34" s="153">
        <v>2932.83081066044</v>
      </c>
      <c r="I34" s="154" t="s">
        <v>501</v>
      </c>
      <c r="J34" s="153">
        <v>626.08185367121598</v>
      </c>
      <c r="K34" s="154" t="s">
        <v>501</v>
      </c>
      <c r="L34" s="153">
        <v>164</v>
      </c>
      <c r="M34" s="154" t="s">
        <v>501</v>
      </c>
      <c r="N34" s="153">
        <v>8</v>
      </c>
      <c r="O34" s="154" t="s">
        <v>501</v>
      </c>
    </row>
    <row r="35" spans="1:15" s="142" customFormat="1" ht="12.75" customHeight="1" x14ac:dyDescent="0.25">
      <c r="A35" s="151"/>
      <c r="B35" s="152" t="s">
        <v>2</v>
      </c>
      <c r="C35" s="218"/>
      <c r="D35" s="153">
        <v>5216.5384542397815</v>
      </c>
      <c r="E35" s="154" t="s">
        <v>501</v>
      </c>
      <c r="F35" s="153">
        <v>1317</v>
      </c>
      <c r="G35" s="154" t="s">
        <v>501</v>
      </c>
      <c r="H35" s="153">
        <v>3042.0465732452799</v>
      </c>
      <c r="I35" s="154" t="s">
        <v>501</v>
      </c>
      <c r="J35" s="153">
        <v>665.49188099450203</v>
      </c>
      <c r="K35" s="154" t="s">
        <v>501</v>
      </c>
      <c r="L35" s="153">
        <v>183</v>
      </c>
      <c r="M35" s="154" t="s">
        <v>501</v>
      </c>
      <c r="N35" s="153">
        <v>9</v>
      </c>
      <c r="O35" s="154" t="s">
        <v>501</v>
      </c>
    </row>
    <row r="36" spans="1:15" s="142" customFormat="1" ht="12.75" customHeight="1" x14ac:dyDescent="0.25">
      <c r="A36" s="151"/>
      <c r="B36" s="152" t="s">
        <v>3</v>
      </c>
      <c r="C36" s="218"/>
      <c r="D36" s="153">
        <v>5058.1910181019848</v>
      </c>
      <c r="E36" s="154" t="s">
        <v>501</v>
      </c>
      <c r="F36" s="153">
        <v>1149</v>
      </c>
      <c r="G36" s="154" t="s">
        <v>501</v>
      </c>
      <c r="H36" s="153">
        <v>3044.3699728619199</v>
      </c>
      <c r="I36" s="154" t="s">
        <v>501</v>
      </c>
      <c r="J36" s="153">
        <v>642.82104524006502</v>
      </c>
      <c r="K36" s="154" t="s">
        <v>501</v>
      </c>
      <c r="L36" s="153">
        <v>209</v>
      </c>
      <c r="M36" s="154" t="s">
        <v>501</v>
      </c>
      <c r="N36" s="153">
        <v>13</v>
      </c>
      <c r="O36" s="154" t="s">
        <v>501</v>
      </c>
    </row>
    <row r="37" spans="1:15" s="142" customFormat="1" ht="12.75" customHeight="1" x14ac:dyDescent="0.25">
      <c r="A37" s="151"/>
      <c r="B37" s="152" t="s">
        <v>4</v>
      </c>
      <c r="C37" s="218"/>
      <c r="D37" s="153">
        <v>5168.3578633265761</v>
      </c>
      <c r="E37" s="154" t="s">
        <v>501</v>
      </c>
      <c r="F37" s="153">
        <v>1426</v>
      </c>
      <c r="G37" s="154" t="s">
        <v>501</v>
      </c>
      <c r="H37" s="153">
        <v>2927.7526432323598</v>
      </c>
      <c r="I37" s="154" t="s">
        <v>501</v>
      </c>
      <c r="J37" s="153">
        <v>604.60522009421697</v>
      </c>
      <c r="K37" s="154" t="s">
        <v>501</v>
      </c>
      <c r="L37" s="153">
        <v>192</v>
      </c>
      <c r="M37" s="154" t="s">
        <v>501</v>
      </c>
      <c r="N37" s="153">
        <v>18</v>
      </c>
      <c r="O37" s="154" t="s">
        <v>501</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2012</v>
      </c>
      <c r="B39" s="152" t="s">
        <v>1</v>
      </c>
      <c r="C39" s="218"/>
      <c r="D39" s="153">
        <v>5215.5436029285893</v>
      </c>
      <c r="E39" s="154" t="s">
        <v>501</v>
      </c>
      <c r="F39" s="153">
        <v>1233</v>
      </c>
      <c r="G39" s="154" t="s">
        <v>501</v>
      </c>
      <c r="H39" s="153">
        <v>3100.9675504963702</v>
      </c>
      <c r="I39" s="154" t="s">
        <v>501</v>
      </c>
      <c r="J39" s="153">
        <v>694.57605243221894</v>
      </c>
      <c r="K39" s="154" t="s">
        <v>501</v>
      </c>
      <c r="L39" s="153">
        <v>176</v>
      </c>
      <c r="M39" s="154" t="s">
        <v>501</v>
      </c>
      <c r="N39" s="153">
        <v>11</v>
      </c>
      <c r="O39" s="154" t="s">
        <v>501</v>
      </c>
    </row>
    <row r="40" spans="1:15" s="142" customFormat="1" ht="12.75" customHeight="1" x14ac:dyDescent="0.25">
      <c r="A40" s="151"/>
      <c r="B40" s="152" t="s">
        <v>2</v>
      </c>
      <c r="C40" s="218"/>
      <c r="D40" s="153">
        <v>4949.7433108256828</v>
      </c>
      <c r="E40" s="154" t="s">
        <v>501</v>
      </c>
      <c r="F40" s="153">
        <v>1031</v>
      </c>
      <c r="G40" s="154" t="s">
        <v>501</v>
      </c>
      <c r="H40" s="153">
        <v>3006.3448184572399</v>
      </c>
      <c r="I40" s="154" t="s">
        <v>501</v>
      </c>
      <c r="J40" s="153">
        <v>579.39849236844304</v>
      </c>
      <c r="K40" s="154" t="s">
        <v>501</v>
      </c>
      <c r="L40" s="153">
        <v>325</v>
      </c>
      <c r="M40" s="154" t="s">
        <v>501</v>
      </c>
      <c r="N40" s="153">
        <v>8</v>
      </c>
      <c r="O40" s="154" t="s">
        <v>501</v>
      </c>
    </row>
    <row r="41" spans="1:15" s="142" customFormat="1" ht="12.75" customHeight="1" x14ac:dyDescent="0.25">
      <c r="A41" s="151"/>
      <c r="B41" s="152" t="s">
        <v>3</v>
      </c>
      <c r="C41" s="218"/>
      <c r="D41" s="153">
        <v>4707.9342987217424</v>
      </c>
      <c r="E41" s="154" t="s">
        <v>501</v>
      </c>
      <c r="F41" s="153">
        <v>1043</v>
      </c>
      <c r="G41" s="154" t="s">
        <v>501</v>
      </c>
      <c r="H41" s="153">
        <v>2949.61089295273</v>
      </c>
      <c r="I41" s="154" t="s">
        <v>501</v>
      </c>
      <c r="J41" s="153">
        <v>541.32340576901197</v>
      </c>
      <c r="K41" s="154" t="s">
        <v>501</v>
      </c>
      <c r="L41" s="153">
        <v>165</v>
      </c>
      <c r="M41" s="154" t="s">
        <v>501</v>
      </c>
      <c r="N41" s="153">
        <v>9</v>
      </c>
      <c r="O41" s="154" t="s">
        <v>501</v>
      </c>
    </row>
    <row r="42" spans="1:15" s="142" customFormat="1" ht="12.75" customHeight="1" x14ac:dyDescent="0.25">
      <c r="A42" s="151"/>
      <c r="B42" s="152" t="s">
        <v>4</v>
      </c>
      <c r="C42" s="218"/>
      <c r="D42" s="153">
        <v>4475.7787875239865</v>
      </c>
      <c r="E42" s="154" t="s">
        <v>501</v>
      </c>
      <c r="F42" s="153">
        <v>954</v>
      </c>
      <c r="G42" s="154" t="s">
        <v>501</v>
      </c>
      <c r="H42" s="153">
        <v>2849.07673809366</v>
      </c>
      <c r="I42" s="154" t="s">
        <v>501</v>
      </c>
      <c r="J42" s="153">
        <v>518.70204943032604</v>
      </c>
      <c r="K42" s="154" t="s">
        <v>501</v>
      </c>
      <c r="L42" s="153">
        <v>150</v>
      </c>
      <c r="M42" s="154" t="s">
        <v>501</v>
      </c>
      <c r="N42" s="153">
        <v>4</v>
      </c>
      <c r="O42" s="154" t="s">
        <v>501</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2013</v>
      </c>
      <c r="B44" s="152" t="s">
        <v>1</v>
      </c>
      <c r="C44" s="218"/>
      <c r="D44" s="153">
        <v>4522.7781640614212</v>
      </c>
      <c r="E44" s="154" t="s">
        <v>501</v>
      </c>
      <c r="F44" s="153">
        <v>973</v>
      </c>
      <c r="G44" s="154" t="s">
        <v>501</v>
      </c>
      <c r="H44" s="153">
        <v>2883.601977237</v>
      </c>
      <c r="I44" s="154" t="s">
        <v>501</v>
      </c>
      <c r="J44" s="153">
        <v>524.17618682442105</v>
      </c>
      <c r="K44" s="154" t="s">
        <v>501</v>
      </c>
      <c r="L44" s="153">
        <v>138</v>
      </c>
      <c r="M44" s="154" t="s">
        <v>501</v>
      </c>
      <c r="N44" s="153">
        <v>4</v>
      </c>
      <c r="O44" s="154" t="s">
        <v>501</v>
      </c>
    </row>
    <row r="45" spans="1:15" s="142" customFormat="1" ht="12.75" customHeight="1" x14ac:dyDescent="0.25">
      <c r="A45" s="151"/>
      <c r="B45" s="152" t="s">
        <v>2</v>
      </c>
      <c r="C45" s="218"/>
      <c r="D45" s="153">
        <v>4611.2678222407958</v>
      </c>
      <c r="E45" s="154" t="s">
        <v>501</v>
      </c>
      <c r="F45" s="153">
        <v>1039</v>
      </c>
      <c r="G45" s="154" t="s">
        <v>501</v>
      </c>
      <c r="H45" s="153">
        <v>2899.3704180956602</v>
      </c>
      <c r="I45" s="154" t="s">
        <v>501</v>
      </c>
      <c r="J45" s="153">
        <v>510.89740414513602</v>
      </c>
      <c r="K45" s="154" t="s">
        <v>501</v>
      </c>
      <c r="L45" s="153">
        <v>155</v>
      </c>
      <c r="M45" s="154" t="s">
        <v>501</v>
      </c>
      <c r="N45" s="153">
        <v>7</v>
      </c>
      <c r="O45" s="154" t="s">
        <v>501</v>
      </c>
    </row>
    <row r="46" spans="1:15" s="142" customFormat="1" ht="12.75" customHeight="1" x14ac:dyDescent="0.25">
      <c r="A46" s="151"/>
      <c r="B46" s="152" t="s">
        <v>3</v>
      </c>
      <c r="C46" s="218"/>
      <c r="D46" s="153">
        <v>4399.6136724097605</v>
      </c>
      <c r="E46" s="154" t="s">
        <v>501</v>
      </c>
      <c r="F46" s="153">
        <v>921</v>
      </c>
      <c r="G46" s="154" t="s">
        <v>501</v>
      </c>
      <c r="H46" s="153">
        <v>2838.8499820996699</v>
      </c>
      <c r="I46" s="154" t="s">
        <v>501</v>
      </c>
      <c r="J46" s="153">
        <v>491.76369031009102</v>
      </c>
      <c r="K46" s="154" t="s">
        <v>501</v>
      </c>
      <c r="L46" s="153">
        <v>144</v>
      </c>
      <c r="M46" s="154" t="s">
        <v>501</v>
      </c>
      <c r="N46" s="153">
        <v>4</v>
      </c>
      <c r="O46" s="154" t="s">
        <v>501</v>
      </c>
    </row>
    <row r="47" spans="1:15" s="142" customFormat="1" ht="12.75" customHeight="1" x14ac:dyDescent="0.25">
      <c r="A47" s="151"/>
      <c r="B47" s="152" t="s">
        <v>4</v>
      </c>
      <c r="C47" s="218"/>
      <c r="D47" s="153">
        <v>4148.3403412880125</v>
      </c>
      <c r="E47" s="154" t="s">
        <v>501</v>
      </c>
      <c r="F47" s="153">
        <v>699</v>
      </c>
      <c r="G47" s="154" t="s">
        <v>501</v>
      </c>
      <c r="H47" s="153">
        <v>2831.1776225676599</v>
      </c>
      <c r="I47" s="154" t="s">
        <v>501</v>
      </c>
      <c r="J47" s="153">
        <v>482.16271872035298</v>
      </c>
      <c r="K47" s="154" t="s">
        <v>501</v>
      </c>
      <c r="L47" s="153">
        <v>134</v>
      </c>
      <c r="M47" s="154" t="s">
        <v>501</v>
      </c>
      <c r="N47" s="153">
        <v>2</v>
      </c>
      <c r="O47" s="154" t="s">
        <v>501</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2014</v>
      </c>
      <c r="B49" s="152" t="s">
        <v>1</v>
      </c>
      <c r="C49" s="218"/>
      <c r="D49" s="153">
        <v>4381.2357725875145</v>
      </c>
      <c r="E49" s="154" t="s">
        <v>501</v>
      </c>
      <c r="F49" s="153">
        <v>1075</v>
      </c>
      <c r="G49" s="154" t="s">
        <v>501</v>
      </c>
      <c r="H49" s="153">
        <v>2694.7704288844702</v>
      </c>
      <c r="I49" s="154" t="s">
        <v>501</v>
      </c>
      <c r="J49" s="153">
        <v>466.46534370304403</v>
      </c>
      <c r="K49" s="154" t="s">
        <v>501</v>
      </c>
      <c r="L49" s="153">
        <v>134</v>
      </c>
      <c r="M49" s="154" t="s">
        <v>501</v>
      </c>
      <c r="N49" s="153">
        <v>11</v>
      </c>
      <c r="O49" s="154" t="s">
        <v>501</v>
      </c>
    </row>
    <row r="50" spans="1:15" s="142" customFormat="1" ht="12.75" customHeight="1" x14ac:dyDescent="0.25">
      <c r="A50" s="151"/>
      <c r="B50" s="152" t="s">
        <v>2</v>
      </c>
      <c r="C50" s="218"/>
      <c r="D50" s="153">
        <v>4095.3731547083698</v>
      </c>
      <c r="E50" s="154" t="s">
        <v>501</v>
      </c>
      <c r="F50" s="153">
        <v>983</v>
      </c>
      <c r="G50" s="154" t="s">
        <v>501</v>
      </c>
      <c r="H50" s="153">
        <v>2583.37897727068</v>
      </c>
      <c r="I50" s="154" t="s">
        <v>501</v>
      </c>
      <c r="J50" s="153">
        <v>370.99417743768998</v>
      </c>
      <c r="K50" s="154" t="s">
        <v>501</v>
      </c>
      <c r="L50" s="153">
        <v>151</v>
      </c>
      <c r="M50" s="154" t="s">
        <v>501</v>
      </c>
      <c r="N50" s="153">
        <v>7</v>
      </c>
      <c r="O50" s="154" t="s">
        <v>501</v>
      </c>
    </row>
    <row r="51" spans="1:15" s="142" customFormat="1" ht="12.75" customHeight="1" x14ac:dyDescent="0.25">
      <c r="A51" s="151"/>
      <c r="B51" s="152" t="s">
        <v>3</v>
      </c>
      <c r="C51" s="218"/>
      <c r="D51" s="153">
        <v>3944.532048330555</v>
      </c>
      <c r="E51" s="154" t="s">
        <v>501</v>
      </c>
      <c r="F51" s="153">
        <v>864</v>
      </c>
      <c r="G51" s="154" t="s">
        <v>501</v>
      </c>
      <c r="H51" s="153">
        <v>2562.7316521861899</v>
      </c>
      <c r="I51" s="154" t="s">
        <v>501</v>
      </c>
      <c r="J51" s="153">
        <v>384.80039614436498</v>
      </c>
      <c r="K51" s="154" t="s">
        <v>501</v>
      </c>
      <c r="L51" s="153">
        <v>132</v>
      </c>
      <c r="M51" s="154" t="s">
        <v>501</v>
      </c>
      <c r="N51" s="153">
        <v>1</v>
      </c>
      <c r="O51" s="154" t="s">
        <v>501</v>
      </c>
    </row>
    <row r="52" spans="1:15" s="142" customFormat="1" ht="12.75" customHeight="1" x14ac:dyDescent="0.25">
      <c r="A52" s="151"/>
      <c r="B52" s="152" t="s">
        <v>4</v>
      </c>
      <c r="C52" s="218"/>
      <c r="D52" s="153">
        <v>3897.8590243735607</v>
      </c>
      <c r="E52" s="154" t="s">
        <v>501</v>
      </c>
      <c r="F52" s="153">
        <v>833</v>
      </c>
      <c r="G52" s="154" t="s">
        <v>501</v>
      </c>
      <c r="H52" s="153">
        <v>2560.1189416586599</v>
      </c>
      <c r="I52" s="154" t="s">
        <v>501</v>
      </c>
      <c r="J52" s="153">
        <v>364.74008271490101</v>
      </c>
      <c r="K52" s="154" t="s">
        <v>501</v>
      </c>
      <c r="L52" s="153">
        <v>137</v>
      </c>
      <c r="M52" s="154" t="s">
        <v>501</v>
      </c>
      <c r="N52" s="153">
        <v>3</v>
      </c>
      <c r="O52" s="154" t="s">
        <v>501</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2015</v>
      </c>
      <c r="B54" s="152" t="s">
        <v>1</v>
      </c>
      <c r="C54" s="218"/>
      <c r="D54" s="153">
        <v>3843.093391972428</v>
      </c>
      <c r="E54" s="154" t="s">
        <v>501</v>
      </c>
      <c r="F54" s="153">
        <v>908</v>
      </c>
      <c r="G54" s="154" t="s">
        <v>501</v>
      </c>
      <c r="H54" s="153">
        <v>2503.0625322710298</v>
      </c>
      <c r="I54" s="154" t="s">
        <v>501</v>
      </c>
      <c r="J54" s="153">
        <v>344.03085970139801</v>
      </c>
      <c r="K54" s="154" t="s">
        <v>501</v>
      </c>
      <c r="L54" s="153">
        <v>87</v>
      </c>
      <c r="M54" s="154" t="s">
        <v>501</v>
      </c>
      <c r="N54" s="153">
        <v>1</v>
      </c>
      <c r="O54" s="154" t="s">
        <v>501</v>
      </c>
    </row>
    <row r="55" spans="1:15" s="142" customFormat="1" ht="12.75" customHeight="1" x14ac:dyDescent="0.25">
      <c r="A55" s="151"/>
      <c r="B55" s="152" t="s">
        <v>2</v>
      </c>
      <c r="C55" s="218"/>
      <c r="D55" s="153">
        <v>3718.0687234899929</v>
      </c>
      <c r="E55" s="154" t="s">
        <v>501</v>
      </c>
      <c r="F55" s="153">
        <v>770</v>
      </c>
      <c r="G55" s="154" t="s">
        <v>501</v>
      </c>
      <c r="H55" s="153">
        <v>2488.1280533439499</v>
      </c>
      <c r="I55" s="154" t="s">
        <v>501</v>
      </c>
      <c r="J55" s="153">
        <v>367.94067014604298</v>
      </c>
      <c r="K55" s="154" t="s">
        <v>501</v>
      </c>
      <c r="L55" s="153">
        <v>85</v>
      </c>
      <c r="M55" s="154" t="s">
        <v>501</v>
      </c>
      <c r="N55" s="153">
        <v>7</v>
      </c>
      <c r="O55" s="154" t="s">
        <v>501</v>
      </c>
    </row>
    <row r="56" spans="1:15" s="142" customFormat="1" ht="12.75" customHeight="1" x14ac:dyDescent="0.25">
      <c r="A56" s="151"/>
      <c r="B56" s="152" t="s">
        <v>3</v>
      </c>
      <c r="C56" s="218"/>
      <c r="D56" s="153">
        <v>3592.7456866458961</v>
      </c>
      <c r="E56" s="154" t="s">
        <v>501</v>
      </c>
      <c r="F56" s="153">
        <v>617</v>
      </c>
      <c r="G56" s="154" t="s">
        <v>501</v>
      </c>
      <c r="H56" s="153">
        <v>2514.9963857264702</v>
      </c>
      <c r="I56" s="154" t="s">
        <v>501</v>
      </c>
      <c r="J56" s="153">
        <v>349.74930091942599</v>
      </c>
      <c r="K56" s="154" t="s">
        <v>501</v>
      </c>
      <c r="L56" s="153">
        <v>110</v>
      </c>
      <c r="M56" s="154" t="s">
        <v>501</v>
      </c>
      <c r="N56" s="153">
        <v>1</v>
      </c>
      <c r="O56" s="154" t="s">
        <v>501</v>
      </c>
    </row>
    <row r="57" spans="1:15" s="142" customFormat="1" ht="12.75" customHeight="1" x14ac:dyDescent="0.25">
      <c r="A57" s="151"/>
      <c r="B57" s="152" t="s">
        <v>4</v>
      </c>
      <c r="C57" s="218"/>
      <c r="D57" s="153">
        <v>3504.0921978916931</v>
      </c>
      <c r="E57" s="154" t="s">
        <v>501</v>
      </c>
      <c r="F57" s="153">
        <v>594</v>
      </c>
      <c r="G57" s="154" t="s">
        <v>501</v>
      </c>
      <c r="H57" s="153">
        <v>2485.8130286585601</v>
      </c>
      <c r="I57" s="154" t="s">
        <v>501</v>
      </c>
      <c r="J57" s="153">
        <v>340.27916923313302</v>
      </c>
      <c r="K57" s="154" t="s">
        <v>501</v>
      </c>
      <c r="L57" s="153">
        <v>82</v>
      </c>
      <c r="M57" s="154" t="s">
        <v>501</v>
      </c>
      <c r="N57" s="153">
        <v>2</v>
      </c>
      <c r="O57" s="154" t="s">
        <v>501</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2016</v>
      </c>
      <c r="B59" s="152" t="s">
        <v>1</v>
      </c>
      <c r="C59" s="218"/>
      <c r="D59" s="153">
        <v>3768.8179183736556</v>
      </c>
      <c r="E59" s="154" t="s">
        <v>501</v>
      </c>
      <c r="F59" s="153">
        <v>813</v>
      </c>
      <c r="G59" s="154" t="s">
        <v>501</v>
      </c>
      <c r="H59" s="153">
        <v>2555.1505053691399</v>
      </c>
      <c r="I59" s="154" t="s">
        <v>501</v>
      </c>
      <c r="J59" s="153">
        <v>315.66741300451599</v>
      </c>
      <c r="K59" s="154" t="s">
        <v>501</v>
      </c>
      <c r="L59" s="153">
        <v>85</v>
      </c>
      <c r="M59" s="154" t="s">
        <v>501</v>
      </c>
      <c r="N59" s="153">
        <v>0</v>
      </c>
      <c r="O59" s="154" t="s">
        <v>501</v>
      </c>
    </row>
    <row r="60" spans="1:15" s="142" customFormat="1" ht="12.75" customHeight="1" x14ac:dyDescent="0.25">
      <c r="A60" s="151"/>
      <c r="B60" s="152" t="s">
        <v>2</v>
      </c>
      <c r="C60" s="218"/>
      <c r="D60" s="153">
        <v>3556.9873312703021</v>
      </c>
      <c r="E60" s="154" t="s">
        <v>501</v>
      </c>
      <c r="F60" s="153">
        <v>671</v>
      </c>
      <c r="G60" s="154" t="s">
        <v>501</v>
      </c>
      <c r="H60" s="153">
        <v>2434.44429186465</v>
      </c>
      <c r="I60" s="154" t="s">
        <v>501</v>
      </c>
      <c r="J60" s="153">
        <v>342.543039405652</v>
      </c>
      <c r="K60" s="154" t="s">
        <v>501</v>
      </c>
      <c r="L60" s="153">
        <v>109</v>
      </c>
      <c r="M60" s="154" t="s">
        <v>501</v>
      </c>
      <c r="N60" s="153">
        <v>0</v>
      </c>
      <c r="O60" s="154" t="s">
        <v>501</v>
      </c>
    </row>
    <row r="61" spans="1:15" s="142" customFormat="1" ht="12.75" customHeight="1" x14ac:dyDescent="0.25">
      <c r="A61" s="151"/>
      <c r="B61" s="152" t="s">
        <v>3</v>
      </c>
      <c r="C61" s="218"/>
      <c r="D61" s="153">
        <v>3624.757657063546</v>
      </c>
      <c r="E61" s="154" t="s">
        <v>279</v>
      </c>
      <c r="F61" s="153">
        <v>636</v>
      </c>
      <c r="G61" s="154" t="s">
        <v>501</v>
      </c>
      <c r="H61" s="153">
        <v>2547.2630775268499</v>
      </c>
      <c r="I61" s="154" t="s">
        <v>501</v>
      </c>
      <c r="J61" s="153">
        <v>366.49457953669599</v>
      </c>
      <c r="K61" s="154" t="s">
        <v>501</v>
      </c>
      <c r="L61" s="153">
        <v>70</v>
      </c>
      <c r="M61" s="154" t="s">
        <v>501</v>
      </c>
      <c r="N61" s="153">
        <v>5</v>
      </c>
      <c r="O61" s="154" t="s">
        <v>279</v>
      </c>
    </row>
    <row r="62" spans="1:15" s="142" customFormat="1" ht="12.75" customHeight="1" x14ac:dyDescent="0.25">
      <c r="A62" s="151"/>
      <c r="B62" s="152" t="s">
        <v>4</v>
      </c>
      <c r="C62" s="218"/>
      <c r="D62" s="153">
        <v>5594.4370932924949</v>
      </c>
      <c r="E62" s="154" t="s">
        <v>279</v>
      </c>
      <c r="F62" s="153">
        <v>810</v>
      </c>
      <c r="G62" s="154" t="s">
        <v>501</v>
      </c>
      <c r="H62" s="153">
        <v>4353.1421252393602</v>
      </c>
      <c r="I62" s="154" t="s">
        <v>501</v>
      </c>
      <c r="J62" s="153">
        <v>349.29496805313499</v>
      </c>
      <c r="K62" s="154" t="s">
        <v>501</v>
      </c>
      <c r="L62" s="153">
        <v>82</v>
      </c>
      <c r="M62" s="154" t="s">
        <v>501</v>
      </c>
      <c r="N62" s="153">
        <v>0</v>
      </c>
      <c r="O62" s="154" t="s">
        <v>279</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2017</v>
      </c>
      <c r="B64" s="152" t="s">
        <v>1</v>
      </c>
      <c r="C64" s="218" t="s">
        <v>196</v>
      </c>
      <c r="D64" s="153">
        <v>4002.9517876736509</v>
      </c>
      <c r="E64" s="154" t="s">
        <v>279</v>
      </c>
      <c r="F64" s="153">
        <v>838</v>
      </c>
      <c r="G64" s="154" t="s">
        <v>501</v>
      </c>
      <c r="H64" s="153">
        <v>2730.87</v>
      </c>
      <c r="I64" s="154" t="s">
        <v>279</v>
      </c>
      <c r="J64" s="153">
        <v>353.08178767365098</v>
      </c>
      <c r="K64" s="154" t="s">
        <v>279</v>
      </c>
      <c r="L64" s="153">
        <v>79</v>
      </c>
      <c r="M64" s="154" t="s">
        <v>501</v>
      </c>
      <c r="N64" s="153">
        <v>2</v>
      </c>
      <c r="O64" s="154" t="s">
        <v>279</v>
      </c>
    </row>
    <row r="65" spans="1:18" s="142" customFormat="1" ht="12.75" customHeight="1" x14ac:dyDescent="0.25">
      <c r="A65" s="151"/>
      <c r="B65" s="152" t="s">
        <v>2</v>
      </c>
      <c r="C65" s="218" t="s">
        <v>196</v>
      </c>
      <c r="D65" s="153">
        <v>4774.4970627089533</v>
      </c>
      <c r="E65" s="154" t="s">
        <v>279</v>
      </c>
      <c r="F65" s="153">
        <v>681</v>
      </c>
      <c r="G65" s="154" t="s">
        <v>279</v>
      </c>
      <c r="H65" s="153">
        <v>3688.46</v>
      </c>
      <c r="I65" s="154" t="s">
        <v>279</v>
      </c>
      <c r="J65" s="153">
        <v>322.03706270895299</v>
      </c>
      <c r="K65" s="154" t="s">
        <v>279</v>
      </c>
      <c r="L65" s="153">
        <v>83</v>
      </c>
      <c r="M65" s="154" t="s">
        <v>501</v>
      </c>
      <c r="N65" s="153">
        <v>0</v>
      </c>
      <c r="O65" s="154" t="s">
        <v>279</v>
      </c>
    </row>
    <row r="66" spans="1:18" s="142" customFormat="1" ht="12.75" customHeight="1" x14ac:dyDescent="0.25">
      <c r="A66" s="151"/>
      <c r="B66" s="152" t="s">
        <v>3</v>
      </c>
      <c r="C66" s="218" t="s">
        <v>196</v>
      </c>
      <c r="D66" s="153">
        <v>4083.1506718413852</v>
      </c>
      <c r="E66" s="154" t="s">
        <v>279</v>
      </c>
      <c r="F66" s="153">
        <v>667</v>
      </c>
      <c r="G66" s="154" t="s">
        <v>279</v>
      </c>
      <c r="H66" s="153">
        <v>3027.86</v>
      </c>
      <c r="I66" s="154" t="s">
        <v>279</v>
      </c>
      <c r="J66" s="153">
        <v>314.29067184138501</v>
      </c>
      <c r="K66" s="154" t="s">
        <v>279</v>
      </c>
      <c r="L66" s="153">
        <v>74</v>
      </c>
      <c r="M66" s="154" t="s">
        <v>279</v>
      </c>
      <c r="N66" s="153">
        <v>0</v>
      </c>
      <c r="O66" s="154" t="s">
        <v>279</v>
      </c>
      <c r="Q66" s="313"/>
    </row>
    <row r="67" spans="1:18" s="142" customFormat="1" ht="12.75" customHeight="1" x14ac:dyDescent="0.25">
      <c r="A67" s="152"/>
      <c r="B67" s="152" t="s">
        <v>4</v>
      </c>
      <c r="C67" s="218" t="s">
        <v>406</v>
      </c>
      <c r="D67" s="153">
        <v>4382.400477776011</v>
      </c>
      <c r="E67" s="154" t="s">
        <v>501</v>
      </c>
      <c r="F67" s="153">
        <v>613</v>
      </c>
      <c r="G67" s="154" t="s">
        <v>501</v>
      </c>
      <c r="H67" s="153">
        <v>3413.81</v>
      </c>
      <c r="I67" s="154" t="s">
        <v>501</v>
      </c>
      <c r="J67" s="153">
        <v>299.59047777601103</v>
      </c>
      <c r="K67" s="154" t="s">
        <v>501</v>
      </c>
      <c r="L67" s="153">
        <v>56</v>
      </c>
      <c r="M67" s="154" t="s">
        <v>501</v>
      </c>
      <c r="N67" s="153">
        <v>0</v>
      </c>
      <c r="O67" s="154" t="s">
        <v>501</v>
      </c>
      <c r="P67" s="322"/>
      <c r="Q67" s="313"/>
      <c r="R67" s="322"/>
    </row>
    <row r="68" spans="1:18" s="142" customFormat="1" ht="12.75" customHeight="1" x14ac:dyDescent="0.25">
      <c r="A68" s="151"/>
      <c r="B68" s="152"/>
      <c r="C68" s="218"/>
      <c r="D68" s="153"/>
      <c r="E68" s="154"/>
      <c r="F68" s="153"/>
      <c r="G68" s="154"/>
      <c r="H68" s="153"/>
      <c r="I68" s="154"/>
      <c r="J68" s="153"/>
      <c r="K68" s="154"/>
      <c r="L68" s="153"/>
      <c r="M68" s="154"/>
      <c r="N68" s="153"/>
      <c r="O68" s="154"/>
      <c r="Q68" s="312"/>
    </row>
    <row r="69" spans="1:18" s="142" customFormat="1" ht="12.75" customHeight="1" thickBot="1" x14ac:dyDescent="0.3">
      <c r="A69" s="152"/>
      <c r="B69" s="156"/>
      <c r="C69" s="156"/>
      <c r="D69" s="153"/>
      <c r="E69" s="154"/>
      <c r="F69" s="153"/>
      <c r="G69" s="154"/>
      <c r="H69" s="153"/>
      <c r="I69" s="154"/>
      <c r="J69" s="153"/>
      <c r="K69" s="154"/>
      <c r="L69" s="153"/>
      <c r="M69" s="154"/>
      <c r="N69" s="153"/>
      <c r="O69" s="154"/>
    </row>
    <row r="70" spans="1:18" s="142" customFormat="1" ht="12.75" customHeight="1" x14ac:dyDescent="0.2">
      <c r="A70" s="159" t="s">
        <v>502</v>
      </c>
      <c r="B70" s="159"/>
      <c r="C70" s="159"/>
      <c r="D70" s="159"/>
      <c r="E70" s="220"/>
      <c r="F70" s="159"/>
      <c r="G70" s="220"/>
      <c r="H70" s="159"/>
      <c r="I70" s="220"/>
      <c r="J70" s="159"/>
      <c r="K70" s="220"/>
      <c r="L70" s="159"/>
      <c r="M70" s="220"/>
      <c r="N70" s="159"/>
      <c r="O70" s="220"/>
    </row>
    <row r="71" spans="1:18" s="142" customFormat="1" ht="12.75" customHeight="1" x14ac:dyDescent="0.2">
      <c r="A71" s="160"/>
      <c r="B71" s="160"/>
      <c r="C71" s="160"/>
      <c r="D71" s="160"/>
      <c r="E71" s="161"/>
      <c r="F71" s="160"/>
      <c r="G71" s="161"/>
      <c r="H71" s="160"/>
      <c r="I71" s="161"/>
      <c r="J71" s="160"/>
      <c r="K71" s="161"/>
      <c r="L71" s="160"/>
      <c r="M71" s="161"/>
      <c r="N71" s="160"/>
      <c r="O71" s="161"/>
    </row>
    <row r="72" spans="1:18" s="142" customFormat="1" ht="12.75" customHeight="1" x14ac:dyDescent="0.2">
      <c r="A72" s="162">
        <v>2017</v>
      </c>
      <c r="B72" s="163" t="s">
        <v>3</v>
      </c>
      <c r="C72" s="163"/>
      <c r="D72" s="164">
        <v>7.3288945225151947</v>
      </c>
      <c r="E72" s="161"/>
      <c r="F72" s="164">
        <v>-8.0959520239880067</v>
      </c>
      <c r="G72" s="161"/>
      <c r="H72" s="164">
        <v>12.746626330147359</v>
      </c>
      <c r="I72" s="161"/>
      <c r="J72" s="164">
        <v>-4.6772606960453489</v>
      </c>
      <c r="K72" s="161"/>
      <c r="L72" s="164">
        <v>-24.324324324324319</v>
      </c>
      <c r="M72" s="161"/>
      <c r="N72" s="164" t="s">
        <v>496</v>
      </c>
      <c r="O72" s="161"/>
    </row>
    <row r="73" spans="1:18" s="142" customFormat="1" ht="12.75" customHeight="1" x14ac:dyDescent="0.2">
      <c r="A73" s="165"/>
      <c r="B73" s="166"/>
      <c r="C73" s="166"/>
      <c r="D73" s="167"/>
      <c r="E73" s="280"/>
      <c r="F73" s="167"/>
      <c r="G73" s="280"/>
      <c r="H73" s="167"/>
      <c r="I73" s="280"/>
      <c r="J73" s="167"/>
      <c r="K73" s="280"/>
      <c r="L73" s="167"/>
      <c r="M73" s="280"/>
      <c r="N73" s="167"/>
      <c r="O73" s="280"/>
    </row>
    <row r="74" spans="1:18" s="142" customFormat="1" ht="12.75" customHeight="1" thickBot="1" x14ac:dyDescent="0.25">
      <c r="A74" s="157">
        <v>2016</v>
      </c>
      <c r="B74" s="158" t="s">
        <v>4</v>
      </c>
      <c r="C74" s="158"/>
      <c r="D74" s="168">
        <v>-21.665032518994042</v>
      </c>
      <c r="E74" s="281"/>
      <c r="F74" s="168">
        <v>-24.320987654320991</v>
      </c>
      <c r="G74" s="281"/>
      <c r="H74" s="168">
        <v>-21.578255389208334</v>
      </c>
      <c r="I74" s="281"/>
      <c r="J74" s="168">
        <v>-14.229947414977618</v>
      </c>
      <c r="K74" s="281"/>
      <c r="L74" s="168">
        <v>-31.707317073170728</v>
      </c>
      <c r="M74" s="281"/>
      <c r="N74" s="168" t="s">
        <v>496</v>
      </c>
      <c r="O74" s="281"/>
    </row>
    <row r="75" spans="1:18" s="169" customFormat="1" ht="15" x14ac:dyDescent="0.2">
      <c r="A75" s="343"/>
      <c r="B75" s="343"/>
      <c r="C75" s="343"/>
      <c r="D75" s="343"/>
      <c r="E75" s="343"/>
      <c r="F75" s="343"/>
      <c r="G75" s="343"/>
      <c r="H75" s="343"/>
      <c r="I75" s="343"/>
      <c r="J75" s="343"/>
      <c r="K75" s="343"/>
      <c r="L75" s="343"/>
      <c r="M75" s="343"/>
      <c r="N75" s="343"/>
      <c r="O75" s="343"/>
    </row>
    <row r="76" spans="1:18" s="169" customFormat="1" ht="15" x14ac:dyDescent="0.2">
      <c r="A76" s="338" t="s">
        <v>264</v>
      </c>
      <c r="B76" s="338"/>
      <c r="C76" s="338"/>
      <c r="D76" s="338"/>
      <c r="E76" s="338"/>
      <c r="F76" s="338"/>
      <c r="G76" s="338"/>
      <c r="H76" s="338"/>
      <c r="I76" s="338"/>
      <c r="J76" s="338"/>
      <c r="K76" s="338"/>
      <c r="L76" s="338"/>
      <c r="M76" s="338"/>
      <c r="N76" s="338"/>
      <c r="O76" s="338"/>
    </row>
    <row r="77" spans="1:18" s="169" customFormat="1" ht="30" customHeight="1" x14ac:dyDescent="0.2">
      <c r="A77" s="338" t="s">
        <v>465</v>
      </c>
      <c r="B77" s="338"/>
      <c r="C77" s="338"/>
      <c r="D77" s="338"/>
      <c r="E77" s="338"/>
      <c r="F77" s="338"/>
      <c r="G77" s="338"/>
      <c r="H77" s="338"/>
      <c r="I77" s="338"/>
      <c r="J77" s="338"/>
      <c r="K77" s="338"/>
      <c r="L77" s="338"/>
      <c r="M77" s="338"/>
      <c r="N77" s="338"/>
      <c r="O77" s="338"/>
    </row>
    <row r="78" spans="1:18" s="170" customFormat="1" ht="15" customHeight="1" x14ac:dyDescent="0.3">
      <c r="A78" s="338" t="s">
        <v>466</v>
      </c>
      <c r="B78" s="338"/>
      <c r="C78" s="338"/>
      <c r="D78" s="338"/>
      <c r="E78" s="338"/>
      <c r="F78" s="338"/>
      <c r="G78" s="338"/>
      <c r="H78" s="338"/>
      <c r="I78" s="338"/>
      <c r="J78" s="338"/>
      <c r="K78" s="338"/>
      <c r="L78" s="338"/>
      <c r="M78" s="338"/>
      <c r="N78" s="338"/>
      <c r="O78" s="338"/>
    </row>
    <row r="79" spans="1:18" s="169" customFormat="1" ht="15" customHeight="1" x14ac:dyDescent="0.2">
      <c r="A79" s="338" t="s">
        <v>467</v>
      </c>
      <c r="B79" s="338"/>
      <c r="C79" s="338"/>
      <c r="D79" s="338"/>
      <c r="E79" s="338"/>
      <c r="F79" s="338"/>
      <c r="G79" s="338"/>
      <c r="H79" s="338"/>
      <c r="I79" s="338"/>
      <c r="J79" s="338"/>
      <c r="K79" s="338"/>
      <c r="L79" s="338"/>
      <c r="M79" s="338"/>
      <c r="N79" s="338"/>
      <c r="O79" s="338"/>
    </row>
    <row r="80" spans="1:18" s="171" customFormat="1" ht="15" customHeight="1" x14ac:dyDescent="0.3">
      <c r="A80" s="341" t="s">
        <v>402</v>
      </c>
      <c r="B80" s="341"/>
      <c r="C80" s="341"/>
      <c r="D80" s="341"/>
      <c r="E80" s="341"/>
      <c r="F80" s="341"/>
      <c r="G80" s="341"/>
      <c r="H80" s="341"/>
      <c r="I80" s="341"/>
      <c r="J80" s="341"/>
      <c r="K80" s="341"/>
      <c r="L80" s="341"/>
      <c r="M80" s="341"/>
      <c r="N80" s="341"/>
      <c r="O80" s="341"/>
    </row>
    <row r="81" spans="1:15" s="171" customFormat="1" ht="32.25" customHeight="1" x14ac:dyDescent="0.3">
      <c r="A81" s="338" t="s">
        <v>403</v>
      </c>
      <c r="B81" s="338"/>
      <c r="C81" s="338"/>
      <c r="D81" s="338"/>
      <c r="E81" s="338"/>
      <c r="F81" s="338"/>
      <c r="G81" s="338"/>
      <c r="H81" s="338"/>
      <c r="I81" s="338"/>
      <c r="J81" s="338"/>
      <c r="K81" s="338"/>
      <c r="L81" s="338"/>
      <c r="M81" s="338"/>
      <c r="N81" s="338"/>
      <c r="O81" s="338"/>
    </row>
    <row r="82" spans="1:15" ht="31.5" customHeight="1" x14ac:dyDescent="0.3">
      <c r="A82" s="337" t="s">
        <v>404</v>
      </c>
      <c r="B82" s="337"/>
      <c r="C82" s="337"/>
      <c r="D82" s="337"/>
      <c r="E82" s="337"/>
      <c r="F82" s="337"/>
      <c r="G82" s="337"/>
      <c r="H82" s="337"/>
      <c r="I82" s="337"/>
      <c r="J82" s="337"/>
      <c r="K82" s="337"/>
      <c r="L82" s="337"/>
      <c r="M82" s="337"/>
      <c r="N82" s="337"/>
      <c r="O82" s="337"/>
    </row>
    <row r="83" spans="1:15" ht="30" customHeight="1" x14ac:dyDescent="0.3">
      <c r="A83" s="336" t="s">
        <v>408</v>
      </c>
      <c r="B83" s="336"/>
      <c r="C83" s="336"/>
      <c r="D83" s="336"/>
      <c r="E83" s="336"/>
      <c r="F83" s="336"/>
      <c r="G83" s="336"/>
      <c r="H83" s="336"/>
      <c r="I83" s="336"/>
      <c r="J83" s="336"/>
      <c r="K83" s="336"/>
      <c r="L83" s="336"/>
      <c r="M83" s="336"/>
      <c r="N83" s="336"/>
      <c r="O83" s="336"/>
    </row>
    <row r="84" spans="1:15" ht="32.25" customHeight="1" x14ac:dyDescent="0.3">
      <c r="A84" s="337" t="s">
        <v>405</v>
      </c>
      <c r="B84" s="337"/>
      <c r="C84" s="337"/>
      <c r="D84" s="337"/>
      <c r="E84" s="337"/>
      <c r="F84" s="337"/>
      <c r="G84" s="337"/>
      <c r="H84" s="337"/>
      <c r="I84" s="337"/>
      <c r="J84" s="337"/>
      <c r="K84" s="337"/>
      <c r="L84" s="337"/>
      <c r="M84" s="337"/>
      <c r="N84" s="337"/>
      <c r="O84" s="337"/>
    </row>
    <row r="85" spans="1:15" ht="48" customHeight="1" x14ac:dyDescent="0.3">
      <c r="A85" s="336" t="s">
        <v>477</v>
      </c>
      <c r="B85" s="336"/>
      <c r="C85" s="336"/>
      <c r="D85" s="336"/>
      <c r="E85" s="336"/>
      <c r="F85" s="336"/>
      <c r="G85" s="336"/>
      <c r="H85" s="336"/>
      <c r="I85" s="336"/>
      <c r="J85" s="336"/>
      <c r="K85" s="336"/>
      <c r="L85" s="336"/>
      <c r="M85" s="336"/>
      <c r="N85" s="336"/>
      <c r="O85" s="336"/>
    </row>
    <row r="86" spans="1:15" ht="35.25" customHeight="1" x14ac:dyDescent="0.3">
      <c r="A86" s="338" t="s">
        <v>409</v>
      </c>
      <c r="B86" s="338"/>
      <c r="C86" s="338"/>
      <c r="D86" s="338"/>
      <c r="E86" s="338"/>
      <c r="F86" s="338"/>
      <c r="G86" s="338"/>
      <c r="H86" s="338"/>
      <c r="I86" s="338"/>
      <c r="J86" s="338"/>
      <c r="K86" s="338"/>
      <c r="L86" s="338"/>
      <c r="M86" s="338"/>
      <c r="N86" s="338"/>
      <c r="O86" s="338"/>
    </row>
    <row r="87" spans="1:15" ht="15" x14ac:dyDescent="0.3">
      <c r="A87" s="336"/>
      <c r="B87" s="336"/>
      <c r="C87" s="336"/>
      <c r="D87" s="336"/>
      <c r="E87" s="336"/>
      <c r="F87" s="336"/>
      <c r="G87" s="336"/>
      <c r="H87" s="336"/>
      <c r="I87" s="336"/>
      <c r="J87" s="336"/>
      <c r="K87" s="336"/>
      <c r="L87" s="336"/>
      <c r="M87" s="336"/>
      <c r="N87" s="336"/>
      <c r="O87" s="336"/>
    </row>
    <row r="89" spans="1:15" ht="12.75" customHeight="1" x14ac:dyDescent="0.3">
      <c r="A89" s="338"/>
      <c r="B89" s="338"/>
      <c r="C89" s="338"/>
      <c r="D89" s="338"/>
      <c r="E89" s="338"/>
      <c r="F89" s="338"/>
      <c r="G89" s="338"/>
      <c r="H89" s="338"/>
      <c r="I89" s="338"/>
      <c r="J89" s="338"/>
      <c r="K89" s="338"/>
      <c r="L89" s="338"/>
      <c r="M89" s="338"/>
      <c r="N89" s="338"/>
      <c r="O89" s="338"/>
    </row>
  </sheetData>
  <dataConsolidate/>
  <mergeCells count="21">
    <mergeCell ref="J6:O6"/>
    <mergeCell ref="D7:E7"/>
    <mergeCell ref="A80:O80"/>
    <mergeCell ref="A81:O81"/>
    <mergeCell ref="F7:G7"/>
    <mergeCell ref="H7:I7"/>
    <mergeCell ref="J7:K7"/>
    <mergeCell ref="L7:M7"/>
    <mergeCell ref="N7:O7"/>
    <mergeCell ref="A75:O75"/>
    <mergeCell ref="A76:O76"/>
    <mergeCell ref="A77:O77"/>
    <mergeCell ref="A78:O78"/>
    <mergeCell ref="A79:O79"/>
    <mergeCell ref="A85:O85"/>
    <mergeCell ref="A83:O83"/>
    <mergeCell ref="A82:O82"/>
    <mergeCell ref="A87:O87"/>
    <mergeCell ref="A89:O89"/>
    <mergeCell ref="A84:O84"/>
    <mergeCell ref="A86:O86"/>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85"/>
  <sheetViews>
    <sheetView showGridLines="0" topLeftCell="A3" zoomScaleNormal="100" workbookViewId="0">
      <pane xSplit="3" ySplit="5" topLeftCell="D47" activePane="bottomRight" state="frozen"/>
      <selection activeCell="CS201" sqref="CS201"/>
      <selection pane="topRight" activeCell="CS201" sqref="CS201"/>
      <selection pane="bottomLeft" activeCell="CS201" sqref="CS201"/>
      <selection pane="bottomRight" activeCell="A47" sqref="A47"/>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1" t="s">
        <v>159</v>
      </c>
      <c r="B4" s="190"/>
      <c r="C4" s="190"/>
      <c r="D4" s="135" t="s">
        <v>401</v>
      </c>
      <c r="E4" s="133"/>
      <c r="F4" s="132"/>
      <c r="G4" s="133"/>
      <c r="H4" s="132"/>
      <c r="I4" s="133"/>
      <c r="J4" s="132"/>
      <c r="K4" s="133"/>
      <c r="L4" s="132"/>
      <c r="M4" s="133"/>
      <c r="N4" s="132"/>
      <c r="O4" s="133"/>
    </row>
    <row r="5" spans="1:15" s="136" customFormat="1" ht="17.25" x14ac:dyDescent="0.3">
      <c r="A5" s="189" t="s">
        <v>153</v>
      </c>
      <c r="B5" s="186"/>
      <c r="C5" s="186"/>
      <c r="D5" s="187" t="s">
        <v>160</v>
      </c>
      <c r="E5" s="282"/>
      <c r="F5" s="187"/>
      <c r="G5" s="282"/>
      <c r="H5" s="187"/>
      <c r="I5" s="282"/>
      <c r="J5" s="187"/>
      <c r="K5" s="282"/>
      <c r="L5" s="187"/>
      <c r="M5" s="282"/>
      <c r="N5" s="187"/>
      <c r="O5" s="133"/>
    </row>
    <row r="6" spans="1:15" ht="10.5" customHeight="1" thickBot="1" x14ac:dyDescent="0.35">
      <c r="A6" s="137"/>
      <c r="B6" s="137"/>
      <c r="C6" s="137"/>
      <c r="D6" s="137"/>
      <c r="E6" s="214"/>
      <c r="F6" s="137"/>
      <c r="G6" s="214"/>
      <c r="H6" s="137"/>
      <c r="I6" s="214"/>
      <c r="J6" s="339"/>
      <c r="K6" s="339"/>
      <c r="L6" s="339"/>
      <c r="M6" s="339"/>
      <c r="N6" s="339"/>
      <c r="O6" s="339"/>
    </row>
    <row r="7" spans="1:15" s="141" customFormat="1" ht="60" customHeight="1" thickBot="1" x14ac:dyDescent="0.35">
      <c r="A7" s="226"/>
      <c r="B7" s="227" t="s">
        <v>140</v>
      </c>
      <c r="C7" s="227"/>
      <c r="D7" s="340" t="s">
        <v>468</v>
      </c>
      <c r="E7" s="340"/>
      <c r="F7" s="342" t="s">
        <v>471</v>
      </c>
      <c r="G7" s="342"/>
      <c r="H7" s="342" t="s">
        <v>400</v>
      </c>
      <c r="I7" s="342"/>
      <c r="J7" s="342" t="s">
        <v>399</v>
      </c>
      <c r="K7" s="342"/>
      <c r="L7" s="342" t="s">
        <v>398</v>
      </c>
      <c r="M7" s="342"/>
      <c r="N7" s="342" t="s">
        <v>397</v>
      </c>
      <c r="O7" s="342"/>
    </row>
    <row r="8" spans="1:15" s="146" customFormat="1" ht="15" x14ac:dyDescent="0.25">
      <c r="A8" s="143">
        <v>2008</v>
      </c>
      <c r="B8" s="143"/>
      <c r="C8" s="212"/>
      <c r="D8" s="144">
        <v>21072</v>
      </c>
      <c r="E8" s="145" t="s">
        <v>501</v>
      </c>
      <c r="F8" s="144">
        <v>5494</v>
      </c>
      <c r="G8" s="145" t="s">
        <v>501</v>
      </c>
      <c r="H8" s="144">
        <v>9995</v>
      </c>
      <c r="I8" s="145" t="s">
        <v>501</v>
      </c>
      <c r="J8" s="144">
        <v>4808</v>
      </c>
      <c r="K8" s="145" t="s">
        <v>501</v>
      </c>
      <c r="L8" s="144">
        <v>586</v>
      </c>
      <c r="M8" s="145" t="s">
        <v>501</v>
      </c>
      <c r="N8" s="144">
        <v>189</v>
      </c>
      <c r="O8" s="145" t="s">
        <v>501</v>
      </c>
    </row>
    <row r="9" spans="1:15" s="146" customFormat="1" ht="12.75" customHeight="1" x14ac:dyDescent="0.25">
      <c r="A9" s="143">
        <v>2009</v>
      </c>
      <c r="B9" s="143"/>
      <c r="C9" s="212"/>
      <c r="D9" s="144">
        <v>24011</v>
      </c>
      <c r="E9" s="145" t="s">
        <v>501</v>
      </c>
      <c r="F9" s="144">
        <v>5643</v>
      </c>
      <c r="G9" s="145" t="s">
        <v>501</v>
      </c>
      <c r="H9" s="144">
        <v>13509</v>
      </c>
      <c r="I9" s="145" t="s">
        <v>501</v>
      </c>
      <c r="J9" s="144">
        <v>4019</v>
      </c>
      <c r="K9" s="145" t="s">
        <v>501</v>
      </c>
      <c r="L9" s="144">
        <v>723</v>
      </c>
      <c r="M9" s="145" t="s">
        <v>501</v>
      </c>
      <c r="N9" s="144">
        <v>117</v>
      </c>
      <c r="O9" s="145" t="s">
        <v>501</v>
      </c>
    </row>
    <row r="10" spans="1:15" s="146" customFormat="1" ht="12.75" customHeight="1" x14ac:dyDescent="0.25">
      <c r="A10" s="143">
        <v>2010</v>
      </c>
      <c r="B10" s="143"/>
      <c r="C10" s="212"/>
      <c r="D10" s="144">
        <v>19795</v>
      </c>
      <c r="E10" s="145" t="s">
        <v>501</v>
      </c>
      <c r="F10" s="144">
        <v>4792</v>
      </c>
      <c r="G10" s="145" t="s">
        <v>501</v>
      </c>
      <c r="H10" s="144">
        <v>11506</v>
      </c>
      <c r="I10" s="145" t="s">
        <v>501</v>
      </c>
      <c r="J10" s="144">
        <v>2682</v>
      </c>
      <c r="K10" s="145" t="s">
        <v>501</v>
      </c>
      <c r="L10" s="144">
        <v>766</v>
      </c>
      <c r="M10" s="145" t="s">
        <v>501</v>
      </c>
      <c r="N10" s="144">
        <v>49</v>
      </c>
      <c r="O10" s="145" t="s">
        <v>501</v>
      </c>
    </row>
    <row r="11" spans="1:15" s="146" customFormat="1" ht="12.75" customHeight="1" x14ac:dyDescent="0.25">
      <c r="A11" s="143">
        <v>2011</v>
      </c>
      <c r="B11" s="143"/>
      <c r="C11" s="212"/>
      <c r="D11" s="144">
        <v>20285</v>
      </c>
      <c r="E11" s="145" t="s">
        <v>501</v>
      </c>
      <c r="F11" s="144">
        <v>5003</v>
      </c>
      <c r="G11" s="145" t="s">
        <v>501</v>
      </c>
      <c r="H11" s="144">
        <v>11947</v>
      </c>
      <c r="I11" s="145" t="s">
        <v>501</v>
      </c>
      <c r="J11" s="144">
        <v>2539</v>
      </c>
      <c r="K11" s="145" t="s">
        <v>501</v>
      </c>
      <c r="L11" s="144">
        <v>748</v>
      </c>
      <c r="M11" s="145" t="s">
        <v>501</v>
      </c>
      <c r="N11" s="144">
        <v>48</v>
      </c>
      <c r="O11" s="145" t="s">
        <v>501</v>
      </c>
    </row>
    <row r="12" spans="1:15" s="146" customFormat="1" ht="12.75" customHeight="1" x14ac:dyDescent="0.25">
      <c r="A12" s="143">
        <v>2012</v>
      </c>
      <c r="B12" s="143"/>
      <c r="C12" s="212"/>
      <c r="D12" s="144">
        <v>19349</v>
      </c>
      <c r="E12" s="145" t="s">
        <v>501</v>
      </c>
      <c r="F12" s="144">
        <v>4261</v>
      </c>
      <c r="G12" s="145" t="s">
        <v>501</v>
      </c>
      <c r="H12" s="144">
        <v>11906</v>
      </c>
      <c r="I12" s="145" t="s">
        <v>501</v>
      </c>
      <c r="J12" s="144">
        <v>2334</v>
      </c>
      <c r="K12" s="145" t="s">
        <v>501</v>
      </c>
      <c r="L12" s="144">
        <v>816</v>
      </c>
      <c r="M12" s="145" t="s">
        <v>501</v>
      </c>
      <c r="N12" s="144">
        <v>32</v>
      </c>
      <c r="O12" s="145" t="s">
        <v>501</v>
      </c>
    </row>
    <row r="13" spans="1:15" s="146" customFormat="1" ht="12.75" customHeight="1" x14ac:dyDescent="0.25">
      <c r="A13" s="143">
        <v>2013</v>
      </c>
      <c r="B13" s="143"/>
      <c r="C13" s="212"/>
      <c r="D13" s="144">
        <v>17682</v>
      </c>
      <c r="E13" s="145" t="s">
        <v>501</v>
      </c>
      <c r="F13" s="144">
        <v>3632</v>
      </c>
      <c r="G13" s="145" t="s">
        <v>501</v>
      </c>
      <c r="H13" s="144">
        <v>11453</v>
      </c>
      <c r="I13" s="145" t="s">
        <v>501</v>
      </c>
      <c r="J13" s="144">
        <v>2009</v>
      </c>
      <c r="K13" s="145" t="s">
        <v>501</v>
      </c>
      <c r="L13" s="144">
        <v>571</v>
      </c>
      <c r="M13" s="145" t="s">
        <v>501</v>
      </c>
      <c r="N13" s="144">
        <v>17</v>
      </c>
      <c r="O13" s="145" t="s">
        <v>501</v>
      </c>
    </row>
    <row r="14" spans="1:15" s="146" customFormat="1" ht="12.75" customHeight="1" x14ac:dyDescent="0.25">
      <c r="A14" s="143">
        <v>2014</v>
      </c>
      <c r="B14" s="143"/>
      <c r="C14" s="212"/>
      <c r="D14" s="144">
        <v>16317</v>
      </c>
      <c r="E14" s="145" t="s">
        <v>501</v>
      </c>
      <c r="F14" s="144">
        <v>3755</v>
      </c>
      <c r="G14" s="145" t="s">
        <v>501</v>
      </c>
      <c r="H14" s="144">
        <v>10399</v>
      </c>
      <c r="I14" s="145" t="s">
        <v>501</v>
      </c>
      <c r="J14" s="144">
        <v>1587</v>
      </c>
      <c r="K14" s="145" t="s">
        <v>501</v>
      </c>
      <c r="L14" s="144">
        <v>554</v>
      </c>
      <c r="M14" s="145" t="s">
        <v>501</v>
      </c>
      <c r="N14" s="144">
        <v>22</v>
      </c>
      <c r="O14" s="145" t="s">
        <v>501</v>
      </c>
    </row>
    <row r="15" spans="1:15" s="146" customFormat="1" ht="12.75" customHeight="1" x14ac:dyDescent="0.25">
      <c r="A15" s="143">
        <v>2015</v>
      </c>
      <c r="B15" s="143"/>
      <c r="C15" s="212"/>
      <c r="D15" s="144">
        <v>14661</v>
      </c>
      <c r="E15" s="145" t="s">
        <v>501</v>
      </c>
      <c r="F15" s="144">
        <v>2889</v>
      </c>
      <c r="G15" s="145" t="s">
        <v>501</v>
      </c>
      <c r="H15" s="144">
        <v>9995</v>
      </c>
      <c r="I15" s="145" t="s">
        <v>501</v>
      </c>
      <c r="J15" s="144">
        <v>1402</v>
      </c>
      <c r="K15" s="145" t="s">
        <v>501</v>
      </c>
      <c r="L15" s="144">
        <v>364</v>
      </c>
      <c r="M15" s="145" t="s">
        <v>501</v>
      </c>
      <c r="N15" s="144">
        <v>11</v>
      </c>
      <c r="O15" s="145" t="s">
        <v>501</v>
      </c>
    </row>
    <row r="16" spans="1:15" s="146" customFormat="1" ht="12.75" customHeight="1" x14ac:dyDescent="0.25">
      <c r="A16" s="143">
        <v>2016</v>
      </c>
      <c r="B16" s="143"/>
      <c r="C16" s="212"/>
      <c r="D16" s="144">
        <v>16551</v>
      </c>
      <c r="E16" s="145" t="s">
        <v>279</v>
      </c>
      <c r="F16" s="144">
        <v>2930</v>
      </c>
      <c r="G16" s="145" t="s">
        <v>501</v>
      </c>
      <c r="H16" s="144">
        <v>11893</v>
      </c>
      <c r="I16" s="145" t="s">
        <v>279</v>
      </c>
      <c r="J16" s="144">
        <v>1377</v>
      </c>
      <c r="K16" s="145" t="s">
        <v>279</v>
      </c>
      <c r="L16" s="144">
        <v>346</v>
      </c>
      <c r="M16" s="145" t="s">
        <v>501</v>
      </c>
      <c r="N16" s="144">
        <v>5</v>
      </c>
      <c r="O16" s="145" t="s">
        <v>501</v>
      </c>
    </row>
    <row r="17" spans="1:15" s="146" customFormat="1" ht="12.75" customHeight="1" x14ac:dyDescent="0.25">
      <c r="A17" s="143">
        <v>2017</v>
      </c>
      <c r="B17" s="212" t="s">
        <v>196</v>
      </c>
      <c r="D17" s="144">
        <v>17243</v>
      </c>
      <c r="E17" s="145" t="s">
        <v>501</v>
      </c>
      <c r="F17" s="144">
        <v>2799</v>
      </c>
      <c r="G17" s="145" t="s">
        <v>501</v>
      </c>
      <c r="H17" s="144">
        <v>12861</v>
      </c>
      <c r="I17" s="145" t="s">
        <v>501</v>
      </c>
      <c r="J17" s="144">
        <v>1289</v>
      </c>
      <c r="K17" s="145" t="s">
        <v>501</v>
      </c>
      <c r="L17" s="144">
        <v>292</v>
      </c>
      <c r="M17" s="145" t="s">
        <v>501</v>
      </c>
      <c r="N17" s="144">
        <v>2</v>
      </c>
      <c r="O17" s="145" t="s">
        <v>501</v>
      </c>
    </row>
    <row r="18" spans="1:15" s="142" customFormat="1" ht="12.75" customHeight="1" x14ac:dyDescent="0.25">
      <c r="A18" s="148"/>
      <c r="B18" s="148"/>
      <c r="C18" s="217"/>
      <c r="D18" s="149"/>
      <c r="E18" s="154"/>
      <c r="F18" s="149"/>
      <c r="G18" s="154"/>
      <c r="H18" s="149"/>
      <c r="I18" s="154"/>
      <c r="J18" s="149"/>
      <c r="K18" s="154"/>
      <c r="L18" s="149"/>
      <c r="M18" s="154"/>
      <c r="N18" s="149"/>
      <c r="O18" s="154"/>
    </row>
    <row r="19" spans="1:15" s="142" customFormat="1" ht="12.75" customHeight="1" x14ac:dyDescent="0.25">
      <c r="A19" s="151">
        <v>2008</v>
      </c>
      <c r="B19" s="152" t="s">
        <v>1</v>
      </c>
      <c r="C19" s="218"/>
      <c r="D19" s="153">
        <v>4282</v>
      </c>
      <c r="E19" s="154" t="s">
        <v>501</v>
      </c>
      <c r="F19" s="153">
        <v>1080</v>
      </c>
      <c r="G19" s="154" t="s">
        <v>501</v>
      </c>
      <c r="H19" s="153">
        <v>2189</v>
      </c>
      <c r="I19" s="154" t="s">
        <v>501</v>
      </c>
      <c r="J19" s="153">
        <v>850</v>
      </c>
      <c r="K19" s="154" t="s">
        <v>501</v>
      </c>
      <c r="L19" s="153">
        <v>134</v>
      </c>
      <c r="M19" s="154" t="s">
        <v>501</v>
      </c>
      <c r="N19" s="153">
        <v>29</v>
      </c>
      <c r="O19" s="154" t="s">
        <v>501</v>
      </c>
    </row>
    <row r="20" spans="1:15" s="142" customFormat="1" ht="12.75" customHeight="1" x14ac:dyDescent="0.25">
      <c r="A20" s="151"/>
      <c r="B20" s="152" t="s">
        <v>2</v>
      </c>
      <c r="C20" s="218"/>
      <c r="D20" s="153">
        <v>4638</v>
      </c>
      <c r="E20" s="154" t="s">
        <v>501</v>
      </c>
      <c r="F20" s="153">
        <v>1410</v>
      </c>
      <c r="G20" s="154" t="s">
        <v>501</v>
      </c>
      <c r="H20" s="153">
        <v>2165</v>
      </c>
      <c r="I20" s="154" t="s">
        <v>501</v>
      </c>
      <c r="J20" s="153">
        <v>915</v>
      </c>
      <c r="K20" s="154" t="s">
        <v>501</v>
      </c>
      <c r="L20" s="153">
        <v>123</v>
      </c>
      <c r="M20" s="154" t="s">
        <v>501</v>
      </c>
      <c r="N20" s="153">
        <v>25</v>
      </c>
      <c r="O20" s="154" t="s">
        <v>501</v>
      </c>
    </row>
    <row r="21" spans="1:15" s="142" customFormat="1" ht="12.75" customHeight="1" x14ac:dyDescent="0.25">
      <c r="A21" s="151"/>
      <c r="B21" s="152" t="s">
        <v>3</v>
      </c>
      <c r="C21" s="218"/>
      <c r="D21" s="153">
        <v>6085</v>
      </c>
      <c r="E21" s="154" t="s">
        <v>501</v>
      </c>
      <c r="F21" s="153">
        <v>1467</v>
      </c>
      <c r="G21" s="154" t="s">
        <v>501</v>
      </c>
      <c r="H21" s="153">
        <v>2612</v>
      </c>
      <c r="I21" s="154" t="s">
        <v>501</v>
      </c>
      <c r="J21" s="153">
        <v>1740</v>
      </c>
      <c r="K21" s="154" t="s">
        <v>501</v>
      </c>
      <c r="L21" s="153">
        <v>179</v>
      </c>
      <c r="M21" s="154" t="s">
        <v>501</v>
      </c>
      <c r="N21" s="153">
        <v>87</v>
      </c>
      <c r="O21" s="154" t="s">
        <v>501</v>
      </c>
    </row>
    <row r="22" spans="1:15" s="142" customFormat="1" ht="12.75" customHeight="1" x14ac:dyDescent="0.25">
      <c r="A22" s="151"/>
      <c r="B22" s="152" t="s">
        <v>4</v>
      </c>
      <c r="C22" s="218"/>
      <c r="D22" s="153">
        <v>6067</v>
      </c>
      <c r="E22" s="154" t="s">
        <v>501</v>
      </c>
      <c r="F22" s="153">
        <v>1537</v>
      </c>
      <c r="G22" s="154" t="s">
        <v>501</v>
      </c>
      <c r="H22" s="153">
        <v>3029</v>
      </c>
      <c r="I22" s="154" t="s">
        <v>501</v>
      </c>
      <c r="J22" s="153">
        <v>1303</v>
      </c>
      <c r="K22" s="154" t="s">
        <v>501</v>
      </c>
      <c r="L22" s="153">
        <v>150</v>
      </c>
      <c r="M22" s="154" t="s">
        <v>501</v>
      </c>
      <c r="N22" s="153">
        <v>48</v>
      </c>
      <c r="O22" s="154" t="s">
        <v>501</v>
      </c>
    </row>
    <row r="23" spans="1:15" s="142" customFormat="1" ht="12.75" customHeight="1" x14ac:dyDescent="0.25">
      <c r="A23" s="151"/>
      <c r="B23" s="152"/>
      <c r="C23" s="218"/>
      <c r="D23" s="153"/>
      <c r="E23" s="154"/>
      <c r="F23" s="153"/>
      <c r="G23" s="154"/>
      <c r="H23" s="153"/>
      <c r="I23" s="154"/>
      <c r="J23" s="153"/>
      <c r="K23" s="154"/>
      <c r="L23" s="153"/>
      <c r="M23" s="154"/>
      <c r="N23" s="153"/>
      <c r="O23" s="154"/>
    </row>
    <row r="24" spans="1:15" s="142" customFormat="1" ht="12.75" customHeight="1" x14ac:dyDescent="0.25">
      <c r="A24" s="151">
        <v>2009</v>
      </c>
      <c r="B24" s="152" t="s">
        <v>1</v>
      </c>
      <c r="C24" s="218"/>
      <c r="D24" s="153">
        <v>6736</v>
      </c>
      <c r="E24" s="154" t="s">
        <v>501</v>
      </c>
      <c r="F24" s="153">
        <v>1555</v>
      </c>
      <c r="G24" s="154" t="s">
        <v>501</v>
      </c>
      <c r="H24" s="153">
        <v>3693</v>
      </c>
      <c r="I24" s="154" t="s">
        <v>501</v>
      </c>
      <c r="J24" s="153">
        <v>1301</v>
      </c>
      <c r="K24" s="154" t="s">
        <v>501</v>
      </c>
      <c r="L24" s="153">
        <v>161</v>
      </c>
      <c r="M24" s="154" t="s">
        <v>501</v>
      </c>
      <c r="N24" s="153">
        <v>26</v>
      </c>
      <c r="O24" s="154" t="s">
        <v>501</v>
      </c>
    </row>
    <row r="25" spans="1:15" s="142" customFormat="1" ht="12.75" customHeight="1" x14ac:dyDescent="0.25">
      <c r="A25" s="151"/>
      <c r="B25" s="152" t="s">
        <v>2</v>
      </c>
      <c r="C25" s="218"/>
      <c r="D25" s="153">
        <v>6188</v>
      </c>
      <c r="E25" s="154" t="s">
        <v>501</v>
      </c>
      <c r="F25" s="153">
        <v>1520</v>
      </c>
      <c r="G25" s="154" t="s">
        <v>501</v>
      </c>
      <c r="H25" s="153">
        <v>3499</v>
      </c>
      <c r="I25" s="154" t="s">
        <v>501</v>
      </c>
      <c r="J25" s="153">
        <v>984</v>
      </c>
      <c r="K25" s="154" t="s">
        <v>501</v>
      </c>
      <c r="L25" s="153">
        <v>141</v>
      </c>
      <c r="M25" s="154" t="s">
        <v>501</v>
      </c>
      <c r="N25" s="153">
        <v>44</v>
      </c>
      <c r="O25" s="154" t="s">
        <v>501</v>
      </c>
    </row>
    <row r="26" spans="1:15" s="142" customFormat="1" ht="12.75" customHeight="1" x14ac:dyDescent="0.25">
      <c r="A26" s="151"/>
      <c r="B26" s="152" t="s">
        <v>3</v>
      </c>
      <c r="C26" s="218"/>
      <c r="D26" s="153">
        <v>5653</v>
      </c>
      <c r="E26" s="154" t="s">
        <v>501</v>
      </c>
      <c r="F26" s="153">
        <v>1253</v>
      </c>
      <c r="G26" s="154" t="s">
        <v>501</v>
      </c>
      <c r="H26" s="153">
        <v>3260</v>
      </c>
      <c r="I26" s="154" t="s">
        <v>501</v>
      </c>
      <c r="J26" s="153">
        <v>920</v>
      </c>
      <c r="K26" s="154" t="s">
        <v>501</v>
      </c>
      <c r="L26" s="153">
        <v>203</v>
      </c>
      <c r="M26" s="154" t="s">
        <v>501</v>
      </c>
      <c r="N26" s="153">
        <v>17</v>
      </c>
      <c r="O26" s="154" t="s">
        <v>501</v>
      </c>
    </row>
    <row r="27" spans="1:15" s="142" customFormat="1" ht="12.75" customHeight="1" x14ac:dyDescent="0.25">
      <c r="A27" s="151"/>
      <c r="B27" s="152" t="s">
        <v>4</v>
      </c>
      <c r="C27" s="218"/>
      <c r="D27" s="153">
        <v>5434</v>
      </c>
      <c r="E27" s="154" t="s">
        <v>501</v>
      </c>
      <c r="F27" s="153">
        <v>1315</v>
      </c>
      <c r="G27" s="154" t="s">
        <v>501</v>
      </c>
      <c r="H27" s="153">
        <v>3057</v>
      </c>
      <c r="I27" s="154" t="s">
        <v>501</v>
      </c>
      <c r="J27" s="153">
        <v>814</v>
      </c>
      <c r="K27" s="154" t="s">
        <v>501</v>
      </c>
      <c r="L27" s="153">
        <v>218</v>
      </c>
      <c r="M27" s="154" t="s">
        <v>501</v>
      </c>
      <c r="N27" s="153">
        <v>30</v>
      </c>
      <c r="O27" s="154" t="s">
        <v>501</v>
      </c>
    </row>
    <row r="28" spans="1:15" s="142" customFormat="1" ht="12.75" customHeight="1" x14ac:dyDescent="0.25">
      <c r="A28" s="151"/>
      <c r="B28" s="152"/>
      <c r="C28" s="218"/>
      <c r="D28" s="153"/>
      <c r="E28" s="154"/>
      <c r="F28" s="153"/>
      <c r="G28" s="154"/>
      <c r="H28" s="153"/>
      <c r="I28" s="154"/>
      <c r="J28" s="153"/>
      <c r="K28" s="154"/>
      <c r="L28" s="153"/>
      <c r="M28" s="154"/>
      <c r="N28" s="153"/>
      <c r="O28" s="154"/>
    </row>
    <row r="29" spans="1:15" s="142" customFormat="1" ht="12.75" customHeight="1" x14ac:dyDescent="0.25">
      <c r="A29" s="151">
        <v>2010</v>
      </c>
      <c r="B29" s="152" t="s">
        <v>1</v>
      </c>
      <c r="C29" s="218"/>
      <c r="D29" s="153">
        <v>5382</v>
      </c>
      <c r="E29" s="154" t="s">
        <v>501</v>
      </c>
      <c r="F29" s="153">
        <v>1330</v>
      </c>
      <c r="G29" s="154" t="s">
        <v>501</v>
      </c>
      <c r="H29" s="153">
        <v>3095</v>
      </c>
      <c r="I29" s="154" t="s">
        <v>501</v>
      </c>
      <c r="J29" s="153">
        <v>734</v>
      </c>
      <c r="K29" s="154" t="s">
        <v>501</v>
      </c>
      <c r="L29" s="153">
        <v>209</v>
      </c>
      <c r="M29" s="154" t="s">
        <v>501</v>
      </c>
      <c r="N29" s="153">
        <v>14</v>
      </c>
      <c r="O29" s="154" t="s">
        <v>501</v>
      </c>
    </row>
    <row r="30" spans="1:15" s="142" customFormat="1" ht="12.75" customHeight="1" x14ac:dyDescent="0.25">
      <c r="A30" s="151"/>
      <c r="B30" s="152" t="s">
        <v>2</v>
      </c>
      <c r="C30" s="218"/>
      <c r="D30" s="153">
        <v>4917</v>
      </c>
      <c r="E30" s="154" t="s">
        <v>501</v>
      </c>
      <c r="F30" s="153">
        <v>1185</v>
      </c>
      <c r="G30" s="154" t="s">
        <v>501</v>
      </c>
      <c r="H30" s="153">
        <v>2826</v>
      </c>
      <c r="I30" s="154" t="s">
        <v>501</v>
      </c>
      <c r="J30" s="153">
        <v>677</v>
      </c>
      <c r="K30" s="154" t="s">
        <v>501</v>
      </c>
      <c r="L30" s="153">
        <v>222</v>
      </c>
      <c r="M30" s="154" t="s">
        <v>501</v>
      </c>
      <c r="N30" s="153">
        <v>7</v>
      </c>
      <c r="O30" s="154" t="s">
        <v>501</v>
      </c>
    </row>
    <row r="31" spans="1:15" s="142" customFormat="1" ht="12.75" customHeight="1" x14ac:dyDescent="0.25">
      <c r="A31" s="151"/>
      <c r="B31" s="152" t="s">
        <v>3</v>
      </c>
      <c r="C31" s="218"/>
      <c r="D31" s="153">
        <v>4699</v>
      </c>
      <c r="E31" s="154" t="s">
        <v>501</v>
      </c>
      <c r="F31" s="153">
        <v>1082</v>
      </c>
      <c r="G31" s="154" t="s">
        <v>501</v>
      </c>
      <c r="H31" s="153">
        <v>2821</v>
      </c>
      <c r="I31" s="154" t="s">
        <v>501</v>
      </c>
      <c r="J31" s="153">
        <v>619</v>
      </c>
      <c r="K31" s="154" t="s">
        <v>501</v>
      </c>
      <c r="L31" s="153">
        <v>155</v>
      </c>
      <c r="M31" s="154" t="s">
        <v>501</v>
      </c>
      <c r="N31" s="153">
        <v>22</v>
      </c>
      <c r="O31" s="154" t="s">
        <v>501</v>
      </c>
    </row>
    <row r="32" spans="1:15" s="142" customFormat="1" ht="12.75" customHeight="1" x14ac:dyDescent="0.25">
      <c r="A32" s="151"/>
      <c r="B32" s="152" t="s">
        <v>4</v>
      </c>
      <c r="C32" s="218"/>
      <c r="D32" s="153">
        <v>4797</v>
      </c>
      <c r="E32" s="154" t="s">
        <v>501</v>
      </c>
      <c r="F32" s="153">
        <v>1195</v>
      </c>
      <c r="G32" s="154" t="s">
        <v>501</v>
      </c>
      <c r="H32" s="153">
        <v>2764</v>
      </c>
      <c r="I32" s="154" t="s">
        <v>501</v>
      </c>
      <c r="J32" s="153">
        <v>652</v>
      </c>
      <c r="K32" s="154" t="s">
        <v>501</v>
      </c>
      <c r="L32" s="153">
        <v>180</v>
      </c>
      <c r="M32" s="154" t="s">
        <v>501</v>
      </c>
      <c r="N32" s="153">
        <v>6</v>
      </c>
      <c r="O32" s="154" t="s">
        <v>501</v>
      </c>
    </row>
    <row r="33" spans="1:15" s="142" customFormat="1" ht="12.75" customHeight="1" x14ac:dyDescent="0.25">
      <c r="A33" s="151"/>
      <c r="B33" s="152"/>
      <c r="C33" s="218"/>
      <c r="D33" s="153"/>
      <c r="E33" s="154"/>
      <c r="F33" s="153"/>
      <c r="G33" s="154"/>
      <c r="H33" s="153"/>
      <c r="I33" s="154"/>
      <c r="J33" s="153"/>
      <c r="K33" s="154"/>
      <c r="L33" s="153"/>
      <c r="M33" s="154"/>
      <c r="N33" s="153"/>
      <c r="O33" s="154"/>
    </row>
    <row r="34" spans="1:15" s="142" customFormat="1" ht="12.75" customHeight="1" x14ac:dyDescent="0.25">
      <c r="A34" s="151">
        <v>2011</v>
      </c>
      <c r="B34" s="152" t="s">
        <v>1</v>
      </c>
      <c r="C34" s="218"/>
      <c r="D34" s="153">
        <v>5076</v>
      </c>
      <c r="E34" s="154" t="s">
        <v>501</v>
      </c>
      <c r="F34" s="153">
        <v>1111</v>
      </c>
      <c r="G34" s="154" t="s">
        <v>501</v>
      </c>
      <c r="H34" s="153">
        <v>3130</v>
      </c>
      <c r="I34" s="154" t="s">
        <v>501</v>
      </c>
      <c r="J34" s="153">
        <v>663</v>
      </c>
      <c r="K34" s="154" t="s">
        <v>501</v>
      </c>
      <c r="L34" s="153">
        <v>164</v>
      </c>
      <c r="M34" s="154" t="s">
        <v>501</v>
      </c>
      <c r="N34" s="153">
        <v>8</v>
      </c>
      <c r="O34" s="154" t="s">
        <v>501</v>
      </c>
    </row>
    <row r="35" spans="1:15" s="142" customFormat="1" ht="12.75" customHeight="1" x14ac:dyDescent="0.25">
      <c r="A35" s="151"/>
      <c r="B35" s="152" t="s">
        <v>2</v>
      </c>
      <c r="C35" s="218"/>
      <c r="D35" s="153">
        <v>5164</v>
      </c>
      <c r="E35" s="154" t="s">
        <v>501</v>
      </c>
      <c r="F35" s="153">
        <v>1317</v>
      </c>
      <c r="G35" s="154" t="s">
        <v>501</v>
      </c>
      <c r="H35" s="153">
        <v>3011</v>
      </c>
      <c r="I35" s="154" t="s">
        <v>501</v>
      </c>
      <c r="J35" s="153">
        <v>644</v>
      </c>
      <c r="K35" s="154" t="s">
        <v>501</v>
      </c>
      <c r="L35" s="153">
        <v>183</v>
      </c>
      <c r="M35" s="154" t="s">
        <v>501</v>
      </c>
      <c r="N35" s="153">
        <v>9</v>
      </c>
      <c r="O35" s="154" t="s">
        <v>501</v>
      </c>
    </row>
    <row r="36" spans="1:15" s="142" customFormat="1" ht="12.75" customHeight="1" x14ac:dyDescent="0.25">
      <c r="A36" s="151"/>
      <c r="B36" s="152" t="s">
        <v>3</v>
      </c>
      <c r="C36" s="218"/>
      <c r="D36" s="153">
        <v>4951</v>
      </c>
      <c r="E36" s="154" t="s">
        <v>501</v>
      </c>
      <c r="F36" s="153">
        <v>1149</v>
      </c>
      <c r="G36" s="154" t="s">
        <v>501</v>
      </c>
      <c r="H36" s="153">
        <v>2967</v>
      </c>
      <c r="I36" s="154" t="s">
        <v>501</v>
      </c>
      <c r="J36" s="153">
        <v>613</v>
      </c>
      <c r="K36" s="154" t="s">
        <v>501</v>
      </c>
      <c r="L36" s="153">
        <v>209</v>
      </c>
      <c r="M36" s="154" t="s">
        <v>501</v>
      </c>
      <c r="N36" s="153">
        <v>13</v>
      </c>
      <c r="O36" s="154" t="s">
        <v>501</v>
      </c>
    </row>
    <row r="37" spans="1:15" s="142" customFormat="1" ht="12.75" customHeight="1" x14ac:dyDescent="0.25">
      <c r="A37" s="151"/>
      <c r="B37" s="152" t="s">
        <v>4</v>
      </c>
      <c r="C37" s="218"/>
      <c r="D37" s="153">
        <v>5094</v>
      </c>
      <c r="E37" s="154" t="s">
        <v>501</v>
      </c>
      <c r="F37" s="153">
        <v>1426</v>
      </c>
      <c r="G37" s="154" t="s">
        <v>501</v>
      </c>
      <c r="H37" s="153">
        <v>2839</v>
      </c>
      <c r="I37" s="154" t="s">
        <v>501</v>
      </c>
      <c r="J37" s="153">
        <v>619</v>
      </c>
      <c r="K37" s="154" t="s">
        <v>501</v>
      </c>
      <c r="L37" s="153">
        <v>192</v>
      </c>
      <c r="M37" s="154" t="s">
        <v>501</v>
      </c>
      <c r="N37" s="153">
        <v>18</v>
      </c>
      <c r="O37" s="154" t="s">
        <v>501</v>
      </c>
    </row>
    <row r="38" spans="1:15" s="142" customFormat="1" ht="12.75" customHeight="1" x14ac:dyDescent="0.25">
      <c r="A38" s="151"/>
      <c r="B38" s="152"/>
      <c r="C38" s="218"/>
      <c r="D38" s="153"/>
      <c r="E38" s="154"/>
      <c r="F38" s="153"/>
      <c r="G38" s="154"/>
      <c r="H38" s="153"/>
      <c r="I38" s="154"/>
      <c r="J38" s="153"/>
      <c r="K38" s="154"/>
      <c r="L38" s="153"/>
      <c r="M38" s="154"/>
      <c r="N38" s="153"/>
      <c r="O38" s="154"/>
    </row>
    <row r="39" spans="1:15" s="142" customFormat="1" ht="12.75" customHeight="1" x14ac:dyDescent="0.25">
      <c r="A39" s="151">
        <v>2012</v>
      </c>
      <c r="B39" s="152" t="s">
        <v>1</v>
      </c>
      <c r="C39" s="218"/>
      <c r="D39" s="153">
        <v>5452</v>
      </c>
      <c r="E39" s="154" t="s">
        <v>501</v>
      </c>
      <c r="F39" s="153">
        <v>1233</v>
      </c>
      <c r="G39" s="154" t="s">
        <v>501</v>
      </c>
      <c r="H39" s="153">
        <v>3299</v>
      </c>
      <c r="I39" s="154" t="s">
        <v>501</v>
      </c>
      <c r="J39" s="153">
        <v>733</v>
      </c>
      <c r="K39" s="154" t="s">
        <v>501</v>
      </c>
      <c r="L39" s="153">
        <v>176</v>
      </c>
      <c r="M39" s="154" t="s">
        <v>501</v>
      </c>
      <c r="N39" s="153">
        <v>11</v>
      </c>
      <c r="O39" s="154" t="s">
        <v>501</v>
      </c>
    </row>
    <row r="40" spans="1:15" s="142" customFormat="1" ht="12.75" customHeight="1" x14ac:dyDescent="0.25">
      <c r="A40" s="151"/>
      <c r="B40" s="152" t="s">
        <v>2</v>
      </c>
      <c r="C40" s="218"/>
      <c r="D40" s="153">
        <v>4891</v>
      </c>
      <c r="E40" s="154" t="s">
        <v>501</v>
      </c>
      <c r="F40" s="153">
        <v>1031</v>
      </c>
      <c r="G40" s="154" t="s">
        <v>501</v>
      </c>
      <c r="H40" s="153">
        <v>2969</v>
      </c>
      <c r="I40" s="154" t="s">
        <v>501</v>
      </c>
      <c r="J40" s="153">
        <v>558</v>
      </c>
      <c r="K40" s="154" t="s">
        <v>501</v>
      </c>
      <c r="L40" s="153">
        <v>325</v>
      </c>
      <c r="M40" s="154" t="s">
        <v>501</v>
      </c>
      <c r="N40" s="153">
        <v>8</v>
      </c>
      <c r="O40" s="154" t="s">
        <v>501</v>
      </c>
    </row>
    <row r="41" spans="1:15" s="142" customFormat="1" ht="12.75" customHeight="1" x14ac:dyDescent="0.25">
      <c r="A41" s="151"/>
      <c r="B41" s="152" t="s">
        <v>3</v>
      </c>
      <c r="C41" s="218"/>
      <c r="D41" s="153">
        <v>4603</v>
      </c>
      <c r="E41" s="154" t="s">
        <v>501</v>
      </c>
      <c r="F41" s="153">
        <v>1043</v>
      </c>
      <c r="G41" s="154" t="s">
        <v>501</v>
      </c>
      <c r="H41" s="153">
        <v>2875</v>
      </c>
      <c r="I41" s="154" t="s">
        <v>501</v>
      </c>
      <c r="J41" s="153">
        <v>511</v>
      </c>
      <c r="K41" s="154" t="s">
        <v>501</v>
      </c>
      <c r="L41" s="153">
        <v>165</v>
      </c>
      <c r="M41" s="154" t="s">
        <v>501</v>
      </c>
      <c r="N41" s="153">
        <v>9</v>
      </c>
      <c r="O41" s="154" t="s">
        <v>501</v>
      </c>
    </row>
    <row r="42" spans="1:15" s="142" customFormat="1" ht="12.75" customHeight="1" x14ac:dyDescent="0.25">
      <c r="A42" s="151"/>
      <c r="B42" s="152" t="s">
        <v>4</v>
      </c>
      <c r="C42" s="218"/>
      <c r="D42" s="153">
        <v>4403</v>
      </c>
      <c r="E42" s="154" t="s">
        <v>501</v>
      </c>
      <c r="F42" s="153">
        <v>954</v>
      </c>
      <c r="G42" s="154" t="s">
        <v>501</v>
      </c>
      <c r="H42" s="153">
        <v>2763</v>
      </c>
      <c r="I42" s="154" t="s">
        <v>501</v>
      </c>
      <c r="J42" s="153">
        <v>532</v>
      </c>
      <c r="K42" s="154" t="s">
        <v>501</v>
      </c>
      <c r="L42" s="153">
        <v>150</v>
      </c>
      <c r="M42" s="154" t="s">
        <v>501</v>
      </c>
      <c r="N42" s="153">
        <v>4</v>
      </c>
      <c r="O42" s="154" t="s">
        <v>501</v>
      </c>
    </row>
    <row r="43" spans="1:15" s="142" customFormat="1" ht="12.75" customHeight="1" x14ac:dyDescent="0.25">
      <c r="A43" s="151"/>
      <c r="B43" s="152"/>
      <c r="C43" s="218"/>
      <c r="D43" s="153"/>
      <c r="E43" s="154"/>
      <c r="F43" s="153"/>
      <c r="G43" s="154"/>
      <c r="H43" s="153"/>
      <c r="I43" s="154"/>
      <c r="J43" s="153"/>
      <c r="K43" s="154"/>
      <c r="L43" s="153"/>
      <c r="M43" s="154"/>
      <c r="N43" s="153"/>
      <c r="O43" s="154"/>
    </row>
    <row r="44" spans="1:15" s="142" customFormat="1" ht="12.75" customHeight="1" x14ac:dyDescent="0.25">
      <c r="A44" s="151">
        <v>2013</v>
      </c>
      <c r="B44" s="152" t="s">
        <v>1</v>
      </c>
      <c r="C44" s="218"/>
      <c r="D44" s="153">
        <v>4584</v>
      </c>
      <c r="E44" s="154" t="s">
        <v>501</v>
      </c>
      <c r="F44" s="153">
        <v>973</v>
      </c>
      <c r="G44" s="154" t="s">
        <v>501</v>
      </c>
      <c r="H44" s="153">
        <v>2916</v>
      </c>
      <c r="I44" s="154" t="s">
        <v>501</v>
      </c>
      <c r="J44" s="153">
        <v>553</v>
      </c>
      <c r="K44" s="154" t="s">
        <v>501</v>
      </c>
      <c r="L44" s="153">
        <v>138</v>
      </c>
      <c r="M44" s="154" t="s">
        <v>501</v>
      </c>
      <c r="N44" s="153">
        <v>4</v>
      </c>
      <c r="O44" s="154" t="s">
        <v>501</v>
      </c>
    </row>
    <row r="45" spans="1:15" s="142" customFormat="1" ht="12.75" customHeight="1" x14ac:dyDescent="0.25">
      <c r="A45" s="151"/>
      <c r="B45" s="152" t="s">
        <v>2</v>
      </c>
      <c r="C45" s="218"/>
      <c r="D45" s="153">
        <v>4702</v>
      </c>
      <c r="E45" s="154" t="s">
        <v>501</v>
      </c>
      <c r="F45" s="153">
        <v>1039</v>
      </c>
      <c r="G45" s="154" t="s">
        <v>501</v>
      </c>
      <c r="H45" s="153">
        <v>3009</v>
      </c>
      <c r="I45" s="154" t="s">
        <v>501</v>
      </c>
      <c r="J45" s="153">
        <v>492</v>
      </c>
      <c r="K45" s="154" t="s">
        <v>501</v>
      </c>
      <c r="L45" s="153">
        <v>155</v>
      </c>
      <c r="M45" s="154" t="s">
        <v>501</v>
      </c>
      <c r="N45" s="153">
        <v>7</v>
      </c>
      <c r="O45" s="154" t="s">
        <v>501</v>
      </c>
    </row>
    <row r="46" spans="1:15" s="142" customFormat="1" ht="12.75" customHeight="1" x14ac:dyDescent="0.25">
      <c r="A46" s="151"/>
      <c r="B46" s="152" t="s">
        <v>3</v>
      </c>
      <c r="C46" s="218"/>
      <c r="D46" s="153">
        <v>4309</v>
      </c>
      <c r="E46" s="154" t="s">
        <v>501</v>
      </c>
      <c r="F46" s="153">
        <v>921</v>
      </c>
      <c r="G46" s="154" t="s">
        <v>501</v>
      </c>
      <c r="H46" s="153">
        <v>2775</v>
      </c>
      <c r="I46" s="154" t="s">
        <v>501</v>
      </c>
      <c r="J46" s="153">
        <v>465</v>
      </c>
      <c r="K46" s="154" t="s">
        <v>501</v>
      </c>
      <c r="L46" s="153">
        <v>144</v>
      </c>
      <c r="M46" s="154" t="s">
        <v>501</v>
      </c>
      <c r="N46" s="153">
        <v>4</v>
      </c>
      <c r="O46" s="154" t="s">
        <v>501</v>
      </c>
    </row>
    <row r="47" spans="1:15" s="142" customFormat="1" ht="12.75" customHeight="1" x14ac:dyDescent="0.25">
      <c r="A47" s="151"/>
      <c r="B47" s="152" t="s">
        <v>4</v>
      </c>
      <c r="C47" s="218"/>
      <c r="D47" s="153">
        <v>4087</v>
      </c>
      <c r="E47" s="154" t="s">
        <v>501</v>
      </c>
      <c r="F47" s="153">
        <v>699</v>
      </c>
      <c r="G47" s="154" t="s">
        <v>501</v>
      </c>
      <c r="H47" s="153">
        <v>2753</v>
      </c>
      <c r="I47" s="154" t="s">
        <v>501</v>
      </c>
      <c r="J47" s="153">
        <v>499</v>
      </c>
      <c r="K47" s="154" t="s">
        <v>501</v>
      </c>
      <c r="L47" s="153">
        <v>134</v>
      </c>
      <c r="M47" s="154" t="s">
        <v>501</v>
      </c>
      <c r="N47" s="153">
        <v>2</v>
      </c>
      <c r="O47" s="154" t="s">
        <v>501</v>
      </c>
    </row>
    <row r="48" spans="1:15" s="142" customFormat="1" ht="12.75" customHeight="1" x14ac:dyDescent="0.25">
      <c r="A48" s="151"/>
      <c r="B48" s="152"/>
      <c r="C48" s="218"/>
      <c r="D48" s="153"/>
      <c r="E48" s="154"/>
      <c r="F48" s="153"/>
      <c r="G48" s="154"/>
      <c r="H48" s="153"/>
      <c r="I48" s="154"/>
      <c r="J48" s="153"/>
      <c r="K48" s="154"/>
      <c r="L48" s="153"/>
      <c r="M48" s="154"/>
      <c r="N48" s="153"/>
      <c r="O48" s="154"/>
    </row>
    <row r="49" spans="1:15" s="142" customFormat="1" ht="12.75" customHeight="1" x14ac:dyDescent="0.25">
      <c r="A49" s="151">
        <v>2014</v>
      </c>
      <c r="B49" s="152" t="s">
        <v>1</v>
      </c>
      <c r="C49" s="218"/>
      <c r="D49" s="153">
        <v>4577</v>
      </c>
      <c r="E49" s="154" t="s">
        <v>501</v>
      </c>
      <c r="F49" s="153">
        <v>1075</v>
      </c>
      <c r="G49" s="154" t="s">
        <v>501</v>
      </c>
      <c r="H49" s="153">
        <v>2867</v>
      </c>
      <c r="I49" s="154" t="s">
        <v>501</v>
      </c>
      <c r="J49" s="153">
        <v>490</v>
      </c>
      <c r="K49" s="154" t="s">
        <v>501</v>
      </c>
      <c r="L49" s="153">
        <v>134</v>
      </c>
      <c r="M49" s="154" t="s">
        <v>501</v>
      </c>
      <c r="N49" s="153">
        <v>11</v>
      </c>
      <c r="O49" s="154" t="s">
        <v>501</v>
      </c>
    </row>
    <row r="50" spans="1:15" s="142" customFormat="1" ht="12.75" customHeight="1" x14ac:dyDescent="0.25">
      <c r="A50" s="151"/>
      <c r="B50" s="152" t="s">
        <v>2</v>
      </c>
      <c r="C50" s="218"/>
      <c r="D50" s="153">
        <v>4033</v>
      </c>
      <c r="E50" s="154" t="s">
        <v>501</v>
      </c>
      <c r="F50" s="153">
        <v>983</v>
      </c>
      <c r="G50" s="154" t="s">
        <v>501</v>
      </c>
      <c r="H50" s="153">
        <v>2537</v>
      </c>
      <c r="I50" s="154" t="s">
        <v>501</v>
      </c>
      <c r="J50" s="153">
        <v>355</v>
      </c>
      <c r="K50" s="154" t="s">
        <v>501</v>
      </c>
      <c r="L50" s="153">
        <v>151</v>
      </c>
      <c r="M50" s="154" t="s">
        <v>501</v>
      </c>
      <c r="N50" s="153">
        <v>7</v>
      </c>
      <c r="O50" s="154" t="s">
        <v>501</v>
      </c>
    </row>
    <row r="51" spans="1:15" s="142" customFormat="1" ht="12.75" customHeight="1" x14ac:dyDescent="0.25">
      <c r="A51" s="151"/>
      <c r="B51" s="152" t="s">
        <v>3</v>
      </c>
      <c r="C51" s="218"/>
      <c r="D51" s="153">
        <v>3862</v>
      </c>
      <c r="E51" s="154" t="s">
        <v>501</v>
      </c>
      <c r="F51" s="153">
        <v>864</v>
      </c>
      <c r="G51" s="154" t="s">
        <v>501</v>
      </c>
      <c r="H51" s="153">
        <v>2502</v>
      </c>
      <c r="I51" s="154" t="s">
        <v>501</v>
      </c>
      <c r="J51" s="153">
        <v>363</v>
      </c>
      <c r="K51" s="154" t="s">
        <v>501</v>
      </c>
      <c r="L51" s="153">
        <v>132</v>
      </c>
      <c r="M51" s="154" t="s">
        <v>501</v>
      </c>
      <c r="N51" s="153">
        <v>1</v>
      </c>
      <c r="O51" s="154" t="s">
        <v>501</v>
      </c>
    </row>
    <row r="52" spans="1:15" s="142" customFormat="1" ht="12.75" customHeight="1" x14ac:dyDescent="0.25">
      <c r="A52" s="151"/>
      <c r="B52" s="152" t="s">
        <v>4</v>
      </c>
      <c r="C52" s="218"/>
      <c r="D52" s="153">
        <v>3845</v>
      </c>
      <c r="E52" s="154" t="s">
        <v>501</v>
      </c>
      <c r="F52" s="153">
        <v>833</v>
      </c>
      <c r="G52" s="154" t="s">
        <v>501</v>
      </c>
      <c r="H52" s="153">
        <v>2493</v>
      </c>
      <c r="I52" s="154" t="s">
        <v>501</v>
      </c>
      <c r="J52" s="153">
        <v>379</v>
      </c>
      <c r="K52" s="154" t="s">
        <v>501</v>
      </c>
      <c r="L52" s="153">
        <v>137</v>
      </c>
      <c r="M52" s="154" t="s">
        <v>501</v>
      </c>
      <c r="N52" s="153">
        <v>3</v>
      </c>
      <c r="O52" s="154" t="s">
        <v>501</v>
      </c>
    </row>
    <row r="53" spans="1:15" s="142" customFormat="1" ht="12.75" customHeight="1" x14ac:dyDescent="0.25">
      <c r="A53" s="151"/>
      <c r="B53" s="152"/>
      <c r="C53" s="218"/>
      <c r="D53" s="153"/>
      <c r="E53" s="154"/>
      <c r="F53" s="153"/>
      <c r="G53" s="154"/>
      <c r="H53" s="153"/>
      <c r="I53" s="154"/>
      <c r="J53" s="153"/>
      <c r="K53" s="154"/>
      <c r="L53" s="153"/>
      <c r="M53" s="154"/>
      <c r="N53" s="153"/>
      <c r="O53" s="154"/>
    </row>
    <row r="54" spans="1:15" s="142" customFormat="1" ht="12.75" customHeight="1" x14ac:dyDescent="0.25">
      <c r="A54" s="151">
        <v>2015</v>
      </c>
      <c r="B54" s="152" t="s">
        <v>1</v>
      </c>
      <c r="C54" s="218"/>
      <c r="D54" s="153">
        <v>4013</v>
      </c>
      <c r="E54" s="154" t="s">
        <v>501</v>
      </c>
      <c r="F54" s="153">
        <v>908</v>
      </c>
      <c r="G54" s="154" t="s">
        <v>501</v>
      </c>
      <c r="H54" s="153">
        <v>2663</v>
      </c>
      <c r="I54" s="154" t="s">
        <v>501</v>
      </c>
      <c r="J54" s="153">
        <v>354</v>
      </c>
      <c r="K54" s="154" t="s">
        <v>501</v>
      </c>
      <c r="L54" s="153">
        <v>87</v>
      </c>
      <c r="M54" s="154" t="s">
        <v>501</v>
      </c>
      <c r="N54" s="153">
        <v>1</v>
      </c>
      <c r="O54" s="154" t="s">
        <v>501</v>
      </c>
    </row>
    <row r="55" spans="1:15" s="142" customFormat="1" ht="12.75" customHeight="1" x14ac:dyDescent="0.25">
      <c r="A55" s="151"/>
      <c r="B55" s="152" t="s">
        <v>2</v>
      </c>
      <c r="C55" s="218"/>
      <c r="D55" s="153">
        <v>3652</v>
      </c>
      <c r="E55" s="154" t="s">
        <v>501</v>
      </c>
      <c r="F55" s="153">
        <v>770</v>
      </c>
      <c r="G55" s="154" t="s">
        <v>501</v>
      </c>
      <c r="H55" s="153">
        <v>2433</v>
      </c>
      <c r="I55" s="154" t="s">
        <v>501</v>
      </c>
      <c r="J55" s="153">
        <v>357</v>
      </c>
      <c r="K55" s="154" t="s">
        <v>501</v>
      </c>
      <c r="L55" s="153">
        <v>85</v>
      </c>
      <c r="M55" s="154" t="s">
        <v>501</v>
      </c>
      <c r="N55" s="153">
        <v>7</v>
      </c>
      <c r="O55" s="154" t="s">
        <v>501</v>
      </c>
    </row>
    <row r="56" spans="1:15" s="142" customFormat="1" ht="12.75" customHeight="1" x14ac:dyDescent="0.25">
      <c r="A56" s="151"/>
      <c r="B56" s="152" t="s">
        <v>3</v>
      </c>
      <c r="C56" s="218"/>
      <c r="D56" s="153">
        <v>3525</v>
      </c>
      <c r="E56" s="154" t="s">
        <v>501</v>
      </c>
      <c r="F56" s="153">
        <v>617</v>
      </c>
      <c r="G56" s="154" t="s">
        <v>501</v>
      </c>
      <c r="H56" s="153">
        <v>2461</v>
      </c>
      <c r="I56" s="154" t="s">
        <v>501</v>
      </c>
      <c r="J56" s="153">
        <v>336</v>
      </c>
      <c r="K56" s="154" t="s">
        <v>501</v>
      </c>
      <c r="L56" s="153">
        <v>110</v>
      </c>
      <c r="M56" s="154" t="s">
        <v>501</v>
      </c>
      <c r="N56" s="153">
        <v>1</v>
      </c>
      <c r="O56" s="154" t="s">
        <v>501</v>
      </c>
    </row>
    <row r="57" spans="1:15" s="142" customFormat="1" ht="12.75" customHeight="1" x14ac:dyDescent="0.25">
      <c r="A57" s="151"/>
      <c r="B57" s="152" t="s">
        <v>4</v>
      </c>
      <c r="C57" s="218"/>
      <c r="D57" s="153">
        <v>3471</v>
      </c>
      <c r="E57" s="154" t="s">
        <v>501</v>
      </c>
      <c r="F57" s="153">
        <v>594</v>
      </c>
      <c r="G57" s="154" t="s">
        <v>501</v>
      </c>
      <c r="H57" s="153">
        <v>2438</v>
      </c>
      <c r="I57" s="154" t="s">
        <v>501</v>
      </c>
      <c r="J57" s="153">
        <v>355</v>
      </c>
      <c r="K57" s="154" t="s">
        <v>501</v>
      </c>
      <c r="L57" s="153">
        <v>82</v>
      </c>
      <c r="M57" s="154" t="s">
        <v>501</v>
      </c>
      <c r="N57" s="153">
        <v>2</v>
      </c>
      <c r="O57" s="154" t="s">
        <v>501</v>
      </c>
    </row>
    <row r="58" spans="1:15" s="142" customFormat="1" ht="12.75" customHeight="1" x14ac:dyDescent="0.25">
      <c r="A58" s="151"/>
      <c r="B58" s="152"/>
      <c r="C58" s="218"/>
      <c r="D58" s="153"/>
      <c r="E58" s="154"/>
      <c r="F58" s="153"/>
      <c r="G58" s="154"/>
      <c r="H58" s="153"/>
      <c r="I58" s="154"/>
      <c r="J58" s="153"/>
      <c r="K58" s="154"/>
      <c r="L58" s="153"/>
      <c r="M58" s="154"/>
      <c r="N58" s="153"/>
      <c r="O58" s="154"/>
    </row>
    <row r="59" spans="1:15" s="142" customFormat="1" ht="12.75" customHeight="1" x14ac:dyDescent="0.25">
      <c r="A59" s="151">
        <v>2016</v>
      </c>
      <c r="B59" s="152" t="s">
        <v>1</v>
      </c>
      <c r="C59" s="218"/>
      <c r="D59" s="153">
        <v>3846</v>
      </c>
      <c r="E59" s="154" t="s">
        <v>279</v>
      </c>
      <c r="F59" s="153">
        <v>813</v>
      </c>
      <c r="G59" s="154" t="s">
        <v>501</v>
      </c>
      <c r="H59" s="153">
        <v>2625</v>
      </c>
      <c r="I59" s="154" t="s">
        <v>279</v>
      </c>
      <c r="J59" s="153">
        <v>323</v>
      </c>
      <c r="K59" s="154" t="s">
        <v>279</v>
      </c>
      <c r="L59" s="153">
        <v>85</v>
      </c>
      <c r="M59" s="154" t="s">
        <v>501</v>
      </c>
      <c r="N59" s="153">
        <v>0</v>
      </c>
      <c r="O59" s="154" t="s">
        <v>501</v>
      </c>
    </row>
    <row r="60" spans="1:15" s="142" customFormat="1" ht="12.75" customHeight="1" x14ac:dyDescent="0.25">
      <c r="A60" s="151"/>
      <c r="B60" s="152" t="s">
        <v>2</v>
      </c>
      <c r="C60" s="218"/>
      <c r="D60" s="153">
        <v>3599</v>
      </c>
      <c r="E60" s="154" t="s">
        <v>501</v>
      </c>
      <c r="F60" s="153">
        <v>671</v>
      </c>
      <c r="G60" s="154" t="s">
        <v>501</v>
      </c>
      <c r="H60" s="153">
        <v>2488</v>
      </c>
      <c r="I60" s="154" t="s">
        <v>501</v>
      </c>
      <c r="J60" s="153">
        <v>331</v>
      </c>
      <c r="K60" s="154" t="s">
        <v>501</v>
      </c>
      <c r="L60" s="153">
        <v>109</v>
      </c>
      <c r="M60" s="154" t="s">
        <v>501</v>
      </c>
      <c r="N60" s="153">
        <v>0</v>
      </c>
      <c r="O60" s="154" t="s">
        <v>501</v>
      </c>
    </row>
    <row r="61" spans="1:15" s="142" customFormat="1" ht="12.75" customHeight="1" x14ac:dyDescent="0.25">
      <c r="A61" s="151"/>
      <c r="B61" s="152" t="s">
        <v>3</v>
      </c>
      <c r="C61" s="218"/>
      <c r="D61" s="153">
        <v>3571</v>
      </c>
      <c r="E61" s="154" t="s">
        <v>501</v>
      </c>
      <c r="F61" s="153">
        <v>636</v>
      </c>
      <c r="G61" s="154" t="s">
        <v>501</v>
      </c>
      <c r="H61" s="153">
        <v>2502</v>
      </c>
      <c r="I61" s="154" t="s">
        <v>501</v>
      </c>
      <c r="J61" s="153">
        <v>358</v>
      </c>
      <c r="K61" s="154" t="s">
        <v>501</v>
      </c>
      <c r="L61" s="153">
        <v>70</v>
      </c>
      <c r="M61" s="154" t="s">
        <v>501</v>
      </c>
      <c r="N61" s="153">
        <v>5</v>
      </c>
      <c r="O61" s="154" t="s">
        <v>501</v>
      </c>
    </row>
    <row r="62" spans="1:15" s="142" customFormat="1" ht="12.75" customHeight="1" x14ac:dyDescent="0.25">
      <c r="A62" s="151"/>
      <c r="B62" s="152" t="s">
        <v>4</v>
      </c>
      <c r="C62" s="218"/>
      <c r="D62" s="153">
        <v>5535</v>
      </c>
      <c r="E62" s="154" t="s">
        <v>279</v>
      </c>
      <c r="F62" s="153">
        <v>810</v>
      </c>
      <c r="G62" s="154" t="s">
        <v>501</v>
      </c>
      <c r="H62" s="153">
        <v>4278</v>
      </c>
      <c r="I62" s="154" t="s">
        <v>279</v>
      </c>
      <c r="J62" s="153">
        <v>365</v>
      </c>
      <c r="K62" s="154" t="s">
        <v>279</v>
      </c>
      <c r="L62" s="153">
        <v>82</v>
      </c>
      <c r="M62" s="154" t="s">
        <v>501</v>
      </c>
      <c r="N62" s="153">
        <v>0</v>
      </c>
      <c r="O62" s="154" t="s">
        <v>501</v>
      </c>
    </row>
    <row r="63" spans="1:15" s="142" customFormat="1" ht="12.75" customHeight="1" x14ac:dyDescent="0.25">
      <c r="A63" s="151"/>
      <c r="B63" s="152"/>
      <c r="C63" s="218"/>
      <c r="D63" s="153"/>
      <c r="E63" s="154"/>
      <c r="F63" s="153"/>
      <c r="G63" s="154"/>
      <c r="H63" s="153"/>
      <c r="I63" s="154"/>
      <c r="J63" s="153"/>
      <c r="K63" s="154"/>
      <c r="L63" s="153"/>
      <c r="M63" s="154"/>
      <c r="N63" s="153"/>
      <c r="O63" s="154"/>
    </row>
    <row r="64" spans="1:15" s="142" customFormat="1" ht="12.75" customHeight="1" x14ac:dyDescent="0.25">
      <c r="A64" s="151">
        <v>2017</v>
      </c>
      <c r="B64" s="152" t="s">
        <v>1</v>
      </c>
      <c r="C64" s="218" t="s">
        <v>196</v>
      </c>
      <c r="D64" s="153">
        <v>4222</v>
      </c>
      <c r="E64" s="154" t="s">
        <v>501</v>
      </c>
      <c r="F64" s="153">
        <v>838</v>
      </c>
      <c r="G64" s="154" t="s">
        <v>501</v>
      </c>
      <c r="H64" s="153">
        <v>2943</v>
      </c>
      <c r="I64" s="154" t="s">
        <v>501</v>
      </c>
      <c r="J64" s="153">
        <v>360</v>
      </c>
      <c r="K64" s="154" t="s">
        <v>501</v>
      </c>
      <c r="L64" s="153">
        <v>79</v>
      </c>
      <c r="M64" s="154" t="s">
        <v>501</v>
      </c>
      <c r="N64" s="153">
        <v>2</v>
      </c>
      <c r="O64" s="154" t="s">
        <v>501</v>
      </c>
    </row>
    <row r="65" spans="1:15" s="142" customFormat="1" ht="12.75" customHeight="1" x14ac:dyDescent="0.25">
      <c r="A65" s="151"/>
      <c r="B65" s="152" t="s">
        <v>2</v>
      </c>
      <c r="C65" s="218" t="s">
        <v>196</v>
      </c>
      <c r="D65" s="153">
        <v>4651</v>
      </c>
      <c r="E65" s="154" t="s">
        <v>279</v>
      </c>
      <c r="F65" s="153">
        <v>681</v>
      </c>
      <c r="G65" s="154" t="s">
        <v>279</v>
      </c>
      <c r="H65" s="153">
        <v>3579</v>
      </c>
      <c r="I65" s="154" t="s">
        <v>279</v>
      </c>
      <c r="J65" s="153">
        <v>308</v>
      </c>
      <c r="K65" s="154" t="s">
        <v>279</v>
      </c>
      <c r="L65" s="153">
        <v>83</v>
      </c>
      <c r="M65" s="154" t="s">
        <v>501</v>
      </c>
      <c r="N65" s="153">
        <v>0</v>
      </c>
      <c r="O65" s="154" t="s">
        <v>501</v>
      </c>
    </row>
    <row r="66" spans="1:15" s="142" customFormat="1" ht="12.75" customHeight="1" x14ac:dyDescent="0.25">
      <c r="A66" s="151"/>
      <c r="B66" s="152" t="s">
        <v>3</v>
      </c>
      <c r="C66" s="218" t="s">
        <v>196</v>
      </c>
      <c r="D66" s="153">
        <v>4003</v>
      </c>
      <c r="E66" s="154" t="s">
        <v>279</v>
      </c>
      <c r="F66" s="153">
        <v>667</v>
      </c>
      <c r="G66" s="154" t="s">
        <v>279</v>
      </c>
      <c r="H66" s="153">
        <v>2952</v>
      </c>
      <c r="I66" s="154" t="s">
        <v>279</v>
      </c>
      <c r="J66" s="153">
        <v>310</v>
      </c>
      <c r="K66" s="154" t="s">
        <v>279</v>
      </c>
      <c r="L66" s="153">
        <v>74</v>
      </c>
      <c r="M66" s="154" t="s">
        <v>279</v>
      </c>
      <c r="N66" s="153">
        <v>0</v>
      </c>
      <c r="O66" s="154" t="s">
        <v>501</v>
      </c>
    </row>
    <row r="67" spans="1:15" s="142" customFormat="1" ht="12.75" customHeight="1" x14ac:dyDescent="0.25">
      <c r="A67" s="152"/>
      <c r="B67" s="152" t="s">
        <v>4</v>
      </c>
      <c r="C67" s="218" t="s">
        <v>406</v>
      </c>
      <c r="D67" s="153">
        <v>4367</v>
      </c>
      <c r="E67" s="154" t="s">
        <v>501</v>
      </c>
      <c r="F67" s="153">
        <v>613</v>
      </c>
      <c r="G67" s="154" t="s">
        <v>501</v>
      </c>
      <c r="H67" s="153">
        <v>3387</v>
      </c>
      <c r="I67" s="154" t="s">
        <v>501</v>
      </c>
      <c r="J67" s="153">
        <v>311</v>
      </c>
      <c r="K67" s="154" t="s">
        <v>501</v>
      </c>
      <c r="L67" s="153">
        <v>56</v>
      </c>
      <c r="M67" s="154" t="s">
        <v>501</v>
      </c>
      <c r="N67" s="153">
        <v>0</v>
      </c>
      <c r="O67" s="154" t="s">
        <v>501</v>
      </c>
    </row>
    <row r="68" spans="1:15" s="142" customFormat="1" ht="12.75" customHeight="1" x14ac:dyDescent="0.25">
      <c r="A68" s="151"/>
      <c r="B68" s="152"/>
      <c r="C68" s="218"/>
      <c r="D68" s="153"/>
      <c r="E68" s="154"/>
      <c r="F68" s="153"/>
      <c r="G68" s="154"/>
      <c r="H68" s="153"/>
      <c r="I68" s="154"/>
      <c r="J68" s="153"/>
      <c r="K68" s="154"/>
      <c r="L68" s="153"/>
      <c r="M68" s="154"/>
      <c r="N68" s="153"/>
      <c r="O68" s="154"/>
    </row>
    <row r="69" spans="1:15" s="142" customFormat="1" ht="12.75" customHeight="1" thickBot="1" x14ac:dyDescent="0.3">
      <c r="A69" s="152"/>
      <c r="B69" s="156"/>
      <c r="C69" s="156"/>
      <c r="D69" s="153"/>
      <c r="E69" s="154"/>
      <c r="F69" s="153"/>
      <c r="G69" s="154"/>
      <c r="H69" s="153"/>
      <c r="I69" s="154"/>
      <c r="J69" s="153"/>
      <c r="K69" s="154"/>
      <c r="L69" s="153"/>
      <c r="M69" s="154"/>
      <c r="N69" s="153"/>
      <c r="O69" s="154"/>
    </row>
    <row r="70" spans="1:15" s="142" customFormat="1" ht="12.75" customHeight="1" x14ac:dyDescent="0.2">
      <c r="A70" s="159" t="s">
        <v>502</v>
      </c>
      <c r="B70" s="159"/>
      <c r="C70" s="159"/>
      <c r="D70" s="159"/>
      <c r="E70" s="220"/>
      <c r="F70" s="159"/>
      <c r="G70" s="220"/>
      <c r="H70" s="159"/>
      <c r="I70" s="220"/>
      <c r="J70" s="159"/>
      <c r="K70" s="220"/>
      <c r="L70" s="159"/>
      <c r="M70" s="220"/>
      <c r="N70" s="159"/>
      <c r="O70" s="220"/>
    </row>
    <row r="71" spans="1:15" s="142" customFormat="1" ht="12.75" customHeight="1" x14ac:dyDescent="0.2">
      <c r="A71" s="160"/>
      <c r="B71" s="160"/>
      <c r="C71" s="160"/>
      <c r="D71" s="160"/>
      <c r="E71" s="161"/>
      <c r="F71" s="160"/>
      <c r="G71" s="161"/>
      <c r="H71" s="160"/>
      <c r="I71" s="161"/>
      <c r="J71" s="160"/>
      <c r="K71" s="161"/>
      <c r="L71" s="160"/>
      <c r="M71" s="161"/>
      <c r="N71" s="160"/>
      <c r="O71" s="161"/>
    </row>
    <row r="72" spans="1:15" s="142" customFormat="1" ht="12.75" hidden="1" customHeight="1" x14ac:dyDescent="0.2">
      <c r="A72" s="162">
        <v>2017</v>
      </c>
      <c r="B72" s="163" t="s">
        <v>3</v>
      </c>
      <c r="C72" s="163"/>
      <c r="D72" s="164" t="s">
        <v>121</v>
      </c>
      <c r="E72" s="161"/>
      <c r="F72" s="164" t="s">
        <v>121</v>
      </c>
      <c r="G72" s="161"/>
      <c r="H72" s="164" t="s">
        <v>121</v>
      </c>
      <c r="I72" s="161"/>
      <c r="J72" s="164" t="s">
        <v>121</v>
      </c>
      <c r="K72" s="161"/>
      <c r="L72" s="164" t="s">
        <v>121</v>
      </c>
      <c r="M72" s="161"/>
      <c r="N72" s="164" t="s">
        <v>121</v>
      </c>
      <c r="O72" s="161"/>
    </row>
    <row r="73" spans="1:15" s="142" customFormat="1" ht="12.75" hidden="1" customHeight="1" x14ac:dyDescent="0.2">
      <c r="A73" s="165"/>
      <c r="B73" s="166"/>
      <c r="C73" s="166"/>
      <c r="D73" s="167"/>
      <c r="E73" s="280"/>
      <c r="F73" s="167"/>
      <c r="G73" s="280"/>
      <c r="H73" s="167"/>
      <c r="I73" s="280"/>
      <c r="J73" s="167"/>
      <c r="K73" s="280"/>
      <c r="L73" s="167"/>
      <c r="M73" s="280"/>
      <c r="N73" s="167"/>
      <c r="O73" s="280"/>
    </row>
    <row r="74" spans="1:15" s="142" customFormat="1" ht="12.75" customHeight="1" thickBot="1" x14ac:dyDescent="0.25">
      <c r="A74" s="157">
        <v>2016</v>
      </c>
      <c r="B74" s="158" t="s">
        <v>4</v>
      </c>
      <c r="C74" s="158"/>
      <c r="D74" s="168">
        <v>-21.102077687443543</v>
      </c>
      <c r="E74" s="281"/>
      <c r="F74" s="168">
        <v>-24.320987654320991</v>
      </c>
      <c r="G74" s="281"/>
      <c r="H74" s="168">
        <v>-20.827489481065918</v>
      </c>
      <c r="I74" s="281"/>
      <c r="J74" s="168">
        <v>-14.794520547945201</v>
      </c>
      <c r="K74" s="281"/>
      <c r="L74" s="168">
        <v>-31.707317073170728</v>
      </c>
      <c r="M74" s="281"/>
      <c r="N74" s="168" t="s">
        <v>496</v>
      </c>
      <c r="O74" s="281"/>
    </row>
    <row r="75" spans="1:15" s="169" customFormat="1" ht="12.75" customHeight="1" x14ac:dyDescent="0.2">
      <c r="A75" s="343"/>
      <c r="B75" s="343"/>
      <c r="C75" s="343"/>
      <c r="D75" s="343"/>
      <c r="E75" s="343"/>
      <c r="F75" s="343"/>
      <c r="G75" s="343"/>
      <c r="H75" s="343"/>
      <c r="I75" s="343"/>
      <c r="J75" s="343"/>
      <c r="K75" s="343"/>
      <c r="L75" s="343"/>
      <c r="M75" s="343"/>
      <c r="N75" s="343"/>
      <c r="O75" s="343"/>
    </row>
    <row r="76" spans="1:15" s="169" customFormat="1" ht="15" x14ac:dyDescent="0.2">
      <c r="A76" s="338" t="s">
        <v>264</v>
      </c>
      <c r="B76" s="338"/>
      <c r="C76" s="338"/>
      <c r="D76" s="338"/>
      <c r="E76" s="338"/>
      <c r="F76" s="338"/>
      <c r="G76" s="338"/>
      <c r="H76" s="338"/>
      <c r="I76" s="338"/>
      <c r="J76" s="338"/>
      <c r="K76" s="338"/>
      <c r="L76" s="338"/>
      <c r="M76" s="338"/>
      <c r="N76" s="338"/>
      <c r="O76" s="338"/>
    </row>
    <row r="77" spans="1:15" s="169" customFormat="1" ht="32.25" customHeight="1" x14ac:dyDescent="0.2">
      <c r="A77" s="338" t="s">
        <v>465</v>
      </c>
      <c r="B77" s="338"/>
      <c r="C77" s="338"/>
      <c r="D77" s="338"/>
      <c r="E77" s="338"/>
      <c r="F77" s="338"/>
      <c r="G77" s="338"/>
      <c r="H77" s="338"/>
      <c r="I77" s="338"/>
      <c r="J77" s="338"/>
      <c r="K77" s="338"/>
      <c r="L77" s="338"/>
      <c r="M77" s="338"/>
      <c r="N77" s="338"/>
      <c r="O77" s="338"/>
    </row>
    <row r="78" spans="1:15" s="169" customFormat="1" ht="15" x14ac:dyDescent="0.2">
      <c r="A78" s="338" t="s">
        <v>466</v>
      </c>
      <c r="B78" s="338"/>
      <c r="C78" s="338"/>
      <c r="D78" s="338"/>
      <c r="E78" s="338"/>
      <c r="F78" s="338"/>
      <c r="G78" s="338"/>
      <c r="H78" s="338"/>
      <c r="I78" s="338"/>
      <c r="J78" s="338"/>
      <c r="K78" s="338"/>
      <c r="L78" s="338"/>
      <c r="M78" s="338"/>
      <c r="N78" s="338"/>
      <c r="O78" s="338"/>
    </row>
    <row r="79" spans="1:15" s="170" customFormat="1" ht="15" customHeight="1" x14ac:dyDescent="0.3">
      <c r="A79" s="338" t="s">
        <v>467</v>
      </c>
      <c r="B79" s="338"/>
      <c r="C79" s="338"/>
      <c r="D79" s="338"/>
      <c r="E79" s="338"/>
      <c r="F79" s="338"/>
      <c r="G79" s="338"/>
      <c r="H79" s="338"/>
      <c r="I79" s="338"/>
      <c r="J79" s="338"/>
      <c r="K79" s="338"/>
      <c r="L79" s="338"/>
      <c r="M79" s="338"/>
      <c r="N79" s="338"/>
      <c r="O79" s="338"/>
    </row>
    <row r="80" spans="1:15" s="171" customFormat="1" ht="15" x14ac:dyDescent="0.3">
      <c r="A80" s="341" t="s">
        <v>402</v>
      </c>
      <c r="B80" s="341"/>
      <c r="C80" s="341"/>
      <c r="D80" s="341"/>
      <c r="E80" s="341"/>
      <c r="F80" s="341"/>
      <c r="G80" s="341"/>
      <c r="H80" s="341"/>
      <c r="I80" s="341"/>
      <c r="J80" s="341"/>
      <c r="K80" s="341"/>
      <c r="L80" s="341"/>
      <c r="M80" s="341"/>
      <c r="N80" s="341"/>
      <c r="O80" s="341"/>
    </row>
    <row r="81" spans="1:15" s="171" customFormat="1" ht="32.25" customHeight="1" x14ac:dyDescent="0.3">
      <c r="A81" s="338" t="s">
        <v>403</v>
      </c>
      <c r="B81" s="338"/>
      <c r="C81" s="338"/>
      <c r="D81" s="338"/>
      <c r="E81" s="338"/>
      <c r="F81" s="338"/>
      <c r="G81" s="338"/>
      <c r="H81" s="338"/>
      <c r="I81" s="338"/>
      <c r="J81" s="338"/>
      <c r="K81" s="338"/>
      <c r="L81" s="338"/>
      <c r="M81" s="338"/>
      <c r="N81" s="338"/>
      <c r="O81" s="338"/>
    </row>
    <row r="82" spans="1:15" ht="31.5" customHeight="1" x14ac:dyDescent="0.3">
      <c r="A82" s="337" t="s">
        <v>404</v>
      </c>
      <c r="B82" s="337"/>
      <c r="C82" s="337"/>
      <c r="D82" s="337"/>
      <c r="E82" s="337"/>
      <c r="F82" s="337"/>
      <c r="G82" s="337"/>
      <c r="H82" s="337"/>
      <c r="I82" s="337"/>
      <c r="J82" s="337"/>
      <c r="K82" s="337"/>
      <c r="L82" s="337"/>
      <c r="M82" s="337"/>
      <c r="N82" s="337"/>
      <c r="O82" s="337"/>
    </row>
    <row r="83" spans="1:15" ht="30" customHeight="1" x14ac:dyDescent="0.3">
      <c r="A83" s="336" t="s">
        <v>408</v>
      </c>
      <c r="B83" s="336"/>
      <c r="C83" s="336"/>
      <c r="D83" s="336"/>
      <c r="E83" s="336"/>
      <c r="F83" s="336"/>
      <c r="G83" s="336"/>
      <c r="H83" s="336"/>
      <c r="I83" s="336"/>
      <c r="J83" s="336"/>
      <c r="K83" s="336"/>
      <c r="L83" s="336"/>
      <c r="M83" s="336"/>
      <c r="N83" s="336"/>
      <c r="O83" s="336"/>
    </row>
    <row r="84" spans="1:15" ht="32.25" customHeight="1" x14ac:dyDescent="0.3">
      <c r="A84" s="337" t="s">
        <v>405</v>
      </c>
      <c r="B84" s="337"/>
      <c r="C84" s="337"/>
      <c r="D84" s="337"/>
      <c r="E84" s="337"/>
      <c r="F84" s="337"/>
      <c r="G84" s="337"/>
      <c r="H84" s="337"/>
      <c r="I84" s="337"/>
      <c r="J84" s="337"/>
      <c r="K84" s="337"/>
      <c r="L84" s="337"/>
      <c r="M84" s="337"/>
      <c r="N84" s="337"/>
      <c r="O84" s="337"/>
    </row>
    <row r="85" spans="1:15" ht="48" customHeight="1" x14ac:dyDescent="0.3">
      <c r="A85" s="336" t="s">
        <v>477</v>
      </c>
      <c r="B85" s="336"/>
      <c r="C85" s="336"/>
      <c r="D85" s="336"/>
      <c r="E85" s="336"/>
      <c r="F85" s="336"/>
      <c r="G85" s="336"/>
      <c r="H85" s="336"/>
      <c r="I85" s="336"/>
      <c r="J85" s="336"/>
      <c r="K85" s="336"/>
      <c r="L85" s="336"/>
      <c r="M85" s="336"/>
      <c r="N85" s="336"/>
      <c r="O85" s="336"/>
    </row>
  </sheetData>
  <dataConsolidate/>
  <mergeCells count="18">
    <mergeCell ref="A82:O82"/>
    <mergeCell ref="A83:O83"/>
    <mergeCell ref="A84:O84"/>
    <mergeCell ref="A85:O85"/>
    <mergeCell ref="A78:O78"/>
    <mergeCell ref="J6:O6"/>
    <mergeCell ref="D7:E7"/>
    <mergeCell ref="F7:G7"/>
    <mergeCell ref="H7:I7"/>
    <mergeCell ref="J7:K7"/>
    <mergeCell ref="L7:M7"/>
    <mergeCell ref="N7:O7"/>
    <mergeCell ref="A75:O75"/>
    <mergeCell ref="A77:O77"/>
    <mergeCell ref="A79:O79"/>
    <mergeCell ref="A80:O80"/>
    <mergeCell ref="A81:O81"/>
    <mergeCell ref="A76:O76"/>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80"/>
  <sheetViews>
    <sheetView showGridLines="0" topLeftCell="A3" zoomScaleNormal="100" workbookViewId="0">
      <pane xSplit="3" ySplit="5" topLeftCell="D8" activePane="bottomRight" state="frozen"/>
      <selection activeCell="CS201" sqref="CS201"/>
      <selection pane="topRight" activeCell="CS201" sqref="CS201"/>
      <selection pane="bottomLeft" activeCell="CS201" sqref="CS201"/>
      <selection pane="bottomRight" activeCell="D8" sqref="D8"/>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16384" width="8.85546875" style="134"/>
  </cols>
  <sheetData>
    <row r="1" spans="1:13" ht="12.75" hidden="1" customHeight="1" x14ac:dyDescent="0.3"/>
    <row r="2" spans="1:13" ht="12.75" hidden="1" customHeight="1" x14ac:dyDescent="0.3"/>
    <row r="3" spans="1:13" ht="12.75" customHeight="1" x14ac:dyDescent="0.3">
      <c r="B3" s="132"/>
      <c r="C3" s="132"/>
      <c r="D3" s="132"/>
      <c r="E3" s="133"/>
    </row>
    <row r="4" spans="1:13" s="136" customFormat="1" ht="31.5" customHeight="1" x14ac:dyDescent="0.3">
      <c r="A4" s="191" t="s">
        <v>163</v>
      </c>
      <c r="B4" s="190"/>
      <c r="C4" s="190"/>
      <c r="D4" s="135" t="s">
        <v>413</v>
      </c>
      <c r="E4" s="133"/>
    </row>
    <row r="5" spans="1:13" s="136" customFormat="1" ht="17.25" x14ac:dyDescent="0.3">
      <c r="A5" s="189" t="s">
        <v>153</v>
      </c>
      <c r="B5" s="186"/>
      <c r="C5" s="186"/>
      <c r="D5" s="187" t="s">
        <v>160</v>
      </c>
      <c r="E5" s="282"/>
    </row>
    <row r="6" spans="1:13" ht="10.5" customHeight="1" thickBot="1" x14ac:dyDescent="0.35">
      <c r="A6" s="137"/>
      <c r="B6" s="137"/>
      <c r="C6" s="137"/>
      <c r="D6" s="137"/>
      <c r="E6" s="214"/>
    </row>
    <row r="7" spans="1:13" s="141" customFormat="1" ht="60" customHeight="1" thickBot="1" x14ac:dyDescent="0.35">
      <c r="A7" s="226"/>
      <c r="B7" s="227" t="s">
        <v>140</v>
      </c>
      <c r="C7" s="227"/>
      <c r="D7" s="342" t="s">
        <v>162</v>
      </c>
      <c r="E7" s="342"/>
      <c r="F7" s="342"/>
      <c r="G7" s="342"/>
      <c r="H7" s="342"/>
      <c r="I7" s="342"/>
      <c r="J7" s="342"/>
      <c r="K7" s="342"/>
      <c r="L7" s="342"/>
      <c r="M7" s="342"/>
    </row>
    <row r="8" spans="1:13" s="146" customFormat="1" ht="15" x14ac:dyDescent="0.25">
      <c r="A8" s="143">
        <v>2008</v>
      </c>
      <c r="B8" s="143"/>
      <c r="C8" s="211"/>
      <c r="D8" s="144">
        <v>990</v>
      </c>
      <c r="E8" s="145" t="s">
        <v>501</v>
      </c>
    </row>
    <row r="9" spans="1:13" s="146" customFormat="1" ht="12.75" customHeight="1" x14ac:dyDescent="0.25">
      <c r="A9" s="143">
        <v>2009</v>
      </c>
      <c r="B9" s="143"/>
      <c r="C9" s="211"/>
      <c r="D9" s="144">
        <v>1454</v>
      </c>
      <c r="E9" s="145" t="s">
        <v>501</v>
      </c>
    </row>
    <row r="10" spans="1:13" s="146" customFormat="1" ht="12.75" customHeight="1" x14ac:dyDescent="0.25">
      <c r="A10" s="143">
        <v>2010</v>
      </c>
      <c r="B10" s="143"/>
      <c r="C10" s="211"/>
      <c r="D10" s="144">
        <v>1473</v>
      </c>
      <c r="E10" s="145" t="s">
        <v>501</v>
      </c>
    </row>
    <row r="11" spans="1:13" s="146" customFormat="1" ht="12.75" customHeight="1" x14ac:dyDescent="0.25">
      <c r="A11" s="143">
        <v>2011</v>
      </c>
      <c r="B11" s="143"/>
      <c r="C11" s="211"/>
      <c r="D11" s="144">
        <v>1122</v>
      </c>
      <c r="E11" s="145" t="s">
        <v>501</v>
      </c>
    </row>
    <row r="12" spans="1:13" s="146" customFormat="1" ht="12.75" customHeight="1" x14ac:dyDescent="0.25">
      <c r="A12" s="143">
        <v>2012</v>
      </c>
      <c r="B12" s="143"/>
      <c r="C12" s="211"/>
      <c r="D12" s="144">
        <v>1003</v>
      </c>
      <c r="E12" s="145" t="s">
        <v>501</v>
      </c>
    </row>
    <row r="13" spans="1:13" s="146" customFormat="1" ht="12.75" customHeight="1" x14ac:dyDescent="0.25">
      <c r="A13" s="143">
        <v>2013</v>
      </c>
      <c r="B13" s="143"/>
      <c r="C13" s="211"/>
      <c r="D13" s="144">
        <v>944</v>
      </c>
      <c r="E13" s="145" t="s">
        <v>501</v>
      </c>
    </row>
    <row r="14" spans="1:13" s="146" customFormat="1" ht="12.75" customHeight="1" x14ac:dyDescent="0.25">
      <c r="A14" s="143">
        <v>2014</v>
      </c>
      <c r="B14" s="143"/>
      <c r="C14" s="211"/>
      <c r="D14" s="144">
        <v>878</v>
      </c>
      <c r="E14" s="145" t="s">
        <v>501</v>
      </c>
    </row>
    <row r="15" spans="1:13" s="146" customFormat="1" ht="12.75" customHeight="1" x14ac:dyDescent="0.25">
      <c r="A15" s="143">
        <v>2015</v>
      </c>
      <c r="B15" s="143"/>
      <c r="C15" s="211"/>
      <c r="D15" s="144">
        <v>631</v>
      </c>
      <c r="E15" s="145" t="s">
        <v>501</v>
      </c>
    </row>
    <row r="16" spans="1:13" s="146" customFormat="1" ht="12.75" customHeight="1" x14ac:dyDescent="0.25">
      <c r="A16" s="143">
        <v>2016</v>
      </c>
      <c r="B16" s="143"/>
      <c r="C16" s="211"/>
      <c r="D16" s="144">
        <v>430</v>
      </c>
      <c r="E16" s="145" t="s">
        <v>501</v>
      </c>
    </row>
    <row r="17" spans="1:5" s="146" customFormat="1" ht="12.75" customHeight="1" x14ac:dyDescent="0.25">
      <c r="A17" s="143">
        <v>2017</v>
      </c>
      <c r="B17" s="212" t="s">
        <v>196</v>
      </c>
      <c r="D17" s="144">
        <v>432</v>
      </c>
      <c r="E17" s="145" t="s">
        <v>501</v>
      </c>
    </row>
    <row r="18" spans="1:5" s="142" customFormat="1" ht="12.75" customHeight="1" x14ac:dyDescent="0.25">
      <c r="A18" s="148"/>
      <c r="B18" s="148"/>
      <c r="C18" s="148"/>
      <c r="D18" s="149"/>
      <c r="E18" s="154"/>
    </row>
    <row r="19" spans="1:5" s="142" customFormat="1" ht="12.75" customHeight="1" x14ac:dyDescent="0.25">
      <c r="A19" s="151">
        <v>2008</v>
      </c>
      <c r="B19" s="152" t="s">
        <v>1</v>
      </c>
      <c r="C19" s="218"/>
      <c r="D19" s="153">
        <v>270</v>
      </c>
      <c r="E19" s="154" t="s">
        <v>501</v>
      </c>
    </row>
    <row r="20" spans="1:5" s="142" customFormat="1" ht="12.75" customHeight="1" x14ac:dyDescent="0.25">
      <c r="A20" s="151"/>
      <c r="B20" s="152" t="s">
        <v>2</v>
      </c>
      <c r="C20" s="218"/>
      <c r="D20" s="153">
        <v>222</v>
      </c>
      <c r="E20" s="154" t="s">
        <v>501</v>
      </c>
    </row>
    <row r="21" spans="1:5" s="142" customFormat="1" ht="12.75" customHeight="1" x14ac:dyDescent="0.25">
      <c r="A21" s="151"/>
      <c r="B21" s="152" t="s">
        <v>3</v>
      </c>
      <c r="C21" s="218"/>
      <c r="D21" s="153">
        <v>265</v>
      </c>
      <c r="E21" s="154" t="s">
        <v>501</v>
      </c>
    </row>
    <row r="22" spans="1:5" s="142" customFormat="1" ht="12.75" customHeight="1" x14ac:dyDescent="0.25">
      <c r="A22" s="151"/>
      <c r="B22" s="152" t="s">
        <v>4</v>
      </c>
      <c r="C22" s="218"/>
      <c r="D22" s="153">
        <v>233</v>
      </c>
      <c r="E22" s="154" t="s">
        <v>501</v>
      </c>
    </row>
    <row r="23" spans="1:5" s="142" customFormat="1" ht="12.75" customHeight="1" x14ac:dyDescent="0.25">
      <c r="A23" s="151"/>
      <c r="B23" s="152"/>
      <c r="C23" s="218"/>
      <c r="D23" s="153"/>
      <c r="E23" s="154"/>
    </row>
    <row r="24" spans="1:5" s="142" customFormat="1" ht="12.75" customHeight="1" x14ac:dyDescent="0.25">
      <c r="A24" s="151">
        <v>2009</v>
      </c>
      <c r="B24" s="152" t="s">
        <v>1</v>
      </c>
      <c r="C24" s="218"/>
      <c r="D24" s="153">
        <v>336</v>
      </c>
      <c r="E24" s="154" t="s">
        <v>501</v>
      </c>
    </row>
    <row r="25" spans="1:5" s="142" customFormat="1" ht="12.75" customHeight="1" x14ac:dyDescent="0.25">
      <c r="A25" s="151"/>
      <c r="B25" s="152" t="s">
        <v>2</v>
      </c>
      <c r="C25" s="218"/>
      <c r="D25" s="153">
        <v>370</v>
      </c>
      <c r="E25" s="154" t="s">
        <v>501</v>
      </c>
    </row>
    <row r="26" spans="1:5" s="142" customFormat="1" ht="12.75" customHeight="1" x14ac:dyDescent="0.25">
      <c r="A26" s="151"/>
      <c r="B26" s="152" t="s">
        <v>3</v>
      </c>
      <c r="C26" s="218"/>
      <c r="D26" s="153">
        <v>349</v>
      </c>
      <c r="E26" s="154" t="s">
        <v>501</v>
      </c>
    </row>
    <row r="27" spans="1:5" s="142" customFormat="1" ht="12.75" customHeight="1" x14ac:dyDescent="0.25">
      <c r="A27" s="151"/>
      <c r="B27" s="152" t="s">
        <v>4</v>
      </c>
      <c r="C27" s="218"/>
      <c r="D27" s="153">
        <v>399</v>
      </c>
      <c r="E27" s="154" t="s">
        <v>501</v>
      </c>
    </row>
    <row r="28" spans="1:5" s="142" customFormat="1" ht="12.75" customHeight="1" x14ac:dyDescent="0.25">
      <c r="A28" s="151"/>
      <c r="B28" s="152"/>
      <c r="C28" s="218"/>
      <c r="D28" s="153"/>
      <c r="E28" s="154"/>
    </row>
    <row r="29" spans="1:5" s="142" customFormat="1" ht="12.75" customHeight="1" x14ac:dyDescent="0.25">
      <c r="A29" s="151">
        <v>2010</v>
      </c>
      <c r="B29" s="152" t="s">
        <v>1</v>
      </c>
      <c r="C29" s="218"/>
      <c r="D29" s="153">
        <v>465</v>
      </c>
      <c r="E29" s="154" t="s">
        <v>501</v>
      </c>
    </row>
    <row r="30" spans="1:5" s="142" customFormat="1" ht="12.75" customHeight="1" x14ac:dyDescent="0.25">
      <c r="A30" s="151"/>
      <c r="B30" s="152" t="s">
        <v>2</v>
      </c>
      <c r="C30" s="218"/>
      <c r="D30" s="153">
        <v>397</v>
      </c>
      <c r="E30" s="154" t="s">
        <v>501</v>
      </c>
    </row>
    <row r="31" spans="1:5" s="142" customFormat="1" ht="12.75" customHeight="1" x14ac:dyDescent="0.25">
      <c r="A31" s="151"/>
      <c r="B31" s="152" t="s">
        <v>3</v>
      </c>
      <c r="C31" s="218"/>
      <c r="D31" s="153">
        <v>331</v>
      </c>
      <c r="E31" s="154" t="s">
        <v>501</v>
      </c>
    </row>
    <row r="32" spans="1:5" s="142" customFormat="1" ht="12.75" customHeight="1" x14ac:dyDescent="0.25">
      <c r="A32" s="151"/>
      <c r="B32" s="152" t="s">
        <v>4</v>
      </c>
      <c r="C32" s="218"/>
      <c r="D32" s="153">
        <v>280</v>
      </c>
      <c r="E32" s="154" t="s">
        <v>501</v>
      </c>
    </row>
    <row r="33" spans="1:5" s="142" customFormat="1" ht="12.75" customHeight="1" x14ac:dyDescent="0.25">
      <c r="A33" s="151"/>
      <c r="B33" s="152"/>
      <c r="C33" s="218"/>
      <c r="D33" s="153"/>
      <c r="E33" s="154"/>
    </row>
    <row r="34" spans="1:5" s="142" customFormat="1" ht="12.75" customHeight="1" x14ac:dyDescent="0.25">
      <c r="A34" s="151">
        <v>2011</v>
      </c>
      <c r="B34" s="152" t="s">
        <v>1</v>
      </c>
      <c r="C34" s="218"/>
      <c r="D34" s="153">
        <v>330</v>
      </c>
      <c r="E34" s="154" t="s">
        <v>501</v>
      </c>
    </row>
    <row r="35" spans="1:5" s="142" customFormat="1" ht="12.75" customHeight="1" x14ac:dyDescent="0.25">
      <c r="A35" s="151"/>
      <c r="B35" s="152" t="s">
        <v>2</v>
      </c>
      <c r="C35" s="218"/>
      <c r="D35" s="153">
        <v>257</v>
      </c>
      <c r="E35" s="154" t="s">
        <v>501</v>
      </c>
    </row>
    <row r="36" spans="1:5" s="142" customFormat="1" ht="12.75" customHeight="1" x14ac:dyDescent="0.25">
      <c r="A36" s="151"/>
      <c r="B36" s="152" t="s">
        <v>3</v>
      </c>
      <c r="C36" s="218"/>
      <c r="D36" s="153">
        <v>289</v>
      </c>
      <c r="E36" s="154" t="s">
        <v>501</v>
      </c>
    </row>
    <row r="37" spans="1:5" s="142" customFormat="1" ht="12.75" customHeight="1" x14ac:dyDescent="0.25">
      <c r="A37" s="151"/>
      <c r="B37" s="152" t="s">
        <v>4</v>
      </c>
      <c r="C37" s="218"/>
      <c r="D37" s="153">
        <v>246</v>
      </c>
      <c r="E37" s="154" t="s">
        <v>501</v>
      </c>
    </row>
    <row r="38" spans="1:5" s="142" customFormat="1" ht="12.75" customHeight="1" x14ac:dyDescent="0.25">
      <c r="A38" s="151"/>
      <c r="B38" s="152"/>
      <c r="C38" s="218"/>
      <c r="D38" s="153"/>
      <c r="E38" s="154"/>
    </row>
    <row r="39" spans="1:5" s="142" customFormat="1" ht="12.75" customHeight="1" x14ac:dyDescent="0.25">
      <c r="A39" s="151">
        <v>2012</v>
      </c>
      <c r="B39" s="152" t="s">
        <v>1</v>
      </c>
      <c r="C39" s="218"/>
      <c r="D39" s="153">
        <v>245</v>
      </c>
      <c r="E39" s="154" t="s">
        <v>501</v>
      </c>
    </row>
    <row r="40" spans="1:5" s="142" customFormat="1" ht="12.75" customHeight="1" x14ac:dyDescent="0.25">
      <c r="A40" s="151"/>
      <c r="B40" s="152" t="s">
        <v>2</v>
      </c>
      <c r="C40" s="218"/>
      <c r="D40" s="153">
        <v>234</v>
      </c>
      <c r="E40" s="154" t="s">
        <v>501</v>
      </c>
    </row>
    <row r="41" spans="1:5" s="142" customFormat="1" ht="12.75" customHeight="1" x14ac:dyDescent="0.25">
      <c r="A41" s="151"/>
      <c r="B41" s="152" t="s">
        <v>3</v>
      </c>
      <c r="C41" s="218"/>
      <c r="D41" s="153">
        <v>241</v>
      </c>
      <c r="E41" s="154" t="s">
        <v>501</v>
      </c>
    </row>
    <row r="42" spans="1:5" s="142" customFormat="1" ht="12.75" customHeight="1" x14ac:dyDescent="0.25">
      <c r="A42" s="151"/>
      <c r="B42" s="152" t="s">
        <v>4</v>
      </c>
      <c r="C42" s="218"/>
      <c r="D42" s="153">
        <v>283</v>
      </c>
      <c r="E42" s="154" t="s">
        <v>501</v>
      </c>
    </row>
    <row r="43" spans="1:5" s="142" customFormat="1" ht="12.75" customHeight="1" x14ac:dyDescent="0.25">
      <c r="A43" s="151"/>
      <c r="B43" s="152"/>
      <c r="C43" s="218"/>
      <c r="D43" s="153"/>
      <c r="E43" s="154"/>
    </row>
    <row r="44" spans="1:5" s="142" customFormat="1" ht="12.75" customHeight="1" x14ac:dyDescent="0.25">
      <c r="A44" s="151">
        <v>2013</v>
      </c>
      <c r="B44" s="152" t="s">
        <v>1</v>
      </c>
      <c r="C44" s="218"/>
      <c r="D44" s="153">
        <v>268</v>
      </c>
      <c r="E44" s="154" t="s">
        <v>501</v>
      </c>
    </row>
    <row r="45" spans="1:5" s="142" customFormat="1" ht="12.75" customHeight="1" x14ac:dyDescent="0.25">
      <c r="A45" s="151"/>
      <c r="B45" s="152" t="s">
        <v>2</v>
      </c>
      <c r="C45" s="218"/>
      <c r="D45" s="153">
        <v>246</v>
      </c>
      <c r="E45" s="154" t="s">
        <v>501</v>
      </c>
    </row>
    <row r="46" spans="1:5" s="142" customFormat="1" ht="12.75" customHeight="1" x14ac:dyDescent="0.25">
      <c r="A46" s="151"/>
      <c r="B46" s="152" t="s">
        <v>3</v>
      </c>
      <c r="C46" s="218"/>
      <c r="D46" s="153">
        <v>233</v>
      </c>
      <c r="E46" s="154" t="s">
        <v>501</v>
      </c>
    </row>
    <row r="47" spans="1:5" s="142" customFormat="1" ht="12.75" customHeight="1" x14ac:dyDescent="0.25">
      <c r="A47" s="151"/>
      <c r="B47" s="152" t="s">
        <v>4</v>
      </c>
      <c r="C47" s="218"/>
      <c r="D47" s="153">
        <v>197</v>
      </c>
      <c r="E47" s="154" t="s">
        <v>501</v>
      </c>
    </row>
    <row r="48" spans="1:5" s="142" customFormat="1" ht="12.75" customHeight="1" x14ac:dyDescent="0.25">
      <c r="A48" s="151"/>
      <c r="B48" s="152"/>
      <c r="C48" s="218"/>
      <c r="D48" s="153"/>
      <c r="E48" s="154"/>
    </row>
    <row r="49" spans="1:5" s="142" customFormat="1" ht="12.75" customHeight="1" x14ac:dyDescent="0.25">
      <c r="A49" s="151">
        <v>2014</v>
      </c>
      <c r="B49" s="152" t="s">
        <v>1</v>
      </c>
      <c r="C49" s="218"/>
      <c r="D49" s="153">
        <v>215</v>
      </c>
      <c r="E49" s="154" t="s">
        <v>501</v>
      </c>
    </row>
    <row r="50" spans="1:5" s="142" customFormat="1" ht="12.75" customHeight="1" x14ac:dyDescent="0.25">
      <c r="A50" s="151"/>
      <c r="B50" s="152" t="s">
        <v>2</v>
      </c>
      <c r="C50" s="218"/>
      <c r="D50" s="153">
        <v>212</v>
      </c>
      <c r="E50" s="154" t="s">
        <v>501</v>
      </c>
    </row>
    <row r="51" spans="1:5" s="142" customFormat="1" ht="12.75" customHeight="1" x14ac:dyDescent="0.25">
      <c r="A51" s="151"/>
      <c r="B51" s="152" t="s">
        <v>3</v>
      </c>
      <c r="C51" s="218"/>
      <c r="D51" s="153">
        <v>218</v>
      </c>
      <c r="E51" s="154" t="s">
        <v>501</v>
      </c>
    </row>
    <row r="52" spans="1:5" s="142" customFormat="1" ht="12.75" customHeight="1" x14ac:dyDescent="0.25">
      <c r="A52" s="151"/>
      <c r="B52" s="152" t="s">
        <v>4</v>
      </c>
      <c r="C52" s="218"/>
      <c r="D52" s="153">
        <v>233</v>
      </c>
      <c r="E52" s="154" t="s">
        <v>501</v>
      </c>
    </row>
    <row r="53" spans="1:5" s="142" customFormat="1" ht="12.75" customHeight="1" x14ac:dyDescent="0.25">
      <c r="A53" s="151"/>
      <c r="B53" s="152"/>
      <c r="C53" s="218"/>
      <c r="D53" s="153"/>
      <c r="E53" s="154"/>
    </row>
    <row r="54" spans="1:5" s="142" customFormat="1" ht="12.75" customHeight="1" x14ac:dyDescent="0.25">
      <c r="A54" s="151">
        <v>2015</v>
      </c>
      <c r="B54" s="152" t="s">
        <v>1</v>
      </c>
      <c r="C54" s="218"/>
      <c r="D54" s="153">
        <v>198</v>
      </c>
      <c r="E54" s="154" t="s">
        <v>501</v>
      </c>
    </row>
    <row r="55" spans="1:5" s="142" customFormat="1" ht="12.75" customHeight="1" x14ac:dyDescent="0.25">
      <c r="A55" s="151"/>
      <c r="B55" s="152" t="s">
        <v>2</v>
      </c>
      <c r="C55" s="218"/>
      <c r="D55" s="153">
        <v>185</v>
      </c>
      <c r="E55" s="154" t="s">
        <v>501</v>
      </c>
    </row>
    <row r="56" spans="1:5" s="142" customFormat="1" ht="12.75" customHeight="1" x14ac:dyDescent="0.25">
      <c r="A56" s="151"/>
      <c r="B56" s="152" t="s">
        <v>3</v>
      </c>
      <c r="C56" s="218"/>
      <c r="D56" s="153">
        <v>157</v>
      </c>
      <c r="E56" s="154" t="s">
        <v>501</v>
      </c>
    </row>
    <row r="57" spans="1:5" s="142" customFormat="1" ht="12.75" customHeight="1" x14ac:dyDescent="0.25">
      <c r="A57" s="151"/>
      <c r="B57" s="152" t="s">
        <v>4</v>
      </c>
      <c r="C57" s="218"/>
      <c r="D57" s="153">
        <v>91</v>
      </c>
      <c r="E57" s="154" t="s">
        <v>501</v>
      </c>
    </row>
    <row r="58" spans="1:5" s="142" customFormat="1" ht="12.75" customHeight="1" x14ac:dyDescent="0.25">
      <c r="A58" s="151"/>
      <c r="B58" s="152"/>
      <c r="C58" s="218"/>
      <c r="D58" s="153"/>
      <c r="E58" s="154"/>
    </row>
    <row r="59" spans="1:5" s="142" customFormat="1" ht="12.75" customHeight="1" x14ac:dyDescent="0.25">
      <c r="A59" s="151">
        <v>2016</v>
      </c>
      <c r="B59" s="152" t="s">
        <v>1</v>
      </c>
      <c r="C59" s="218"/>
      <c r="D59" s="153">
        <v>72</v>
      </c>
      <c r="E59" s="154" t="s">
        <v>501</v>
      </c>
    </row>
    <row r="60" spans="1:5" s="142" customFormat="1" ht="12.75" customHeight="1" x14ac:dyDescent="0.25">
      <c r="A60" s="151"/>
      <c r="B60" s="152" t="s">
        <v>2</v>
      </c>
      <c r="C60" s="218"/>
      <c r="D60" s="153">
        <v>124</v>
      </c>
      <c r="E60" s="154" t="s">
        <v>501</v>
      </c>
    </row>
    <row r="61" spans="1:5" s="142" customFormat="1" ht="12.75" customHeight="1" x14ac:dyDescent="0.25">
      <c r="A61" s="151"/>
      <c r="B61" s="152" t="s">
        <v>3</v>
      </c>
      <c r="C61" s="218"/>
      <c r="D61" s="153">
        <v>125</v>
      </c>
      <c r="E61" s="154" t="s">
        <v>501</v>
      </c>
    </row>
    <row r="62" spans="1:5" s="142" customFormat="1" ht="12.75" customHeight="1" x14ac:dyDescent="0.25">
      <c r="A62" s="151"/>
      <c r="B62" s="152" t="s">
        <v>4</v>
      </c>
      <c r="C62" s="218"/>
      <c r="D62" s="153">
        <v>109</v>
      </c>
      <c r="E62" s="154" t="s">
        <v>501</v>
      </c>
    </row>
    <row r="63" spans="1:5" s="142" customFormat="1" ht="12.75" customHeight="1" x14ac:dyDescent="0.25">
      <c r="A63" s="151"/>
      <c r="B63" s="152"/>
      <c r="C63" s="218"/>
      <c r="D63" s="153"/>
      <c r="E63" s="154"/>
    </row>
    <row r="64" spans="1:5" s="142" customFormat="1" ht="12.75" customHeight="1" x14ac:dyDescent="0.25">
      <c r="A64" s="151">
        <v>2017</v>
      </c>
      <c r="B64" s="152" t="s">
        <v>1</v>
      </c>
      <c r="C64" s="218" t="s">
        <v>196</v>
      </c>
      <c r="D64" s="153">
        <v>126</v>
      </c>
      <c r="E64" s="154" t="s">
        <v>501</v>
      </c>
    </row>
    <row r="65" spans="1:15" s="142" customFormat="1" ht="12.75" customHeight="1" x14ac:dyDescent="0.25">
      <c r="A65" s="151"/>
      <c r="B65" s="152" t="s">
        <v>2</v>
      </c>
      <c r="C65" s="218" t="s">
        <v>196</v>
      </c>
      <c r="D65" s="153">
        <v>88</v>
      </c>
      <c r="E65" s="154" t="s">
        <v>501</v>
      </c>
    </row>
    <row r="66" spans="1:15" s="142" customFormat="1" ht="12.75" customHeight="1" x14ac:dyDescent="0.25">
      <c r="A66" s="151"/>
      <c r="B66" s="152" t="s">
        <v>3</v>
      </c>
      <c r="C66" s="218" t="s">
        <v>196</v>
      </c>
      <c r="D66" s="153">
        <v>116</v>
      </c>
      <c r="E66" s="154" t="s">
        <v>501</v>
      </c>
    </row>
    <row r="67" spans="1:15" s="142" customFormat="1" ht="12.75" customHeight="1" x14ac:dyDescent="0.25">
      <c r="A67" s="152"/>
      <c r="B67" s="152" t="s">
        <v>4</v>
      </c>
      <c r="C67" s="218" t="s">
        <v>406</v>
      </c>
      <c r="D67" s="153">
        <v>102</v>
      </c>
      <c r="E67" s="154" t="s">
        <v>501</v>
      </c>
    </row>
    <row r="68" spans="1:15" s="142" customFormat="1" ht="12.75" customHeight="1" x14ac:dyDescent="0.25">
      <c r="A68" s="151"/>
      <c r="B68" s="152"/>
      <c r="C68" s="218"/>
      <c r="D68" s="153"/>
      <c r="E68" s="154"/>
    </row>
    <row r="69" spans="1:15" s="142" customFormat="1" ht="12.75" customHeight="1" thickBot="1" x14ac:dyDescent="0.3">
      <c r="A69" s="152"/>
      <c r="B69" s="156"/>
      <c r="C69" s="156"/>
      <c r="D69" s="153"/>
      <c r="E69" s="154"/>
    </row>
    <row r="70" spans="1:15" s="142" customFormat="1" ht="12.75" customHeight="1" x14ac:dyDescent="0.2">
      <c r="A70" s="159" t="s">
        <v>502</v>
      </c>
      <c r="B70" s="159"/>
      <c r="C70" s="159"/>
      <c r="D70" s="159"/>
      <c r="E70" s="220"/>
      <c r="F70" s="159"/>
      <c r="G70" s="159"/>
      <c r="H70" s="159"/>
      <c r="I70" s="159"/>
      <c r="J70" s="159"/>
      <c r="K70" s="159"/>
      <c r="L70" s="159"/>
      <c r="M70" s="159"/>
    </row>
    <row r="71" spans="1:15" s="142" customFormat="1" ht="12.75" customHeight="1" x14ac:dyDescent="0.2">
      <c r="A71" s="160"/>
      <c r="B71" s="160"/>
      <c r="C71" s="160"/>
      <c r="D71" s="160"/>
      <c r="E71" s="161"/>
      <c r="F71" s="160"/>
      <c r="G71" s="160"/>
      <c r="H71" s="160"/>
      <c r="I71" s="160"/>
      <c r="J71" s="160"/>
      <c r="K71" s="160"/>
      <c r="L71" s="160"/>
      <c r="M71" s="160"/>
    </row>
    <row r="72" spans="1:15" s="142" customFormat="1" ht="12.75" hidden="1" customHeight="1" x14ac:dyDescent="0.2">
      <c r="A72" s="162">
        <v>2017</v>
      </c>
      <c r="B72" s="163" t="s">
        <v>3</v>
      </c>
      <c r="C72" s="163"/>
      <c r="D72" s="164" t="s">
        <v>121</v>
      </c>
      <c r="E72" s="283"/>
      <c r="F72" s="164"/>
      <c r="G72" s="164"/>
      <c r="H72" s="164"/>
      <c r="I72" s="164"/>
      <c r="J72" s="164"/>
      <c r="K72" s="164"/>
      <c r="L72" s="164"/>
      <c r="M72" s="164"/>
    </row>
    <row r="73" spans="1:15" s="142" customFormat="1" ht="12.75" hidden="1" customHeight="1" x14ac:dyDescent="0.2">
      <c r="A73" s="165"/>
      <c r="B73" s="166"/>
      <c r="C73" s="166"/>
      <c r="D73" s="167"/>
      <c r="E73" s="280"/>
      <c r="F73" s="167"/>
      <c r="G73" s="167"/>
      <c r="H73" s="167"/>
      <c r="I73" s="167"/>
      <c r="J73" s="167"/>
      <c r="K73" s="167"/>
      <c r="L73" s="167"/>
      <c r="M73" s="167"/>
    </row>
    <row r="74" spans="1:15" s="142" customFormat="1" ht="12.75" customHeight="1" thickBot="1" x14ac:dyDescent="0.25">
      <c r="A74" s="157">
        <v>2016</v>
      </c>
      <c r="B74" s="158" t="s">
        <v>4</v>
      </c>
      <c r="C74" s="158"/>
      <c r="D74" s="168">
        <v>-6.4220183486238476</v>
      </c>
      <c r="E74" s="281"/>
      <c r="F74" s="168"/>
      <c r="G74" s="168"/>
      <c r="H74" s="168"/>
      <c r="I74" s="168"/>
      <c r="J74" s="168"/>
      <c r="K74" s="168"/>
      <c r="L74" s="168"/>
      <c r="M74" s="168"/>
    </row>
    <row r="75" spans="1:15" s="169" customFormat="1" ht="12.75" customHeight="1" x14ac:dyDescent="0.2">
      <c r="A75" s="343"/>
      <c r="B75" s="343"/>
      <c r="C75" s="343"/>
      <c r="D75" s="343"/>
      <c r="E75" s="343"/>
    </row>
    <row r="76" spans="1:15" s="169" customFormat="1" ht="15" x14ac:dyDescent="0.2">
      <c r="A76" s="338" t="s">
        <v>265</v>
      </c>
      <c r="B76" s="338"/>
      <c r="C76" s="338"/>
      <c r="D76" s="338"/>
      <c r="E76" s="338"/>
      <c r="F76" s="338"/>
      <c r="G76" s="338"/>
      <c r="H76" s="338"/>
      <c r="I76" s="338"/>
      <c r="J76" s="338"/>
      <c r="K76" s="338"/>
      <c r="L76" s="338"/>
      <c r="M76" s="338"/>
      <c r="N76" s="338"/>
      <c r="O76" s="338"/>
    </row>
    <row r="77" spans="1:15" s="169" customFormat="1" ht="80.25" customHeight="1" x14ac:dyDescent="0.2">
      <c r="A77" s="338" t="s">
        <v>232</v>
      </c>
      <c r="B77" s="338"/>
      <c r="C77" s="338"/>
      <c r="D77" s="338"/>
      <c r="E77" s="338"/>
      <c r="F77" s="338"/>
      <c r="G77" s="338"/>
      <c r="H77" s="338"/>
      <c r="I77" s="338"/>
      <c r="J77" s="338"/>
      <c r="K77" s="338"/>
      <c r="L77" s="338"/>
      <c r="M77" s="338"/>
    </row>
    <row r="78" spans="1:15" s="170" customFormat="1" ht="47.25" customHeight="1" x14ac:dyDescent="0.3">
      <c r="A78" s="338" t="s">
        <v>472</v>
      </c>
      <c r="B78" s="338"/>
      <c r="C78" s="338"/>
      <c r="D78" s="338"/>
      <c r="E78" s="338"/>
      <c r="F78" s="338"/>
      <c r="G78" s="338"/>
      <c r="H78" s="338"/>
      <c r="I78" s="338"/>
      <c r="J78" s="338"/>
      <c r="K78" s="338"/>
      <c r="L78" s="338"/>
      <c r="M78" s="338"/>
      <c r="N78" s="338"/>
      <c r="O78" s="338"/>
    </row>
    <row r="79" spans="1:15" s="171" customFormat="1" ht="44.25" customHeight="1" x14ac:dyDescent="0.3">
      <c r="A79" s="344"/>
      <c r="B79" s="344"/>
      <c r="C79" s="344"/>
      <c r="D79" s="344"/>
      <c r="E79" s="344"/>
    </row>
    <row r="80" spans="1:15" s="171" customFormat="1" ht="39" customHeight="1" x14ac:dyDescent="0.3">
      <c r="A80" s="344"/>
      <c r="B80" s="344"/>
      <c r="C80" s="344"/>
      <c r="D80" s="344"/>
      <c r="E80" s="344"/>
    </row>
  </sheetData>
  <dataConsolidate/>
  <mergeCells count="11">
    <mergeCell ref="A75:E75"/>
    <mergeCell ref="A79:E79"/>
    <mergeCell ref="A80:E80"/>
    <mergeCell ref="A77:M77"/>
    <mergeCell ref="A76:O76"/>
    <mergeCell ref="A78:O78"/>
    <mergeCell ref="D7:E7"/>
    <mergeCell ref="F7:G7"/>
    <mergeCell ref="H7:I7"/>
    <mergeCell ref="J7:K7"/>
    <mergeCell ref="L7:M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4"/>
  <sheetViews>
    <sheetView showGridLines="0" zoomScaleNormal="100" workbookViewId="0">
      <pane xSplit="3" ySplit="5" topLeftCell="D42"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2" t="s">
        <v>164</v>
      </c>
      <c r="B2" s="193"/>
      <c r="C2" s="193"/>
      <c r="D2" s="194" t="s">
        <v>415</v>
      </c>
      <c r="E2" s="133"/>
      <c r="F2" s="132"/>
      <c r="G2" s="133"/>
      <c r="H2" s="132"/>
      <c r="I2" s="133"/>
      <c r="J2" s="132"/>
      <c r="K2" s="133"/>
      <c r="L2" s="132"/>
    </row>
    <row r="3" spans="1:12" s="136" customFormat="1" ht="17.25" x14ac:dyDescent="0.3">
      <c r="A3" s="195" t="s">
        <v>153</v>
      </c>
      <c r="B3" s="196"/>
      <c r="C3" s="213"/>
      <c r="D3" s="197" t="s">
        <v>166</v>
      </c>
      <c r="E3" s="282"/>
      <c r="F3" s="187"/>
      <c r="G3" s="282"/>
      <c r="H3" s="187"/>
      <c r="I3" s="282"/>
      <c r="J3" s="187"/>
      <c r="K3" s="282"/>
      <c r="L3" s="132"/>
    </row>
    <row r="4" spans="1:12" ht="10.5" customHeight="1" thickBot="1" x14ac:dyDescent="0.35">
      <c r="A4" s="137"/>
      <c r="B4" s="137"/>
      <c r="C4" s="214"/>
      <c r="D4" s="137"/>
      <c r="E4" s="214"/>
      <c r="F4" s="137"/>
      <c r="G4" s="214"/>
      <c r="H4" s="137"/>
      <c r="I4" s="214"/>
      <c r="J4" s="339"/>
      <c r="K4" s="339"/>
    </row>
    <row r="5" spans="1:12" ht="47.25" customHeight="1" thickBot="1" x14ac:dyDescent="0.35">
      <c r="A5" s="230"/>
      <c r="B5" s="230"/>
      <c r="C5" s="231"/>
      <c r="D5" s="345" t="s">
        <v>137</v>
      </c>
      <c r="E5" s="345"/>
      <c r="F5" s="346" t="s">
        <v>116</v>
      </c>
      <c r="G5" s="346"/>
      <c r="H5" s="346" t="s">
        <v>156</v>
      </c>
      <c r="I5" s="346"/>
      <c r="J5" s="346" t="s">
        <v>167</v>
      </c>
      <c r="K5" s="346"/>
      <c r="L5" s="188"/>
    </row>
    <row r="6" spans="1:12" s="142" customFormat="1" ht="12.75" customHeight="1" x14ac:dyDescent="0.25">
      <c r="A6" s="151">
        <v>2008</v>
      </c>
      <c r="B6" s="152" t="s">
        <v>1</v>
      </c>
      <c r="C6" s="218"/>
      <c r="D6" s="205">
        <v>0.61138969601118964</v>
      </c>
      <c r="E6" s="154" t="s">
        <v>501</v>
      </c>
      <c r="F6" s="205">
        <v>0.21479945882555601</v>
      </c>
      <c r="G6" s="154" t="s">
        <v>501</v>
      </c>
      <c r="H6" s="205">
        <v>0.34855752545072738</v>
      </c>
      <c r="I6" s="154" t="s">
        <v>501</v>
      </c>
      <c r="J6" s="205">
        <v>4.8032711734906267E-2</v>
      </c>
      <c r="K6" s="154" t="s">
        <v>501</v>
      </c>
      <c r="L6" s="205"/>
    </row>
    <row r="7" spans="1:12" s="142" customFormat="1" ht="12.75" customHeight="1" x14ac:dyDescent="0.25">
      <c r="A7" s="151"/>
      <c r="B7" s="152" t="s">
        <v>2</v>
      </c>
      <c r="C7" s="218"/>
      <c r="D7" s="205">
        <v>0.6186177075382443</v>
      </c>
      <c r="E7" s="154" t="s">
        <v>501</v>
      </c>
      <c r="F7" s="205">
        <v>0.21308720808302642</v>
      </c>
      <c r="G7" s="154" t="s">
        <v>501</v>
      </c>
      <c r="H7" s="205">
        <v>0.36078743421118331</v>
      </c>
      <c r="I7" s="154" t="s">
        <v>501</v>
      </c>
      <c r="J7" s="205">
        <v>4.4743065244034493E-2</v>
      </c>
      <c r="K7" s="154" t="s">
        <v>501</v>
      </c>
      <c r="L7" s="205"/>
    </row>
    <row r="8" spans="1:12" s="142" customFormat="1" ht="12.75" customHeight="1" x14ac:dyDescent="0.25">
      <c r="A8" s="151"/>
      <c r="B8" s="152" t="s">
        <v>3</v>
      </c>
      <c r="C8" s="218"/>
      <c r="D8" s="205">
        <v>0.65406138687006377</v>
      </c>
      <c r="E8" s="154" t="s">
        <v>501</v>
      </c>
      <c r="F8" s="205">
        <v>0.22152082398803657</v>
      </c>
      <c r="G8" s="154" t="s">
        <v>501</v>
      </c>
      <c r="H8" s="205">
        <v>0.38806282642997281</v>
      </c>
      <c r="I8" s="154" t="s">
        <v>501</v>
      </c>
      <c r="J8" s="205">
        <v>4.4477736452054356E-2</v>
      </c>
      <c r="K8" s="154" t="s">
        <v>501</v>
      </c>
      <c r="L8" s="205"/>
    </row>
    <row r="9" spans="1:12" s="142" customFormat="1" ht="12.75" customHeight="1" x14ac:dyDescent="0.25">
      <c r="A9" s="151"/>
      <c r="B9" s="152" t="s">
        <v>4</v>
      </c>
      <c r="C9" s="218"/>
      <c r="D9" s="205">
        <v>0.7161308854965569</v>
      </c>
      <c r="E9" s="154" t="s">
        <v>501</v>
      </c>
      <c r="F9" s="205">
        <v>0.23875375234650667</v>
      </c>
      <c r="G9" s="154" t="s">
        <v>501</v>
      </c>
      <c r="H9" s="205">
        <v>0.43435452397221225</v>
      </c>
      <c r="I9" s="154" t="s">
        <v>501</v>
      </c>
      <c r="J9" s="205">
        <v>4.3022609177837935E-2</v>
      </c>
      <c r="K9" s="154" t="s">
        <v>501</v>
      </c>
      <c r="L9" s="205"/>
    </row>
    <row r="10" spans="1:12" s="142" customFormat="1" ht="12.75" customHeight="1" x14ac:dyDescent="0.25">
      <c r="A10" s="151"/>
      <c r="B10" s="152"/>
      <c r="C10" s="218"/>
      <c r="D10" s="205"/>
      <c r="E10" s="154"/>
      <c r="F10" s="205"/>
      <c r="G10" s="154"/>
      <c r="H10" s="205"/>
      <c r="I10" s="154"/>
      <c r="J10" s="205"/>
      <c r="K10" s="154"/>
      <c r="L10" s="205"/>
    </row>
    <row r="11" spans="1:12" s="142" customFormat="1" ht="12.75" customHeight="1" x14ac:dyDescent="0.25">
      <c r="A11" s="151">
        <v>2009</v>
      </c>
      <c r="B11" s="152" t="s">
        <v>1</v>
      </c>
      <c r="C11" s="218"/>
      <c r="D11" s="205">
        <v>0.81346205635060342</v>
      </c>
      <c r="E11" s="154" t="s">
        <v>501</v>
      </c>
      <c r="F11" s="205">
        <v>0.26212238255002979</v>
      </c>
      <c r="G11" s="154" t="s">
        <v>501</v>
      </c>
      <c r="H11" s="205">
        <v>0.50496653994685747</v>
      </c>
      <c r="I11" s="154" t="s">
        <v>501</v>
      </c>
      <c r="J11" s="205">
        <v>4.6373133853716109E-2</v>
      </c>
      <c r="K11" s="154" t="s">
        <v>501</v>
      </c>
      <c r="L11" s="205"/>
    </row>
    <row r="12" spans="1:12" s="142" customFormat="1" ht="12.75" customHeight="1" x14ac:dyDescent="0.25">
      <c r="A12" s="151"/>
      <c r="B12" s="152" t="s">
        <v>2</v>
      </c>
      <c r="C12" s="218"/>
      <c r="D12" s="205">
        <v>0.90098355281009823</v>
      </c>
      <c r="E12" s="154" t="s">
        <v>501</v>
      </c>
      <c r="F12" s="205">
        <v>0.27227475728437994</v>
      </c>
      <c r="G12" s="154" t="s">
        <v>501</v>
      </c>
      <c r="H12" s="205">
        <v>0.57478235897852403</v>
      </c>
      <c r="I12" s="154" t="s">
        <v>501</v>
      </c>
      <c r="J12" s="205">
        <v>5.392643654719418E-2</v>
      </c>
      <c r="K12" s="154" t="s">
        <v>501</v>
      </c>
      <c r="L12" s="205"/>
    </row>
    <row r="13" spans="1:12" s="142" customFormat="1" ht="12.75" customHeight="1" x14ac:dyDescent="0.25">
      <c r="A13" s="151"/>
      <c r="B13" s="152" t="s">
        <v>3</v>
      </c>
      <c r="C13" s="218"/>
      <c r="D13" s="205">
        <v>0.94078050267287394</v>
      </c>
      <c r="E13" s="154" t="s">
        <v>501</v>
      </c>
      <c r="F13" s="205">
        <v>0.26740707803510738</v>
      </c>
      <c r="G13" s="154" t="s">
        <v>501</v>
      </c>
      <c r="H13" s="205">
        <v>0.614648732990841</v>
      </c>
      <c r="I13" s="154" t="s">
        <v>501</v>
      </c>
      <c r="J13" s="205">
        <v>5.8724691646925543E-2</v>
      </c>
      <c r="K13" s="154" t="s">
        <v>501</v>
      </c>
      <c r="L13" s="205"/>
    </row>
    <row r="14" spans="1:12" s="142" customFormat="1" ht="12.75" customHeight="1" x14ac:dyDescent="0.25">
      <c r="A14" s="151"/>
      <c r="B14" s="152" t="s">
        <v>4</v>
      </c>
      <c r="C14" s="218"/>
      <c r="D14" s="205">
        <v>0.94837767440283516</v>
      </c>
      <c r="E14" s="154" t="s">
        <v>501</v>
      </c>
      <c r="F14" s="205">
        <v>0.25971538467704547</v>
      </c>
      <c r="G14" s="154" t="s">
        <v>501</v>
      </c>
      <c r="H14" s="205">
        <v>0.62174289059050281</v>
      </c>
      <c r="I14" s="154" t="s">
        <v>501</v>
      </c>
      <c r="J14" s="205">
        <v>6.6919399135286925E-2</v>
      </c>
      <c r="K14" s="154" t="s">
        <v>501</v>
      </c>
      <c r="L14" s="205"/>
    </row>
    <row r="15" spans="1:12" s="142" customFormat="1" ht="12.75" customHeight="1" x14ac:dyDescent="0.25">
      <c r="A15" s="151"/>
      <c r="B15" s="152"/>
      <c r="C15" s="218"/>
      <c r="D15" s="205"/>
      <c r="E15" s="154"/>
      <c r="F15" s="205"/>
      <c r="G15" s="154"/>
      <c r="H15" s="205"/>
      <c r="I15" s="154"/>
      <c r="J15" s="205"/>
      <c r="K15" s="154"/>
      <c r="L15" s="205"/>
    </row>
    <row r="16" spans="1:12" s="142" customFormat="1" ht="12.75" customHeight="1" x14ac:dyDescent="0.25">
      <c r="A16" s="151">
        <v>2010</v>
      </c>
      <c r="B16" s="152" t="s">
        <v>1</v>
      </c>
      <c r="C16" s="218"/>
      <c r="D16" s="205">
        <v>0.91605371249721101</v>
      </c>
      <c r="E16" s="154" t="s">
        <v>501</v>
      </c>
      <c r="F16" s="205">
        <v>0.24925567568852397</v>
      </c>
      <c r="G16" s="154" t="s">
        <v>501</v>
      </c>
      <c r="H16" s="205">
        <v>0.59397195068559117</v>
      </c>
      <c r="I16" s="154" t="s">
        <v>501</v>
      </c>
      <c r="J16" s="205">
        <v>7.2826086123095879E-2</v>
      </c>
      <c r="K16" s="154" t="s">
        <v>501</v>
      </c>
      <c r="L16" s="205"/>
    </row>
    <row r="17" spans="1:12" s="142" customFormat="1" ht="12.75" customHeight="1" x14ac:dyDescent="0.25">
      <c r="A17" s="151"/>
      <c r="B17" s="152" t="s">
        <v>2</v>
      </c>
      <c r="C17" s="218"/>
      <c r="D17" s="205">
        <v>0.86535872702231309</v>
      </c>
      <c r="E17" s="154" t="s">
        <v>501</v>
      </c>
      <c r="F17" s="205">
        <v>0.23235002955229084</v>
      </c>
      <c r="G17" s="154" t="s">
        <v>501</v>
      </c>
      <c r="H17" s="205">
        <v>0.55941366548513372</v>
      </c>
      <c r="I17" s="154" t="s">
        <v>501</v>
      </c>
      <c r="J17" s="205">
        <v>7.3595031984888482E-2</v>
      </c>
      <c r="K17" s="154" t="s">
        <v>501</v>
      </c>
      <c r="L17" s="205"/>
    </row>
    <row r="18" spans="1:12" s="142" customFormat="1" ht="12.75" customHeight="1" x14ac:dyDescent="0.25">
      <c r="A18" s="151"/>
      <c r="B18" s="152" t="s">
        <v>3</v>
      </c>
      <c r="C18" s="218"/>
      <c r="D18" s="205">
        <v>0.83117012864563611</v>
      </c>
      <c r="E18" s="154" t="s">
        <v>501</v>
      </c>
      <c r="F18" s="205">
        <v>0.22306221230985984</v>
      </c>
      <c r="G18" s="154" t="s">
        <v>501</v>
      </c>
      <c r="H18" s="205">
        <v>0.53581250876303677</v>
      </c>
      <c r="I18" s="154" t="s">
        <v>501</v>
      </c>
      <c r="J18" s="205">
        <v>7.2295407572739584E-2</v>
      </c>
      <c r="K18" s="154" t="s">
        <v>501</v>
      </c>
      <c r="L18" s="205"/>
    </row>
    <row r="19" spans="1:12" s="142" customFormat="1" ht="12.75" customHeight="1" x14ac:dyDescent="0.25">
      <c r="A19" s="151"/>
      <c r="B19" s="152" t="s">
        <v>4</v>
      </c>
      <c r="C19" s="218"/>
      <c r="D19" s="205">
        <v>0.80054519901498378</v>
      </c>
      <c r="E19" s="154" t="s">
        <v>501</v>
      </c>
      <c r="F19" s="205">
        <v>0.21586925854931077</v>
      </c>
      <c r="G19" s="154" t="s">
        <v>501</v>
      </c>
      <c r="H19" s="205">
        <v>0.51832046929640441</v>
      </c>
      <c r="I19" s="154" t="s">
        <v>501</v>
      </c>
      <c r="J19" s="205">
        <v>6.6355471169268543E-2</v>
      </c>
      <c r="K19" s="154" t="s">
        <v>501</v>
      </c>
      <c r="L19" s="205"/>
    </row>
    <row r="20" spans="1:12" s="142" customFormat="1" ht="12.75" customHeight="1" x14ac:dyDescent="0.25">
      <c r="A20" s="151"/>
      <c r="B20" s="152"/>
      <c r="C20" s="218"/>
      <c r="D20" s="205"/>
      <c r="E20" s="154"/>
      <c r="F20" s="205"/>
      <c r="G20" s="154"/>
      <c r="H20" s="205"/>
      <c r="I20" s="154"/>
      <c r="J20" s="205"/>
      <c r="K20" s="154"/>
      <c r="L20" s="205"/>
    </row>
    <row r="21" spans="1:12" s="142" customFormat="1" ht="12.75" customHeight="1" x14ac:dyDescent="0.25">
      <c r="A21" s="151">
        <v>2011</v>
      </c>
      <c r="B21" s="152" t="s">
        <v>1</v>
      </c>
      <c r="C21" s="218"/>
      <c r="D21" s="205">
        <v>0.77873767702399233</v>
      </c>
      <c r="E21" s="154" t="s">
        <v>501</v>
      </c>
      <c r="F21" s="205">
        <v>0.20405497347184948</v>
      </c>
      <c r="G21" s="154" t="s">
        <v>501</v>
      </c>
      <c r="H21" s="205">
        <v>0.51497888669114689</v>
      </c>
      <c r="I21" s="154" t="s">
        <v>501</v>
      </c>
      <c r="J21" s="205">
        <v>5.9703816860995969E-2</v>
      </c>
      <c r="K21" s="154" t="s">
        <v>501</v>
      </c>
      <c r="L21" s="205"/>
    </row>
    <row r="22" spans="1:12" s="142" customFormat="1" ht="12.75" customHeight="1" x14ac:dyDescent="0.25">
      <c r="A22" s="151"/>
      <c r="B22" s="152" t="s">
        <v>2</v>
      </c>
      <c r="C22" s="218"/>
      <c r="D22" s="205">
        <v>0.7779389075913471</v>
      </c>
      <c r="E22" s="154" t="s">
        <v>501</v>
      </c>
      <c r="F22" s="205">
        <v>0.20762394691799241</v>
      </c>
      <c r="G22" s="154" t="s">
        <v>501</v>
      </c>
      <c r="H22" s="205">
        <v>0.51744918205321555</v>
      </c>
      <c r="I22" s="154" t="s">
        <v>501</v>
      </c>
      <c r="J22" s="205">
        <v>5.2865778620139192E-2</v>
      </c>
      <c r="K22" s="154" t="s">
        <v>501</v>
      </c>
      <c r="L22" s="205"/>
    </row>
    <row r="23" spans="1:12" s="142" customFormat="1" ht="12.75" customHeight="1" x14ac:dyDescent="0.25">
      <c r="A23" s="151"/>
      <c r="B23" s="152" t="s">
        <v>3</v>
      </c>
      <c r="C23" s="218"/>
      <c r="D23" s="205">
        <v>0.77595523958871326</v>
      </c>
      <c r="E23" s="154" t="s">
        <v>501</v>
      </c>
      <c r="F23" s="205">
        <v>0.20802575299535614</v>
      </c>
      <c r="G23" s="154" t="s">
        <v>501</v>
      </c>
      <c r="H23" s="205">
        <v>0.51753598901107878</v>
      </c>
      <c r="I23" s="154" t="s">
        <v>501</v>
      </c>
      <c r="J23" s="205">
        <v>5.0393497582278235E-2</v>
      </c>
      <c r="K23" s="154" t="s">
        <v>501</v>
      </c>
      <c r="L23" s="205"/>
    </row>
    <row r="24" spans="1:12" s="142" customFormat="1" ht="12.75" customHeight="1" x14ac:dyDescent="0.25">
      <c r="A24" s="151"/>
      <c r="B24" s="152" t="s">
        <v>4</v>
      </c>
      <c r="C24" s="218"/>
      <c r="D24" s="205">
        <v>0.77730361196497877</v>
      </c>
      <c r="E24" s="154" t="s">
        <v>501</v>
      </c>
      <c r="F24" s="205">
        <v>0.21518647469349209</v>
      </c>
      <c r="G24" s="154" t="s">
        <v>501</v>
      </c>
      <c r="H24" s="205">
        <v>0.51385824768401955</v>
      </c>
      <c r="I24" s="154" t="s">
        <v>501</v>
      </c>
      <c r="J24" s="205">
        <v>4.8258889587467144E-2</v>
      </c>
      <c r="K24" s="154" t="s">
        <v>501</v>
      </c>
      <c r="L24" s="205"/>
    </row>
    <row r="25" spans="1:12" s="142" customFormat="1" ht="12.75" customHeight="1" x14ac:dyDescent="0.25">
      <c r="A25" s="151"/>
      <c r="B25" s="152"/>
      <c r="C25" s="218"/>
      <c r="D25" s="205"/>
      <c r="E25" s="154"/>
      <c r="F25" s="205"/>
      <c r="G25" s="154"/>
      <c r="H25" s="205"/>
      <c r="I25" s="154"/>
      <c r="J25" s="205"/>
      <c r="K25" s="154"/>
      <c r="L25" s="205"/>
    </row>
    <row r="26" spans="1:12" s="142" customFormat="1" ht="12.75" customHeight="1" x14ac:dyDescent="0.25">
      <c r="A26" s="151">
        <v>2012</v>
      </c>
      <c r="B26" s="152" t="s">
        <v>1</v>
      </c>
      <c r="C26" s="218"/>
      <c r="D26" s="205">
        <v>0.77458752832713385</v>
      </c>
      <c r="E26" s="154" t="s">
        <v>501</v>
      </c>
      <c r="F26" s="205">
        <v>0.21718793536910824</v>
      </c>
      <c r="G26" s="154" t="s">
        <v>501</v>
      </c>
      <c r="H26" s="205">
        <v>0.51345346827943716</v>
      </c>
      <c r="I26" s="154" t="s">
        <v>501</v>
      </c>
      <c r="J26" s="205">
        <v>4.3946124678588341E-2</v>
      </c>
      <c r="K26" s="154" t="s">
        <v>501</v>
      </c>
      <c r="L26" s="205"/>
    </row>
    <row r="27" spans="1:12" s="142" customFormat="1" ht="12.75" customHeight="1" x14ac:dyDescent="0.25">
      <c r="A27" s="151"/>
      <c r="B27" s="152" t="s">
        <v>2</v>
      </c>
      <c r="C27" s="218"/>
      <c r="D27" s="205">
        <v>0.74811450793867496</v>
      </c>
      <c r="E27" s="154" t="s">
        <v>501</v>
      </c>
      <c r="F27" s="205">
        <v>0.20193708394685381</v>
      </c>
      <c r="G27" s="154" t="s">
        <v>501</v>
      </c>
      <c r="H27" s="205">
        <v>0.5038620276037018</v>
      </c>
      <c r="I27" s="154" t="s">
        <v>501</v>
      </c>
      <c r="J27" s="205">
        <v>4.2315396388119403E-2</v>
      </c>
      <c r="K27" s="154" t="s">
        <v>501</v>
      </c>
      <c r="L27" s="205"/>
    </row>
    <row r="28" spans="1:12" s="142" customFormat="1" ht="12.75" customHeight="1" x14ac:dyDescent="0.25">
      <c r="A28" s="151"/>
      <c r="B28" s="152" t="s">
        <v>3</v>
      </c>
      <c r="C28" s="218"/>
      <c r="D28" s="205">
        <v>0.72647843233341935</v>
      </c>
      <c r="E28" s="154" t="s">
        <v>501</v>
      </c>
      <c r="F28" s="205">
        <v>0.19446990669272518</v>
      </c>
      <c r="G28" s="154" t="s">
        <v>501</v>
      </c>
      <c r="H28" s="205">
        <v>0.49231743545155987</v>
      </c>
      <c r="I28" s="154" t="s">
        <v>501</v>
      </c>
      <c r="J28" s="205">
        <v>3.9691090189134276E-2</v>
      </c>
      <c r="K28" s="154" t="s">
        <v>501</v>
      </c>
      <c r="L28" s="205"/>
    </row>
    <row r="29" spans="1:12" s="142" customFormat="1" ht="12.75" customHeight="1" x14ac:dyDescent="0.25">
      <c r="A29" s="151"/>
      <c r="B29" s="152" t="s">
        <v>4</v>
      </c>
      <c r="C29" s="218"/>
      <c r="D29" s="205">
        <v>0.69432371491898603</v>
      </c>
      <c r="E29" s="154" t="s">
        <v>501</v>
      </c>
      <c r="F29" s="205">
        <v>0.17230712575828769</v>
      </c>
      <c r="G29" s="154" t="s">
        <v>501</v>
      </c>
      <c r="H29" s="205">
        <v>0.48145708502186646</v>
      </c>
      <c r="I29" s="154" t="s">
        <v>501</v>
      </c>
      <c r="J29" s="205">
        <v>4.0559504138831859E-2</v>
      </c>
      <c r="K29" s="154" t="s">
        <v>501</v>
      </c>
      <c r="L29" s="205"/>
    </row>
    <row r="30" spans="1:12" s="142" customFormat="1" ht="12.75" customHeight="1" x14ac:dyDescent="0.25">
      <c r="A30" s="151"/>
      <c r="B30" s="152"/>
      <c r="C30" s="218"/>
      <c r="D30" s="205"/>
      <c r="E30" s="154"/>
      <c r="F30" s="205"/>
      <c r="G30" s="154"/>
      <c r="H30" s="205"/>
      <c r="I30" s="154"/>
      <c r="J30" s="205"/>
      <c r="K30" s="154"/>
      <c r="L30" s="205"/>
    </row>
    <row r="31" spans="1:12" s="142" customFormat="1" ht="12.75" customHeight="1" x14ac:dyDescent="0.25">
      <c r="A31" s="151">
        <v>2013</v>
      </c>
      <c r="B31" s="152" t="s">
        <v>1</v>
      </c>
      <c r="C31" s="218"/>
      <c r="D31" s="205">
        <v>0.65870843395552425</v>
      </c>
      <c r="E31" s="154" t="s">
        <v>501</v>
      </c>
      <c r="F31" s="205">
        <v>0.15924425645051676</v>
      </c>
      <c r="G31" s="154" t="s">
        <v>501</v>
      </c>
      <c r="H31" s="205">
        <v>0.45862823471114844</v>
      </c>
      <c r="I31" s="154" t="s">
        <v>501</v>
      </c>
      <c r="J31" s="205">
        <v>4.083594279385909E-2</v>
      </c>
      <c r="K31" s="154" t="s">
        <v>501</v>
      </c>
      <c r="L31" s="205"/>
    </row>
    <row r="32" spans="1:12" s="142" customFormat="1" ht="12.75" customHeight="1" x14ac:dyDescent="0.25">
      <c r="A32" s="151"/>
      <c r="B32" s="152" t="s">
        <v>2</v>
      </c>
      <c r="C32" s="218"/>
      <c r="D32" s="205">
        <v>0.65102125284552337</v>
      </c>
      <c r="E32" s="154" t="s">
        <v>501</v>
      </c>
      <c r="F32" s="205">
        <v>0.15713089720997611</v>
      </c>
      <c r="G32" s="154" t="s">
        <v>501</v>
      </c>
      <c r="H32" s="205">
        <v>0.45320642664977645</v>
      </c>
      <c r="I32" s="154" t="s">
        <v>501</v>
      </c>
      <c r="J32" s="205">
        <v>4.0683928985770813E-2</v>
      </c>
      <c r="K32" s="154" t="s">
        <v>501</v>
      </c>
      <c r="L32" s="205"/>
    </row>
    <row r="33" spans="1:12" s="142" customFormat="1" ht="12.75" customHeight="1" x14ac:dyDescent="0.25">
      <c r="A33" s="151"/>
      <c r="B33" s="152" t="s">
        <v>3</v>
      </c>
      <c r="C33" s="218"/>
      <c r="D33" s="205">
        <v>0.63162436782132203</v>
      </c>
      <c r="E33" s="154" t="s">
        <v>501</v>
      </c>
      <c r="F33" s="205">
        <v>0.14988546506236133</v>
      </c>
      <c r="G33" s="154" t="s">
        <v>501</v>
      </c>
      <c r="H33" s="205">
        <v>0.44202137535627678</v>
      </c>
      <c r="I33" s="154" t="s">
        <v>501</v>
      </c>
      <c r="J33" s="205">
        <v>3.9717527402683868E-2</v>
      </c>
      <c r="K33" s="154" t="s">
        <v>501</v>
      </c>
      <c r="L33" s="205"/>
    </row>
    <row r="34" spans="1:12" s="142" customFormat="1" ht="12.75" customHeight="1" x14ac:dyDescent="0.25">
      <c r="A34" s="151"/>
      <c r="B34" s="152" t="s">
        <v>4</v>
      </c>
      <c r="C34" s="218"/>
      <c r="D34" s="205">
        <v>0.60789808620884067</v>
      </c>
      <c r="E34" s="154" t="s">
        <v>501</v>
      </c>
      <c r="F34" s="205">
        <v>0.13774320600851639</v>
      </c>
      <c r="G34" s="154" t="s">
        <v>501</v>
      </c>
      <c r="H34" s="205">
        <v>0.43435378260339708</v>
      </c>
      <c r="I34" s="154" t="s">
        <v>501</v>
      </c>
      <c r="J34" s="205">
        <v>3.5801097596927164E-2</v>
      </c>
      <c r="K34" s="154" t="s">
        <v>501</v>
      </c>
      <c r="L34" s="205"/>
    </row>
    <row r="35" spans="1:12" s="142" customFormat="1" ht="12.75" customHeight="1" x14ac:dyDescent="0.25">
      <c r="A35" s="151"/>
      <c r="B35" s="152"/>
      <c r="C35" s="218"/>
      <c r="D35" s="205"/>
      <c r="E35" s="154"/>
      <c r="F35" s="205"/>
      <c r="G35" s="154"/>
      <c r="H35" s="205"/>
      <c r="I35" s="154"/>
      <c r="J35" s="205"/>
      <c r="K35" s="154"/>
      <c r="L35" s="205"/>
    </row>
    <row r="36" spans="1:12" s="142" customFormat="1" ht="12.75" customHeight="1" x14ac:dyDescent="0.25">
      <c r="A36" s="151">
        <v>2014</v>
      </c>
      <c r="B36" s="152" t="s">
        <v>1</v>
      </c>
      <c r="C36" s="218"/>
      <c r="D36" s="205">
        <v>0.59785108917727836</v>
      </c>
      <c r="E36" s="154" t="s">
        <v>501</v>
      </c>
      <c r="F36" s="205">
        <v>0.13927106912396015</v>
      </c>
      <c r="G36" s="154" t="s">
        <v>501</v>
      </c>
      <c r="H36" s="205">
        <v>0.42534742160943806</v>
      </c>
      <c r="I36" s="154" t="s">
        <v>501</v>
      </c>
      <c r="J36" s="205">
        <v>3.3232598443880157E-2</v>
      </c>
      <c r="K36" s="154" t="s">
        <v>501</v>
      </c>
      <c r="L36" s="205"/>
    </row>
    <row r="37" spans="1:12" s="142" customFormat="1" ht="12.75" customHeight="1" x14ac:dyDescent="0.25">
      <c r="A37" s="151"/>
      <c r="B37" s="152" t="s">
        <v>2</v>
      </c>
      <c r="C37" s="218"/>
      <c r="D37" s="205">
        <v>0.56660541191753078</v>
      </c>
      <c r="E37" s="154" t="s">
        <v>501</v>
      </c>
      <c r="F37" s="205">
        <v>0.13473684004866349</v>
      </c>
      <c r="G37" s="154" t="s">
        <v>501</v>
      </c>
      <c r="H37" s="205">
        <v>0.40047393567482042</v>
      </c>
      <c r="I37" s="154" t="s">
        <v>501</v>
      </c>
      <c r="J37" s="205">
        <v>3.1394636194046935E-2</v>
      </c>
      <c r="K37" s="154" t="s">
        <v>501</v>
      </c>
      <c r="L37" s="205"/>
    </row>
    <row r="38" spans="1:12" s="142" customFormat="1" ht="12.75" customHeight="1" x14ac:dyDescent="0.25">
      <c r="A38" s="151"/>
      <c r="B38" s="152" t="s">
        <v>3</v>
      </c>
      <c r="C38" s="218"/>
      <c r="D38" s="205">
        <v>0.54389010365125168</v>
      </c>
      <c r="E38" s="154" t="s">
        <v>501</v>
      </c>
      <c r="F38" s="205">
        <v>0.13023581968795014</v>
      </c>
      <c r="G38" s="154" t="s">
        <v>501</v>
      </c>
      <c r="H38" s="205">
        <v>0.38337022978565605</v>
      </c>
      <c r="I38" s="154" t="s">
        <v>501</v>
      </c>
      <c r="J38" s="205">
        <v>3.0284054177645407E-2</v>
      </c>
      <c r="K38" s="154" t="s">
        <v>501</v>
      </c>
      <c r="L38" s="205"/>
    </row>
    <row r="39" spans="1:12" s="142" customFormat="1" ht="12.75" customHeight="1" x14ac:dyDescent="0.25">
      <c r="A39" s="151"/>
      <c r="B39" s="152" t="s">
        <v>4</v>
      </c>
      <c r="C39" s="218"/>
      <c r="D39" s="205">
        <v>0.53067407911128328</v>
      </c>
      <c r="E39" s="154" t="s">
        <v>501</v>
      </c>
      <c r="F39" s="205">
        <v>0.13256261090093591</v>
      </c>
      <c r="G39" s="154" t="s">
        <v>501</v>
      </c>
      <c r="H39" s="205">
        <v>0.36711547024203267</v>
      </c>
      <c r="I39" s="154" t="s">
        <v>501</v>
      </c>
      <c r="J39" s="205">
        <v>3.099599796831471E-2</v>
      </c>
      <c r="K39" s="154" t="s">
        <v>501</v>
      </c>
      <c r="L39" s="205"/>
    </row>
    <row r="40" spans="1:12" s="142" customFormat="1" ht="12.75" customHeight="1" x14ac:dyDescent="0.25">
      <c r="A40" s="151"/>
      <c r="B40" s="152"/>
      <c r="C40" s="218"/>
      <c r="D40" s="205"/>
      <c r="E40" s="154"/>
      <c r="F40" s="205"/>
      <c r="G40" s="154"/>
      <c r="H40" s="205"/>
      <c r="I40" s="154"/>
      <c r="J40" s="205"/>
      <c r="K40" s="154"/>
      <c r="L40" s="205"/>
    </row>
    <row r="41" spans="1:12" s="142" customFormat="1" ht="12.75" customHeight="1" x14ac:dyDescent="0.25">
      <c r="A41" s="151">
        <v>2015</v>
      </c>
      <c r="B41" s="152" t="s">
        <v>1</v>
      </c>
      <c r="C41" s="218"/>
      <c r="D41" s="205">
        <v>0.50730193420121161</v>
      </c>
      <c r="E41" s="154" t="s">
        <v>501</v>
      </c>
      <c r="F41" s="205">
        <v>0.12429659518669403</v>
      </c>
      <c r="G41" s="154" t="s">
        <v>501</v>
      </c>
      <c r="H41" s="205">
        <v>0.35317831324647314</v>
      </c>
      <c r="I41" s="154" t="s">
        <v>501</v>
      </c>
      <c r="J41" s="205">
        <v>2.9827025768044468E-2</v>
      </c>
      <c r="K41" s="154" t="s">
        <v>501</v>
      </c>
      <c r="L41" s="205"/>
    </row>
    <row r="42" spans="1:12" s="142" customFormat="1" ht="12.75" customHeight="1" x14ac:dyDescent="0.25">
      <c r="A42" s="151"/>
      <c r="B42" s="152" t="s">
        <v>2</v>
      </c>
      <c r="C42" s="218"/>
      <c r="D42" s="205">
        <v>0.48612301512870915</v>
      </c>
      <c r="E42" s="154" t="s">
        <v>501</v>
      </c>
      <c r="F42" s="205">
        <v>0.11473183049366387</v>
      </c>
      <c r="G42" s="154" t="s">
        <v>501</v>
      </c>
      <c r="H42" s="205">
        <v>0.34303967452194434</v>
      </c>
      <c r="I42" s="154" t="s">
        <v>501</v>
      </c>
      <c r="J42" s="205">
        <v>2.8351510113100942E-2</v>
      </c>
      <c r="K42" s="154" t="s">
        <v>501</v>
      </c>
      <c r="L42" s="205"/>
    </row>
    <row r="43" spans="1:12" s="142" customFormat="1" ht="12.75" customHeight="1" x14ac:dyDescent="0.25">
      <c r="A43" s="151"/>
      <c r="B43" s="152" t="s">
        <v>3</v>
      </c>
      <c r="C43" s="218"/>
      <c r="D43" s="205">
        <v>0.46560900713632319</v>
      </c>
      <c r="E43" s="154" t="s">
        <v>501</v>
      </c>
      <c r="F43" s="205">
        <v>0.10439574040014472</v>
      </c>
      <c r="G43" s="154" t="s">
        <v>501</v>
      </c>
      <c r="H43" s="205">
        <v>0.33541470301197396</v>
      </c>
      <c r="I43" s="154" t="s">
        <v>501</v>
      </c>
      <c r="J43" s="205">
        <v>2.5798563724204568E-2</v>
      </c>
      <c r="K43" s="154" t="s">
        <v>501</v>
      </c>
      <c r="L43" s="205"/>
    </row>
    <row r="44" spans="1:12" s="142" customFormat="1" ht="12.75" customHeight="1" x14ac:dyDescent="0.25">
      <c r="A44" s="151"/>
      <c r="B44" s="152" t="s">
        <v>4</v>
      </c>
      <c r="C44" s="218"/>
      <c r="D44" s="205">
        <v>0.44320461807297051</v>
      </c>
      <c r="E44" s="154" t="s">
        <v>501</v>
      </c>
      <c r="F44" s="205">
        <v>9.4740521022035631E-2</v>
      </c>
      <c r="G44" s="154" t="s">
        <v>501</v>
      </c>
      <c r="H44" s="205">
        <v>0.32777137681386165</v>
      </c>
      <c r="I44" s="154" t="s">
        <v>501</v>
      </c>
      <c r="J44" s="205">
        <v>2.0692720237073206E-2</v>
      </c>
      <c r="K44" s="154" t="s">
        <v>501</v>
      </c>
      <c r="L44" s="205"/>
    </row>
    <row r="45" spans="1:12" s="142" customFormat="1" ht="12.75" customHeight="1" x14ac:dyDescent="0.25">
      <c r="A45" s="151"/>
      <c r="B45" s="152"/>
      <c r="C45" s="218"/>
      <c r="D45" s="205"/>
      <c r="E45" s="154"/>
      <c r="F45" s="205"/>
      <c r="G45" s="154"/>
      <c r="H45" s="205"/>
      <c r="I45" s="154"/>
      <c r="J45" s="205"/>
      <c r="K45" s="154"/>
      <c r="L45" s="205"/>
    </row>
    <row r="46" spans="1:12" s="142" customFormat="1" ht="12.75" customHeight="1" x14ac:dyDescent="0.25">
      <c r="A46" s="151">
        <v>2016</v>
      </c>
      <c r="B46" s="152" t="s">
        <v>1</v>
      </c>
      <c r="C46" s="218"/>
      <c r="D46" s="205">
        <v>0.42709670175248676</v>
      </c>
      <c r="E46" s="154" t="s">
        <v>501</v>
      </c>
      <c r="F46" s="205">
        <v>9.0020231193153888E-2</v>
      </c>
      <c r="G46" s="154" t="s">
        <v>501</v>
      </c>
      <c r="H46" s="205">
        <v>0.32080581316758527</v>
      </c>
      <c r="I46" s="154" t="s">
        <v>501</v>
      </c>
      <c r="J46" s="205">
        <v>1.6270657391747569E-2</v>
      </c>
      <c r="K46" s="154" t="s">
        <v>501</v>
      </c>
      <c r="L46" s="205"/>
    </row>
    <row r="47" spans="1:12" s="142" customFormat="1" ht="12.75" customHeight="1" x14ac:dyDescent="0.25">
      <c r="A47" s="151"/>
      <c r="B47" s="152" t="s">
        <v>2</v>
      </c>
      <c r="C47" s="218"/>
      <c r="D47" s="205">
        <v>0.41590925370944126</v>
      </c>
      <c r="E47" s="154" t="s">
        <v>501</v>
      </c>
      <c r="F47" s="205">
        <v>8.5231194490680881E-2</v>
      </c>
      <c r="G47" s="154" t="s">
        <v>501</v>
      </c>
      <c r="H47" s="205">
        <v>0.31663625945851465</v>
      </c>
      <c r="I47" s="154" t="s">
        <v>501</v>
      </c>
      <c r="J47" s="205">
        <v>1.4041799760245756E-2</v>
      </c>
      <c r="K47" s="154" t="s">
        <v>501</v>
      </c>
      <c r="L47" s="205"/>
    </row>
    <row r="48" spans="1:12" s="142" customFormat="1" ht="12.75" customHeight="1" x14ac:dyDescent="0.25">
      <c r="A48" s="151"/>
      <c r="B48" s="152" t="s">
        <v>3</v>
      </c>
      <c r="C48" s="218"/>
      <c r="D48" s="205">
        <v>0.4096811881034228</v>
      </c>
      <c r="E48" s="154" t="s">
        <v>501</v>
      </c>
      <c r="F48" s="205">
        <v>8.4367155665277291E-2</v>
      </c>
      <c r="G48" s="154" t="s">
        <v>501</v>
      </c>
      <c r="H48" s="205">
        <v>0.31250663813671059</v>
      </c>
      <c r="I48" s="154" t="s">
        <v>501</v>
      </c>
      <c r="J48" s="205">
        <v>1.2807394301434872E-2</v>
      </c>
      <c r="K48" s="154" t="s">
        <v>501</v>
      </c>
      <c r="L48" s="205"/>
    </row>
    <row r="49" spans="1:15" s="142" customFormat="1" ht="12.75" customHeight="1" x14ac:dyDescent="0.25">
      <c r="A49" s="151"/>
      <c r="B49" s="152" t="s">
        <v>4</v>
      </c>
      <c r="C49" s="218"/>
      <c r="D49" s="205">
        <v>0.46609150912646674</v>
      </c>
      <c r="E49" s="154" t="s">
        <v>501</v>
      </c>
      <c r="F49" s="205">
        <v>8.9533083441981742E-2</v>
      </c>
      <c r="G49" s="154" t="s">
        <v>501</v>
      </c>
      <c r="H49" s="205">
        <v>0.363418758148631</v>
      </c>
      <c r="I49" s="154" t="s">
        <v>501</v>
      </c>
      <c r="J49" s="205">
        <v>1.3139667535853975E-2</v>
      </c>
      <c r="K49" s="154" t="s">
        <v>501</v>
      </c>
      <c r="L49" s="205"/>
    </row>
    <row r="50" spans="1:15" s="142" customFormat="1" ht="12.75" customHeight="1" x14ac:dyDescent="0.25">
      <c r="A50" s="151"/>
      <c r="B50" s="152"/>
      <c r="C50" s="218"/>
      <c r="D50" s="205"/>
      <c r="E50" s="154"/>
      <c r="F50" s="205"/>
      <c r="G50" s="154"/>
      <c r="H50" s="205"/>
      <c r="I50" s="154"/>
      <c r="J50" s="205"/>
      <c r="K50" s="154"/>
      <c r="L50" s="205"/>
    </row>
    <row r="51" spans="1:15" s="142" customFormat="1" ht="12.75" customHeight="1" x14ac:dyDescent="0.25">
      <c r="A51" s="151">
        <v>2017</v>
      </c>
      <c r="B51" s="152" t="s">
        <v>1</v>
      </c>
      <c r="C51" s="218" t="s">
        <v>196</v>
      </c>
      <c r="D51" s="205">
        <v>0.47079771860149616</v>
      </c>
      <c r="E51" s="154" t="s">
        <v>501</v>
      </c>
      <c r="F51" s="205">
        <v>8.8895032489931053E-2</v>
      </c>
      <c r="G51" s="154" t="s">
        <v>501</v>
      </c>
      <c r="H51" s="205">
        <v>0.36734255219443257</v>
      </c>
      <c r="I51" s="154" t="s">
        <v>501</v>
      </c>
      <c r="J51" s="205">
        <v>1.4560133917132533E-2</v>
      </c>
      <c r="K51" s="154" t="s">
        <v>501</v>
      </c>
      <c r="L51" s="205"/>
    </row>
    <row r="52" spans="1:15" s="142" customFormat="1" ht="12.75" customHeight="1" x14ac:dyDescent="0.25">
      <c r="A52" s="151"/>
      <c r="B52" s="152" t="s">
        <v>2</v>
      </c>
      <c r="C52" s="218" t="s">
        <v>196</v>
      </c>
      <c r="D52" s="205">
        <v>0.49673606170324697</v>
      </c>
      <c r="E52" s="154" t="s">
        <v>501</v>
      </c>
      <c r="F52" s="205">
        <v>8.811381531260111E-2</v>
      </c>
      <c r="G52" s="154" t="s">
        <v>501</v>
      </c>
      <c r="H52" s="205">
        <v>0.39530859065369978</v>
      </c>
      <c r="I52" s="154" t="s">
        <v>501</v>
      </c>
      <c r="J52" s="205">
        <v>1.3313655736946135E-2</v>
      </c>
      <c r="K52" s="154" t="s">
        <v>501</v>
      </c>
      <c r="L52" s="205"/>
    </row>
    <row r="53" spans="1:15" s="142" customFormat="1" ht="12.75" customHeight="1" x14ac:dyDescent="0.25">
      <c r="A53" s="151"/>
      <c r="B53" s="152" t="s">
        <v>3</v>
      </c>
      <c r="C53" s="218" t="s">
        <v>196</v>
      </c>
      <c r="D53" s="205">
        <v>0.5051345203176526</v>
      </c>
      <c r="E53" s="154" t="s">
        <v>501</v>
      </c>
      <c r="F53" s="205">
        <v>8.8053937445260189E-2</v>
      </c>
      <c r="G53" s="154" t="s">
        <v>501</v>
      </c>
      <c r="H53" s="205">
        <v>0.40417815345367764</v>
      </c>
      <c r="I53" s="154" t="s">
        <v>279</v>
      </c>
      <c r="J53" s="205">
        <v>1.2902429418714693E-2</v>
      </c>
      <c r="K53" s="154" t="s">
        <v>501</v>
      </c>
      <c r="L53" s="205"/>
    </row>
    <row r="54" spans="1:15" s="142" customFormat="1" ht="12.75" customHeight="1" x14ac:dyDescent="0.25">
      <c r="A54" s="152"/>
      <c r="B54" s="152" t="s">
        <v>4</v>
      </c>
      <c r="C54" s="218" t="s">
        <v>406</v>
      </c>
      <c r="D54" s="205">
        <v>0.46862284379107499</v>
      </c>
      <c r="E54" s="154" t="s">
        <v>501</v>
      </c>
      <c r="F54" s="205">
        <v>8.1511020368581835E-2</v>
      </c>
      <c r="G54" s="154" t="s">
        <v>501</v>
      </c>
      <c r="H54" s="205">
        <v>0.37453134439454483</v>
      </c>
      <c r="I54" s="154" t="s">
        <v>501</v>
      </c>
      <c r="J54" s="205">
        <v>1.2580479027948321E-2</v>
      </c>
      <c r="K54" s="154" t="s">
        <v>501</v>
      </c>
      <c r="L54" s="205"/>
    </row>
    <row r="55" spans="1:15" s="142" customFormat="1" ht="12.75" customHeight="1" x14ac:dyDescent="0.25">
      <c r="A55" s="151"/>
      <c r="B55" s="152"/>
      <c r="C55" s="218"/>
      <c r="D55" s="205"/>
      <c r="E55" s="154"/>
      <c r="F55" s="205"/>
      <c r="G55" s="154"/>
      <c r="H55" s="205"/>
      <c r="I55" s="154"/>
      <c r="J55" s="205"/>
      <c r="K55" s="154"/>
      <c r="L55" s="205"/>
    </row>
    <row r="56" spans="1:15" s="142" customFormat="1" ht="12.75" customHeight="1" thickBot="1" x14ac:dyDescent="0.3">
      <c r="A56" s="152"/>
      <c r="B56" s="156"/>
      <c r="C56" s="219"/>
      <c r="D56" s="205"/>
      <c r="E56" s="154"/>
      <c r="F56" s="205"/>
      <c r="G56" s="154"/>
      <c r="H56" s="205"/>
      <c r="I56" s="154"/>
      <c r="J56" s="205"/>
      <c r="K56" s="154"/>
      <c r="L56" s="205"/>
    </row>
    <row r="57" spans="1:15" s="142" customFormat="1" ht="12.75" customHeight="1" x14ac:dyDescent="0.2">
      <c r="A57" s="159" t="s">
        <v>503</v>
      </c>
      <c r="B57" s="159"/>
      <c r="C57" s="220"/>
      <c r="D57" s="206"/>
      <c r="E57" s="220"/>
      <c r="F57" s="206"/>
      <c r="G57" s="220"/>
      <c r="H57" s="206"/>
      <c r="I57" s="220"/>
      <c r="J57" s="206"/>
      <c r="K57" s="220"/>
      <c r="L57" s="206"/>
    </row>
    <row r="58" spans="1:15" s="142" customFormat="1" ht="12.75" customHeight="1" x14ac:dyDescent="0.2">
      <c r="A58" s="160"/>
      <c r="B58" s="160"/>
      <c r="C58" s="161"/>
      <c r="D58" s="207"/>
      <c r="E58" s="161"/>
      <c r="F58" s="207"/>
      <c r="G58" s="161"/>
      <c r="H58" s="207"/>
      <c r="I58" s="161"/>
      <c r="J58" s="207"/>
      <c r="K58" s="161"/>
      <c r="L58" s="207"/>
    </row>
    <row r="59" spans="1:15" s="142" customFormat="1" ht="12.75" customHeight="1" x14ac:dyDescent="0.2">
      <c r="A59" s="162">
        <v>2017</v>
      </c>
      <c r="B59" s="163" t="s">
        <v>3</v>
      </c>
      <c r="C59" s="221"/>
      <c r="D59" s="208">
        <v>-3.6511676526577608E-2</v>
      </c>
      <c r="E59" s="161"/>
      <c r="F59" s="208">
        <v>-6.5429170766783534E-3</v>
      </c>
      <c r="G59" s="161"/>
      <c r="H59" s="208">
        <v>-2.9646809059132806E-2</v>
      </c>
      <c r="I59" s="161"/>
      <c r="J59" s="208">
        <v>-3.2195039076637205E-4</v>
      </c>
      <c r="K59" s="161"/>
      <c r="L59" s="208"/>
    </row>
    <row r="60" spans="1:15" s="142" customFormat="1" ht="12.75" customHeight="1" x14ac:dyDescent="0.2">
      <c r="A60" s="165"/>
      <c r="B60" s="166"/>
      <c r="C60" s="222"/>
      <c r="D60" s="209"/>
      <c r="E60" s="280"/>
      <c r="F60" s="209"/>
      <c r="G60" s="280"/>
      <c r="H60" s="209"/>
      <c r="I60" s="280"/>
      <c r="J60" s="209"/>
      <c r="K60" s="280"/>
      <c r="L60" s="209"/>
    </row>
    <row r="61" spans="1:15" s="142" customFormat="1" ht="12.75" customHeight="1" thickBot="1" x14ac:dyDescent="0.25">
      <c r="A61" s="157">
        <v>2016</v>
      </c>
      <c r="B61" s="158" t="s">
        <v>4</v>
      </c>
      <c r="C61" s="223"/>
      <c r="D61" s="210">
        <v>2.5313346646082535E-3</v>
      </c>
      <c r="E61" s="281"/>
      <c r="F61" s="210">
        <v>-8.0220630733999071E-3</v>
      </c>
      <c r="G61" s="281"/>
      <c r="H61" s="210">
        <v>1.1112586245913825E-2</v>
      </c>
      <c r="I61" s="281"/>
      <c r="J61" s="210">
        <v>-5.5918850790565369E-4</v>
      </c>
      <c r="K61" s="281"/>
      <c r="L61" s="210"/>
    </row>
    <row r="62" spans="1:15" s="169" customFormat="1" ht="12.75" customHeight="1" x14ac:dyDescent="0.2">
      <c r="A62" s="343"/>
      <c r="B62" s="343"/>
      <c r="C62" s="343"/>
      <c r="D62" s="343"/>
      <c r="E62" s="343"/>
      <c r="F62" s="343"/>
      <c r="G62" s="343"/>
      <c r="H62" s="343"/>
      <c r="I62" s="343"/>
      <c r="J62" s="343"/>
      <c r="K62" s="343"/>
    </row>
    <row r="63" spans="1:15" s="169" customFormat="1" ht="15" x14ac:dyDescent="0.2">
      <c r="A63" s="338" t="s">
        <v>264</v>
      </c>
      <c r="B63" s="338"/>
      <c r="C63" s="338"/>
      <c r="D63" s="338"/>
      <c r="E63" s="338"/>
      <c r="F63" s="338"/>
      <c r="G63" s="338"/>
      <c r="H63" s="338"/>
      <c r="I63" s="338"/>
      <c r="J63" s="338"/>
      <c r="K63" s="338"/>
      <c r="L63" s="338"/>
      <c r="M63" s="338"/>
      <c r="N63" s="338"/>
      <c r="O63" s="338"/>
    </row>
    <row r="64" spans="1:15" s="169" customFormat="1" ht="48.75" customHeight="1" x14ac:dyDescent="0.2">
      <c r="A64" s="338" t="s">
        <v>234</v>
      </c>
      <c r="B64" s="338"/>
      <c r="C64" s="338"/>
      <c r="D64" s="338"/>
      <c r="E64" s="338"/>
      <c r="F64" s="338"/>
      <c r="G64" s="338"/>
      <c r="H64" s="338"/>
      <c r="I64" s="338"/>
      <c r="J64" s="338"/>
      <c r="K64" s="338"/>
    </row>
    <row r="65" spans="1:15" s="170" customFormat="1" ht="32.25" customHeight="1" x14ac:dyDescent="0.3">
      <c r="A65" s="338" t="s">
        <v>464</v>
      </c>
      <c r="B65" s="338"/>
      <c r="C65" s="338"/>
      <c r="D65" s="338"/>
      <c r="E65" s="338"/>
      <c r="F65" s="338"/>
      <c r="G65" s="338"/>
      <c r="H65" s="338"/>
      <c r="I65" s="338"/>
      <c r="J65" s="338"/>
      <c r="K65" s="338"/>
      <c r="L65" s="309"/>
      <c r="M65" s="309"/>
      <c r="N65" s="309"/>
      <c r="O65" s="309"/>
    </row>
    <row r="66" spans="1:15" s="171" customFormat="1" ht="35.25" customHeight="1" x14ac:dyDescent="0.3">
      <c r="A66" s="338" t="s">
        <v>414</v>
      </c>
      <c r="B66" s="338"/>
      <c r="C66" s="338"/>
      <c r="D66" s="338"/>
      <c r="E66" s="338"/>
      <c r="F66" s="338"/>
      <c r="G66" s="338"/>
      <c r="H66" s="338"/>
      <c r="I66" s="338"/>
      <c r="J66" s="338"/>
      <c r="K66" s="338"/>
      <c r="L66" s="170"/>
      <c r="M66" s="170"/>
      <c r="N66" s="170"/>
      <c r="O66" s="170"/>
    </row>
    <row r="67" spans="1:15" s="171" customFormat="1" ht="27.75" customHeight="1" x14ac:dyDescent="0.3">
      <c r="A67" s="344"/>
      <c r="B67" s="344"/>
      <c r="C67" s="344"/>
      <c r="D67" s="344"/>
      <c r="E67" s="344"/>
      <c r="F67" s="344"/>
      <c r="G67" s="344"/>
      <c r="H67" s="344"/>
      <c r="I67" s="344"/>
      <c r="J67" s="344"/>
      <c r="K67" s="344"/>
    </row>
    <row r="68" spans="1:15" ht="12.75" customHeight="1" x14ac:dyDescent="0.3">
      <c r="A68" s="344"/>
      <c r="B68" s="344"/>
      <c r="C68" s="344"/>
      <c r="D68" s="344"/>
      <c r="E68" s="344"/>
      <c r="F68" s="344"/>
      <c r="G68" s="344"/>
      <c r="H68" s="344"/>
      <c r="I68" s="344"/>
      <c r="J68" s="344"/>
      <c r="K68" s="344"/>
      <c r="L68" s="171"/>
      <c r="M68" s="171"/>
      <c r="N68" s="171"/>
      <c r="O68" s="171"/>
    </row>
    <row r="69" spans="1:15" ht="12.75" customHeight="1" x14ac:dyDescent="0.3">
      <c r="A69" s="344"/>
      <c r="B69" s="344"/>
      <c r="C69" s="344"/>
      <c r="D69" s="344"/>
      <c r="E69" s="344"/>
      <c r="F69" s="344"/>
      <c r="G69" s="344"/>
      <c r="H69" s="344"/>
      <c r="I69" s="344"/>
      <c r="J69" s="344"/>
      <c r="K69" s="344"/>
    </row>
    <row r="70" spans="1:15" ht="12.75" customHeight="1" x14ac:dyDescent="0.3">
      <c r="A70" s="344"/>
      <c r="B70" s="344"/>
      <c r="C70" s="344"/>
      <c r="D70" s="344"/>
      <c r="E70" s="344"/>
      <c r="F70" s="344"/>
      <c r="G70" s="344"/>
      <c r="H70" s="344"/>
      <c r="I70" s="344"/>
      <c r="J70" s="344"/>
      <c r="K70" s="344"/>
    </row>
    <row r="71" spans="1:15" ht="12.75" customHeight="1" x14ac:dyDescent="0.3">
      <c r="A71" s="344"/>
      <c r="B71" s="344"/>
      <c r="C71" s="344"/>
      <c r="D71" s="344"/>
      <c r="E71" s="344"/>
      <c r="F71" s="344"/>
      <c r="G71" s="344"/>
      <c r="H71" s="344"/>
      <c r="I71" s="344"/>
      <c r="J71" s="344"/>
      <c r="K71" s="344"/>
    </row>
    <row r="72" spans="1:15" ht="12.75" customHeight="1" x14ac:dyDescent="0.3">
      <c r="A72" s="344"/>
      <c r="B72" s="344"/>
      <c r="C72" s="344"/>
      <c r="D72" s="344"/>
      <c r="E72" s="344"/>
      <c r="F72" s="344"/>
      <c r="G72" s="344"/>
      <c r="H72" s="344"/>
      <c r="I72" s="344"/>
      <c r="J72" s="344"/>
      <c r="K72" s="344"/>
    </row>
    <row r="73" spans="1:15" ht="12.75" customHeight="1" x14ac:dyDescent="0.3">
      <c r="A73" s="344"/>
      <c r="B73" s="344"/>
      <c r="C73" s="344"/>
      <c r="D73" s="344"/>
      <c r="E73" s="344"/>
      <c r="F73" s="344"/>
      <c r="G73" s="344"/>
      <c r="H73" s="344"/>
      <c r="I73" s="344"/>
      <c r="J73" s="344"/>
      <c r="K73" s="344"/>
    </row>
    <row r="74" spans="1:15" ht="12.75" customHeight="1" x14ac:dyDescent="0.3">
      <c r="A74" s="344"/>
      <c r="B74" s="344"/>
      <c r="C74" s="344"/>
      <c r="D74" s="344"/>
      <c r="E74" s="344"/>
      <c r="F74" s="344"/>
      <c r="G74" s="344"/>
      <c r="H74" s="344"/>
      <c r="I74" s="344"/>
      <c r="J74" s="344"/>
      <c r="K74" s="344"/>
    </row>
  </sheetData>
  <dataConsolidate/>
  <mergeCells count="18">
    <mergeCell ref="A74:K74"/>
    <mergeCell ref="D5:E5"/>
    <mergeCell ref="F5:G5"/>
    <mergeCell ref="H5:I5"/>
    <mergeCell ref="J5:K5"/>
    <mergeCell ref="A68:K68"/>
    <mergeCell ref="A69:K69"/>
    <mergeCell ref="A70:K70"/>
    <mergeCell ref="A71:K71"/>
    <mergeCell ref="A72:K72"/>
    <mergeCell ref="A73:K73"/>
    <mergeCell ref="A65:K65"/>
    <mergeCell ref="J4:K4"/>
    <mergeCell ref="A62:K62"/>
    <mergeCell ref="A64:K64"/>
    <mergeCell ref="A66:K66"/>
    <mergeCell ref="A67:K67"/>
    <mergeCell ref="A63:O63"/>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Input data (2)</vt:lpstr>
      <vt:lpstr>Output data - DO NOT TOUCH (2)</vt:lpstr>
      <vt:lpstr>Table Cover sheet</vt:lpstr>
      <vt:lpstr>Table contents</vt:lpstr>
      <vt:lpstr>Table Notes</vt:lpstr>
      <vt:lpstr>Table 1a</vt:lpstr>
      <vt:lpstr>Table 1b</vt:lpstr>
      <vt:lpstr>Table 2</vt:lpstr>
      <vt:lpstr>Table 3</vt:lpstr>
      <vt:lpstr>Table 4a</vt:lpstr>
      <vt:lpstr>Table 4b</vt:lpstr>
      <vt:lpstr>Table 5</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'Input data (2)'!Print_Area</vt:lpstr>
      <vt:lpstr>'Table 10'!Print_Area</vt:lpstr>
      <vt:lpstr>'Table 11'!Print_Area</vt:lpstr>
      <vt:lpstr>'Table 12'!Print_Area</vt:lpstr>
      <vt:lpstr>'Table 13'!Print_Area</vt:lpstr>
      <vt:lpstr>'Table 14'!Print_Area</vt:lpstr>
      <vt:lpstr>'Table 1a'!Print_Area</vt:lpstr>
      <vt:lpstr>'Table 1b'!Print_Area</vt:lpstr>
      <vt:lpstr>'Table 2'!Print_Area</vt:lpstr>
      <vt:lpstr>'Table 3'!Print_Area</vt:lpstr>
      <vt:lpstr>'Table 4a'!Print_Area</vt:lpstr>
      <vt:lpstr>'Table 4b'!Print_Area</vt:lpstr>
      <vt:lpstr>'Table 5'!Print_Area</vt:lpstr>
      <vt:lpstr>'Table 6a'!Print_Area</vt:lpstr>
      <vt:lpstr>'Table 6b'!Print_Area</vt:lpstr>
      <vt:lpstr>'Table 7a'!Print_Area</vt:lpstr>
      <vt:lpstr>'Table 7b'!Print_Area</vt:lpstr>
      <vt:lpstr>'Table 8a'!Print_Area</vt:lpstr>
      <vt:lpstr>'Table 8b'!Print_Area</vt:lpstr>
      <vt:lpstr>'Table 9'!Print_Area</vt:lpstr>
      <vt:lpstr>'Table Notes'!Print_Area</vt:lpstr>
      <vt:lpstr>'Input data (2)'!Print_Titles</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John.Perrett</cp:lastModifiedBy>
  <cp:lastPrinted>2018-01-19T14:46:28Z</cp:lastPrinted>
  <dcterms:created xsi:type="dcterms:W3CDTF">2008-05-07T13:04:23Z</dcterms:created>
  <dcterms:modified xsi:type="dcterms:W3CDTF">2018-01-23T12:24:24Z</dcterms:modified>
</cp:coreProperties>
</file>